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fileSharing readOnlyRecommended="1"/>
  <workbookPr codeName="ThisWorkbook" hidePivotFieldList="1"/>
  <mc:AlternateContent xmlns:mc="http://schemas.openxmlformats.org/markup-compatibility/2006">
    <mc:Choice Requires="x15">
      <x15ac:absPath xmlns:x15ac="http://schemas.microsoft.com/office/spreadsheetml/2010/11/ac" url="C:\Users\x01021763\Downloads\DVD RO\Raport Impact Mediu\Anexe RIM\Anexa_K_Calcul_emisii_in_aer\"/>
    </mc:Choice>
  </mc:AlternateContent>
  <xr:revisionPtr revIDLastSave="0" documentId="13_ncr:1_{07CFF2F6-FB1C-4E46-B29D-9659E1335B22}" xr6:coauthVersionLast="47" xr6:coauthVersionMax="47" xr10:uidLastSave="{00000000-0000-0000-0000-000000000000}"/>
  <workbookProtection workbookAlgorithmName="SHA-512" workbookHashValue="tU9QKr9y9L4oEgs6pwWQ1pAuKOU6aIO0tFdf7HL5OQ6dk1/UoQNAhPti69FWEDXmjSHwoFOoLnzhDMLV38ngUQ==" workbookSaltValue="kCp9v5sUkJp+3XTxpj6h+g==" workbookSpinCount="100000" lockStructure="1"/>
  <bookViews>
    <workbookView xWindow="-120" yWindow="-120" windowWidth="29040" windowHeight="17640" tabRatio="832" activeTab="2" xr2:uid="{00000000-000D-0000-FFFF-FFFF00000000}"/>
  </bookViews>
  <sheets>
    <sheet name="Revision" sheetId="47" r:id="rId1"/>
    <sheet name="References" sheetId="50" r:id="rId2"/>
    <sheet name="Emiss. Const. Offsh." sheetId="84" r:id="rId3"/>
    <sheet name="Emiss. Drilling" sheetId="141" r:id="rId4"/>
    <sheet name="Emiss. Onshore" sheetId="142" r:id="rId5"/>
    <sheet name="Wastes" sheetId="71" r:id="rId6"/>
    <sheet name="Emiss. Ops" sheetId="54" r:id="rId7"/>
    <sheet name="Emiss. Ab Ops" sheetId="133" r:id="rId8"/>
    <sheet name="Diesel F" sheetId="143" r:id="rId9"/>
    <sheet name="Effluents" sheetId="126" r:id="rId10"/>
    <sheet name="ESG" sheetId="51" r:id="rId11"/>
    <sheet name="BSG" sheetId="52" r:id="rId12"/>
    <sheet name="GTGs" sheetId="1" r:id="rId13"/>
    <sheet name="TEMPSC" sheetId="132" r:id="rId14"/>
    <sheet name="LPF P&amp;P" sheetId="30" r:id="rId15"/>
    <sheet name="HPF P&amp;P" sheetId="144" r:id="rId16"/>
    <sheet name="HPF TAR" sheetId="145" r:id="rId17"/>
    <sheet name="HPF pig" sheetId="146" r:id="rId18"/>
    <sheet name="MeOHBGF" sheetId="147" r:id="rId19"/>
    <sheet name="FE PL F" sheetId="163" r:id="rId20"/>
    <sheet name="LPFConTEG" sheetId="148" r:id="rId21"/>
    <sheet name="OT V" sheetId="119" r:id="rId22"/>
    <sheet name="FE FL V" sheetId="128" r:id="rId23"/>
    <sheet name="VA" sheetId="153" r:id="rId24"/>
    <sheet name="HPF ICSS" sheetId="150" r:id="rId25"/>
    <sheet name="PSD WR" sheetId="102" r:id="rId26"/>
    <sheet name="ESD CR" sheetId="103" r:id="rId27"/>
    <sheet name="ESD CR SS" sheetId="104" r:id="rId28"/>
    <sheet name="PBD PP" sheetId="100" r:id="rId29"/>
    <sheet name="PBD DP" sheetId="101" r:id="rId30"/>
    <sheet name="T H (E-M)" sheetId="46" r:id="rId31"/>
    <sheet name="AOT V" sheetId="120" r:id="rId32"/>
    <sheet name="SWP HU" sheetId="83" r:id="rId33"/>
    <sheet name="M P" sheetId="86" r:id="rId34"/>
    <sheet name="BSG - C" sheetId="87" r:id="rId35"/>
    <sheet name="ESG -C" sheetId="88" r:id="rId36"/>
    <sheet name="Precom F P" sheetId="85" r:id="rId37"/>
    <sheet name="Precom H P" sheetId="89" r:id="rId38"/>
    <sheet name="Precom DP P" sheetId="90" r:id="rId39"/>
    <sheet name="Precom F D" sheetId="91" r:id="rId40"/>
    <sheet name="Precom H D" sheetId="92" r:id="rId41"/>
    <sheet name="Precom DP D" sheetId="93" r:id="rId42"/>
    <sheet name="Precom F GPP" sheetId="94" r:id="rId43"/>
    <sheet name="Precom L GPP" sheetId="95" r:id="rId44"/>
    <sheet name="LP FP" sheetId="105" r:id="rId45"/>
    <sheet name="HP FP" sheetId="106" r:id="rId46"/>
    <sheet name="HP ICS" sheetId="160" r:id="rId47"/>
    <sheet name="DFP" sheetId="161" r:id="rId48"/>
    <sheet name="Precom F O" sheetId="96" r:id="rId49"/>
    <sheet name="Precom H O" sheetId="97" r:id="rId50"/>
    <sheet name="Precom D O" sheetId="98" r:id="rId51"/>
    <sheet name="OPE" sheetId="121" r:id="rId52"/>
    <sheet name="V SUG" sheetId="154" r:id="rId53"/>
    <sheet name="T H" sheetId="114" r:id="rId54"/>
    <sheet name="T Vs" sheetId="116" r:id="rId55"/>
    <sheet name="DG" sheetId="112" r:id="rId56"/>
    <sheet name="D TP" sheetId="124" r:id="rId57"/>
    <sheet name="DC" sheetId="123" r:id="rId58"/>
    <sheet name="DT H" sheetId="115" r:id="rId59"/>
    <sheet name="DT V" sheetId="117" r:id="rId60"/>
    <sheet name="O SPG" sheetId="125" r:id="rId61"/>
    <sheet name="C E" sheetId="122" r:id="rId62"/>
    <sheet name="OV FR" sheetId="155" r:id="rId63"/>
    <sheet name="OV IPC" sheetId="156" r:id="rId64"/>
    <sheet name="OV PT" sheetId="157" r:id="rId65"/>
    <sheet name="OV PSVL" sheetId="158" r:id="rId66"/>
    <sheet name="O FE" sheetId="159" r:id="rId67"/>
    <sheet name="O V" sheetId="108" r:id="rId68"/>
    <sheet name="CO2eEF" sheetId="41" r:id="rId69"/>
    <sheet name="Fugitive Emissions" sheetId="57" r:id="rId70"/>
    <sheet name="LHV HHV" sheetId="49" r:id="rId71"/>
    <sheet name="Standard density calc" sheetId="56" r:id="rId72"/>
  </sheets>
  <externalReferences>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s>
  <definedNames>
    <definedName name="__cam1" localSheetId="19" hidden="1">{#N/A,#N/A,FALSE,"cover";#N/A,#N/A,FALSE,"page_1";#N/A,#N/A,FALSE,"page_2";#N/A,#N/A,FALSE,"page_3";#N/A,#N/A,FALSE,"page_4"}</definedName>
    <definedName name="__cam1" hidden="1">{#N/A,#N/A,FALSE,"cover";#N/A,#N/A,FALSE,"page_1";#N/A,#N/A,FALSE,"page_2";#N/A,#N/A,FALSE,"page_3";#N/A,#N/A,FALSE,"page_4"}</definedName>
    <definedName name="__CES1">#N/A</definedName>
    <definedName name="__CES2">#N/A</definedName>
    <definedName name="__TDE1">#N/A</definedName>
    <definedName name="__TDE2">#N/A</definedName>
    <definedName name="_cam1" localSheetId="68" hidden="1">{#N/A,#N/A,FALSE,"cover";#N/A,#N/A,FALSE,"page_1";#N/A,#N/A,FALSE,"page_2";#N/A,#N/A,FALSE,"page_3";#N/A,#N/A,FALSE,"page_4"}</definedName>
    <definedName name="_CES1">#N/A</definedName>
    <definedName name="_CES2">#N/A</definedName>
    <definedName name="_xlnm._FilterDatabase" localSheetId="9" hidden="1">Effluents!$C$11:$C$20</definedName>
    <definedName name="_xlnm._FilterDatabase" localSheetId="7" hidden="1">'Emiss. Ab Ops'!$C$11:$C$77</definedName>
    <definedName name="_xlnm._FilterDatabase" localSheetId="2" hidden="1">'Emiss. Const. Offsh.'!$C$11:$C$153</definedName>
    <definedName name="_xlnm._FilterDatabase" localSheetId="3" hidden="1">'Emiss. Drilling'!$C$11:$C$53</definedName>
    <definedName name="_xlnm._FilterDatabase" localSheetId="4" hidden="1">'Emiss. Onshore'!$C$11:$C$83</definedName>
    <definedName name="_xlnm._FilterDatabase" localSheetId="6" hidden="1">'Emiss. Ops'!$B$11:$I$127</definedName>
    <definedName name="_xlnm._FilterDatabase" localSheetId="5" hidden="1">Wastes!$C$11:$C$38</definedName>
    <definedName name="_Table1_In1" localSheetId="31" hidden="1">#REF!</definedName>
    <definedName name="_Table1_In1" localSheetId="61" hidden="1">#REF!</definedName>
    <definedName name="_Table1_In1" localSheetId="56" hidden="1">#REF!</definedName>
    <definedName name="_Table1_In1" localSheetId="57" hidden="1">#REF!</definedName>
    <definedName name="_Table1_In1" localSheetId="47" hidden="1">#REF!</definedName>
    <definedName name="_Table1_In1" localSheetId="55" hidden="1">#REF!</definedName>
    <definedName name="_Table1_In1" localSheetId="58" hidden="1">#REF!</definedName>
    <definedName name="_Table1_In1" localSheetId="59" hidden="1">#REF!</definedName>
    <definedName name="_Table1_In1" localSheetId="10" hidden="1">#REF!</definedName>
    <definedName name="_Table1_In1" localSheetId="35" hidden="1">#REF!</definedName>
    <definedName name="_Table1_In1" localSheetId="19" hidden="1">#REF!</definedName>
    <definedName name="_Table1_In1" localSheetId="46" hidden="1">#REF!</definedName>
    <definedName name="_Table1_In1" localSheetId="24" hidden="1">#REF!</definedName>
    <definedName name="_Table1_In1" localSheetId="15" hidden="1">#REF!</definedName>
    <definedName name="_Table1_In1" localSheetId="17" hidden="1">#REF!</definedName>
    <definedName name="_Table1_In1" localSheetId="16" hidden="1">#REF!</definedName>
    <definedName name="_Table1_In1" localSheetId="14" hidden="1">#REF!</definedName>
    <definedName name="_Table1_In1" localSheetId="20" hidden="1">#REF!</definedName>
    <definedName name="_Table1_In1" localSheetId="18" hidden="1">#REF!</definedName>
    <definedName name="_Table1_In1" localSheetId="60" hidden="1">#REF!</definedName>
    <definedName name="_Table1_In1" localSheetId="67" hidden="1">#REF!</definedName>
    <definedName name="_Table1_In1" localSheetId="51" hidden="1">#REF!</definedName>
    <definedName name="_Table1_In1" localSheetId="21" hidden="1">#REF!</definedName>
    <definedName name="_Table1_In1" localSheetId="53" hidden="1">#REF!</definedName>
    <definedName name="_Table1_In1" localSheetId="30" hidden="1">#REF!</definedName>
    <definedName name="_Table1_In1" localSheetId="54" hidden="1">#REF!</definedName>
    <definedName name="_Table1_In1" hidden="1">#REF!</definedName>
    <definedName name="_Table2_In1" localSheetId="31" hidden="1">#REF!</definedName>
    <definedName name="_Table2_In1" localSheetId="61" hidden="1">#REF!</definedName>
    <definedName name="_Table2_In1" localSheetId="56" hidden="1">#REF!</definedName>
    <definedName name="_Table2_In1" localSheetId="57" hidden="1">#REF!</definedName>
    <definedName name="_Table2_In1" localSheetId="47" hidden="1">#REF!</definedName>
    <definedName name="_Table2_In1" localSheetId="55" hidden="1">#REF!</definedName>
    <definedName name="_Table2_In1" localSheetId="58" hidden="1">#REF!</definedName>
    <definedName name="_Table2_In1" localSheetId="59" hidden="1">#REF!</definedName>
    <definedName name="_Table2_In1" localSheetId="10" hidden="1">#REF!</definedName>
    <definedName name="_Table2_In1" localSheetId="35" hidden="1">#REF!</definedName>
    <definedName name="_Table2_In1" localSheetId="19" hidden="1">#REF!</definedName>
    <definedName name="_Table2_In1" localSheetId="46" hidden="1">#REF!</definedName>
    <definedName name="_Table2_In1" localSheetId="24" hidden="1">#REF!</definedName>
    <definedName name="_Table2_In1" localSheetId="15" hidden="1">#REF!</definedName>
    <definedName name="_Table2_In1" localSheetId="17" hidden="1">#REF!</definedName>
    <definedName name="_Table2_In1" localSheetId="16" hidden="1">#REF!</definedName>
    <definedName name="_Table2_In1" localSheetId="14" hidden="1">#REF!</definedName>
    <definedName name="_Table2_In1" localSheetId="20" hidden="1">#REF!</definedName>
    <definedName name="_Table2_In1" localSheetId="18" hidden="1">#REF!</definedName>
    <definedName name="_Table2_In1" localSheetId="60" hidden="1">#REF!</definedName>
    <definedName name="_Table2_In1" localSheetId="67" hidden="1">#REF!</definedName>
    <definedName name="_Table2_In1" localSheetId="51" hidden="1">#REF!</definedName>
    <definedName name="_Table2_In1" localSheetId="21" hidden="1">#REF!</definedName>
    <definedName name="_Table2_In1" localSheetId="53" hidden="1">#REF!</definedName>
    <definedName name="_Table2_In1" localSheetId="30" hidden="1">#REF!</definedName>
    <definedName name="_Table2_In1" localSheetId="54" hidden="1">#REF!</definedName>
    <definedName name="_Table2_In1" hidden="1">#REF!</definedName>
    <definedName name="_TDE1">#N/A</definedName>
    <definedName name="_TDE2">#N/A</definedName>
    <definedName name="a" localSheetId="68" hidden="1">{#N/A,#N/A,FALSE,"cover";#N/A,#N/A,FALSE,"page_1";#N/A,#N/A,FALSE,"page_2";#N/A,#N/A,FALSE,"page_3";#N/A,#N/A,FALSE,"page_4"}</definedName>
    <definedName name="a" localSheetId="19" hidden="1">{#N/A,#N/A,FALSE,"cover";#N/A,#N/A,FALSE,"page_1";#N/A,#N/A,FALSE,"page_2";#N/A,#N/A,FALSE,"page_3";#N/A,#N/A,FALSE,"page_4"}</definedName>
    <definedName name="a" hidden="1">{#N/A,#N/A,FALSE,"cover";#N/A,#N/A,FALSE,"page_1";#N/A,#N/A,FALSE,"page_2";#N/A,#N/A,FALSE,"page_3";#N/A,#N/A,FALSE,"page_4"}</definedName>
    <definedName name="A_1" localSheetId="56">#REF!</definedName>
    <definedName name="A_1" localSheetId="57">#REF!</definedName>
    <definedName name="A_1" localSheetId="55">#REF!</definedName>
    <definedName name="A_1" localSheetId="10">#REF!</definedName>
    <definedName name="A_1" localSheetId="35">#REF!</definedName>
    <definedName name="A_1" localSheetId="60">#REF!</definedName>
    <definedName name="A_1" localSheetId="51">#REF!</definedName>
    <definedName name="A_1">#REF!</definedName>
    <definedName name="A_2" localSheetId="56">#REF!</definedName>
    <definedName name="A_2" localSheetId="57">#REF!</definedName>
    <definedName name="A_2" localSheetId="55">#REF!</definedName>
    <definedName name="A_2" localSheetId="10">#REF!</definedName>
    <definedName name="A_2" localSheetId="35">#REF!</definedName>
    <definedName name="A_2" localSheetId="60">#REF!</definedName>
    <definedName name="A_2" localSheetId="51">#REF!</definedName>
    <definedName name="A_2">#REF!</definedName>
    <definedName name="A_3" localSheetId="56">#REF!</definedName>
    <definedName name="A_3" localSheetId="57">#REF!</definedName>
    <definedName name="A_3" localSheetId="55">#REF!</definedName>
    <definedName name="A_3" localSheetId="10">#REF!</definedName>
    <definedName name="A_3" localSheetId="35">#REF!</definedName>
    <definedName name="A_3" localSheetId="60">#REF!</definedName>
    <definedName name="A_3" localSheetId="51">#REF!</definedName>
    <definedName name="A_3">#REF!</definedName>
    <definedName name="A_5" localSheetId="56">#REF!</definedName>
    <definedName name="A_5" localSheetId="57">#REF!</definedName>
    <definedName name="A_5" localSheetId="55">#REF!</definedName>
    <definedName name="A_5" localSheetId="10">#REF!</definedName>
    <definedName name="A_5" localSheetId="35">#REF!</definedName>
    <definedName name="A_5" localSheetId="60">#REF!</definedName>
    <definedName name="A_5" localSheetId="51">#REF!</definedName>
    <definedName name="A_5">#REF!</definedName>
    <definedName name="A_52" localSheetId="56">#REF!</definedName>
    <definedName name="A_52" localSheetId="57">#REF!</definedName>
    <definedName name="A_52" localSheetId="55">#REF!</definedName>
    <definedName name="A_52" localSheetId="10">#REF!</definedName>
    <definedName name="A_52" localSheetId="35">#REF!</definedName>
    <definedName name="A_52" localSheetId="60">#REF!</definedName>
    <definedName name="A_52" localSheetId="51">#REF!</definedName>
    <definedName name="A_52">#REF!</definedName>
    <definedName name="A_55" localSheetId="56">#REF!</definedName>
    <definedName name="A_55" localSheetId="57">#REF!</definedName>
    <definedName name="A_55" localSheetId="55">#REF!</definedName>
    <definedName name="A_55" localSheetId="10">#REF!</definedName>
    <definedName name="A_55" localSheetId="35">#REF!</definedName>
    <definedName name="A_55" localSheetId="60">#REF!</definedName>
    <definedName name="A_55" localSheetId="51">#REF!</definedName>
    <definedName name="A_55">#REF!</definedName>
    <definedName name="A_6" localSheetId="56">#REF!</definedName>
    <definedName name="A_6" localSheetId="57">#REF!</definedName>
    <definedName name="A_6" localSheetId="55">#REF!</definedName>
    <definedName name="A_6" localSheetId="10">#REF!</definedName>
    <definedName name="A_6" localSheetId="35">#REF!</definedName>
    <definedName name="A_6" localSheetId="60">#REF!</definedName>
    <definedName name="A_6" localSheetId="51">#REF!</definedName>
    <definedName name="A_6">#REF!</definedName>
    <definedName name="A21P" localSheetId="56">#REF!</definedName>
    <definedName name="A21P" localSheetId="57">#REF!</definedName>
    <definedName name="A21P" localSheetId="55">#REF!</definedName>
    <definedName name="A21P" localSheetId="10">#REF!</definedName>
    <definedName name="A21P" localSheetId="35">#REF!</definedName>
    <definedName name="A21P" localSheetId="60">#REF!</definedName>
    <definedName name="A21P" localSheetId="51">#REF!</definedName>
    <definedName name="A21P">#REF!</definedName>
    <definedName name="A22P" localSheetId="56">#REF!</definedName>
    <definedName name="A22P" localSheetId="57">#REF!</definedName>
    <definedName name="A22P" localSheetId="55">#REF!</definedName>
    <definedName name="A22P" localSheetId="10">#REF!</definedName>
    <definedName name="A22P" localSheetId="35">#REF!</definedName>
    <definedName name="A22P" localSheetId="60">#REF!</definedName>
    <definedName name="A22P" localSheetId="51">#REF!</definedName>
    <definedName name="A22P">#REF!</definedName>
    <definedName name="A22T" localSheetId="56">#REF!</definedName>
    <definedName name="A22T" localSheetId="57">#REF!</definedName>
    <definedName name="A22T" localSheetId="55">#REF!</definedName>
    <definedName name="A22T" localSheetId="10">#REF!</definedName>
    <definedName name="A22T" localSheetId="35">#REF!</definedName>
    <definedName name="A22T" localSheetId="60">#REF!</definedName>
    <definedName name="A22T" localSheetId="51">#REF!</definedName>
    <definedName name="A22T">#REF!</definedName>
    <definedName name="A25Gas" localSheetId="56">#REF!</definedName>
    <definedName name="A25Gas" localSheetId="57">#REF!</definedName>
    <definedName name="A25Gas" localSheetId="55">#REF!</definedName>
    <definedName name="A25Gas" localSheetId="10">#REF!</definedName>
    <definedName name="A25Gas" localSheetId="35">#REF!</definedName>
    <definedName name="A25Gas" localSheetId="60">#REF!</definedName>
    <definedName name="A25Gas" localSheetId="51">#REF!</definedName>
    <definedName name="A25Gas">#REF!</definedName>
    <definedName name="A25Oil" localSheetId="56">#REF!</definedName>
    <definedName name="A25Oil" localSheetId="57">#REF!</definedName>
    <definedName name="A25Oil" localSheetId="55">#REF!</definedName>
    <definedName name="A25Oil" localSheetId="10">#REF!</definedName>
    <definedName name="A25Oil" localSheetId="35">#REF!</definedName>
    <definedName name="A25Oil" localSheetId="60">#REF!</definedName>
    <definedName name="A25Oil" localSheetId="51">#REF!</definedName>
    <definedName name="A25Oil">#REF!</definedName>
    <definedName name="A25P" localSheetId="56">#REF!</definedName>
    <definedName name="A25P" localSheetId="57">#REF!</definedName>
    <definedName name="A25P" localSheetId="55">#REF!</definedName>
    <definedName name="A25P" localSheetId="10">#REF!</definedName>
    <definedName name="A25P" localSheetId="35">#REF!</definedName>
    <definedName name="A25P" localSheetId="60">#REF!</definedName>
    <definedName name="A25P" localSheetId="51">#REF!</definedName>
    <definedName name="A25P">#REF!</definedName>
    <definedName name="A25Water" localSheetId="56">#REF!</definedName>
    <definedName name="A25Water" localSheetId="57">#REF!</definedName>
    <definedName name="A25Water" localSheetId="55">#REF!</definedName>
    <definedName name="A25Water" localSheetId="10">#REF!</definedName>
    <definedName name="A25Water" localSheetId="35">#REF!</definedName>
    <definedName name="A25Water" localSheetId="60">#REF!</definedName>
    <definedName name="A25Water" localSheetId="51">#REF!</definedName>
    <definedName name="A25Water">#REF!</definedName>
    <definedName name="AC">#N/A</definedName>
    <definedName name="ACTLGH">#N/A</definedName>
    <definedName name="adfad" localSheetId="68" hidden="1">{#N/A,#N/A,FALSE,"cover";#N/A,#N/A,FALSE,"page_1";#N/A,#N/A,FALSE,"page_2";#N/A,#N/A,FALSE,"page_3";#N/A,#N/A,FALSE,"page_4"}</definedName>
    <definedName name="adfad" localSheetId="19" hidden="1">{#N/A,#N/A,FALSE,"cover";#N/A,#N/A,FALSE,"page_1";#N/A,#N/A,FALSE,"page_2";#N/A,#N/A,FALSE,"page_3";#N/A,#N/A,FALSE,"page_4"}</definedName>
    <definedName name="adfad" hidden="1">{#N/A,#N/A,FALSE,"cover";#N/A,#N/A,FALSE,"page_1";#N/A,#N/A,FALSE,"page_2";#N/A,#N/A,FALSE,"page_3";#N/A,#N/A,FALSE,"page_4"}</definedName>
    <definedName name="AirIn" localSheetId="56">#REF!</definedName>
    <definedName name="AirIn" localSheetId="57">#REF!</definedName>
    <definedName name="AirIn" localSheetId="55">#REF!</definedName>
    <definedName name="AirIn" localSheetId="10">#REF!</definedName>
    <definedName name="AirIn" localSheetId="35">#REF!</definedName>
    <definedName name="AirIn" localSheetId="60">#REF!</definedName>
    <definedName name="AirIn" localSheetId="51">#REF!</definedName>
    <definedName name="AirIn">#REF!</definedName>
    <definedName name="AREQ">#N/A</definedName>
    <definedName name="backpcorrec" localSheetId="68">#REF!</definedName>
    <definedName name="backpcorrec" localSheetId="56">'[1]Lookup Tables &amp; Graphs'!#REF!</definedName>
    <definedName name="backpcorrec" localSheetId="57">'[1]Lookup Tables &amp; Graphs'!#REF!</definedName>
    <definedName name="backpcorrec" localSheetId="55">'[1]Lookup Tables &amp; Graphs'!#REF!</definedName>
    <definedName name="backpcorrec" localSheetId="10">'[1]Lookup Tables &amp; Graphs'!#REF!</definedName>
    <definedName name="backpcorrec" localSheetId="35">'[1]Lookup Tables &amp; Graphs'!#REF!</definedName>
    <definedName name="backpcorrec" localSheetId="60">'[1]Lookup Tables &amp; Graphs'!#REF!</definedName>
    <definedName name="backpcorrec" localSheetId="51">'[1]Lookup Tables &amp; Graphs'!#REF!</definedName>
    <definedName name="backpcorrec">'[1]Lookup Tables &amp; Graphs'!#REF!</definedName>
    <definedName name="BDP">#N/A</definedName>
    <definedName name="BM">#N/A</definedName>
    <definedName name="calc10in" localSheetId="56">#REF!</definedName>
    <definedName name="calc10in" localSheetId="57">#REF!</definedName>
    <definedName name="calc10in" localSheetId="55">#REF!</definedName>
    <definedName name="calc10in" localSheetId="10">#REF!</definedName>
    <definedName name="calc10in" localSheetId="35">#REF!</definedName>
    <definedName name="calc10in" localSheetId="60">#REF!</definedName>
    <definedName name="calc10in" localSheetId="51">#REF!</definedName>
    <definedName name="calc10in">#REF!</definedName>
    <definedName name="calc11in" localSheetId="56">#REF!</definedName>
    <definedName name="calc11in" localSheetId="57">#REF!</definedName>
    <definedName name="calc11in" localSheetId="55">#REF!</definedName>
    <definedName name="calc11in" localSheetId="10">#REF!</definedName>
    <definedName name="calc11in" localSheetId="35">#REF!</definedName>
    <definedName name="calc11in" localSheetId="60">#REF!</definedName>
    <definedName name="calc11in" localSheetId="51">#REF!</definedName>
    <definedName name="calc11in">#REF!</definedName>
    <definedName name="calc12in" localSheetId="56">#REF!</definedName>
    <definedName name="calc12in" localSheetId="57">#REF!</definedName>
    <definedName name="calc12in" localSheetId="55">#REF!</definedName>
    <definedName name="calc12in" localSheetId="10">#REF!</definedName>
    <definedName name="calc12in" localSheetId="35">#REF!</definedName>
    <definedName name="calc12in" localSheetId="60">#REF!</definedName>
    <definedName name="calc12in" localSheetId="51">#REF!</definedName>
    <definedName name="calc12in">#REF!</definedName>
    <definedName name="calc1in" localSheetId="56">#REF!</definedName>
    <definedName name="calc1in" localSheetId="57">#REF!</definedName>
    <definedName name="calc1in" localSheetId="55">#REF!</definedName>
    <definedName name="calc1in" localSheetId="10">#REF!</definedName>
    <definedName name="calc1in" localSheetId="35">#REF!</definedName>
    <definedName name="calc1in" localSheetId="60">#REF!</definedName>
    <definedName name="calc1in" localSheetId="51">#REF!</definedName>
    <definedName name="calc1in">#REF!</definedName>
    <definedName name="calc2in" localSheetId="56">#REF!</definedName>
    <definedName name="calc2in" localSheetId="57">#REF!</definedName>
    <definedName name="calc2in" localSheetId="55">#REF!</definedName>
    <definedName name="calc2in" localSheetId="10">#REF!</definedName>
    <definedName name="calc2in" localSheetId="35">#REF!</definedName>
    <definedName name="calc2in" localSheetId="60">#REF!</definedName>
    <definedName name="calc2in" localSheetId="51">#REF!</definedName>
    <definedName name="calc2in">#REF!</definedName>
    <definedName name="calc3in" localSheetId="56">#REF!</definedName>
    <definedName name="calc3in" localSheetId="57">#REF!</definedName>
    <definedName name="calc3in" localSheetId="55">#REF!</definedName>
    <definedName name="calc3in" localSheetId="10">#REF!</definedName>
    <definedName name="calc3in" localSheetId="35">#REF!</definedName>
    <definedName name="calc3in" localSheetId="60">#REF!</definedName>
    <definedName name="calc3in" localSheetId="51">#REF!</definedName>
    <definedName name="calc3in">#REF!</definedName>
    <definedName name="calc4in" localSheetId="56">#REF!</definedName>
    <definedName name="calc4in" localSheetId="57">#REF!</definedName>
    <definedName name="calc4in" localSheetId="55">#REF!</definedName>
    <definedName name="calc4in" localSheetId="10">#REF!</definedName>
    <definedName name="calc4in" localSheetId="35">#REF!</definedName>
    <definedName name="calc4in" localSheetId="60">#REF!</definedName>
    <definedName name="calc4in" localSheetId="51">#REF!</definedName>
    <definedName name="calc4in">#REF!</definedName>
    <definedName name="calc5in" localSheetId="56">#REF!</definedName>
    <definedName name="calc5in" localSheetId="57">#REF!</definedName>
    <definedName name="calc5in" localSheetId="55">#REF!</definedName>
    <definedName name="calc5in" localSheetId="10">#REF!</definedName>
    <definedName name="calc5in" localSheetId="35">#REF!</definedName>
    <definedName name="calc5in" localSheetId="60">#REF!</definedName>
    <definedName name="calc5in" localSheetId="51">#REF!</definedName>
    <definedName name="calc5in">#REF!</definedName>
    <definedName name="calc6in" localSheetId="56">#REF!</definedName>
    <definedName name="calc6in" localSheetId="57">#REF!</definedName>
    <definedName name="calc6in" localSheetId="55">#REF!</definedName>
    <definedName name="calc6in" localSheetId="10">#REF!</definedName>
    <definedName name="calc6in" localSheetId="35">#REF!</definedName>
    <definedName name="calc6in" localSheetId="60">#REF!</definedName>
    <definedName name="calc6in" localSheetId="51">#REF!</definedName>
    <definedName name="calc6in">#REF!</definedName>
    <definedName name="calc7in" localSheetId="56">#REF!</definedName>
    <definedName name="calc7in" localSheetId="57">#REF!</definedName>
    <definedName name="calc7in" localSheetId="55">#REF!</definedName>
    <definedName name="calc7in" localSheetId="10">#REF!</definedName>
    <definedName name="calc7in" localSheetId="35">#REF!</definedName>
    <definedName name="calc7in" localSheetId="60">#REF!</definedName>
    <definedName name="calc7in" localSheetId="51">#REF!</definedName>
    <definedName name="calc7in">#REF!</definedName>
    <definedName name="calc8in" localSheetId="56">#REF!</definedName>
    <definedName name="calc8in" localSheetId="57">#REF!</definedName>
    <definedName name="calc8in" localSheetId="55">#REF!</definedName>
    <definedName name="calc8in" localSheetId="10">#REF!</definedName>
    <definedName name="calc8in" localSheetId="35">#REF!</definedName>
    <definedName name="calc8in" localSheetId="60">#REF!</definedName>
    <definedName name="calc8in" localSheetId="51">#REF!</definedName>
    <definedName name="calc8in">#REF!</definedName>
    <definedName name="calc9in" localSheetId="56">#REF!</definedName>
    <definedName name="calc9in" localSheetId="57">#REF!</definedName>
    <definedName name="calc9in" localSheetId="55">#REF!</definedName>
    <definedName name="calc9in" localSheetId="10">#REF!</definedName>
    <definedName name="calc9in" localSheetId="35">#REF!</definedName>
    <definedName name="calc9in" localSheetId="60">#REF!</definedName>
    <definedName name="calc9in" localSheetId="51">#REF!</definedName>
    <definedName name="calc9in">#REF!</definedName>
    <definedName name="cam" localSheetId="68" hidden="1">{#N/A,#N/A,FALSE,"cover";#N/A,#N/A,FALSE,"page_1";#N/A,#N/A,FALSE,"page_2";#N/A,#N/A,FALSE,"page_3";#N/A,#N/A,FALSE,"page_4"}</definedName>
    <definedName name="cam" localSheetId="19" hidden="1">{#N/A,#N/A,FALSE,"cover";#N/A,#N/A,FALSE,"page_1";#N/A,#N/A,FALSE,"page_2";#N/A,#N/A,FALSE,"page_3";#N/A,#N/A,FALSE,"page_4"}</definedName>
    <definedName name="cam" hidden="1">{#N/A,#N/A,FALSE,"cover";#N/A,#N/A,FALSE,"page_1";#N/A,#N/A,FALSE,"page_2";#N/A,#N/A,FALSE,"page_3";#N/A,#N/A,FALSE,"page_4"}</definedName>
    <definedName name="Ccoeff" localSheetId="56">#REF!</definedName>
    <definedName name="Ccoeff" localSheetId="57">#REF!</definedName>
    <definedName name="Ccoeff" localSheetId="55">#REF!</definedName>
    <definedName name="Ccoeff" localSheetId="10">#REF!</definedName>
    <definedName name="Ccoeff" localSheetId="35">#REF!</definedName>
    <definedName name="Ccoeff" localSheetId="60">#REF!</definedName>
    <definedName name="Ccoeff" localSheetId="51">#REF!</definedName>
    <definedName name="Ccoeff">#REF!</definedName>
    <definedName name="CEB">#N/A</definedName>
    <definedName name="CF">#N/A</definedName>
    <definedName name="CH4_CO2e" localSheetId="56">#REF!</definedName>
    <definedName name="CH4_CO2e" localSheetId="57">#REF!</definedName>
    <definedName name="CH4_CO2e" localSheetId="55">#REF!</definedName>
    <definedName name="CH4_CO2e" localSheetId="10">#REF!</definedName>
    <definedName name="CH4_CO2e" localSheetId="35">#REF!</definedName>
    <definedName name="CH4_CO2e" localSheetId="60">#REF!</definedName>
    <definedName name="CH4_CO2e" localSheetId="51">#REF!</definedName>
    <definedName name="CH4_CO2e">#REF!</definedName>
    <definedName name="Chartdata" localSheetId="56">#REF!</definedName>
    <definedName name="Chartdata" localSheetId="57">#REF!</definedName>
    <definedName name="Chartdata" localSheetId="55">#REF!</definedName>
    <definedName name="Chartdata" localSheetId="10">#REF!</definedName>
    <definedName name="Chartdata" localSheetId="35">#REF!</definedName>
    <definedName name="Chartdata" localSheetId="60">#REF!</definedName>
    <definedName name="Chartdata" localSheetId="51">#REF!</definedName>
    <definedName name="Chartdata">#REF!</definedName>
    <definedName name="ChemInjIn" localSheetId="56">#REF!</definedName>
    <definedName name="ChemInjIn" localSheetId="57">#REF!</definedName>
    <definedName name="ChemInjIn" localSheetId="55">#REF!</definedName>
    <definedName name="ChemInjIn" localSheetId="10">#REF!</definedName>
    <definedName name="ChemInjIn" localSheetId="35">#REF!</definedName>
    <definedName name="ChemInjIn" localSheetId="60">#REF!</definedName>
    <definedName name="ChemInjIn" localSheetId="51">#REF!</definedName>
    <definedName name="ChemInjIn">#REF!</definedName>
    <definedName name="CHK_TOL">[2]Input!$F$20</definedName>
    <definedName name="Comp_turbines" localSheetId="19" hidden="1">{#N/A,#N/A,FALSE,"cover";#N/A,#N/A,FALSE,"page_1";#N/A,#N/A,FALSE,"page_2";#N/A,#N/A,FALSE,"page_3";#N/A,#N/A,FALSE,"page_4"}</definedName>
    <definedName name="Comp_turbines" hidden="1">{#N/A,#N/A,FALSE,"cover";#N/A,#N/A,FALSE,"page_1";#N/A,#N/A,FALSE,"page_2";#N/A,#N/A,FALSE,"page_3";#N/A,#N/A,FALSE,"page_4"}</definedName>
    <definedName name="CompressionIn" localSheetId="56">#REF!</definedName>
    <definedName name="CompressionIn" localSheetId="57">#REF!</definedName>
    <definedName name="CompressionIn" localSheetId="55">#REF!</definedName>
    <definedName name="CompressionIn" localSheetId="10">#REF!</definedName>
    <definedName name="CompressionIn" localSheetId="35">#REF!</definedName>
    <definedName name="CompressionIn" localSheetId="60">#REF!</definedName>
    <definedName name="CompressionIn" localSheetId="51">#REF!</definedName>
    <definedName name="CompressionIn">#REF!</definedName>
    <definedName name="ControlIn" localSheetId="56">#REF!</definedName>
    <definedName name="ControlIn" localSheetId="57">#REF!</definedName>
    <definedName name="ControlIn" localSheetId="55">#REF!</definedName>
    <definedName name="ControlIn" localSheetId="10">#REF!</definedName>
    <definedName name="ControlIn" localSheetId="35">#REF!</definedName>
    <definedName name="ControlIn" localSheetId="60">#REF!</definedName>
    <definedName name="ControlIn" localSheetId="51">#REF!</definedName>
    <definedName name="ControlIn">#REF!</definedName>
    <definedName name="CoolingIn" localSheetId="56">#REF!</definedName>
    <definedName name="CoolingIn" localSheetId="57">#REF!</definedName>
    <definedName name="CoolingIn" localSheetId="55">#REF!</definedName>
    <definedName name="CoolingIn" localSheetId="10">#REF!</definedName>
    <definedName name="CoolingIn" localSheetId="35">#REF!</definedName>
    <definedName name="CoolingIn" localSheetId="60">#REF!</definedName>
    <definedName name="CoolingIn" localSheetId="51">#REF!</definedName>
    <definedName name="CoolingIn">#REF!</definedName>
    <definedName name="Copyright" hidden="1">"© 1995 Worley Limited"</definedName>
    <definedName name="d" localSheetId="68" hidden="1">{#N/A,#N/A,FALSE,"cover";#N/A,#N/A,FALSE,"page_1";#N/A,#N/A,FALSE,"page_2";#N/A,#N/A,FALSE,"page_3";#N/A,#N/A,FALSE,"page_4"}</definedName>
    <definedName name="d" localSheetId="19" hidden="1">{#N/A,#N/A,FALSE,"cover";#N/A,#N/A,FALSE,"page_1";#N/A,#N/A,FALSE,"page_2";#N/A,#N/A,FALSE,"page_3";#N/A,#N/A,FALSE,"page_4"}</definedName>
    <definedName name="d" hidden="1">{#N/A,#N/A,FALSE,"cover";#N/A,#N/A,FALSE,"page_1";#N/A,#N/A,FALSE,"page_2";#N/A,#N/A,FALSE,"page_3";#N/A,#N/A,FALSE,"page_4"}</definedName>
    <definedName name="Deck1in" localSheetId="56">#REF!</definedName>
    <definedName name="Deck1in" localSheetId="57">#REF!</definedName>
    <definedName name="Deck1in" localSheetId="55">#REF!</definedName>
    <definedName name="Deck1in" localSheetId="10">#REF!</definedName>
    <definedName name="Deck1in" localSheetId="35">#REF!</definedName>
    <definedName name="Deck1in" localSheetId="60">#REF!</definedName>
    <definedName name="Deck1in" localSheetId="51">#REF!</definedName>
    <definedName name="Deck1in">#REF!</definedName>
    <definedName name="Deck2in" localSheetId="56">#REF!</definedName>
    <definedName name="Deck2in" localSheetId="57">#REF!</definedName>
    <definedName name="Deck2in" localSheetId="55">#REF!</definedName>
    <definedName name="Deck2in" localSheetId="10">#REF!</definedName>
    <definedName name="Deck2in" localSheetId="35">#REF!</definedName>
    <definedName name="Deck2in" localSheetId="60">#REF!</definedName>
    <definedName name="Deck2in" localSheetId="51">#REF!</definedName>
    <definedName name="Deck2in">#REF!</definedName>
    <definedName name="Deck3in" localSheetId="56">#REF!</definedName>
    <definedName name="Deck3in" localSheetId="57">#REF!</definedName>
    <definedName name="Deck3in" localSheetId="55">#REF!</definedName>
    <definedName name="Deck3in" localSheetId="10">#REF!</definedName>
    <definedName name="Deck3in" localSheetId="35">#REF!</definedName>
    <definedName name="Deck3in" localSheetId="60">#REF!</definedName>
    <definedName name="Deck3in" localSheetId="51">#REF!</definedName>
    <definedName name="Deck3in">#REF!</definedName>
    <definedName name="Deck4in" localSheetId="56">#REF!</definedName>
    <definedName name="Deck4in" localSheetId="57">#REF!</definedName>
    <definedName name="Deck4in" localSheetId="55">#REF!</definedName>
    <definedName name="Deck4in" localSheetId="10">#REF!</definedName>
    <definedName name="Deck4in" localSheetId="35">#REF!</definedName>
    <definedName name="Deck4in" localSheetId="60">#REF!</definedName>
    <definedName name="Deck4in" localSheetId="51">#REF!</definedName>
    <definedName name="Deck4in">#REF!</definedName>
    <definedName name="Deck5in" localSheetId="56">#REF!</definedName>
    <definedName name="Deck5in" localSheetId="57">#REF!</definedName>
    <definedName name="Deck5in" localSheetId="55">#REF!</definedName>
    <definedName name="Deck5in" localSheetId="10">#REF!</definedName>
    <definedName name="Deck5in" localSheetId="35">#REF!</definedName>
    <definedName name="Deck5in" localSheetId="60">#REF!</definedName>
    <definedName name="Deck5in" localSheetId="51">#REF!</definedName>
    <definedName name="Deck5in">#REF!</definedName>
    <definedName name="Deck6in" localSheetId="56">#REF!</definedName>
    <definedName name="Deck6in" localSheetId="57">#REF!</definedName>
    <definedName name="Deck6in" localSheetId="55">#REF!</definedName>
    <definedName name="Deck6in" localSheetId="10">#REF!</definedName>
    <definedName name="Deck6in" localSheetId="35">#REF!</definedName>
    <definedName name="Deck6in" localSheetId="60">#REF!</definedName>
    <definedName name="Deck6in" localSheetId="51">#REF!</definedName>
    <definedName name="Deck6in">#REF!</definedName>
    <definedName name="Descr">'[3]Weight Calculation'!$F$8</definedName>
    <definedName name="DesP">'[3]Weight Calculation'!$F$11</definedName>
    <definedName name="DesT">'[3]Weight Calculation'!$F$12</definedName>
    <definedName name="dghjdxj" localSheetId="68" hidden="1">{#N/A,#N/A,FALSE,"cover";#N/A,#N/A,FALSE,"page_1";#N/A,#N/A,FALSE,"page_2";#N/A,#N/A,FALSE,"page_3";#N/A,#N/A,FALSE,"page_4"}</definedName>
    <definedName name="dghjdxj" localSheetId="19" hidden="1">{#N/A,#N/A,FALSE,"cover";#N/A,#N/A,FALSE,"page_1";#N/A,#N/A,FALSE,"page_2";#N/A,#N/A,FALSE,"page_3";#N/A,#N/A,FALSE,"page_4"}</definedName>
    <definedName name="dghjdxj" hidden="1">{#N/A,#N/A,FALSE,"cover";#N/A,#N/A,FALSE,"page_1";#N/A,#N/A,FALSE,"page_2";#N/A,#N/A,FALSE,"page_3";#N/A,#N/A,FALSE,"page_4"}</definedName>
    <definedName name="DieselIn" localSheetId="56">#REF!</definedName>
    <definedName name="DieselIn" localSheetId="57">#REF!</definedName>
    <definedName name="DieselIn" localSheetId="55">#REF!</definedName>
    <definedName name="DieselIn" localSheetId="10">#REF!</definedName>
    <definedName name="DieselIn" localSheetId="35">#REF!</definedName>
    <definedName name="DieselIn" localSheetId="60">#REF!</definedName>
    <definedName name="DieselIn" localSheetId="51">#REF!</definedName>
    <definedName name="DieselIn">#REF!</definedName>
    <definedName name="DrainsIn" localSheetId="56">#REF!</definedName>
    <definedName name="DrainsIn" localSheetId="57">#REF!</definedName>
    <definedName name="DrainsIn" localSheetId="55">#REF!</definedName>
    <definedName name="DrainsIn" localSheetId="10">#REF!</definedName>
    <definedName name="DrainsIn" localSheetId="35">#REF!</definedName>
    <definedName name="DrainsIn" localSheetId="60">#REF!</definedName>
    <definedName name="DrainsIn" localSheetId="51">#REF!</definedName>
    <definedName name="DrainsIn">#REF!</definedName>
    <definedName name="DrillingIn" localSheetId="56">#REF!</definedName>
    <definedName name="DrillingIn" localSheetId="57">#REF!</definedName>
    <definedName name="DrillingIn" localSheetId="55">#REF!</definedName>
    <definedName name="DrillingIn" localSheetId="10">#REF!</definedName>
    <definedName name="DrillingIn" localSheetId="35">#REF!</definedName>
    <definedName name="DrillingIn" localSheetId="60">#REF!</definedName>
    <definedName name="DrillingIn" localSheetId="51">#REF!</definedName>
    <definedName name="DrillingIn">#REF!</definedName>
    <definedName name="DrillRemarkIn" localSheetId="56">#REF!</definedName>
    <definedName name="DrillRemarkIn" localSheetId="57">#REF!</definedName>
    <definedName name="DrillRemarkIn" localSheetId="55">#REF!</definedName>
    <definedName name="DrillRemarkIn" localSheetId="10">#REF!</definedName>
    <definedName name="DrillRemarkIn" localSheetId="35">#REF!</definedName>
    <definedName name="DrillRemarkIn" localSheetId="60">#REF!</definedName>
    <definedName name="DrillRemarkIn" localSheetId="51">#REF!</definedName>
    <definedName name="DrillRemarkIn">#REF!</definedName>
    <definedName name="DWC1ST">[4]M_B!$G$12</definedName>
    <definedName name="e" localSheetId="68" hidden="1">{#N/A,#N/A,FALSE,"cover";#N/A,#N/A,FALSE,"page_1";#N/A,#N/A,FALSE,"page_2";#N/A,#N/A,FALSE,"page_3";#N/A,#N/A,FALSE,"page_4"}</definedName>
    <definedName name="e" localSheetId="19" hidden="1">{#N/A,#N/A,FALSE,"cover";#N/A,#N/A,FALSE,"page_1";#N/A,#N/A,FALSE,"page_2";#N/A,#N/A,FALSE,"page_3";#N/A,#N/A,FALSE,"page_4"}</definedName>
    <definedName name="e" hidden="1">{#N/A,#N/A,FALSE,"cover";#N/A,#N/A,FALSE,"page_1";#N/A,#N/A,FALSE,"page_2";#N/A,#N/A,FALSE,"page_3";#N/A,#N/A,FALSE,"page_4"}</definedName>
    <definedName name="EC1IN" localSheetId="56">#REF!</definedName>
    <definedName name="EC1IN" localSheetId="57">#REF!</definedName>
    <definedName name="EC1IN" localSheetId="55">#REF!</definedName>
    <definedName name="EC1IN" localSheetId="10">#REF!</definedName>
    <definedName name="EC1IN" localSheetId="35">#REF!</definedName>
    <definedName name="EC1IN" localSheetId="60">#REF!</definedName>
    <definedName name="EC1IN" localSheetId="51">#REF!</definedName>
    <definedName name="EC1IN">#REF!</definedName>
    <definedName name="EC2IN" localSheetId="56">#REF!</definedName>
    <definedName name="EC2IN" localSheetId="57">#REF!</definedName>
    <definedName name="EC2IN" localSheetId="55">#REF!</definedName>
    <definedName name="EC2IN" localSheetId="10">#REF!</definedName>
    <definedName name="EC2IN" localSheetId="35">#REF!</definedName>
    <definedName name="EC2IN" localSheetId="60">#REF!</definedName>
    <definedName name="EC2IN" localSheetId="51">#REF!</definedName>
    <definedName name="EC2IN">#REF!</definedName>
    <definedName name="EC3IN" localSheetId="56">#REF!</definedName>
    <definedName name="EC3IN" localSheetId="57">#REF!</definedName>
    <definedName name="EC3IN" localSheetId="55">#REF!</definedName>
    <definedName name="EC3IN" localSheetId="10">#REF!</definedName>
    <definedName name="EC3IN" localSheetId="35">#REF!</definedName>
    <definedName name="EC3IN" localSheetId="60">#REF!</definedName>
    <definedName name="EC3IN" localSheetId="51">#REF!</definedName>
    <definedName name="EC3IN">#REF!</definedName>
    <definedName name="EC4IN" localSheetId="56">#REF!</definedName>
    <definedName name="EC4IN" localSheetId="57">#REF!</definedName>
    <definedName name="EC4IN" localSheetId="55">#REF!</definedName>
    <definedName name="EC4IN" localSheetId="10">#REF!</definedName>
    <definedName name="EC4IN" localSheetId="35">#REF!</definedName>
    <definedName name="EC4IN" localSheetId="60">#REF!</definedName>
    <definedName name="EC4IN" localSheetId="51">#REF!</definedName>
    <definedName name="EC4IN">#REF!</definedName>
    <definedName name="EC5IN" localSheetId="56">#REF!</definedName>
    <definedName name="EC5IN" localSheetId="57">#REF!</definedName>
    <definedName name="EC5IN" localSheetId="55">#REF!</definedName>
    <definedName name="EC5IN" localSheetId="10">#REF!</definedName>
    <definedName name="EC5IN" localSheetId="35">#REF!</definedName>
    <definedName name="EC5IN" localSheetId="60">#REF!</definedName>
    <definedName name="EC5IN" localSheetId="51">#REF!</definedName>
    <definedName name="EC5IN">#REF!</definedName>
    <definedName name="EC6IN" localSheetId="56">#REF!</definedName>
    <definedName name="EC6IN" localSheetId="57">#REF!</definedName>
    <definedName name="EC6IN" localSheetId="55">#REF!</definedName>
    <definedName name="EC6IN" localSheetId="10">#REF!</definedName>
    <definedName name="EC6IN" localSheetId="35">#REF!</definedName>
    <definedName name="EC6IN" localSheetId="60">#REF!</definedName>
    <definedName name="EC6IN" localSheetId="51">#REF!</definedName>
    <definedName name="EC6IN">#REF!</definedName>
    <definedName name="EqLAccomA" localSheetId="56">#REF!</definedName>
    <definedName name="EqLAccomA" localSheetId="57">#REF!</definedName>
    <definedName name="EqLAccomA" localSheetId="55">#REF!</definedName>
    <definedName name="EqLAccomA" localSheetId="10">#REF!</definedName>
    <definedName name="EqLAccomA" localSheetId="35">#REF!</definedName>
    <definedName name="EqLAccomA" localSheetId="60">#REF!</definedName>
    <definedName name="EqLAccomA" localSheetId="51">#REF!</definedName>
    <definedName name="EqLAccomA">#REF!</definedName>
    <definedName name="EqLAccomB" localSheetId="56">#REF!</definedName>
    <definedName name="EqLAccomB" localSheetId="57">#REF!</definedName>
    <definedName name="EqLAccomB" localSheetId="55">#REF!</definedName>
    <definedName name="EqLAccomB" localSheetId="10">#REF!</definedName>
    <definedName name="EqLAccomB" localSheetId="35">#REF!</definedName>
    <definedName name="EqLAccomB" localSheetId="60">#REF!</definedName>
    <definedName name="EqLAccomB" localSheetId="51">#REF!</definedName>
    <definedName name="EqLAccomB">#REF!</definedName>
    <definedName name="EqLAdsorbIn" localSheetId="56">#REF!</definedName>
    <definedName name="EqLAdsorbIn" localSheetId="57">#REF!</definedName>
    <definedName name="EqLAdsorbIn" localSheetId="55">#REF!</definedName>
    <definedName name="EqLAdsorbIn" localSheetId="10">#REF!</definedName>
    <definedName name="EqLAdsorbIn" localSheetId="35">#REF!</definedName>
    <definedName name="EqLAdsorbIn" localSheetId="60">#REF!</definedName>
    <definedName name="EqLAdsorbIn" localSheetId="51">#REF!</definedName>
    <definedName name="EqLAdsorbIn">#REF!</definedName>
    <definedName name="EqLBuildIn" localSheetId="56">#REF!</definedName>
    <definedName name="EqLBuildIn" localSheetId="57">#REF!</definedName>
    <definedName name="EqLBuildIn" localSheetId="55">#REF!</definedName>
    <definedName name="EqLBuildIn" localSheetId="10">#REF!</definedName>
    <definedName name="EqLBuildIn" localSheetId="35">#REF!</definedName>
    <definedName name="EqLBuildIn" localSheetId="60">#REF!</definedName>
    <definedName name="EqLBuildIn" localSheetId="51">#REF!</definedName>
    <definedName name="EqLBuildIn">#REF!</definedName>
    <definedName name="EqLCoolA" localSheetId="56">#REF!</definedName>
    <definedName name="EqLCoolA" localSheetId="57">#REF!</definedName>
    <definedName name="EqLCoolA" localSheetId="55">#REF!</definedName>
    <definedName name="EqLCoolA" localSheetId="10">#REF!</definedName>
    <definedName name="EqLCoolA" localSheetId="35">#REF!</definedName>
    <definedName name="EqLCoolA" localSheetId="60">#REF!</definedName>
    <definedName name="EqLCoolA" localSheetId="51">#REF!</definedName>
    <definedName name="EqLCoolA">#REF!</definedName>
    <definedName name="EqLCoolB" localSheetId="56">#REF!</definedName>
    <definedName name="EqLCoolB" localSheetId="57">#REF!</definedName>
    <definedName name="EqLCoolB" localSheetId="55">#REF!</definedName>
    <definedName name="EqLCoolB" localSheetId="10">#REF!</definedName>
    <definedName name="EqLCoolB" localSheetId="35">#REF!</definedName>
    <definedName name="EqLCoolB" localSheetId="60">#REF!</definedName>
    <definedName name="EqLCoolB" localSheetId="51">#REF!</definedName>
    <definedName name="EqLCoolB">#REF!</definedName>
    <definedName name="EqLDies1A" localSheetId="56">#REF!</definedName>
    <definedName name="EqLDies1A" localSheetId="57">#REF!</definedName>
    <definedName name="EqLDies1A" localSheetId="55">#REF!</definedName>
    <definedName name="EqLDies1A" localSheetId="10">#REF!</definedName>
    <definedName name="EqLDies1A" localSheetId="35">#REF!</definedName>
    <definedName name="EqLDies1A" localSheetId="60">#REF!</definedName>
    <definedName name="EqLDies1A" localSheetId="51">#REF!</definedName>
    <definedName name="EqLDies1A">#REF!</definedName>
    <definedName name="EqLDies1B" localSheetId="56">#REF!</definedName>
    <definedName name="EqLDies1B" localSheetId="57">#REF!</definedName>
    <definedName name="EqLDies1B" localSheetId="55">#REF!</definedName>
    <definedName name="EqLDies1B" localSheetId="10">#REF!</definedName>
    <definedName name="EqLDies1B" localSheetId="35">#REF!</definedName>
    <definedName name="EqLDies1B" localSheetId="60">#REF!</definedName>
    <definedName name="EqLDies1B" localSheetId="51">#REF!</definedName>
    <definedName name="EqLDies1B">#REF!</definedName>
    <definedName name="EqLDies2A" localSheetId="56">#REF!</definedName>
    <definedName name="EqLDies2A" localSheetId="57">#REF!</definedName>
    <definedName name="EqLDies2A" localSheetId="55">#REF!</definedName>
    <definedName name="EqLDies2A" localSheetId="10">#REF!</definedName>
    <definedName name="EqLDies2A" localSheetId="35">#REF!</definedName>
    <definedName name="EqLDies2A" localSheetId="60">#REF!</definedName>
    <definedName name="EqLDies2A" localSheetId="51">#REF!</definedName>
    <definedName name="EqLDies2A">#REF!</definedName>
    <definedName name="EqLDies2B" localSheetId="56">#REF!</definedName>
    <definedName name="EqLDies2B" localSheetId="57">#REF!</definedName>
    <definedName name="EqLDies2B" localSheetId="55">#REF!</definedName>
    <definedName name="EqLDies2B" localSheetId="10">#REF!</definedName>
    <definedName name="EqLDies2B" localSheetId="35">#REF!</definedName>
    <definedName name="EqLDies2B" localSheetId="60">#REF!</definedName>
    <definedName name="EqLDies2B" localSheetId="51">#REF!</definedName>
    <definedName name="EqLDies2B">#REF!</definedName>
    <definedName name="EqLDies3A" localSheetId="56">#REF!</definedName>
    <definedName name="EqLDies3A" localSheetId="57">#REF!</definedName>
    <definedName name="EqLDies3A" localSheetId="55">#REF!</definedName>
    <definedName name="EqLDies3A" localSheetId="10">#REF!</definedName>
    <definedName name="EqLDies3A" localSheetId="35">#REF!</definedName>
    <definedName name="EqLDies3A" localSheetId="60">#REF!</definedName>
    <definedName name="EqLDies3A" localSheetId="51">#REF!</definedName>
    <definedName name="EqLDies3A">#REF!</definedName>
    <definedName name="EqLDies3B" localSheetId="56">#REF!</definedName>
    <definedName name="EqLDies3B" localSheetId="57">#REF!</definedName>
    <definedName name="EqLDies3B" localSheetId="55">#REF!</definedName>
    <definedName name="EqLDies3B" localSheetId="10">#REF!</definedName>
    <definedName name="EqLDies3B" localSheetId="35">#REF!</definedName>
    <definedName name="EqLDies3B" localSheetId="60">#REF!</definedName>
    <definedName name="EqLDies3B" localSheetId="51">#REF!</definedName>
    <definedName name="EqLDies3B">#REF!</definedName>
    <definedName name="EqLDrainsA" localSheetId="56">#REF!</definedName>
    <definedName name="EqLDrainsA" localSheetId="57">#REF!</definedName>
    <definedName name="EqLDrainsA" localSheetId="55">#REF!</definedName>
    <definedName name="EqLDrainsA" localSheetId="10">#REF!</definedName>
    <definedName name="EqLDrainsA" localSheetId="35">#REF!</definedName>
    <definedName name="EqLDrainsA" localSheetId="60">#REF!</definedName>
    <definedName name="EqLDrainsA" localSheetId="51">#REF!</definedName>
    <definedName name="EqLDrainsA">#REF!</definedName>
    <definedName name="EqLDrainsB" localSheetId="56">#REF!</definedName>
    <definedName name="EqLDrainsB" localSheetId="57">#REF!</definedName>
    <definedName name="EqLDrainsB" localSheetId="55">#REF!</definedName>
    <definedName name="EqLDrainsB" localSheetId="10">#REF!</definedName>
    <definedName name="EqLDrainsB" localSheetId="35">#REF!</definedName>
    <definedName name="EqLDrainsB" localSheetId="60">#REF!</definedName>
    <definedName name="EqLDrainsB" localSheetId="51">#REF!</definedName>
    <definedName name="EqLDrainsB">#REF!</definedName>
    <definedName name="EqLFireProA" localSheetId="56">#REF!</definedName>
    <definedName name="EqLFireProA" localSheetId="57">#REF!</definedName>
    <definedName name="EqLFireProA" localSheetId="55">#REF!</definedName>
    <definedName name="EqLFireProA" localSheetId="10">#REF!</definedName>
    <definedName name="EqLFireProA" localSheetId="35">#REF!</definedName>
    <definedName name="EqLFireProA" localSheetId="60">#REF!</definedName>
    <definedName name="EqLFireProA" localSheetId="51">#REF!</definedName>
    <definedName name="EqLFireProA">#REF!</definedName>
    <definedName name="EqLFireProB" localSheetId="56">#REF!</definedName>
    <definedName name="EqLFireProB" localSheetId="57">#REF!</definedName>
    <definedName name="EqLFireProB" localSheetId="55">#REF!</definedName>
    <definedName name="EqLFireProB" localSheetId="10">#REF!</definedName>
    <definedName name="EqLFireProB" localSheetId="35">#REF!</definedName>
    <definedName name="EqLFireProB" localSheetId="60">#REF!</definedName>
    <definedName name="EqLFireProB" localSheetId="51">#REF!</definedName>
    <definedName name="EqLFireProB">#REF!</definedName>
    <definedName name="EqLFireWatIn" localSheetId="56">#REF!</definedName>
    <definedName name="EqLFireWatIn" localSheetId="57">#REF!</definedName>
    <definedName name="EqLFireWatIn" localSheetId="55">#REF!</definedName>
    <definedName name="EqLFireWatIn" localSheetId="10">#REF!</definedName>
    <definedName name="EqLFireWatIn" localSheetId="35">#REF!</definedName>
    <definedName name="EqLFireWatIn" localSheetId="60">#REF!</definedName>
    <definedName name="EqLFireWatIn" localSheetId="51">#REF!</definedName>
    <definedName name="EqLFireWatIn">#REF!</definedName>
    <definedName name="EqLFlare1A" localSheetId="56">#REF!</definedName>
    <definedName name="EqLFlare1A" localSheetId="57">#REF!</definedName>
    <definedName name="EqLFlare1A" localSheetId="55">#REF!</definedName>
    <definedName name="EqLFlare1A" localSheetId="10">#REF!</definedName>
    <definedName name="EqLFlare1A" localSheetId="35">#REF!</definedName>
    <definedName name="EqLFlare1A" localSheetId="60">#REF!</definedName>
    <definedName name="EqLFlare1A" localSheetId="51">#REF!</definedName>
    <definedName name="EqLFlare1A">#REF!</definedName>
    <definedName name="EqLFlare1B" localSheetId="56">#REF!</definedName>
    <definedName name="EqLFlare1B" localSheetId="57">#REF!</definedName>
    <definedName name="EqLFlare1B" localSheetId="55">#REF!</definedName>
    <definedName name="EqLFlare1B" localSheetId="10">#REF!</definedName>
    <definedName name="EqLFlare1B" localSheetId="35">#REF!</definedName>
    <definedName name="EqLFlare1B" localSheetId="60">#REF!</definedName>
    <definedName name="EqLFlare1B" localSheetId="51">#REF!</definedName>
    <definedName name="EqLFlare1B">#REF!</definedName>
    <definedName name="EqLFlare2A" localSheetId="56">#REF!</definedName>
    <definedName name="EqLFlare2A" localSheetId="57">#REF!</definedName>
    <definedName name="EqLFlare2A" localSheetId="55">#REF!</definedName>
    <definedName name="EqLFlare2A" localSheetId="10">#REF!</definedName>
    <definedName name="EqLFlare2A" localSheetId="35">#REF!</definedName>
    <definedName name="EqLFlare2A" localSheetId="60">#REF!</definedName>
    <definedName name="EqLFlare2A" localSheetId="51">#REF!</definedName>
    <definedName name="EqLFlare2A">#REF!</definedName>
    <definedName name="EqLFlare2B" localSheetId="56">#REF!</definedName>
    <definedName name="EqLFlare2B" localSheetId="57">#REF!</definedName>
    <definedName name="EqLFlare2B" localSheetId="55">#REF!</definedName>
    <definedName name="EqLFlare2B" localSheetId="10">#REF!</definedName>
    <definedName name="EqLFlare2B" localSheetId="35">#REF!</definedName>
    <definedName name="EqLFlare2B" localSheetId="60">#REF!</definedName>
    <definedName name="EqLFlare2B" localSheetId="51">#REF!</definedName>
    <definedName name="EqLFlare2B">#REF!</definedName>
    <definedName name="EqLGasDehydA" localSheetId="56">#REF!</definedName>
    <definedName name="EqLGasDehydA" localSheetId="57">#REF!</definedName>
    <definedName name="EqLGasDehydA" localSheetId="55">#REF!</definedName>
    <definedName name="EqLGasDehydA" localSheetId="10">#REF!</definedName>
    <definedName name="EqLGasDehydA" localSheetId="35">#REF!</definedName>
    <definedName name="EqLGasDehydA" localSheetId="60">#REF!</definedName>
    <definedName name="EqLGasDehydA" localSheetId="51">#REF!</definedName>
    <definedName name="EqLGasDehydA">#REF!</definedName>
    <definedName name="EqLGasDehydB" localSheetId="56">#REF!</definedName>
    <definedName name="EqLGasDehydB" localSheetId="57">#REF!</definedName>
    <definedName name="EqLGasDehydB" localSheetId="55">#REF!</definedName>
    <definedName name="EqLGasDehydB" localSheetId="10">#REF!</definedName>
    <definedName name="EqLGasDehydB" localSheetId="35">#REF!</definedName>
    <definedName name="EqLGasDehydB" localSheetId="60">#REF!</definedName>
    <definedName name="EqLGasDehydB" localSheetId="51">#REF!</definedName>
    <definedName name="EqLGasDehydB">#REF!</definedName>
    <definedName name="EqLGasExpA" localSheetId="56">#REF!</definedName>
    <definedName name="EqLGasExpA" localSheetId="57">#REF!</definedName>
    <definedName name="EqLGasExpA" localSheetId="55">#REF!</definedName>
    <definedName name="EqLGasExpA" localSheetId="10">#REF!</definedName>
    <definedName name="EqLGasExpA" localSheetId="35">#REF!</definedName>
    <definedName name="EqLGasExpA" localSheetId="60">#REF!</definedName>
    <definedName name="EqLGasExpA" localSheetId="51">#REF!</definedName>
    <definedName name="EqLGasExpA">#REF!</definedName>
    <definedName name="EqLGasExpB" localSheetId="56">#REF!</definedName>
    <definedName name="EqLGasExpB" localSheetId="57">#REF!</definedName>
    <definedName name="EqLGasExpB" localSheetId="55">#REF!</definedName>
    <definedName name="EqLGasExpB" localSheetId="10">#REF!</definedName>
    <definedName name="EqLGasExpB" localSheetId="35">#REF!</definedName>
    <definedName name="EqLGasExpB" localSheetId="60">#REF!</definedName>
    <definedName name="EqLGasExpB" localSheetId="51">#REF!</definedName>
    <definedName name="EqLGasExpB">#REF!</definedName>
    <definedName name="EqLGasReA" localSheetId="56">#REF!</definedName>
    <definedName name="EqLGasReA" localSheetId="57">#REF!</definedName>
    <definedName name="EqLGasReA" localSheetId="55">#REF!</definedName>
    <definedName name="EqLGasReA" localSheetId="10">#REF!</definedName>
    <definedName name="EqLGasReA" localSheetId="35">#REF!</definedName>
    <definedName name="EqLGasReA" localSheetId="60">#REF!</definedName>
    <definedName name="EqLGasReA" localSheetId="51">#REF!</definedName>
    <definedName name="EqLGasReA">#REF!</definedName>
    <definedName name="EqLGasReB" localSheetId="56">#REF!</definedName>
    <definedName name="EqLGasReB" localSheetId="57">#REF!</definedName>
    <definedName name="EqLGasReB" localSheetId="55">#REF!</definedName>
    <definedName name="EqLGasReB" localSheetId="10">#REF!</definedName>
    <definedName name="EqLGasReB" localSheetId="35">#REF!</definedName>
    <definedName name="EqLGasReB" localSheetId="60">#REF!</definedName>
    <definedName name="EqLGasReB" localSheetId="51">#REF!</definedName>
    <definedName name="EqLGasReB">#REF!</definedName>
    <definedName name="EqLGasRecompA" localSheetId="56">#REF!</definedName>
    <definedName name="EqLGasRecompA" localSheetId="57">#REF!</definedName>
    <definedName name="EqLGasRecompA" localSheetId="55">#REF!</definedName>
    <definedName name="EqLGasRecompA" localSheetId="10">#REF!</definedName>
    <definedName name="EqLGasRecompA" localSheetId="35">#REF!</definedName>
    <definedName name="EqLGasRecompA" localSheetId="60">#REF!</definedName>
    <definedName name="EqLGasRecompA" localSheetId="51">#REF!</definedName>
    <definedName name="EqLGasRecompA">#REF!</definedName>
    <definedName name="EqLGasRecompB" localSheetId="56">#REF!</definedName>
    <definedName name="EqLGasRecompB" localSheetId="57">#REF!</definedName>
    <definedName name="EqLGasRecompB" localSheetId="55">#REF!</definedName>
    <definedName name="EqLGasRecompB" localSheetId="10">#REF!</definedName>
    <definedName name="EqLGasRecompB" localSheetId="35">#REF!</definedName>
    <definedName name="EqLGasRecompB" localSheetId="60">#REF!</definedName>
    <definedName name="EqLGasRecompB" localSheetId="51">#REF!</definedName>
    <definedName name="EqLGasRecompB">#REF!</definedName>
    <definedName name="EqLHeatA" localSheetId="56">#REF!</definedName>
    <definedName name="EqLHeatA" localSheetId="57">#REF!</definedName>
    <definedName name="EqLHeatA" localSheetId="55">#REF!</definedName>
    <definedName name="EqLHeatA" localSheetId="10">#REF!</definedName>
    <definedName name="EqLHeatA" localSheetId="35">#REF!</definedName>
    <definedName name="EqLHeatA" localSheetId="60">#REF!</definedName>
    <definedName name="EqLHeatA" localSheetId="51">#REF!</definedName>
    <definedName name="EqLHeatA">#REF!</definedName>
    <definedName name="EqLHeatB" localSheetId="56">#REF!</definedName>
    <definedName name="EqLHeatB" localSheetId="57">#REF!</definedName>
    <definedName name="EqLHeatB" localSheetId="55">#REF!</definedName>
    <definedName name="EqLHeatB" localSheetId="10">#REF!</definedName>
    <definedName name="EqLHeatB" localSheetId="35">#REF!</definedName>
    <definedName name="EqLHeatB" localSheetId="60">#REF!</definedName>
    <definedName name="EqLHeatB" localSheetId="51">#REF!</definedName>
    <definedName name="EqLHeatB">#REF!</definedName>
    <definedName name="EqLHeliA" localSheetId="56">#REF!</definedName>
    <definedName name="EqLHeliA" localSheetId="57">#REF!</definedName>
    <definedName name="EqLHeliA" localSheetId="55">#REF!</definedName>
    <definedName name="EqLHeliA" localSheetId="10">#REF!</definedName>
    <definedName name="EqLHeliA" localSheetId="35">#REF!</definedName>
    <definedName name="EqLHeliA" localSheetId="60">#REF!</definedName>
    <definedName name="EqLHeliA" localSheetId="51">#REF!</definedName>
    <definedName name="EqLHeliA">#REF!</definedName>
    <definedName name="EqLHeliB" localSheetId="56">#REF!</definedName>
    <definedName name="EqLHeliB" localSheetId="57">#REF!</definedName>
    <definedName name="EqLHeliB" localSheetId="55">#REF!</definedName>
    <definedName name="EqLHeliB" localSheetId="10">#REF!</definedName>
    <definedName name="EqLHeliB" localSheetId="35">#REF!</definedName>
    <definedName name="EqLHeliB" localSheetId="60">#REF!</definedName>
    <definedName name="EqLHeliB" localSheetId="51">#REF!</definedName>
    <definedName name="EqLHeliB">#REF!</definedName>
    <definedName name="EqLInstA" localSheetId="56">#REF!</definedName>
    <definedName name="EqLInstA" localSheetId="57">#REF!</definedName>
    <definedName name="EqLInstA" localSheetId="55">#REF!</definedName>
    <definedName name="EqLInstA" localSheetId="10">#REF!</definedName>
    <definedName name="EqLInstA" localSheetId="35">#REF!</definedName>
    <definedName name="EqLInstA" localSheetId="60">#REF!</definedName>
    <definedName name="EqLInstA" localSheetId="51">#REF!</definedName>
    <definedName name="EqLInstA">#REF!</definedName>
    <definedName name="EqLInstB" localSheetId="56">#REF!</definedName>
    <definedName name="EqLInstB" localSheetId="57">#REF!</definedName>
    <definedName name="EqLInstB" localSheetId="55">#REF!</definedName>
    <definedName name="EqLInstB" localSheetId="10">#REF!</definedName>
    <definedName name="EqLInstB" localSheetId="35">#REF!</definedName>
    <definedName name="EqLInstB" localSheetId="60">#REF!</definedName>
    <definedName name="EqLInstB" localSheetId="51">#REF!</definedName>
    <definedName name="EqLInstB">#REF!</definedName>
    <definedName name="EqLMatHandA" localSheetId="56">#REF!</definedName>
    <definedName name="EqLMatHandA" localSheetId="57">#REF!</definedName>
    <definedName name="EqLMatHandA" localSheetId="55">#REF!</definedName>
    <definedName name="EqLMatHandA" localSheetId="10">#REF!</definedName>
    <definedName name="EqLMatHandA" localSheetId="35">#REF!</definedName>
    <definedName name="EqLMatHandA" localSheetId="60">#REF!</definedName>
    <definedName name="EqLMatHandA" localSheetId="51">#REF!</definedName>
    <definedName name="EqLMatHandA">#REF!</definedName>
    <definedName name="EqLMatHandB" localSheetId="56">#REF!</definedName>
    <definedName name="EqLMatHandB" localSheetId="57">#REF!</definedName>
    <definedName name="EqLMatHandB" localSheetId="55">#REF!</definedName>
    <definedName name="EqLMatHandB" localSheetId="10">#REF!</definedName>
    <definedName name="EqLMatHandB" localSheetId="35">#REF!</definedName>
    <definedName name="EqLMatHandB" localSheetId="60">#REF!</definedName>
    <definedName name="EqLMatHandB" localSheetId="51">#REF!</definedName>
    <definedName name="EqLMatHandB">#REF!</definedName>
    <definedName name="EqLMechRefrigIn" localSheetId="56">#REF!</definedName>
    <definedName name="EqLMechRefrigIn" localSheetId="57">#REF!</definedName>
    <definedName name="EqLMechRefrigIn" localSheetId="55">#REF!</definedName>
    <definedName name="EqLMechRefrigIn" localSheetId="10">#REF!</definedName>
    <definedName name="EqLMechRefrigIn" localSheetId="35">#REF!</definedName>
    <definedName name="EqLMechRefrigIn" localSheetId="60">#REF!</definedName>
    <definedName name="EqLMechRefrigIn" localSheetId="51">#REF!</definedName>
    <definedName name="EqLMechRefrigIn">#REF!</definedName>
    <definedName name="EqLNavA" localSheetId="56">#REF!</definedName>
    <definedName name="EqLNavA" localSheetId="57">#REF!</definedName>
    <definedName name="EqLNavA" localSheetId="55">#REF!</definedName>
    <definedName name="EqLNavA" localSheetId="10">#REF!</definedName>
    <definedName name="EqLNavA" localSheetId="35">#REF!</definedName>
    <definedName name="EqLNavA" localSheetId="60">#REF!</definedName>
    <definedName name="EqLNavA" localSheetId="51">#REF!</definedName>
    <definedName name="EqLNavA">#REF!</definedName>
    <definedName name="EqLNavB" localSheetId="56">#REF!</definedName>
    <definedName name="EqLNavB" localSheetId="57">#REF!</definedName>
    <definedName name="EqLNavB" localSheetId="55">#REF!</definedName>
    <definedName name="EqLNavB" localSheetId="10">#REF!</definedName>
    <definedName name="EqLNavB" localSheetId="35">#REF!</definedName>
    <definedName name="EqLNavB" localSheetId="60">#REF!</definedName>
    <definedName name="EqLNavB" localSheetId="51">#REF!</definedName>
    <definedName name="EqLNavB">#REF!</definedName>
    <definedName name="EqLPotWat1A" localSheetId="56">#REF!</definedName>
    <definedName name="EqLPotWat1A" localSheetId="57">#REF!</definedName>
    <definedName name="EqLPotWat1A" localSheetId="55">#REF!</definedName>
    <definedName name="EqLPotWat1A" localSheetId="10">#REF!</definedName>
    <definedName name="EqLPotWat1A" localSheetId="35">#REF!</definedName>
    <definedName name="EqLPotWat1A" localSheetId="60">#REF!</definedName>
    <definedName name="EqLPotWat1A" localSheetId="51">#REF!</definedName>
    <definedName name="EqLPotWat1A">#REF!</definedName>
    <definedName name="EqLPotWat1B" localSheetId="56">#REF!</definedName>
    <definedName name="EqLPotWat1B" localSheetId="57">#REF!</definedName>
    <definedName name="EqLPotWat1B" localSheetId="55">#REF!</definedName>
    <definedName name="EqLPotWat1B" localSheetId="10">#REF!</definedName>
    <definedName name="EqLPotWat1B" localSheetId="35">#REF!</definedName>
    <definedName name="EqLPotWat1B" localSheetId="60">#REF!</definedName>
    <definedName name="EqLPotWat1B" localSheetId="51">#REF!</definedName>
    <definedName name="EqLPotWat1B">#REF!</definedName>
    <definedName name="EqLPotWat2A" localSheetId="56">#REF!</definedName>
    <definedName name="EqLPotWat2A" localSheetId="57">#REF!</definedName>
    <definedName name="EqLPotWat2A" localSheetId="55">#REF!</definedName>
    <definedName name="EqLPotWat2A" localSheetId="10">#REF!</definedName>
    <definedName name="EqLPotWat2A" localSheetId="35">#REF!</definedName>
    <definedName name="EqLPotWat2A" localSheetId="60">#REF!</definedName>
    <definedName name="EqLPotWat2A" localSheetId="51">#REF!</definedName>
    <definedName name="EqLPotWat2A">#REF!</definedName>
    <definedName name="EqLPotWat2B" localSheetId="56">#REF!</definedName>
    <definedName name="EqLPotWat2B" localSheetId="57">#REF!</definedName>
    <definedName name="EqLPotWat2B" localSheetId="55">#REF!</definedName>
    <definedName name="EqLPotWat2B" localSheetId="10">#REF!</definedName>
    <definedName name="EqLPotWat2B" localSheetId="35">#REF!</definedName>
    <definedName name="EqLPotWat2B" localSheetId="60">#REF!</definedName>
    <definedName name="EqLPotWat2B" localSheetId="51">#REF!</definedName>
    <definedName name="EqLPotWat2B">#REF!</definedName>
    <definedName name="EqLPowGenA" localSheetId="56">#REF!</definedName>
    <definedName name="EqLPowGenA" localSheetId="57">#REF!</definedName>
    <definedName name="EqLPowGenA" localSheetId="55">#REF!</definedName>
    <definedName name="EqLPowGenA" localSheetId="10">#REF!</definedName>
    <definedName name="EqLPowGenA" localSheetId="35">#REF!</definedName>
    <definedName name="EqLPowGenA" localSheetId="60">#REF!</definedName>
    <definedName name="EqLPowGenA" localSheetId="51">#REF!</definedName>
    <definedName name="EqLPowGenA">#REF!</definedName>
    <definedName name="EqLPowGenB" localSheetId="56">#REF!</definedName>
    <definedName name="EqLPowGenB" localSheetId="57">#REF!</definedName>
    <definedName name="EqLPowGenB" localSheetId="55">#REF!</definedName>
    <definedName name="EqLPowGenB" localSheetId="10">#REF!</definedName>
    <definedName name="EqLPowGenB" localSheetId="35">#REF!</definedName>
    <definedName name="EqLPowGenB" localSheetId="60">#REF!</definedName>
    <definedName name="EqLPowGenB" localSheetId="51">#REF!</definedName>
    <definedName name="EqLPowGenB">#REF!</definedName>
    <definedName name="EqLProdWatA" localSheetId="56">#REF!</definedName>
    <definedName name="EqLProdWatA" localSheetId="57">#REF!</definedName>
    <definedName name="EqLProdWatA" localSheetId="55">#REF!</definedName>
    <definedName name="EqLProdWatA" localSheetId="10">#REF!</definedName>
    <definedName name="EqLProdWatA" localSheetId="35">#REF!</definedName>
    <definedName name="EqLProdWatA" localSheetId="60">#REF!</definedName>
    <definedName name="EqLProdWatA" localSheetId="51">#REF!</definedName>
    <definedName name="EqLProdWatA">#REF!</definedName>
    <definedName name="EqLProdWatB" localSheetId="56">#REF!</definedName>
    <definedName name="EqLProdWatB" localSheetId="57">#REF!</definedName>
    <definedName name="EqLProdWatB" localSheetId="55">#REF!</definedName>
    <definedName name="EqLProdWatB" localSheetId="10">#REF!</definedName>
    <definedName name="EqLProdWatB" localSheetId="35">#REF!</definedName>
    <definedName name="EqLProdWatB" localSheetId="60">#REF!</definedName>
    <definedName name="EqLProdWatB" localSheetId="51">#REF!</definedName>
    <definedName name="EqLProdWatB">#REF!</definedName>
    <definedName name="EqLProdWatIn" localSheetId="56">#REF!</definedName>
    <definedName name="EqLProdWatIn" localSheetId="57">#REF!</definedName>
    <definedName name="EqLProdWatIn" localSheetId="55">#REF!</definedName>
    <definedName name="EqLProdWatIn" localSheetId="10">#REF!</definedName>
    <definedName name="EqLProdWatIn" localSheetId="35">#REF!</definedName>
    <definedName name="EqLProdWatIn" localSheetId="60">#REF!</definedName>
    <definedName name="EqLProdWatIn" localSheetId="51">#REF!</definedName>
    <definedName name="EqLProdWatIn">#REF!</definedName>
    <definedName name="EqLSaf1A" localSheetId="56">#REF!</definedName>
    <definedName name="EqLSaf1A" localSheetId="57">#REF!</definedName>
    <definedName name="EqLSaf1A" localSheetId="55">#REF!</definedName>
    <definedName name="EqLSaf1A" localSheetId="10">#REF!</definedName>
    <definedName name="EqLSaf1A" localSheetId="35">#REF!</definedName>
    <definedName name="EqLSaf1A" localSheetId="60">#REF!</definedName>
    <definedName name="EqLSaf1A" localSheetId="51">#REF!</definedName>
    <definedName name="EqLSaf1A">#REF!</definedName>
    <definedName name="EqLSaf1B" localSheetId="56">#REF!</definedName>
    <definedName name="EqLSaf1B" localSheetId="57">#REF!</definedName>
    <definedName name="EqLSaf1B" localSheetId="55">#REF!</definedName>
    <definedName name="EqLSaf1B" localSheetId="10">#REF!</definedName>
    <definedName name="EqLSaf1B" localSheetId="35">#REF!</definedName>
    <definedName name="EqLSaf1B" localSheetId="60">#REF!</definedName>
    <definedName name="EqLSaf1B" localSheetId="51">#REF!</definedName>
    <definedName name="EqLSaf1B">#REF!</definedName>
    <definedName name="EqLSaf2A" localSheetId="56">#REF!</definedName>
    <definedName name="EqLSaf2A" localSheetId="57">#REF!</definedName>
    <definedName name="EqLSaf2A" localSheetId="55">#REF!</definedName>
    <definedName name="EqLSaf2A" localSheetId="10">#REF!</definedName>
    <definedName name="EqLSaf2A" localSheetId="35">#REF!</definedName>
    <definedName name="EqLSaf2A" localSheetId="60">#REF!</definedName>
    <definedName name="EqLSaf2A" localSheetId="51">#REF!</definedName>
    <definedName name="EqLSaf2A">#REF!</definedName>
    <definedName name="EqLSaf2B" localSheetId="56">#REF!</definedName>
    <definedName name="EqLSaf2B" localSheetId="57">#REF!</definedName>
    <definedName name="EqLSaf2B" localSheetId="55">#REF!</definedName>
    <definedName name="EqLSaf2B" localSheetId="10">#REF!</definedName>
    <definedName name="EqLSaf2B" localSheetId="35">#REF!</definedName>
    <definedName name="EqLSaf2B" localSheetId="60">#REF!</definedName>
    <definedName name="EqLSaf2B" localSheetId="51">#REF!</definedName>
    <definedName name="EqLSaf2B">#REF!</definedName>
    <definedName name="EqLSeaWat1A" localSheetId="56">#REF!</definedName>
    <definedName name="EqLSeaWat1A" localSheetId="57">#REF!</definedName>
    <definedName name="EqLSeaWat1A" localSheetId="55">#REF!</definedName>
    <definedName name="EqLSeaWat1A" localSheetId="10">#REF!</definedName>
    <definedName name="EqLSeaWat1A" localSheetId="35">#REF!</definedName>
    <definedName name="EqLSeaWat1A" localSheetId="60">#REF!</definedName>
    <definedName name="EqLSeaWat1A" localSheetId="51">#REF!</definedName>
    <definedName name="EqLSeaWat1A">#REF!</definedName>
    <definedName name="EqLSeaWat1B" localSheetId="56">#REF!</definedName>
    <definedName name="EqLSeaWat1B" localSheetId="57">#REF!</definedName>
    <definedName name="EqLSeaWat1B" localSheetId="55">#REF!</definedName>
    <definedName name="EqLSeaWat1B" localSheetId="10">#REF!</definedName>
    <definedName name="EqLSeaWat1B" localSheetId="35">#REF!</definedName>
    <definedName name="EqLSeaWat1B" localSheetId="60">#REF!</definedName>
    <definedName name="EqLSeaWat1B" localSheetId="51">#REF!</definedName>
    <definedName name="EqLSeaWat1B">#REF!</definedName>
    <definedName name="EqLSeaWat2A" localSheetId="56">#REF!</definedName>
    <definedName name="EqLSeaWat2A" localSheetId="57">#REF!</definedName>
    <definedName name="EqLSeaWat2A" localSheetId="55">#REF!</definedName>
    <definedName name="EqLSeaWat2A" localSheetId="10">#REF!</definedName>
    <definedName name="EqLSeaWat2A" localSheetId="35">#REF!</definedName>
    <definedName name="EqLSeaWat2A" localSheetId="60">#REF!</definedName>
    <definedName name="EqLSeaWat2A" localSheetId="51">#REF!</definedName>
    <definedName name="EqLSeaWat2A">#REF!</definedName>
    <definedName name="EqLSeaWat2B" localSheetId="56">#REF!</definedName>
    <definedName name="EqLSeaWat2B" localSheetId="57">#REF!</definedName>
    <definedName name="EqLSeaWat2B" localSheetId="55">#REF!</definedName>
    <definedName name="EqLSeaWat2B" localSheetId="10">#REF!</definedName>
    <definedName name="EqLSeaWat2B" localSheetId="35">#REF!</definedName>
    <definedName name="EqLSeaWat2B" localSheetId="60">#REF!</definedName>
    <definedName name="EqLSeaWat2B" localSheetId="51">#REF!</definedName>
    <definedName name="EqLSeaWat2B">#REF!</definedName>
    <definedName name="EqLSlugA" localSheetId="56">#REF!</definedName>
    <definedName name="EqLSlugA" localSheetId="57">#REF!</definedName>
    <definedName name="EqLSlugA" localSheetId="55">#REF!</definedName>
    <definedName name="EqLSlugA" localSheetId="10">#REF!</definedName>
    <definedName name="EqLSlugA" localSheetId="35">#REF!</definedName>
    <definedName name="EqLSlugA" localSheetId="60">#REF!</definedName>
    <definedName name="EqLSlugA" localSheetId="51">#REF!</definedName>
    <definedName name="EqLSlugA">#REF!</definedName>
    <definedName name="EqLSlugB" localSheetId="56">#REF!</definedName>
    <definedName name="EqLSlugB" localSheetId="57">#REF!</definedName>
    <definedName name="EqLSlugB" localSheetId="55">#REF!</definedName>
    <definedName name="EqLSlugB" localSheetId="10">#REF!</definedName>
    <definedName name="EqLSlugB" localSheetId="35">#REF!</definedName>
    <definedName name="EqLSlugB" localSheetId="60">#REF!</definedName>
    <definedName name="EqLSlugB" localSheetId="51">#REF!</definedName>
    <definedName name="EqLSlugB">#REF!</definedName>
    <definedName name="EqLSlugIn" localSheetId="56">#REF!</definedName>
    <definedName name="EqLSlugIn" localSheetId="57">#REF!</definedName>
    <definedName name="EqLSlugIn" localSheetId="55">#REF!</definedName>
    <definedName name="EqLSlugIn" localSheetId="10">#REF!</definedName>
    <definedName name="EqLSlugIn" localSheetId="35">#REF!</definedName>
    <definedName name="EqLSlugIn" localSheetId="60">#REF!</definedName>
    <definedName name="EqLSlugIn" localSheetId="51">#REF!</definedName>
    <definedName name="EqLSlugIn">#REF!</definedName>
    <definedName name="EqLTankFrmIn" localSheetId="56">#REF!</definedName>
    <definedName name="EqLTankFrmIn" localSheetId="57">#REF!</definedName>
    <definedName name="EqLTankFrmIn" localSheetId="55">#REF!</definedName>
    <definedName name="EqLTankFrmIn" localSheetId="10">#REF!</definedName>
    <definedName name="EqLTankFrmIn" localSheetId="35">#REF!</definedName>
    <definedName name="EqLTankFrmIn" localSheetId="60">#REF!</definedName>
    <definedName name="EqLTankFrmIn" localSheetId="51">#REF!</definedName>
    <definedName name="EqLTankFrmIn">#REF!</definedName>
    <definedName name="EquipTag">'[3]Weight Calculation'!$F$7</definedName>
    <definedName name="EWC">[4]M_B!$G$10</definedName>
    <definedName name="ExportIn" localSheetId="56">#REF!</definedName>
    <definedName name="ExportIn" localSheetId="57">#REF!</definedName>
    <definedName name="ExportIn" localSheetId="55">#REF!</definedName>
    <definedName name="ExportIn" localSheetId="10">#REF!</definedName>
    <definedName name="ExportIn" localSheetId="35">#REF!</definedName>
    <definedName name="ExportIn" localSheetId="60">#REF!</definedName>
    <definedName name="ExportIn" localSheetId="51">#REF!</definedName>
    <definedName name="ExportIn">#REF!</definedName>
    <definedName name="F10IN" localSheetId="56">#REF!</definedName>
    <definedName name="F10IN" localSheetId="57">#REF!</definedName>
    <definedName name="F10IN" localSheetId="55">#REF!</definedName>
    <definedName name="F10IN" localSheetId="10">#REF!</definedName>
    <definedName name="F10IN" localSheetId="35">#REF!</definedName>
    <definedName name="F10IN" localSheetId="60">#REF!</definedName>
    <definedName name="F10IN" localSheetId="51">#REF!</definedName>
    <definedName name="F10IN">#REF!</definedName>
    <definedName name="F11IN" localSheetId="56">#REF!</definedName>
    <definedName name="F11IN" localSheetId="57">#REF!</definedName>
    <definedName name="F11IN" localSheetId="55">#REF!</definedName>
    <definedName name="F11IN" localSheetId="10">#REF!</definedName>
    <definedName name="F11IN" localSheetId="35">#REF!</definedName>
    <definedName name="F11IN" localSheetId="60">#REF!</definedName>
    <definedName name="F11IN" localSheetId="51">#REF!</definedName>
    <definedName name="F11IN">#REF!</definedName>
    <definedName name="F12IN" localSheetId="56">#REF!</definedName>
    <definedName name="F12IN" localSheetId="57">#REF!</definedName>
    <definedName name="F12IN" localSheetId="55">#REF!</definedName>
    <definedName name="F12IN" localSheetId="10">#REF!</definedName>
    <definedName name="F12IN" localSheetId="35">#REF!</definedName>
    <definedName name="F12IN" localSheetId="60">#REF!</definedName>
    <definedName name="F12IN" localSheetId="51">#REF!</definedName>
    <definedName name="F12IN">#REF!</definedName>
    <definedName name="F13IN" localSheetId="56">#REF!</definedName>
    <definedName name="F13IN" localSheetId="57">#REF!</definedName>
    <definedName name="F13IN" localSheetId="55">#REF!</definedName>
    <definedName name="F13IN" localSheetId="10">#REF!</definedName>
    <definedName name="F13IN" localSheetId="35">#REF!</definedName>
    <definedName name="F13IN" localSheetId="60">#REF!</definedName>
    <definedName name="F13IN" localSheetId="51">#REF!</definedName>
    <definedName name="F13IN">#REF!</definedName>
    <definedName name="F14IN" localSheetId="56">#REF!</definedName>
    <definedName name="F14IN" localSheetId="57">#REF!</definedName>
    <definedName name="F14IN" localSheetId="55">#REF!</definedName>
    <definedName name="F14IN" localSheetId="10">#REF!</definedName>
    <definedName name="F14IN" localSheetId="35">#REF!</definedName>
    <definedName name="F14IN" localSheetId="60">#REF!</definedName>
    <definedName name="F14IN" localSheetId="51">#REF!</definedName>
    <definedName name="F14IN">#REF!</definedName>
    <definedName name="F15IN" localSheetId="56">#REF!</definedName>
    <definedName name="F15IN" localSheetId="57">#REF!</definedName>
    <definedName name="F15IN" localSheetId="55">#REF!</definedName>
    <definedName name="F15IN" localSheetId="10">#REF!</definedName>
    <definedName name="F15IN" localSheetId="35">#REF!</definedName>
    <definedName name="F15IN" localSheetId="60">#REF!</definedName>
    <definedName name="F15IN" localSheetId="51">#REF!</definedName>
    <definedName name="F15IN">#REF!</definedName>
    <definedName name="F16IN" localSheetId="56">#REF!</definedName>
    <definedName name="F16IN" localSheetId="57">#REF!</definedName>
    <definedName name="F16IN" localSheetId="55">#REF!</definedName>
    <definedName name="F16IN" localSheetId="10">#REF!</definedName>
    <definedName name="F16IN" localSheetId="35">#REF!</definedName>
    <definedName name="F16IN" localSheetId="60">#REF!</definedName>
    <definedName name="F16IN" localSheetId="51">#REF!</definedName>
    <definedName name="F16IN">#REF!</definedName>
    <definedName name="F17IN" localSheetId="56">#REF!</definedName>
    <definedName name="F17IN" localSheetId="57">#REF!</definedName>
    <definedName name="F17IN" localSheetId="55">#REF!</definedName>
    <definedName name="F17IN" localSheetId="10">#REF!</definedName>
    <definedName name="F17IN" localSheetId="35">#REF!</definedName>
    <definedName name="F17IN" localSheetId="60">#REF!</definedName>
    <definedName name="F17IN" localSheetId="51">#REF!</definedName>
    <definedName name="F17IN">#REF!</definedName>
    <definedName name="F18IN" localSheetId="56">#REF!</definedName>
    <definedName name="F18IN" localSheetId="57">#REF!</definedName>
    <definedName name="F18IN" localSheetId="55">#REF!</definedName>
    <definedName name="F18IN" localSheetId="10">#REF!</definedName>
    <definedName name="F18IN" localSheetId="35">#REF!</definedName>
    <definedName name="F18IN" localSheetId="60">#REF!</definedName>
    <definedName name="F18IN" localSheetId="51">#REF!</definedName>
    <definedName name="F18IN">#REF!</definedName>
    <definedName name="F19IN" localSheetId="56">#REF!</definedName>
    <definedName name="F19IN" localSheetId="57">#REF!</definedName>
    <definedName name="F19IN" localSheetId="55">#REF!</definedName>
    <definedName name="F19IN" localSheetId="10">#REF!</definedName>
    <definedName name="F19IN" localSheetId="35">#REF!</definedName>
    <definedName name="F19IN" localSheetId="60">#REF!</definedName>
    <definedName name="F19IN" localSheetId="51">#REF!</definedName>
    <definedName name="F19IN">#REF!</definedName>
    <definedName name="F1IN" localSheetId="56">#REF!</definedName>
    <definedName name="F1IN" localSheetId="57">#REF!</definedName>
    <definedName name="F1IN" localSheetId="55">#REF!</definedName>
    <definedName name="F1IN" localSheetId="10">#REF!</definedName>
    <definedName name="F1IN" localSheetId="35">#REF!</definedName>
    <definedName name="F1IN" localSheetId="60">#REF!</definedName>
    <definedName name="F1IN" localSheetId="51">#REF!</definedName>
    <definedName name="F1IN">#REF!</definedName>
    <definedName name="f1ok">#N/A</definedName>
    <definedName name="F20IN" localSheetId="56">#REF!</definedName>
    <definedName name="F20IN" localSheetId="57">#REF!</definedName>
    <definedName name="F20IN" localSheetId="55">#REF!</definedName>
    <definedName name="F20IN" localSheetId="10">#REF!</definedName>
    <definedName name="F20IN" localSheetId="35">#REF!</definedName>
    <definedName name="F20IN" localSheetId="60">#REF!</definedName>
    <definedName name="F20IN" localSheetId="51">#REF!</definedName>
    <definedName name="F20IN">#REF!</definedName>
    <definedName name="F21IN" localSheetId="56">#REF!</definedName>
    <definedName name="F21IN" localSheetId="57">#REF!</definedName>
    <definedName name="F21IN" localSheetId="55">#REF!</definedName>
    <definedName name="F21IN" localSheetId="10">#REF!</definedName>
    <definedName name="F21IN" localSheetId="35">#REF!</definedName>
    <definedName name="F21IN" localSheetId="60">#REF!</definedName>
    <definedName name="F21IN" localSheetId="51">#REF!</definedName>
    <definedName name="F21IN">#REF!</definedName>
    <definedName name="F22IN" localSheetId="56">#REF!</definedName>
    <definedName name="F22IN" localSheetId="57">#REF!</definedName>
    <definedName name="F22IN" localSheetId="55">#REF!</definedName>
    <definedName name="F22IN" localSheetId="10">#REF!</definedName>
    <definedName name="F22IN" localSheetId="35">#REF!</definedName>
    <definedName name="F22IN" localSheetId="60">#REF!</definedName>
    <definedName name="F22IN" localSheetId="51">#REF!</definedName>
    <definedName name="F22IN">#REF!</definedName>
    <definedName name="F23IN" localSheetId="56">#REF!</definedName>
    <definedName name="F23IN" localSheetId="57">#REF!</definedName>
    <definedName name="F23IN" localSheetId="55">#REF!</definedName>
    <definedName name="F23IN" localSheetId="10">#REF!</definedName>
    <definedName name="F23IN" localSheetId="35">#REF!</definedName>
    <definedName name="F23IN" localSheetId="60">#REF!</definedName>
    <definedName name="F23IN" localSheetId="51">#REF!</definedName>
    <definedName name="F23IN">#REF!</definedName>
    <definedName name="F2IN" localSheetId="56">#REF!</definedName>
    <definedName name="F2IN" localSheetId="57">#REF!</definedName>
    <definedName name="F2IN" localSheetId="55">#REF!</definedName>
    <definedName name="F2IN" localSheetId="10">#REF!</definedName>
    <definedName name="F2IN" localSheetId="35">#REF!</definedName>
    <definedName name="F2IN" localSheetId="60">#REF!</definedName>
    <definedName name="F2IN" localSheetId="51">#REF!</definedName>
    <definedName name="F2IN">#REF!</definedName>
    <definedName name="f2ok">#N/A</definedName>
    <definedName name="F3IN" localSheetId="56">#REF!</definedName>
    <definedName name="F3IN" localSheetId="57">#REF!</definedName>
    <definedName name="F3IN" localSheetId="55">#REF!</definedName>
    <definedName name="F3IN" localSheetId="10">#REF!</definedName>
    <definedName name="F3IN" localSheetId="35">#REF!</definedName>
    <definedName name="F3IN" localSheetId="60">#REF!</definedName>
    <definedName name="F3IN" localSheetId="51">#REF!</definedName>
    <definedName name="F3IN">#REF!</definedName>
    <definedName name="F4IN" localSheetId="56">#REF!</definedName>
    <definedName name="F4IN" localSheetId="57">#REF!</definedName>
    <definedName name="F4IN" localSheetId="55">#REF!</definedName>
    <definedName name="F4IN" localSheetId="10">#REF!</definedName>
    <definedName name="F4IN" localSheetId="35">#REF!</definedName>
    <definedName name="F4IN" localSheetId="60">#REF!</definedName>
    <definedName name="F4IN" localSheetId="51">#REF!</definedName>
    <definedName name="F4IN">#REF!</definedName>
    <definedName name="F5IN" localSheetId="56">#REF!</definedName>
    <definedName name="F5IN" localSheetId="57">#REF!</definedName>
    <definedName name="F5IN" localSheetId="55">#REF!</definedName>
    <definedName name="F5IN" localSheetId="10">#REF!</definedName>
    <definedName name="F5IN" localSheetId="35">#REF!</definedName>
    <definedName name="F5IN" localSheetId="60">#REF!</definedName>
    <definedName name="F5IN" localSheetId="51">#REF!</definedName>
    <definedName name="F5IN">#REF!</definedName>
    <definedName name="F6IN" localSheetId="56">#REF!</definedName>
    <definedName name="F6IN" localSheetId="57">#REF!</definedName>
    <definedName name="F6IN" localSheetId="55">#REF!</definedName>
    <definedName name="F6IN" localSheetId="10">#REF!</definedName>
    <definedName name="F6IN" localSheetId="35">#REF!</definedName>
    <definedName name="F6IN" localSheetId="60">#REF!</definedName>
    <definedName name="F6IN" localSheetId="51">#REF!</definedName>
    <definedName name="F6IN">#REF!</definedName>
    <definedName name="F7IN" localSheetId="56">#REF!</definedName>
    <definedName name="F7IN" localSheetId="57">#REF!</definedName>
    <definedName name="F7IN" localSheetId="55">#REF!</definedName>
    <definedName name="F7IN" localSheetId="10">#REF!</definedName>
    <definedName name="F7IN" localSheetId="35">#REF!</definedName>
    <definedName name="F7IN" localSheetId="60">#REF!</definedName>
    <definedName name="F7IN" localSheetId="51">#REF!</definedName>
    <definedName name="F7IN">#REF!</definedName>
    <definedName name="F8IN" localSheetId="56">#REF!</definedName>
    <definedName name="F8IN" localSheetId="57">#REF!</definedName>
    <definedName name="F8IN" localSheetId="55">#REF!</definedName>
    <definedName name="F8IN" localSheetId="10">#REF!</definedName>
    <definedName name="F8IN" localSheetId="35">#REF!</definedName>
    <definedName name="F8IN" localSheetId="60">#REF!</definedName>
    <definedName name="F8IN" localSheetId="51">#REF!</definedName>
    <definedName name="F8IN">#REF!</definedName>
    <definedName name="F9IN" localSheetId="56">#REF!</definedName>
    <definedName name="F9IN" localSheetId="57">#REF!</definedName>
    <definedName name="F9IN" localSheetId="55">#REF!</definedName>
    <definedName name="F9IN" localSheetId="10">#REF!</definedName>
    <definedName name="F9IN" localSheetId="35">#REF!</definedName>
    <definedName name="F9IN" localSheetId="60">#REF!</definedName>
    <definedName name="F9IN" localSheetId="51">#REF!</definedName>
    <definedName name="F9IN">#REF!</definedName>
    <definedName name="FA">#N/A</definedName>
    <definedName name="FAIN" localSheetId="56">#REF!</definedName>
    <definedName name="FAIN" localSheetId="57">#REF!</definedName>
    <definedName name="FAIN" localSheetId="55">#REF!</definedName>
    <definedName name="FAIN" localSheetId="10">#REF!</definedName>
    <definedName name="FAIN" localSheetId="35">#REF!</definedName>
    <definedName name="FAIN" localSheetId="60">#REF!</definedName>
    <definedName name="FAIN" localSheetId="51">#REF!</definedName>
    <definedName name="FAIN">#REF!</definedName>
    <definedName name="FBIN" localSheetId="56">#REF!</definedName>
    <definedName name="FBIN" localSheetId="57">#REF!</definedName>
    <definedName name="FBIN" localSheetId="55">#REF!</definedName>
    <definedName name="FBIN" localSheetId="10">#REF!</definedName>
    <definedName name="FBIN" localSheetId="35">#REF!</definedName>
    <definedName name="FBIN" localSheetId="60">#REF!</definedName>
    <definedName name="FBIN" localSheetId="51">#REF!</definedName>
    <definedName name="FBIN">#REF!</definedName>
    <definedName name="FC">#N/A</definedName>
    <definedName name="FCIN" localSheetId="56">#REF!</definedName>
    <definedName name="FCIN" localSheetId="57">#REF!</definedName>
    <definedName name="FCIN" localSheetId="55">#REF!</definedName>
    <definedName name="FCIN" localSheetId="10">#REF!</definedName>
    <definedName name="FCIN" localSheetId="35">#REF!</definedName>
    <definedName name="FCIN" localSheetId="60">#REF!</definedName>
    <definedName name="FCIN" localSheetId="51">#REF!</definedName>
    <definedName name="FCIN">#REF!</definedName>
    <definedName name="FD10IN" localSheetId="56">#REF!</definedName>
    <definedName name="FD10IN" localSheetId="57">#REF!</definedName>
    <definedName name="FD10IN" localSheetId="55">#REF!</definedName>
    <definedName name="FD10IN" localSheetId="10">#REF!</definedName>
    <definedName name="FD10IN" localSheetId="35">#REF!</definedName>
    <definedName name="FD10IN" localSheetId="60">#REF!</definedName>
    <definedName name="FD10IN" localSheetId="51">#REF!</definedName>
    <definedName name="FD10IN">#REF!</definedName>
    <definedName name="FD11IN" localSheetId="56">#REF!</definedName>
    <definedName name="FD11IN" localSheetId="57">#REF!</definedName>
    <definedName name="FD11IN" localSheetId="55">#REF!</definedName>
    <definedName name="FD11IN" localSheetId="10">#REF!</definedName>
    <definedName name="FD11IN" localSheetId="35">#REF!</definedName>
    <definedName name="FD11IN" localSheetId="60">#REF!</definedName>
    <definedName name="FD11IN" localSheetId="51">#REF!</definedName>
    <definedName name="FD11IN">#REF!</definedName>
    <definedName name="FD12IN" localSheetId="56">#REF!</definedName>
    <definedName name="FD12IN" localSheetId="57">#REF!</definedName>
    <definedName name="FD12IN" localSheetId="55">#REF!</definedName>
    <definedName name="FD12IN" localSheetId="10">#REF!</definedName>
    <definedName name="FD12IN" localSheetId="35">#REF!</definedName>
    <definedName name="FD12IN" localSheetId="60">#REF!</definedName>
    <definedName name="FD12IN" localSheetId="51">#REF!</definedName>
    <definedName name="FD12IN">#REF!</definedName>
    <definedName name="FD13IN" localSheetId="56">#REF!</definedName>
    <definedName name="FD13IN" localSheetId="57">#REF!</definedName>
    <definedName name="FD13IN" localSheetId="55">#REF!</definedName>
    <definedName name="FD13IN" localSheetId="10">#REF!</definedName>
    <definedName name="FD13IN" localSheetId="35">#REF!</definedName>
    <definedName name="FD13IN" localSheetId="60">#REF!</definedName>
    <definedName name="FD13IN" localSheetId="51">#REF!</definedName>
    <definedName name="FD13IN">#REF!</definedName>
    <definedName name="FD14IN" localSheetId="56">#REF!</definedName>
    <definedName name="FD14IN" localSheetId="57">#REF!</definedName>
    <definedName name="FD14IN" localSheetId="55">#REF!</definedName>
    <definedName name="FD14IN" localSheetId="10">#REF!</definedName>
    <definedName name="FD14IN" localSheetId="35">#REF!</definedName>
    <definedName name="FD14IN" localSheetId="60">#REF!</definedName>
    <definedName name="FD14IN" localSheetId="51">#REF!</definedName>
    <definedName name="FD14IN">#REF!</definedName>
    <definedName name="FD1IN" localSheetId="56">#REF!</definedName>
    <definedName name="FD1IN" localSheetId="57">#REF!</definedName>
    <definedName name="FD1IN" localSheetId="55">#REF!</definedName>
    <definedName name="FD1IN" localSheetId="10">#REF!</definedName>
    <definedName name="FD1IN" localSheetId="35">#REF!</definedName>
    <definedName name="FD1IN" localSheetId="60">#REF!</definedName>
    <definedName name="FD1IN" localSheetId="51">#REF!</definedName>
    <definedName name="FD1IN">#REF!</definedName>
    <definedName name="FD2IN" localSheetId="56">#REF!</definedName>
    <definedName name="FD2IN" localSheetId="57">#REF!</definedName>
    <definedName name="FD2IN" localSheetId="55">#REF!</definedName>
    <definedName name="FD2IN" localSheetId="10">#REF!</definedName>
    <definedName name="FD2IN" localSheetId="35">#REF!</definedName>
    <definedName name="FD2IN" localSheetId="60">#REF!</definedName>
    <definedName name="FD2IN" localSheetId="51">#REF!</definedName>
    <definedName name="FD2IN">#REF!</definedName>
    <definedName name="FD3IN" localSheetId="56">#REF!</definedName>
    <definedName name="FD3IN" localSheetId="57">#REF!</definedName>
    <definedName name="FD3IN" localSheetId="55">#REF!</definedName>
    <definedName name="FD3IN" localSheetId="10">#REF!</definedName>
    <definedName name="FD3IN" localSheetId="35">#REF!</definedName>
    <definedName name="FD3IN" localSheetId="60">#REF!</definedName>
    <definedName name="FD3IN" localSheetId="51">#REF!</definedName>
    <definedName name="FD3IN">#REF!</definedName>
    <definedName name="FD4IN" localSheetId="56">#REF!</definedName>
    <definedName name="FD4IN" localSheetId="57">#REF!</definedName>
    <definedName name="FD4IN" localSheetId="55">#REF!</definedName>
    <definedName name="FD4IN" localSheetId="10">#REF!</definedName>
    <definedName name="FD4IN" localSheetId="35">#REF!</definedName>
    <definedName name="FD4IN" localSheetId="60">#REF!</definedName>
    <definedName name="FD4IN" localSheetId="51">#REF!</definedName>
    <definedName name="FD4IN">#REF!</definedName>
    <definedName name="FD5IN" localSheetId="56">#REF!</definedName>
    <definedName name="FD5IN" localSheetId="57">#REF!</definedName>
    <definedName name="FD5IN" localSheetId="55">#REF!</definedName>
    <definedName name="FD5IN" localSheetId="10">#REF!</definedName>
    <definedName name="FD5IN" localSheetId="35">#REF!</definedName>
    <definedName name="FD5IN" localSheetId="60">#REF!</definedName>
    <definedName name="FD5IN" localSheetId="51">#REF!</definedName>
    <definedName name="FD5IN">#REF!</definedName>
    <definedName name="FD6IN" localSheetId="56">#REF!</definedName>
    <definedName name="FD6IN" localSheetId="57">#REF!</definedName>
    <definedName name="FD6IN" localSheetId="55">#REF!</definedName>
    <definedName name="FD6IN" localSheetId="10">#REF!</definedName>
    <definedName name="FD6IN" localSheetId="35">#REF!</definedName>
    <definedName name="FD6IN" localSheetId="60">#REF!</definedName>
    <definedName name="FD6IN" localSheetId="51">#REF!</definedName>
    <definedName name="FD6IN">#REF!</definedName>
    <definedName name="FD7IN" localSheetId="56">#REF!</definedName>
    <definedName name="FD7IN" localSheetId="57">#REF!</definedName>
    <definedName name="FD7IN" localSheetId="55">#REF!</definedName>
    <definedName name="FD7IN" localSheetId="10">#REF!</definedName>
    <definedName name="FD7IN" localSheetId="35">#REF!</definedName>
    <definedName name="FD7IN" localSheetId="60">#REF!</definedName>
    <definedName name="FD7IN" localSheetId="51">#REF!</definedName>
    <definedName name="FD7IN">#REF!</definedName>
    <definedName name="FD8IN" localSheetId="56">#REF!</definedName>
    <definedName name="FD8IN" localSheetId="57">#REF!</definedName>
    <definedName name="FD8IN" localSheetId="55">#REF!</definedName>
    <definedName name="FD8IN" localSheetId="10">#REF!</definedName>
    <definedName name="FD8IN" localSheetId="35">#REF!</definedName>
    <definedName name="FD8IN" localSheetId="60">#REF!</definedName>
    <definedName name="FD8IN" localSheetId="51">#REF!</definedName>
    <definedName name="FD8IN">#REF!</definedName>
    <definedName name="FD9IN" localSheetId="56">#REF!</definedName>
    <definedName name="FD9IN" localSheetId="57">#REF!</definedName>
    <definedName name="FD9IN" localSheetId="55">#REF!</definedName>
    <definedName name="FD9IN" localSheetId="10">#REF!</definedName>
    <definedName name="FD9IN" localSheetId="35">#REF!</definedName>
    <definedName name="FD9IN" localSheetId="60">#REF!</definedName>
    <definedName name="FD9IN" localSheetId="51">#REF!</definedName>
    <definedName name="FD9IN">#REF!</definedName>
    <definedName name="FDIN" localSheetId="56">#REF!</definedName>
    <definedName name="FDIN" localSheetId="57">#REF!</definedName>
    <definedName name="FDIN" localSheetId="55">#REF!</definedName>
    <definedName name="FDIN" localSheetId="10">#REF!</definedName>
    <definedName name="FDIN" localSheetId="35">#REF!</definedName>
    <definedName name="FDIN" localSheetId="60">#REF!</definedName>
    <definedName name="FDIN" localSheetId="51">#REF!</definedName>
    <definedName name="FDIN">#REF!</definedName>
    <definedName name="FEIN" localSheetId="56">#REF!</definedName>
    <definedName name="FEIN" localSheetId="57">#REF!</definedName>
    <definedName name="FEIN" localSheetId="55">#REF!</definedName>
    <definedName name="FEIN" localSheetId="10">#REF!</definedName>
    <definedName name="FEIN" localSheetId="35">#REF!</definedName>
    <definedName name="FEIN" localSheetId="60">#REF!</definedName>
    <definedName name="FEIN" localSheetId="51">#REF!</definedName>
    <definedName name="FEIN">#REF!</definedName>
    <definedName name="FIELD_NAMEIN" localSheetId="56">#REF!</definedName>
    <definedName name="FIELD_NAMEIN" localSheetId="57">#REF!</definedName>
    <definedName name="FIELD_NAMEIN" localSheetId="55">#REF!</definedName>
    <definedName name="FIELD_NAMEIN" localSheetId="10">#REF!</definedName>
    <definedName name="FIELD_NAMEIN" localSheetId="35">#REF!</definedName>
    <definedName name="FIELD_NAMEIN" localSheetId="60">#REF!</definedName>
    <definedName name="FIELD_NAMEIN" localSheetId="51">#REF!</definedName>
    <definedName name="FIELD_NAMEIN">#REF!</definedName>
    <definedName name="FlareIn" localSheetId="56">#REF!</definedName>
    <definedName name="FlareIn" localSheetId="57">#REF!</definedName>
    <definedName name="FlareIn" localSheetId="55">#REF!</definedName>
    <definedName name="FlareIn" localSheetId="10">#REF!</definedName>
    <definedName name="FlareIn" localSheetId="35">#REF!</definedName>
    <definedName name="FlareIn" localSheetId="60">#REF!</definedName>
    <definedName name="FlareIn" localSheetId="51">#REF!</definedName>
    <definedName name="FlareIn">#REF!</definedName>
    <definedName name="Flowrate_A1" localSheetId="56">#REF!</definedName>
    <definedName name="Flowrate_A1" localSheetId="57">#REF!</definedName>
    <definedName name="Flowrate_A1" localSheetId="55">#REF!</definedName>
    <definedName name="Flowrate_A1" localSheetId="10">#REF!</definedName>
    <definedName name="Flowrate_A1" localSheetId="35">#REF!</definedName>
    <definedName name="Flowrate_A1" localSheetId="60">#REF!</definedName>
    <definedName name="Flowrate_A1" localSheetId="51">#REF!</definedName>
    <definedName name="Flowrate_A1">#REF!</definedName>
    <definedName name="FLOWRATE_A2" localSheetId="56">#REF!</definedName>
    <definedName name="FLOWRATE_A2" localSheetId="57">#REF!</definedName>
    <definedName name="FLOWRATE_A2" localSheetId="55">#REF!</definedName>
    <definedName name="FLOWRATE_A2" localSheetId="10">#REF!</definedName>
    <definedName name="FLOWRATE_A2" localSheetId="35">#REF!</definedName>
    <definedName name="FLOWRATE_A2" localSheetId="60">#REF!</definedName>
    <definedName name="FLOWRATE_A2" localSheetId="51">#REF!</definedName>
    <definedName name="FLOWRATE_A2">#REF!</definedName>
    <definedName name="FLOWRATE_A3" localSheetId="56">#REF!</definedName>
    <definedName name="FLOWRATE_A3" localSheetId="57">#REF!</definedName>
    <definedName name="FLOWRATE_A3" localSheetId="55">#REF!</definedName>
    <definedName name="FLOWRATE_A3" localSheetId="10">#REF!</definedName>
    <definedName name="FLOWRATE_A3" localSheetId="35">#REF!</definedName>
    <definedName name="FLOWRATE_A3" localSheetId="60">#REF!</definedName>
    <definedName name="FLOWRATE_A3" localSheetId="51">#REF!</definedName>
    <definedName name="FLOWRATE_A3">#REF!</definedName>
    <definedName name="FLOWRATE_A5" localSheetId="56">#REF!</definedName>
    <definedName name="FLOWRATE_A5" localSheetId="57">#REF!</definedName>
    <definedName name="FLOWRATE_A5" localSheetId="55">#REF!</definedName>
    <definedName name="FLOWRATE_A5" localSheetId="10">#REF!</definedName>
    <definedName name="FLOWRATE_A5" localSheetId="35">#REF!</definedName>
    <definedName name="FLOWRATE_A5" localSheetId="60">#REF!</definedName>
    <definedName name="FLOWRATE_A5" localSheetId="51">#REF!</definedName>
    <definedName name="FLOWRATE_A5">#REF!</definedName>
    <definedName name="FLOWRATE_A52" localSheetId="56">#REF!</definedName>
    <definedName name="FLOWRATE_A52" localSheetId="57">#REF!</definedName>
    <definedName name="FLOWRATE_A52" localSheetId="55">#REF!</definedName>
    <definedName name="FLOWRATE_A52" localSheetId="10">#REF!</definedName>
    <definedName name="FLOWRATE_A52" localSheetId="35">#REF!</definedName>
    <definedName name="FLOWRATE_A52" localSheetId="60">#REF!</definedName>
    <definedName name="FLOWRATE_A52" localSheetId="51">#REF!</definedName>
    <definedName name="FLOWRATE_A52">#REF!</definedName>
    <definedName name="FLOWRATE_A55" localSheetId="56">#REF!</definedName>
    <definedName name="FLOWRATE_A55" localSheetId="57">#REF!</definedName>
    <definedName name="FLOWRATE_A55" localSheetId="55">#REF!</definedName>
    <definedName name="FLOWRATE_A55" localSheetId="10">#REF!</definedName>
    <definedName name="FLOWRATE_A55" localSheetId="35">#REF!</definedName>
    <definedName name="FLOWRATE_A55" localSheetId="60">#REF!</definedName>
    <definedName name="FLOWRATE_A55" localSheetId="51">#REF!</definedName>
    <definedName name="FLOWRATE_A55">#REF!</definedName>
    <definedName name="FLOWRATE_A6" localSheetId="56">#REF!</definedName>
    <definedName name="FLOWRATE_A6" localSheetId="57">#REF!</definedName>
    <definedName name="FLOWRATE_A6" localSheetId="55">#REF!</definedName>
    <definedName name="FLOWRATE_A6" localSheetId="10">#REF!</definedName>
    <definedName name="FLOWRATE_A6" localSheetId="35">#REF!</definedName>
    <definedName name="FLOWRATE_A6" localSheetId="60">#REF!</definedName>
    <definedName name="FLOWRATE_A6" localSheetId="51">#REF!</definedName>
    <definedName name="FLOWRATE_A6">#REF!</definedName>
    <definedName name="Flowrates" localSheetId="56">#REF!</definedName>
    <definedName name="Flowrates" localSheetId="57">#REF!</definedName>
    <definedName name="Flowrates" localSheetId="55">#REF!</definedName>
    <definedName name="Flowrates" localSheetId="10">#REF!</definedName>
    <definedName name="Flowrates" localSheetId="35">#REF!</definedName>
    <definedName name="Flowrates" localSheetId="60">#REF!</definedName>
    <definedName name="Flowrates" localSheetId="51">#REF!</definedName>
    <definedName name="Flowrates">#REF!</definedName>
    <definedName name="FLUID1">#N/A</definedName>
    <definedName name="FLUID2">#N/A</definedName>
    <definedName name="FREEOIL">[4]M_B!$G$8</definedName>
    <definedName name="FTIN" localSheetId="56">#REF!</definedName>
    <definedName name="FTIN" localSheetId="57">#REF!</definedName>
    <definedName name="FTIN" localSheetId="55">#REF!</definedName>
    <definedName name="FTIN" localSheetId="10">#REF!</definedName>
    <definedName name="FTIN" localSheetId="35">#REF!</definedName>
    <definedName name="FTIN" localSheetId="60">#REF!</definedName>
    <definedName name="FTIN" localSheetId="51">#REF!</definedName>
    <definedName name="FTIN">#REF!</definedName>
    <definedName name="FuelgasIn" localSheetId="56">#REF!</definedName>
    <definedName name="FuelgasIn" localSheetId="57">#REF!</definedName>
    <definedName name="FuelgasIn" localSheetId="55">#REF!</definedName>
    <definedName name="FuelgasIn" localSheetId="10">#REF!</definedName>
    <definedName name="FuelgasIn" localSheetId="35">#REF!</definedName>
    <definedName name="FuelgasIn" localSheetId="60">#REF!</definedName>
    <definedName name="FuelgasIn" localSheetId="51">#REF!</definedName>
    <definedName name="FuelgasIn">#REF!</definedName>
    <definedName name="FWC">[4]M_B!$G$11</definedName>
    <definedName name="g" localSheetId="68" hidden="1">{#N/A,#N/A,FALSE,"cover";#N/A,#N/A,FALSE,"page_1";#N/A,#N/A,FALSE,"page_2";#N/A,#N/A,FALSE,"page_3";#N/A,#N/A,FALSE,"page_4"}</definedName>
    <definedName name="g" localSheetId="19" hidden="1">{#N/A,#N/A,FALSE,"cover";#N/A,#N/A,FALSE,"page_1";#N/A,#N/A,FALSE,"page_2";#N/A,#N/A,FALSE,"page_3";#N/A,#N/A,FALSE,"page_4"}</definedName>
    <definedName name="g" hidden="1">{#N/A,#N/A,FALSE,"cover";#N/A,#N/A,FALSE,"page_1";#N/A,#N/A,FALSE,"page_2";#N/A,#N/A,FALSE,"page_3";#N/A,#N/A,FALSE,"page_4"}</definedName>
    <definedName name="GasDehydIn" localSheetId="56">#REF!</definedName>
    <definedName name="GasDehydIn" localSheetId="57">#REF!</definedName>
    <definedName name="GasDehydIn" localSheetId="55">#REF!</definedName>
    <definedName name="GasDehydIn" localSheetId="10">#REF!</definedName>
    <definedName name="GasDehydIn" localSheetId="35">#REF!</definedName>
    <definedName name="GasDehydIn" localSheetId="60">#REF!</definedName>
    <definedName name="GasDehydIn" localSheetId="51">#REF!</definedName>
    <definedName name="GasDehydIn">#REF!</definedName>
    <definedName name="GasDewIn" localSheetId="56">#REF!</definedName>
    <definedName name="GasDewIn" localSheetId="57">#REF!</definedName>
    <definedName name="GasDewIn" localSheetId="55">#REF!</definedName>
    <definedName name="GasDewIn" localSheetId="10">#REF!</definedName>
    <definedName name="GasDewIn" localSheetId="35">#REF!</definedName>
    <definedName name="GasDewIn" localSheetId="60">#REF!</definedName>
    <definedName name="GasDewIn" localSheetId="51">#REF!</definedName>
    <definedName name="GasDewIn">#REF!</definedName>
    <definedName name="GasExportIn" localSheetId="56">#REF!</definedName>
    <definedName name="GasExportIn" localSheetId="57">#REF!</definedName>
    <definedName name="GasExportIn" localSheetId="55">#REF!</definedName>
    <definedName name="GasExportIn" localSheetId="10">#REF!</definedName>
    <definedName name="GasExportIn" localSheetId="35">#REF!</definedName>
    <definedName name="GasExportIn" localSheetId="60">#REF!</definedName>
    <definedName name="GasExportIn" localSheetId="51">#REF!</definedName>
    <definedName name="GasExportIn">#REF!</definedName>
    <definedName name="GasMetIn" localSheetId="56">#REF!</definedName>
    <definedName name="GasMetIn" localSheetId="57">#REF!</definedName>
    <definedName name="GasMetIn" localSheetId="55">#REF!</definedName>
    <definedName name="GasMetIn" localSheetId="10">#REF!</definedName>
    <definedName name="GasMetIn" localSheetId="35">#REF!</definedName>
    <definedName name="GasMetIn" localSheetId="60">#REF!</definedName>
    <definedName name="GasMetIn" localSheetId="51">#REF!</definedName>
    <definedName name="GasMetIn">#REF!</definedName>
    <definedName name="GasReinjIn" localSheetId="56">#REF!</definedName>
    <definedName name="GasReinjIn" localSheetId="57">#REF!</definedName>
    <definedName name="GasReinjIn" localSheetId="55">#REF!</definedName>
    <definedName name="GasReinjIn" localSheetId="10">#REF!</definedName>
    <definedName name="GasReinjIn" localSheetId="35">#REF!</definedName>
    <definedName name="GasReinjIn" localSheetId="60">#REF!</definedName>
    <definedName name="GasReinjIn" localSheetId="51">#REF!</definedName>
    <definedName name="GasReinjIn">#REF!</definedName>
    <definedName name="GasSweetIn" localSheetId="56">#REF!</definedName>
    <definedName name="GasSweetIn" localSheetId="57">#REF!</definedName>
    <definedName name="GasSweetIn" localSheetId="55">#REF!</definedName>
    <definedName name="GasSweetIn" localSheetId="10">#REF!</definedName>
    <definedName name="GasSweetIn" localSheetId="35">#REF!</definedName>
    <definedName name="GasSweetIn" localSheetId="60">#REF!</definedName>
    <definedName name="GasSweetIn" localSheetId="51">#REF!</definedName>
    <definedName name="GasSweetIn">#REF!</definedName>
    <definedName name="ghfhf" localSheetId="68" hidden="1">{#N/A,#N/A,FALSE,"cover";#N/A,#N/A,FALSE,"page_1";#N/A,#N/A,FALSE,"page_2";#N/A,#N/A,FALSE,"page_3";#N/A,#N/A,FALSE,"page_4"}</definedName>
    <definedName name="ghfhf" localSheetId="19" hidden="1">{#N/A,#N/A,FALSE,"cover";#N/A,#N/A,FALSE,"page_1";#N/A,#N/A,FALSE,"page_2";#N/A,#N/A,FALSE,"page_3";#N/A,#N/A,FALSE,"page_4"}</definedName>
    <definedName name="ghfhf" hidden="1">{#N/A,#N/A,FALSE,"cover";#N/A,#N/A,FALSE,"page_1";#N/A,#N/A,FALSE,"page_2";#N/A,#N/A,FALSE,"page_3";#N/A,#N/A,FALSE,"page_4"}</definedName>
    <definedName name="gordon" localSheetId="68" hidden="1">{#N/A,#N/A,FALSE,"cover";#N/A,#N/A,FALSE,"page_1";#N/A,#N/A,FALSE,"page_2";#N/A,#N/A,FALSE,"page_3";#N/A,#N/A,FALSE,"page_4"}</definedName>
    <definedName name="gordon" localSheetId="19" hidden="1">{#N/A,#N/A,FALSE,"cover";#N/A,#N/A,FALSE,"page_1";#N/A,#N/A,FALSE,"page_2";#N/A,#N/A,FALSE,"page_3";#N/A,#N/A,FALSE,"page_4"}</definedName>
    <definedName name="gordon" hidden="1">{#N/A,#N/A,FALSE,"cover";#N/A,#N/A,FALSE,"page_1";#N/A,#N/A,FALSE,"page_2";#N/A,#N/A,FALSE,"page_3";#N/A,#N/A,FALSE,"page_4"}</definedName>
    <definedName name="GordonGordon" localSheetId="68" hidden="1">{#N/A,#N/A,FALSE,"cover";#N/A,#N/A,FALSE,"page_1";#N/A,#N/A,FALSE,"page_2";#N/A,#N/A,FALSE,"page_3";#N/A,#N/A,FALSE,"page_4"}</definedName>
    <definedName name="GordonGordon" localSheetId="19" hidden="1">{#N/A,#N/A,FALSE,"cover";#N/A,#N/A,FALSE,"page_1";#N/A,#N/A,FALSE,"page_2";#N/A,#N/A,FALSE,"page_3";#N/A,#N/A,FALSE,"page_4"}</definedName>
    <definedName name="GordonGordon" hidden="1">{#N/A,#N/A,FALSE,"cover";#N/A,#N/A,FALSE,"page_1";#N/A,#N/A,FALSE,"page_2";#N/A,#N/A,FALSE,"page_3";#N/A,#N/A,FALSE,"page_4"}</definedName>
    <definedName name="GordonGordonGordon" localSheetId="68" hidden="1">{#N/A,#N/A,FALSE,"cover";#N/A,#N/A,FALSE,"page_1";#N/A,#N/A,FALSE,"page_2";#N/A,#N/A,FALSE,"page_3";#N/A,#N/A,FALSE,"page_4"}</definedName>
    <definedName name="GordonGordonGordon" localSheetId="19" hidden="1">{#N/A,#N/A,FALSE,"cover";#N/A,#N/A,FALSE,"page_1";#N/A,#N/A,FALSE,"page_2";#N/A,#N/A,FALSE,"page_3";#N/A,#N/A,FALSE,"page_4"}</definedName>
    <definedName name="GordonGordonGordon" hidden="1">{#N/A,#N/A,FALSE,"cover";#N/A,#N/A,FALSE,"page_1";#N/A,#N/A,FALSE,"page_2";#N/A,#N/A,FALSE,"page_3";#N/A,#N/A,FALSE,"page_4"}</definedName>
    <definedName name="HeatingIn" localSheetId="56">#REF!</definedName>
    <definedName name="HeatingIn" localSheetId="57">#REF!</definedName>
    <definedName name="HeatingIn" localSheetId="55">#REF!</definedName>
    <definedName name="HeatingIn" localSheetId="10">#REF!</definedName>
    <definedName name="HeatingIn" localSheetId="35">#REF!</definedName>
    <definedName name="HeatingIn" localSheetId="60">#REF!</definedName>
    <definedName name="HeatingIn" localSheetId="51">#REF!</definedName>
    <definedName name="HeatingIn">#REF!</definedName>
    <definedName name="i" localSheetId="68" hidden="1">{#N/A,#N/A,FALSE,"cover";#N/A,#N/A,FALSE,"page_1";#N/A,#N/A,FALSE,"page_2";#N/A,#N/A,FALSE,"page_3";#N/A,#N/A,FALSE,"page_4"}</definedName>
    <definedName name="i" localSheetId="19" hidden="1">{#N/A,#N/A,FALSE,"cover";#N/A,#N/A,FALSE,"page_1";#N/A,#N/A,FALSE,"page_2";#N/A,#N/A,FALSE,"page_3";#N/A,#N/A,FALSE,"page_4"}</definedName>
    <definedName name="i" hidden="1">{#N/A,#N/A,FALSE,"cover";#N/A,#N/A,FALSE,"page_1";#N/A,#N/A,FALSE,"page_2";#N/A,#N/A,FALSE,"page_3";#N/A,#N/A,FALSE,"page_4"}</definedName>
    <definedName name="ID">'[3]Weight Calculation'!$F$13</definedName>
    <definedName name="Inpver" localSheetId="56">#REF!</definedName>
    <definedName name="Inpver" localSheetId="57">#REF!</definedName>
    <definedName name="Inpver" localSheetId="55">#REF!</definedName>
    <definedName name="Inpver" localSheetId="10">#REF!</definedName>
    <definedName name="Inpver" localSheetId="35">#REF!</definedName>
    <definedName name="Inpver" localSheetId="60">#REF!</definedName>
    <definedName name="Inpver" localSheetId="51">#REF!</definedName>
    <definedName name="Inpver">#REF!</definedName>
    <definedName name="kjhkjh" localSheetId="68" hidden="1">{#N/A,#N/A,FALSE,"cover";#N/A,#N/A,FALSE,"page_1";#N/A,#N/A,FALSE,"page_2";#N/A,#N/A,FALSE,"page_3";#N/A,#N/A,FALSE,"page_4"}</definedName>
    <definedName name="kjhkjh" localSheetId="19" hidden="1">{#N/A,#N/A,FALSE,"cover";#N/A,#N/A,FALSE,"page_1";#N/A,#N/A,FALSE,"page_2";#N/A,#N/A,FALSE,"page_3";#N/A,#N/A,FALSE,"page_4"}</definedName>
    <definedName name="kjhkjh" hidden="1">{#N/A,#N/A,FALSE,"cover";#N/A,#N/A,FALSE,"page_1";#N/A,#N/A,FALSE,"page_2";#N/A,#N/A,FALSE,"page_3";#N/A,#N/A,FALSE,"page_4"}</definedName>
    <definedName name="LF">#N/A</definedName>
    <definedName name="LivingIn" localSheetId="56">#REF!</definedName>
    <definedName name="LivingIn" localSheetId="57">#REF!</definedName>
    <definedName name="LivingIn" localSheetId="55">#REF!</definedName>
    <definedName name="LivingIn" localSheetId="10">#REF!</definedName>
    <definedName name="LivingIn" localSheetId="35">#REF!</definedName>
    <definedName name="LivingIn" localSheetId="60">#REF!</definedName>
    <definedName name="LivingIn" localSheetId="51">#REF!</definedName>
    <definedName name="LivingIn">#REF!</definedName>
    <definedName name="LMTD">#N/A</definedName>
    <definedName name="LOAD">#N/A</definedName>
    <definedName name="Location">[5]DCF!$D$7</definedName>
    <definedName name="LOCATIONIN" localSheetId="56">#REF!</definedName>
    <definedName name="LOCATIONIN" localSheetId="57">#REF!</definedName>
    <definedName name="LOCATIONIN" localSheetId="55">#REF!</definedName>
    <definedName name="LOCATIONIN" localSheetId="10">#REF!</definedName>
    <definedName name="LOCATIONIN" localSheetId="35">#REF!</definedName>
    <definedName name="LOCATIONIN" localSheetId="60">#REF!</definedName>
    <definedName name="LOCATIONIN" localSheetId="51">#REF!</definedName>
    <definedName name="LOCATIONIN">#REF!</definedName>
    <definedName name="masscalc">#N/A</definedName>
    <definedName name="masscost">#N/A</definedName>
    <definedName name="MAT">#N/A</definedName>
    <definedName name="MathandIn" localSheetId="56">#REF!</definedName>
    <definedName name="MathandIn" localSheetId="57">#REF!</definedName>
    <definedName name="MathandIn" localSheetId="55">#REF!</definedName>
    <definedName name="MathandIn" localSheetId="10">#REF!</definedName>
    <definedName name="MathandIn" localSheetId="35">#REF!</definedName>
    <definedName name="MathandIn" localSheetId="60">#REF!</definedName>
    <definedName name="MathandIn" localSheetId="51">#REF!</definedName>
    <definedName name="MathandIn">#REF!</definedName>
    <definedName name="matok">#N/A</definedName>
    <definedName name="MAX_RVP" localSheetId="56">#REF!</definedName>
    <definedName name="MAX_RVP" localSheetId="57">#REF!</definedName>
    <definedName name="MAX_RVP" localSheetId="55">#REF!</definedName>
    <definedName name="MAX_RVP" localSheetId="10">#REF!</definedName>
    <definedName name="MAX_RVP" localSheetId="35">#REF!</definedName>
    <definedName name="MAX_RVP" localSheetId="60">#REF!</definedName>
    <definedName name="MAX_RVP" localSheetId="51">#REF!</definedName>
    <definedName name="MAX_RVP">#REF!</definedName>
    <definedName name="Methodology3" localSheetId="68" hidden="1">{#N/A,#N/A,FALSE,"cover";#N/A,#N/A,FALSE,"page_1";#N/A,#N/A,FALSE,"page_2";#N/A,#N/A,FALSE,"page_3";#N/A,#N/A,FALSE,"page_4"}</definedName>
    <definedName name="Methodology3" localSheetId="19" hidden="1">{#N/A,#N/A,FALSE,"cover";#N/A,#N/A,FALSE,"page_1";#N/A,#N/A,FALSE,"page_2";#N/A,#N/A,FALSE,"page_3";#N/A,#N/A,FALSE,"page_4"}</definedName>
    <definedName name="Methodology3" hidden="1">{#N/A,#N/A,FALSE,"cover";#N/A,#N/A,FALSE,"page_1";#N/A,#N/A,FALSE,"page_2";#N/A,#N/A,FALSE,"page_3";#N/A,#N/A,FALSE,"page_4"}</definedName>
    <definedName name="MF">#N/A</definedName>
    <definedName name="MH1IN" localSheetId="56">#REF!</definedName>
    <definedName name="MH1IN" localSheetId="57">#REF!</definedName>
    <definedName name="MH1IN" localSheetId="55">#REF!</definedName>
    <definedName name="MH1IN" localSheetId="10">#REF!</definedName>
    <definedName name="MH1IN" localSheetId="35">#REF!</definedName>
    <definedName name="MH1IN" localSheetId="60">#REF!</definedName>
    <definedName name="MH1IN" localSheetId="51">#REF!</definedName>
    <definedName name="MH1IN">#REF!</definedName>
    <definedName name="MH2IN" localSheetId="56">#REF!</definedName>
    <definedName name="MH2IN" localSheetId="57">#REF!</definedName>
    <definedName name="MH2IN" localSheetId="55">#REF!</definedName>
    <definedName name="MH2IN" localSheetId="10">#REF!</definedName>
    <definedName name="MH2IN" localSheetId="35">#REF!</definedName>
    <definedName name="MH2IN" localSheetId="60">#REF!</definedName>
    <definedName name="MH2IN" localSheetId="51">#REF!</definedName>
    <definedName name="MH2IN">#REF!</definedName>
    <definedName name="MH3IN" localSheetId="56">#REF!</definedName>
    <definedName name="MH3IN" localSheetId="57">#REF!</definedName>
    <definedName name="MH3IN" localSheetId="55">#REF!</definedName>
    <definedName name="MH3IN" localSheetId="10">#REF!</definedName>
    <definedName name="MH3IN" localSheetId="35">#REF!</definedName>
    <definedName name="MH3IN" localSheetId="60">#REF!</definedName>
    <definedName name="MH3IN" localSheetId="51">#REF!</definedName>
    <definedName name="MH3IN">#REF!</definedName>
    <definedName name="MH4IN" localSheetId="56">#REF!</definedName>
    <definedName name="MH4IN" localSheetId="57">#REF!</definedName>
    <definedName name="MH4IN" localSheetId="55">#REF!</definedName>
    <definedName name="MH4IN" localSheetId="10">#REF!</definedName>
    <definedName name="MH4IN" localSheetId="35">#REF!</definedName>
    <definedName name="MH4IN" localSheetId="60">#REF!</definedName>
    <definedName name="MH4IN" localSheetId="51">#REF!</definedName>
    <definedName name="MH4IN">#REF!</definedName>
    <definedName name="MH5IN" localSheetId="56">#REF!</definedName>
    <definedName name="MH5IN" localSheetId="57">#REF!</definedName>
    <definedName name="MH5IN" localSheetId="55">#REF!</definedName>
    <definedName name="MH5IN" localSheetId="10">#REF!</definedName>
    <definedName name="MH5IN" localSheetId="35">#REF!</definedName>
    <definedName name="MH5IN" localSheetId="60">#REF!</definedName>
    <definedName name="MH5IN" localSheetId="51">#REF!</definedName>
    <definedName name="MH5IN">#REF!</definedName>
    <definedName name="MH6IN" localSheetId="56">#REF!</definedName>
    <definedName name="MH6IN" localSheetId="57">#REF!</definedName>
    <definedName name="MH6IN" localSheetId="55">#REF!</definedName>
    <definedName name="MH6IN" localSheetId="10">#REF!</definedName>
    <definedName name="MH6IN" localSheetId="35">#REF!</definedName>
    <definedName name="MH6IN" localSheetId="60">#REF!</definedName>
    <definedName name="MH6IN" localSheetId="51">#REF!</definedName>
    <definedName name="MH6IN">#REF!</definedName>
    <definedName name="MiscIn" localSheetId="56">#REF!</definedName>
    <definedName name="MiscIn" localSheetId="57">#REF!</definedName>
    <definedName name="MiscIn" localSheetId="55">#REF!</definedName>
    <definedName name="MiscIn" localSheetId="10">#REF!</definedName>
    <definedName name="MiscIn" localSheetId="35">#REF!</definedName>
    <definedName name="MiscIn" localSheetId="60">#REF!</definedName>
    <definedName name="MiscIn" localSheetId="51">#REF!</definedName>
    <definedName name="MiscIn">#REF!</definedName>
    <definedName name="N2O_CO2e" localSheetId="56">#REF!</definedName>
    <definedName name="N2O_CO2e" localSheetId="57">#REF!</definedName>
    <definedName name="N2O_CO2e" localSheetId="55">#REF!</definedName>
    <definedName name="N2O_CO2e" localSheetId="10">#REF!</definedName>
    <definedName name="N2O_CO2e" localSheetId="35">#REF!</definedName>
    <definedName name="N2O_CO2e" localSheetId="60">#REF!</definedName>
    <definedName name="N2O_CO2e" localSheetId="51">#REF!</definedName>
    <definedName name="N2O_CO2e">#REF!</definedName>
    <definedName name="NAIN" localSheetId="56">#REF!</definedName>
    <definedName name="NAIN" localSheetId="57">#REF!</definedName>
    <definedName name="NAIN" localSheetId="55">#REF!</definedName>
    <definedName name="NAIN" localSheetId="10">#REF!</definedName>
    <definedName name="NAIN" localSheetId="35">#REF!</definedName>
    <definedName name="NAIN" localSheetId="60">#REF!</definedName>
    <definedName name="NAIN" localSheetId="51">#REF!</definedName>
    <definedName name="NAIN">#REF!</definedName>
    <definedName name="NBIN" localSheetId="56">#REF!</definedName>
    <definedName name="NBIN" localSheetId="57">#REF!</definedName>
    <definedName name="NBIN" localSheetId="55">#REF!</definedName>
    <definedName name="NBIN" localSheetId="10">#REF!</definedName>
    <definedName name="NBIN" localSheetId="35">#REF!</definedName>
    <definedName name="NBIN" localSheetId="60">#REF!</definedName>
    <definedName name="NBIN" localSheetId="51">#REF!</definedName>
    <definedName name="NBIN">#REF!</definedName>
    <definedName name="ncbcb" localSheetId="68" hidden="1">{#N/A,#N/A,FALSE,"cover";#N/A,#N/A,FALSE,"page_1";#N/A,#N/A,FALSE,"page_2";#N/A,#N/A,FALSE,"page_3";#N/A,#N/A,FALSE,"page_4"}</definedName>
    <definedName name="ncbcb" localSheetId="19" hidden="1">{#N/A,#N/A,FALSE,"cover";#N/A,#N/A,FALSE,"page_1";#N/A,#N/A,FALSE,"page_2";#N/A,#N/A,FALSE,"page_3";#N/A,#N/A,FALSE,"page_4"}</definedName>
    <definedName name="ncbcb" hidden="1">{#N/A,#N/A,FALSE,"cover";#N/A,#N/A,FALSE,"page_1";#N/A,#N/A,FALSE,"page_2";#N/A,#N/A,FALSE,"page_3";#N/A,#N/A,FALSE,"page_4"}</definedName>
    <definedName name="NCIN" localSheetId="56">#REF!</definedName>
    <definedName name="NCIN" localSheetId="57">#REF!</definedName>
    <definedName name="NCIN" localSheetId="55">#REF!</definedName>
    <definedName name="NCIN" localSheetId="10">#REF!</definedName>
    <definedName name="NCIN" localSheetId="35">#REF!</definedName>
    <definedName name="NCIN" localSheetId="60">#REF!</definedName>
    <definedName name="NCIN" localSheetId="51">#REF!</definedName>
    <definedName name="NCIN">#REF!</definedName>
    <definedName name="NDIN" localSheetId="56">#REF!</definedName>
    <definedName name="NDIN" localSheetId="57">#REF!</definedName>
    <definedName name="NDIN" localSheetId="55">#REF!</definedName>
    <definedName name="NDIN" localSheetId="10">#REF!</definedName>
    <definedName name="NDIN" localSheetId="35">#REF!</definedName>
    <definedName name="NDIN" localSheetId="60">#REF!</definedName>
    <definedName name="NDIN" localSheetId="51">#REF!</definedName>
    <definedName name="NDIN">#REF!</definedName>
    <definedName name="NEIN" localSheetId="56">#REF!</definedName>
    <definedName name="NEIN" localSheetId="57">#REF!</definedName>
    <definedName name="NEIN" localSheetId="55">#REF!</definedName>
    <definedName name="NEIN" localSheetId="10">#REF!</definedName>
    <definedName name="NEIN" localSheetId="35">#REF!</definedName>
    <definedName name="NEIN" localSheetId="60">#REF!</definedName>
    <definedName name="NEIN" localSheetId="51">#REF!</definedName>
    <definedName name="NEIN">#REF!</definedName>
    <definedName name="NOMLGH">#N/A</definedName>
    <definedName name="NoofGasMet" localSheetId="56">#REF!</definedName>
    <definedName name="NoofGasMet" localSheetId="57">#REF!</definedName>
    <definedName name="NoofGasMet" localSheetId="55">#REF!</definedName>
    <definedName name="NoofGasMet" localSheetId="10">#REF!</definedName>
    <definedName name="NoofGasMet" localSheetId="35">#REF!</definedName>
    <definedName name="NoofGasMet" localSheetId="60">#REF!</definedName>
    <definedName name="NoofGasMet" localSheetId="51">#REF!</definedName>
    <definedName name="NoofGasMet">#REF!</definedName>
    <definedName name="NoOfOilMet" localSheetId="56">#REF!</definedName>
    <definedName name="NoOfOilMet" localSheetId="57">#REF!</definedName>
    <definedName name="NoOfOilMet" localSheetId="55">#REF!</definedName>
    <definedName name="NoOfOilMet" localSheetId="10">#REF!</definedName>
    <definedName name="NoOfOilMet" localSheetId="35">#REF!</definedName>
    <definedName name="NoOfOilMet" localSheetId="60">#REF!</definedName>
    <definedName name="NoOfOilMet" localSheetId="51">#REF!</definedName>
    <definedName name="NoOfOilMet">#REF!</definedName>
    <definedName name="Noofslotsin" localSheetId="56">#REF!</definedName>
    <definedName name="Noofslotsin" localSheetId="57">#REF!</definedName>
    <definedName name="Noofslotsin" localSheetId="55">#REF!</definedName>
    <definedName name="Noofslotsin" localSheetId="10">#REF!</definedName>
    <definedName name="Noofslotsin" localSheetId="35">#REF!</definedName>
    <definedName name="Noofslotsin" localSheetId="60">#REF!</definedName>
    <definedName name="Noofslotsin" localSheetId="51">#REF!</definedName>
    <definedName name="Noofslotsin">#REF!</definedName>
    <definedName name="noplatwellsin" localSheetId="56">#REF!</definedName>
    <definedName name="noplatwellsin" localSheetId="57">#REF!</definedName>
    <definedName name="noplatwellsin" localSheetId="55">#REF!</definedName>
    <definedName name="noplatwellsin" localSheetId="10">#REF!</definedName>
    <definedName name="noplatwellsin" localSheetId="35">#REF!</definedName>
    <definedName name="noplatwellsin" localSheetId="60">#REF!</definedName>
    <definedName name="noplatwellsin" localSheetId="51">#REF!</definedName>
    <definedName name="noplatwellsin">#REF!</definedName>
    <definedName name="NTIN" localSheetId="56">#REF!</definedName>
    <definedName name="NTIN" localSheetId="57">#REF!</definedName>
    <definedName name="NTIN" localSheetId="55">#REF!</definedName>
    <definedName name="NTIN" localSheetId="10">#REF!</definedName>
    <definedName name="NTIN" localSheetId="35">#REF!</definedName>
    <definedName name="NTIN" localSheetId="60">#REF!</definedName>
    <definedName name="NTIN" localSheetId="51">#REF!</definedName>
    <definedName name="NTIN">#REF!</definedName>
    <definedName name="OHTC">#N/A</definedName>
    <definedName name="OILEM">[4]M_B!$G$6</definedName>
    <definedName name="orifice">[6]tables!$A$3:$B$17</definedName>
    <definedName name="orificesize" localSheetId="56">#REF!</definedName>
    <definedName name="orificesize" localSheetId="57">#REF!</definedName>
    <definedName name="orificesize" localSheetId="55">#REF!</definedName>
    <definedName name="orificesize" localSheetId="10">#REF!</definedName>
    <definedName name="orificesize" localSheetId="35">#REF!</definedName>
    <definedName name="orificesize" localSheetId="60">#REF!</definedName>
    <definedName name="orificesize" localSheetId="51">#REF!</definedName>
    <definedName name="orificesize">#REF!</definedName>
    <definedName name="orificetype" localSheetId="56">#REF!</definedName>
    <definedName name="orificetype" localSheetId="57">#REF!</definedName>
    <definedName name="orificetype" localSheetId="55">#REF!</definedName>
    <definedName name="orificetype" localSheetId="10">#REF!</definedName>
    <definedName name="orificetype" localSheetId="35">#REF!</definedName>
    <definedName name="orificetype" localSheetId="60">#REF!</definedName>
    <definedName name="orificetype" localSheetId="51">#REF!</definedName>
    <definedName name="orificetype">#REF!</definedName>
    <definedName name="page_6" localSheetId="68" hidden="1">{#N/A,#N/A,FALSE,"cover";#N/A,#N/A,FALSE,"page_1";#N/A,#N/A,FALSE,"page_2";#N/A,#N/A,FALSE,"page_3";#N/A,#N/A,FALSE,"page_4"}</definedName>
    <definedName name="page_6" localSheetId="19" hidden="1">{#N/A,#N/A,FALSE,"cover";#N/A,#N/A,FALSE,"page_1";#N/A,#N/A,FALSE,"page_2";#N/A,#N/A,FALSE,"page_3";#N/A,#N/A,FALSE,"page_4"}</definedName>
    <definedName name="page_6" hidden="1">{#N/A,#N/A,FALSE,"cover";#N/A,#N/A,FALSE,"page_1";#N/A,#N/A,FALSE,"page_2";#N/A,#N/A,FALSE,"page_3";#N/A,#N/A,FALSE,"page_4"}</definedName>
    <definedName name="PCT_TOL">[2]Input!$F$21</definedName>
    <definedName name="PG1IN" localSheetId="56">#REF!</definedName>
    <definedName name="PG1IN" localSheetId="57">#REF!</definedName>
    <definedName name="PG1IN" localSheetId="55">#REF!</definedName>
    <definedName name="PG1IN" localSheetId="10">#REF!</definedName>
    <definedName name="PG1IN" localSheetId="35">#REF!</definedName>
    <definedName name="PG1IN" localSheetId="60">#REF!</definedName>
    <definedName name="PG1IN" localSheetId="51">#REF!</definedName>
    <definedName name="PG1IN">#REF!</definedName>
    <definedName name="PG2IN" localSheetId="56">#REF!</definedName>
    <definedName name="PG2IN" localSheetId="57">#REF!</definedName>
    <definedName name="PG2IN" localSheetId="55">#REF!</definedName>
    <definedName name="PG2IN" localSheetId="10">#REF!</definedName>
    <definedName name="PG2IN" localSheetId="35">#REF!</definedName>
    <definedName name="PG2IN" localSheetId="60">#REF!</definedName>
    <definedName name="PG2IN" localSheetId="51">#REF!</definedName>
    <definedName name="PG2IN">#REF!</definedName>
    <definedName name="PG3IN" localSheetId="56">#REF!</definedName>
    <definedName name="PG3IN" localSheetId="57">#REF!</definedName>
    <definedName name="PG3IN" localSheetId="55">#REF!</definedName>
    <definedName name="PG3IN" localSheetId="10">#REF!</definedName>
    <definedName name="PG3IN" localSheetId="35">#REF!</definedName>
    <definedName name="PG3IN" localSheetId="60">#REF!</definedName>
    <definedName name="PG3IN" localSheetId="51">#REF!</definedName>
    <definedName name="PG3IN">#REF!</definedName>
    <definedName name="PG4IN" localSheetId="56">#REF!</definedName>
    <definedName name="PG4IN" localSheetId="57">#REF!</definedName>
    <definedName name="PG4IN" localSheetId="55">#REF!</definedName>
    <definedName name="PG4IN" localSheetId="10">#REF!</definedName>
    <definedName name="PG4IN" localSheetId="35">#REF!</definedName>
    <definedName name="PG4IN" localSheetId="60">#REF!</definedName>
    <definedName name="PG4IN" localSheetId="51">#REF!</definedName>
    <definedName name="PG4IN">#REF!</definedName>
    <definedName name="PG5IN" localSheetId="56">#REF!</definedName>
    <definedName name="PG5IN" localSheetId="57">#REF!</definedName>
    <definedName name="PG5IN" localSheetId="55">#REF!</definedName>
    <definedName name="PG5IN" localSheetId="10">#REF!</definedName>
    <definedName name="PG5IN" localSheetId="35">#REF!</definedName>
    <definedName name="PG5IN" localSheetId="60">#REF!</definedName>
    <definedName name="PG5IN" localSheetId="51">#REF!</definedName>
    <definedName name="PG5IN">#REF!</definedName>
    <definedName name="PLSIZE">#N/A</definedName>
    <definedName name="PotableIn" localSheetId="56">#REF!</definedName>
    <definedName name="PotableIn" localSheetId="57">#REF!</definedName>
    <definedName name="PotableIn" localSheetId="55">#REF!</definedName>
    <definedName name="PotableIn" localSheetId="10">#REF!</definedName>
    <definedName name="PotableIn" localSheetId="35">#REF!</definedName>
    <definedName name="PotableIn" localSheetId="60">#REF!</definedName>
    <definedName name="PotableIn" localSheetId="51">#REF!</definedName>
    <definedName name="PotableIn">#REF!</definedName>
    <definedName name="PotableOut" localSheetId="68">[7]Pump!#REF!</definedName>
    <definedName name="PotableOut" localSheetId="56">[8]Pump!#REF!</definedName>
    <definedName name="PotableOut" localSheetId="57">[8]Pump!#REF!</definedName>
    <definedName name="PotableOut" localSheetId="55">[8]Pump!#REF!</definedName>
    <definedName name="PotableOut" localSheetId="10">[8]Pump!#REF!</definedName>
    <definedName name="PotableOut" localSheetId="35">[8]Pump!#REF!</definedName>
    <definedName name="PotableOut" localSheetId="60">[8]Pump!#REF!</definedName>
    <definedName name="PotableOut" localSheetId="51">[8]Pump!#REF!</definedName>
    <definedName name="PotableOut">[8]Pump!#REF!</definedName>
    <definedName name="PowerDisIn" localSheetId="56">#REF!</definedName>
    <definedName name="PowerDisIn" localSheetId="57">#REF!</definedName>
    <definedName name="PowerDisIn" localSheetId="55">#REF!</definedName>
    <definedName name="PowerDisIn" localSheetId="10">#REF!</definedName>
    <definedName name="PowerDisIn" localSheetId="35">#REF!</definedName>
    <definedName name="PowerDisIn" localSheetId="60">#REF!</definedName>
    <definedName name="PowerDisIn" localSheetId="51">#REF!</definedName>
    <definedName name="PowerDisIn">#REF!</definedName>
    <definedName name="PowerGenIn" localSheetId="56">#REF!</definedName>
    <definedName name="PowerGenIn" localSheetId="57">#REF!</definedName>
    <definedName name="PowerGenIn" localSheetId="55">#REF!</definedName>
    <definedName name="PowerGenIn" localSheetId="10">#REF!</definedName>
    <definedName name="PowerGenIn" localSheetId="35">#REF!</definedName>
    <definedName name="PowerGenIn" localSheetId="60">#REF!</definedName>
    <definedName name="PowerGenIn" localSheetId="51">#REF!</definedName>
    <definedName name="PowerGenIn">#REF!</definedName>
    <definedName name="_xlnm.Print_Area" localSheetId="31">'AOT V'!$A$1:$P$44</definedName>
    <definedName name="_xlnm.Print_Area" localSheetId="11">BSG!$A$1:$AK$68</definedName>
    <definedName name="_xlnm.Print_Area" localSheetId="34">'BSG - C'!$A$1:$AK$68</definedName>
    <definedName name="_xlnm.Print_Area" localSheetId="61">'C E'!$A$1:$R$41</definedName>
    <definedName name="_xlnm.Print_Area" localSheetId="68">CO2eEF!$A$1:$U$97</definedName>
    <definedName name="_xlnm.Print_Area" localSheetId="56">'D TP'!$A$1:$AK$68</definedName>
    <definedName name="_xlnm.Print_Area" localSheetId="57">DC!$A$1:$AK$68</definedName>
    <definedName name="_xlnm.Print_Area" localSheetId="47">DFP!$A$1:$AK$68</definedName>
    <definedName name="_xlnm.Print_Area" localSheetId="55">DG!$A$1:$AK$68</definedName>
    <definedName name="_xlnm.Print_Area" localSheetId="58">'DT H'!$A$1:$Q$43</definedName>
    <definedName name="_xlnm.Print_Area" localSheetId="59">'DT V'!$A$1:$P$44</definedName>
    <definedName name="_xlnm.Print_Area" localSheetId="26">'ESD CR'!$A$1:$AK$67</definedName>
    <definedName name="_xlnm.Print_Area" localSheetId="27">'ESD CR SS'!$A$1:$AK$67</definedName>
    <definedName name="_xlnm.Print_Area" localSheetId="10">ESG!$A$1:$AK$68</definedName>
    <definedName name="_xlnm.Print_Area" localSheetId="35">'ESG -C'!$A$1:$AK$68</definedName>
    <definedName name="_xlnm.Print_Area" localSheetId="22">'FE FL V'!$A$1:$AG$45</definedName>
    <definedName name="_xlnm.Print_Area" localSheetId="19">'FE PL F'!$A$1:$AK$68</definedName>
    <definedName name="_xlnm.Print_Area" localSheetId="69">'Fugitive Emissions'!$A$1:$AJ$49</definedName>
    <definedName name="_xlnm.Print_Area" localSheetId="12">GTGs!$A$1:$AK$68</definedName>
    <definedName name="_xlnm.Print_Area" localSheetId="45">'HP FP'!$A$1:$AK$68</definedName>
    <definedName name="_xlnm.Print_Area" localSheetId="46">'HP ICS'!$A$1:$AK$68</definedName>
    <definedName name="_xlnm.Print_Area" localSheetId="24">'HPF ICSS'!$A$1:$AK$68</definedName>
    <definedName name="_xlnm.Print_Area" localSheetId="15">'HPF P&amp;P'!$A$1:$AK$67</definedName>
    <definedName name="_xlnm.Print_Area" localSheetId="17">'HPF pig'!$A$1:$AK$68</definedName>
    <definedName name="_xlnm.Print_Area" localSheetId="16">'HPF TAR'!$A$1:$AK$68</definedName>
    <definedName name="_xlnm.Print_Area" localSheetId="44">'LP FP'!$A$1:$AK$68</definedName>
    <definedName name="_xlnm.Print_Area" localSheetId="14">'LPF P&amp;P'!$A$1:$AK$67</definedName>
    <definedName name="_xlnm.Print_Area" localSheetId="20">LPFConTEG!$A$1:$AK$68</definedName>
    <definedName name="_xlnm.Print_Area" localSheetId="33">'M P'!$A$1:$AK$68</definedName>
    <definedName name="_xlnm.Print_Area" localSheetId="18">MeOHBGF!$A$1:$AK$68</definedName>
    <definedName name="_xlnm.Print_Area" localSheetId="66">'O FE'!$A$1:$AG$45</definedName>
    <definedName name="_xlnm.Print_Area" localSheetId="60">'O SPG'!$A$1:$AK$68</definedName>
    <definedName name="_xlnm.Print_Area" localSheetId="67">'O V'!$A$1:$Q$55</definedName>
    <definedName name="_xlnm.Print_Area" localSheetId="51">OPE!$A$1:$AK$68</definedName>
    <definedName name="_xlnm.Print_Area" localSheetId="21">'OT V'!$A$1:$P$44</definedName>
    <definedName name="_xlnm.Print_Area" localSheetId="62">'OV FR'!$A$1:$AG$45</definedName>
    <definedName name="_xlnm.Print_Area" localSheetId="63">'OV IPC'!$A$1:$AG$45</definedName>
    <definedName name="_xlnm.Print_Area" localSheetId="65">'OV PSVL'!$A$1:$AG$45</definedName>
    <definedName name="_xlnm.Print_Area" localSheetId="64">'OV PT'!$A$1:$AG$45</definedName>
    <definedName name="_xlnm.Print_Area" localSheetId="29">'PBD DP'!$A$1:$AK$67</definedName>
    <definedName name="_xlnm.Print_Area" localSheetId="28">'PBD PP'!$A$1:$AK$67</definedName>
    <definedName name="_xlnm.Print_Area" localSheetId="50">'Precom D O'!$A$1:$AK$68</definedName>
    <definedName name="_xlnm.Print_Area" localSheetId="41">'Precom DP D'!$A$1:$AK$68</definedName>
    <definedName name="_xlnm.Print_Area" localSheetId="38">'Precom DP P'!$A$1:$AK$68</definedName>
    <definedName name="_xlnm.Print_Area" localSheetId="39">'Precom F D'!$A$1:$AK$68</definedName>
    <definedName name="_xlnm.Print_Area" localSheetId="42">'Precom F GPP'!$A$1:$AK$68</definedName>
    <definedName name="_xlnm.Print_Area" localSheetId="48">'Precom F O'!$A$1:$AK$68</definedName>
    <definedName name="_xlnm.Print_Area" localSheetId="36">'Precom F P'!$A$1:$AK$68</definedName>
    <definedName name="_xlnm.Print_Area" localSheetId="40">'Precom H D'!$A$1:$AK$68</definedName>
    <definedName name="_xlnm.Print_Area" localSheetId="49">'Precom H O'!$A$1:$AK$68</definedName>
    <definedName name="_xlnm.Print_Area" localSheetId="37">'Precom H P'!$A$1:$AK$68</definedName>
    <definedName name="_xlnm.Print_Area" localSheetId="43">'Precom L GPP'!$A$1:$AK$68</definedName>
    <definedName name="_xlnm.Print_Area" localSheetId="25">'PSD WR'!$A$1:$AK$67</definedName>
    <definedName name="_xlnm.Print_Area" localSheetId="0">Revision!$A$1:$J$14</definedName>
    <definedName name="_xlnm.Print_Area" localSheetId="32">'SWP HU'!$A$1:$AK$68</definedName>
    <definedName name="_xlnm.Print_Area" localSheetId="53">'T H'!$A$1:$Q$43</definedName>
    <definedName name="_xlnm.Print_Area" localSheetId="30">'T H (E-M)'!$A$1:$Q$43</definedName>
    <definedName name="_xlnm.Print_Area" localSheetId="54">'T Vs'!$A$1:$W$44</definedName>
    <definedName name="_xlnm.Print_Area" localSheetId="13">TEMPSC!$A$1:$AK$68</definedName>
    <definedName name="_xlnm.Print_Area" localSheetId="52">'V SUG'!$A$1:$AG$45</definedName>
    <definedName name="_xlnm.Print_Area" localSheetId="23">VA!$A$1:$AG$45</definedName>
    <definedName name="printmacro">#N/A</definedName>
    <definedName name="ProdWatIn" localSheetId="56">#REF!</definedName>
    <definedName name="ProdWatIn" localSheetId="57">#REF!</definedName>
    <definedName name="ProdWatIn" localSheetId="55">#REF!</definedName>
    <definedName name="ProdWatIn" localSheetId="10">#REF!</definedName>
    <definedName name="ProdWatIn" localSheetId="35">#REF!</definedName>
    <definedName name="ProdWatIn" localSheetId="60">#REF!</definedName>
    <definedName name="ProdWatIn" localSheetId="51">#REF!</definedName>
    <definedName name="ProdWatIn">#REF!</definedName>
    <definedName name="rang">[9]Sheet2!$A$2:$B$8</definedName>
    <definedName name="range">[6]tables!$R$71:$S$77</definedName>
    <definedName name="RHO">#N/A</definedName>
    <definedName name="RHOW">[4]M_B!$G$5</definedName>
    <definedName name="RVP_BASIS" localSheetId="56">#REF!</definedName>
    <definedName name="RVP_BASIS" localSheetId="57">#REF!</definedName>
    <definedName name="RVP_BASIS" localSheetId="55">#REF!</definedName>
    <definedName name="RVP_BASIS" localSheetId="10">#REF!</definedName>
    <definedName name="RVP_BASIS" localSheetId="35">#REF!</definedName>
    <definedName name="RVP_BASIS" localSheetId="60">#REF!</definedName>
    <definedName name="RVP_BASIS" localSheetId="51">#REF!</definedName>
    <definedName name="RVP_BASIS">#REF!</definedName>
    <definedName name="RVP_MAX" localSheetId="56">#REF!</definedName>
    <definedName name="RVP_MAX" localSheetId="57">#REF!</definedName>
    <definedName name="RVP_MAX" localSheetId="55">#REF!</definedName>
    <definedName name="RVP_MAX" localSheetId="10">#REF!</definedName>
    <definedName name="RVP_MAX" localSheetId="35">#REF!</definedName>
    <definedName name="RVP_MAX" localSheetId="60">#REF!</definedName>
    <definedName name="RVP_MAX" localSheetId="51">#REF!</definedName>
    <definedName name="RVP_MAX">#REF!</definedName>
    <definedName name="s" localSheetId="68" hidden="1">{#N/A,#N/A,FALSE,"cover";#N/A,#N/A,FALSE,"page_1";#N/A,#N/A,FALSE,"page_2";#N/A,#N/A,FALSE,"page_3";#N/A,#N/A,FALSE,"page_4"}</definedName>
    <definedName name="s" localSheetId="19" hidden="1">{#N/A,#N/A,FALSE,"cover";#N/A,#N/A,FALSE,"page_1";#N/A,#N/A,FALSE,"page_2";#N/A,#N/A,FALSE,"page_3";#N/A,#N/A,FALSE,"page_4"}</definedName>
    <definedName name="s" hidden="1">{#N/A,#N/A,FALSE,"cover";#N/A,#N/A,FALSE,"page_1";#N/A,#N/A,FALSE,"page_2";#N/A,#N/A,FALSE,"page_3";#N/A,#N/A,FALSE,"page_4"}</definedName>
    <definedName name="S1DP">#N/A</definedName>
    <definedName name="S1DT">#N/A</definedName>
    <definedName name="S1HM">#N/A</definedName>
    <definedName name="S1HTC">#N/A</definedName>
    <definedName name="S1IP">#N/A</definedName>
    <definedName name="S1K">#N/A</definedName>
    <definedName name="S1MU">#N/A</definedName>
    <definedName name="S1NTU">#N/A</definedName>
    <definedName name="S1PD">#N/A</definedName>
    <definedName name="S1RHO">#N/A</definedName>
    <definedName name="S1TAV">#N/A</definedName>
    <definedName name="S1TC">#N/A</definedName>
    <definedName name="S1TI">#N/A</definedName>
    <definedName name="S1TO">#N/A</definedName>
    <definedName name="S2DP">#N/A</definedName>
    <definedName name="S2DT">#N/A</definedName>
    <definedName name="S2HM">#N/A</definedName>
    <definedName name="S2HTC">#N/A</definedName>
    <definedName name="S2IP">#N/A</definedName>
    <definedName name="S2K">#N/A</definedName>
    <definedName name="S2MU">#N/A</definedName>
    <definedName name="S2NTU">#N/A</definedName>
    <definedName name="S2PD">#N/A</definedName>
    <definedName name="S2RHO">#N/A</definedName>
    <definedName name="S2TAV">#N/A</definedName>
    <definedName name="S2TC">#N/A</definedName>
    <definedName name="S2TI">#N/A</definedName>
    <definedName name="S2TO">#N/A</definedName>
    <definedName name="SA">#N/A</definedName>
    <definedName name="SafetyIn" localSheetId="56">#REF!</definedName>
    <definedName name="SafetyIn" localSheetId="57">#REF!</definedName>
    <definedName name="SafetyIn" localSheetId="55">#REF!</definedName>
    <definedName name="SafetyIn" localSheetId="10">#REF!</definedName>
    <definedName name="SafetyIn" localSheetId="35">#REF!</definedName>
    <definedName name="SafetyIn" localSheetId="60">#REF!</definedName>
    <definedName name="SafetyIn" localSheetId="51">#REF!</definedName>
    <definedName name="SafetyIn">#REF!</definedName>
    <definedName name="SCF_to_Sm3" localSheetId="56">#REF!</definedName>
    <definedName name="SCF_to_Sm3" localSheetId="57">#REF!</definedName>
    <definedName name="SCF_to_Sm3" localSheetId="55">#REF!</definedName>
    <definedName name="SCF_to_Sm3" localSheetId="10">#REF!</definedName>
    <definedName name="SCF_to_Sm3" localSheetId="35">#REF!</definedName>
    <definedName name="SCF_to_Sm3" localSheetId="60">#REF!</definedName>
    <definedName name="SCF_to_Sm3" localSheetId="51">#REF!</definedName>
    <definedName name="SCF_to_Sm3">#REF!</definedName>
    <definedName name="SeawaterIn" localSheetId="56">#REF!</definedName>
    <definedName name="SeawaterIn" localSheetId="57">#REF!</definedName>
    <definedName name="SeawaterIn" localSheetId="55">#REF!</definedName>
    <definedName name="SeawaterIn" localSheetId="10">#REF!</definedName>
    <definedName name="SeawaterIn" localSheetId="35">#REF!</definedName>
    <definedName name="SeawaterIn" localSheetId="60">#REF!</definedName>
    <definedName name="SeawaterIn" localSheetId="51">#REF!</definedName>
    <definedName name="SeawaterIn">#REF!</definedName>
    <definedName name="sencount" hidden="1">1</definedName>
    <definedName name="SeparatorIn" localSheetId="56">#REF!</definedName>
    <definedName name="SeparatorIn" localSheetId="57">#REF!</definedName>
    <definedName name="SeparatorIn" localSheetId="55">#REF!</definedName>
    <definedName name="SeparatorIn" localSheetId="10">#REF!</definedName>
    <definedName name="SeparatorIn" localSheetId="35">#REF!</definedName>
    <definedName name="SeparatorIn" localSheetId="60">#REF!</definedName>
    <definedName name="SeparatorIn" localSheetId="51">#REF!</definedName>
    <definedName name="SeparatorIn">#REF!</definedName>
    <definedName name="ShellMat">'[3]Weight Calculation'!$F$21</definedName>
    <definedName name="Spec" localSheetId="56">#REF!</definedName>
    <definedName name="Spec" localSheetId="57">#REF!</definedName>
    <definedName name="Spec" localSheetId="55">#REF!</definedName>
    <definedName name="Spec" localSheetId="10">#REF!</definedName>
    <definedName name="Spec" localSheetId="35">#REF!</definedName>
    <definedName name="Spec" localSheetId="60">#REF!</definedName>
    <definedName name="Spec" localSheetId="51">#REF!</definedName>
    <definedName name="Spec">#REF!</definedName>
    <definedName name="STB_to_SM3" localSheetId="56">#REF!</definedName>
    <definedName name="STB_to_SM3" localSheetId="57">#REF!</definedName>
    <definedName name="STB_to_SM3" localSheetId="55">#REF!</definedName>
    <definedName name="STB_to_SM3" localSheetId="10">#REF!</definedName>
    <definedName name="STB_to_SM3" localSheetId="35">#REF!</definedName>
    <definedName name="STB_to_SM3" localSheetId="60">#REF!</definedName>
    <definedName name="STB_to_SM3" localSheetId="51">#REF!</definedName>
    <definedName name="STB_to_SM3">#REF!</definedName>
    <definedName name="t" localSheetId="68" hidden="1">{#N/A,#N/A,FALSE,"cover";#N/A,#N/A,FALSE,"page_1";#N/A,#N/A,FALSE,"page_2";#N/A,#N/A,FALSE,"page_3";#N/A,#N/A,FALSE,"page_4"}</definedName>
    <definedName name="t" localSheetId="19" hidden="1">{#N/A,#N/A,FALSE,"cover";#N/A,#N/A,FALSE,"page_1";#N/A,#N/A,FALSE,"page_2";#N/A,#N/A,FALSE,"page_3";#N/A,#N/A,FALSE,"page_4"}</definedName>
    <definedName name="t" hidden="1">{#N/A,#N/A,FALSE,"cover";#N/A,#N/A,FALSE,"page_1";#N/A,#N/A,FALSE,"page_2";#N/A,#N/A,FALSE,"page_3";#N/A,#N/A,FALSE,"page_4"}</definedName>
    <definedName name="T_T">'[3]Weight Calculation'!$F$14</definedName>
    <definedName name="TAIN" localSheetId="56">#REF!</definedName>
    <definedName name="TAIN" localSheetId="57">#REF!</definedName>
    <definedName name="TAIN" localSheetId="55">#REF!</definedName>
    <definedName name="TAIN" localSheetId="10">#REF!</definedName>
    <definedName name="TAIN" localSheetId="35">#REF!</definedName>
    <definedName name="TAIN" localSheetId="60">#REF!</definedName>
    <definedName name="TAIN" localSheetId="51">#REF!</definedName>
    <definedName name="TAIN">#REF!</definedName>
    <definedName name="TBIN" localSheetId="56">#REF!</definedName>
    <definedName name="TBIN" localSheetId="57">#REF!</definedName>
    <definedName name="TBIN" localSheetId="55">#REF!</definedName>
    <definedName name="TBIN" localSheetId="10">#REF!</definedName>
    <definedName name="TBIN" localSheetId="35">#REF!</definedName>
    <definedName name="TBIN" localSheetId="60">#REF!</definedName>
    <definedName name="TBIN" localSheetId="51">#REF!</definedName>
    <definedName name="TBIN">#REF!</definedName>
    <definedName name="TCIN" localSheetId="56">#REF!</definedName>
    <definedName name="TCIN" localSheetId="57">#REF!</definedName>
    <definedName name="TCIN" localSheetId="55">#REF!</definedName>
    <definedName name="TCIN" localSheetId="10">#REF!</definedName>
    <definedName name="TCIN" localSheetId="35">#REF!</definedName>
    <definedName name="TCIN" localSheetId="60">#REF!</definedName>
    <definedName name="TCIN" localSheetId="51">#REF!</definedName>
    <definedName name="TCIN">#REF!</definedName>
    <definedName name="TD">#N/A</definedName>
    <definedName name="TDIN" localSheetId="56">#REF!</definedName>
    <definedName name="TDIN" localSheetId="57">#REF!</definedName>
    <definedName name="TDIN" localSheetId="55">#REF!</definedName>
    <definedName name="TDIN" localSheetId="10">#REF!</definedName>
    <definedName name="TDIN" localSheetId="35">#REF!</definedName>
    <definedName name="TDIN" localSheetId="60">#REF!</definedName>
    <definedName name="TDIN" localSheetId="51">#REF!</definedName>
    <definedName name="TDIN">#REF!</definedName>
    <definedName name="TEIN" localSheetId="56">#REF!</definedName>
    <definedName name="TEIN" localSheetId="57">#REF!</definedName>
    <definedName name="TEIN" localSheetId="55">#REF!</definedName>
    <definedName name="TEIN" localSheetId="10">#REF!</definedName>
    <definedName name="TEIN" localSheetId="35">#REF!</definedName>
    <definedName name="TEIN" localSheetId="60">#REF!</definedName>
    <definedName name="TEIN" localSheetId="51">#REF!</definedName>
    <definedName name="TEIN">#REF!</definedName>
    <definedName name="TelecommIn" localSheetId="56">#REF!</definedName>
    <definedName name="TelecommIn" localSheetId="57">#REF!</definedName>
    <definedName name="TelecommIn" localSheetId="55">#REF!</definedName>
    <definedName name="TelecommIn" localSheetId="10">#REF!</definedName>
    <definedName name="TelecommIn" localSheetId="35">#REF!</definedName>
    <definedName name="TelecommIn" localSheetId="60">#REF!</definedName>
    <definedName name="TelecommIn" localSheetId="51">#REF!</definedName>
    <definedName name="TelecommIn">#REF!</definedName>
    <definedName name="test" localSheetId="56">#REF!</definedName>
    <definedName name="test" localSheetId="57">#REF!</definedName>
    <definedName name="test" localSheetId="55">#REF!</definedName>
    <definedName name="test" localSheetId="10">#REF!</definedName>
    <definedName name="test" localSheetId="35">#REF!</definedName>
    <definedName name="test" localSheetId="60">#REF!</definedName>
    <definedName name="test" localSheetId="51">#REF!</definedName>
    <definedName name="test">#REF!</definedName>
    <definedName name="TFACT">#N/A</definedName>
    <definedName name="TRK_TOL">[2]Input!$F$22</definedName>
    <definedName name="TTIN" localSheetId="56">#REF!</definedName>
    <definedName name="TTIN" localSheetId="57">#REF!</definedName>
    <definedName name="TTIN" localSheetId="55">#REF!</definedName>
    <definedName name="TTIN" localSheetId="10">#REF!</definedName>
    <definedName name="TTIN" localSheetId="35">#REF!</definedName>
    <definedName name="TTIN" localSheetId="60">#REF!</definedName>
    <definedName name="TTIN" localSheetId="51">#REF!</definedName>
    <definedName name="TTIN">#REF!</definedName>
    <definedName name="TVP_BASIS" localSheetId="56">#REF!</definedName>
    <definedName name="TVP_BASIS" localSheetId="57">#REF!</definedName>
    <definedName name="TVP_BASIS" localSheetId="55">#REF!</definedName>
    <definedName name="TVP_BASIS" localSheetId="10">#REF!</definedName>
    <definedName name="TVP_BASIS" localSheetId="35">#REF!</definedName>
    <definedName name="TVP_BASIS" localSheetId="60">#REF!</definedName>
    <definedName name="TVP_BASIS" localSheetId="51">#REF!</definedName>
    <definedName name="TVP_BASIS">#REF!</definedName>
    <definedName name="TVP_MAX" localSheetId="56">#REF!</definedName>
    <definedName name="TVP_MAX" localSheetId="57">#REF!</definedName>
    <definedName name="TVP_MAX" localSheetId="55">#REF!</definedName>
    <definedName name="TVP_MAX" localSheetId="10">#REF!</definedName>
    <definedName name="TVP_MAX" localSheetId="35">#REF!</definedName>
    <definedName name="TVP_MAX" localSheetId="60">#REF!</definedName>
    <definedName name="TVP_MAX" localSheetId="51">#REF!</definedName>
    <definedName name="TVP_MAX">#REF!</definedName>
    <definedName name="vbnc" localSheetId="68" hidden="1">{#N/A,#N/A,FALSE,"cover";#N/A,#N/A,FALSE,"page_1";#N/A,#N/A,FALSE,"page_2";#N/A,#N/A,FALSE,"page_3";#N/A,#N/A,FALSE,"page_4"}</definedName>
    <definedName name="vbnc" localSheetId="19" hidden="1">{#N/A,#N/A,FALSE,"cover";#N/A,#N/A,FALSE,"page_1";#N/A,#N/A,FALSE,"page_2";#N/A,#N/A,FALSE,"page_3";#N/A,#N/A,FALSE,"page_4"}</definedName>
    <definedName name="vbnc" hidden="1">{#N/A,#N/A,FALSE,"cover";#N/A,#N/A,FALSE,"page_1";#N/A,#N/A,FALSE,"page_2";#N/A,#N/A,FALSE,"page_3";#N/A,#N/A,FALSE,"page_4"}</definedName>
    <definedName name="VessWtDry">'[3]Weight Calculation'!$F$105</definedName>
    <definedName name="VessWtOp">'[3]Weight Calculation'!$F$120</definedName>
    <definedName name="viscositycorrec" localSheetId="56">#REF!</definedName>
    <definedName name="viscositycorrec" localSheetId="57">#REF!</definedName>
    <definedName name="viscositycorrec" localSheetId="55">#REF!</definedName>
    <definedName name="viscositycorrec" localSheetId="10">#REF!</definedName>
    <definedName name="viscositycorrec" localSheetId="35">#REF!</definedName>
    <definedName name="viscositycorrec" localSheetId="60">#REF!</definedName>
    <definedName name="viscositycorrec" localSheetId="51">#REF!</definedName>
    <definedName name="viscositycorrec">#REF!</definedName>
    <definedName name="vvvvvvv" localSheetId="68" hidden="1">{#N/A,#N/A,FALSE,"cover";#N/A,#N/A,FALSE,"page_1";#N/A,#N/A,FALSE,"page_2";#N/A,#N/A,FALSE,"page_3";#N/A,#N/A,FALSE,"page_4"}</definedName>
    <definedName name="vvvvvvv" localSheetId="19" hidden="1">{#N/A,#N/A,FALSE,"cover";#N/A,#N/A,FALSE,"page_1";#N/A,#N/A,FALSE,"page_2";#N/A,#N/A,FALSE,"page_3";#N/A,#N/A,FALSE,"page_4"}</definedName>
    <definedName name="vvvvvvv" hidden="1">{#N/A,#N/A,FALSE,"cover";#N/A,#N/A,FALSE,"page_1";#N/A,#N/A,FALSE,"page_2";#N/A,#N/A,FALSE,"page_3";#N/A,#N/A,FALSE,"page_4"}</definedName>
    <definedName name="WatDens">'[3]Weight Calculation'!$F$110</definedName>
    <definedName name="WatInjIn" localSheetId="56">#REF!</definedName>
    <definedName name="WatInjIn" localSheetId="57">#REF!</definedName>
    <definedName name="WatInjIn" localSheetId="55">#REF!</definedName>
    <definedName name="WatInjIn" localSheetId="10">#REF!</definedName>
    <definedName name="WatInjIn" localSheetId="35">#REF!</definedName>
    <definedName name="WatInjIn" localSheetId="60">#REF!</definedName>
    <definedName name="WatInjIn" localSheetId="51">#REF!</definedName>
    <definedName name="WatInjIn">#REF!</definedName>
    <definedName name="Well" localSheetId="56">#REF!</definedName>
    <definedName name="Well" localSheetId="57">#REF!</definedName>
    <definedName name="Well" localSheetId="55">#REF!</definedName>
    <definedName name="Well" localSheetId="10">#REF!</definedName>
    <definedName name="Well" localSheetId="35">#REF!</definedName>
    <definedName name="Well" localSheetId="60">#REF!</definedName>
    <definedName name="Well" localSheetId="51">#REF!</definedName>
    <definedName name="Well">#REF!</definedName>
    <definedName name="Well_Data" localSheetId="56">#REF!</definedName>
    <definedName name="Well_Data" localSheetId="57">#REF!</definedName>
    <definedName name="Well_Data" localSheetId="55">#REF!</definedName>
    <definedName name="Well_Data" localSheetId="10">#REF!</definedName>
    <definedName name="Well_Data" localSheetId="35">#REF!</definedName>
    <definedName name="Well_Data" localSheetId="60">#REF!</definedName>
    <definedName name="Well_Data" localSheetId="51">#REF!</definedName>
    <definedName name="Well_Data">#REF!</definedName>
    <definedName name="WellheadIn" localSheetId="56">#REF!</definedName>
    <definedName name="WellheadIn" localSheetId="57">#REF!</definedName>
    <definedName name="WellheadIn" localSheetId="55">#REF!</definedName>
    <definedName name="WellheadIn" localSheetId="10">#REF!</definedName>
    <definedName name="WellheadIn" localSheetId="35">#REF!</definedName>
    <definedName name="WellheadIn" localSheetId="60">#REF!</definedName>
    <definedName name="WellheadIn" localSheetId="51">#REF!</definedName>
    <definedName name="WellheadIn">#REF!</definedName>
    <definedName name="wrn.Calulation._.Sheets." localSheetId="68" hidden="1">{#N/A,#N/A,FALSE,"cover";#N/A,#N/A,FALSE,"page_1";#N/A,#N/A,FALSE,"page_2";#N/A,#N/A,FALSE,"page_3";#N/A,#N/A,FALSE,"page_4"}</definedName>
    <definedName name="wrn.Calulation._.Sheets." localSheetId="19" hidden="1">{#N/A,#N/A,FALSE,"cover";#N/A,#N/A,FALSE,"page_1";#N/A,#N/A,FALSE,"page_2";#N/A,#N/A,FALSE,"page_3";#N/A,#N/A,FALSE,"page_4"}</definedName>
    <definedName name="wrn.Calulation._.Sheets." hidden="1">{#N/A,#N/A,FALSE,"cover";#N/A,#N/A,FALSE,"page_1";#N/A,#N/A,FALSE,"page_2";#N/A,#N/A,FALSE,"page_3";#N/A,#N/A,FALSE,"page_4"}</definedName>
    <definedName name="xv" localSheetId="68" hidden="1">{#N/A,#N/A,FALSE,"cover";#N/A,#N/A,FALSE,"page_1";#N/A,#N/A,FALSE,"page_2";#N/A,#N/A,FALSE,"page_3";#N/A,#N/A,FALSE,"page_4"}</definedName>
    <definedName name="xv" localSheetId="19" hidden="1">{#N/A,#N/A,FALSE,"cover";#N/A,#N/A,FALSE,"page_1";#N/A,#N/A,FALSE,"page_2";#N/A,#N/A,FALSE,"page_3";#N/A,#N/A,FALSE,"page_4"}</definedName>
    <definedName name="xv" hidden="1">{#N/A,#N/A,FALSE,"cover";#N/A,#N/A,FALSE,"page_1";#N/A,#N/A,FALSE,"page_2";#N/A,#N/A,FALSE,"page_3";#N/A,#N/A,FALSE,"page_4"}</definedName>
    <definedName name="yhytr" localSheetId="68" hidden="1">{#N/A,#N/A,FALSE,"cover";#N/A,#N/A,FALSE,"page_1";#N/A,#N/A,FALSE,"page_2";#N/A,#N/A,FALSE,"page_3";#N/A,#N/A,FALSE,"page_4"}</definedName>
    <definedName name="yhytr" localSheetId="19" hidden="1">{#N/A,#N/A,FALSE,"cover";#N/A,#N/A,FALSE,"page_1";#N/A,#N/A,FALSE,"page_2";#N/A,#N/A,FALSE,"page_3";#N/A,#N/A,FALSE,"page_4"}</definedName>
    <definedName name="yhytr" hidden="1">{#N/A,#N/A,FALSE,"cover";#N/A,#N/A,FALSE,"page_1";#N/A,#N/A,FALSE,"page_2";#N/A,#N/A,FALSE,"page_3";#N/A,#N/A,FALSE,"page_4"}</definedName>
    <definedName name="zz" localSheetId="68" hidden="1">{#N/A,#N/A,FALSE,"cover";#N/A,#N/A,FALSE,"page_1";#N/A,#N/A,FALSE,"page_2";#N/A,#N/A,FALSE,"page_3";#N/A,#N/A,FALSE,"page_4"}</definedName>
    <definedName name="zz" localSheetId="19" hidden="1">{#N/A,#N/A,FALSE,"cover";#N/A,#N/A,FALSE,"page_1";#N/A,#N/A,FALSE,"page_2";#N/A,#N/A,FALSE,"page_3";#N/A,#N/A,FALSE,"page_4"}</definedName>
    <definedName name="zz" hidden="1">{#N/A,#N/A,FALSE,"cover";#N/A,#N/A,FALSE,"page_1";#N/A,#N/A,FALSE,"page_2";#N/A,#N/A,FALSE,"page_3";#N/A,#N/A,FALSE,"page_4"}</definedName>
    <definedName name="zzz" localSheetId="68" hidden="1">{#N/A,#N/A,FALSE,"cover";#N/A,#N/A,FALSE,"page_1";#N/A,#N/A,FALSE,"page_2";#N/A,#N/A,FALSE,"page_3";#N/A,#N/A,FALSE,"page_4"}</definedName>
    <definedName name="zzz" localSheetId="19" hidden="1">{#N/A,#N/A,FALSE,"cover";#N/A,#N/A,FALSE,"page_1";#N/A,#N/A,FALSE,"page_2";#N/A,#N/A,FALSE,"page_3";#N/A,#N/A,FALSE,"page_4"}</definedName>
    <definedName name="zzz" hidden="1">{#N/A,#N/A,FALSE,"cover";#N/A,#N/A,FALSE,"page_1";#N/A,#N/A,FALSE,"page_2";#N/A,#N/A,FALSE,"page_3";#N/A,#N/A,FALSE,"page_4"}</definedName>
    <definedName name="zzzz" localSheetId="68" hidden="1">{#N/A,#N/A,FALSE,"cover";#N/A,#N/A,FALSE,"page_1";#N/A,#N/A,FALSE,"page_2";#N/A,#N/A,FALSE,"page_3";#N/A,#N/A,FALSE,"page_4"}</definedName>
    <definedName name="zzzz" localSheetId="19" hidden="1">{#N/A,#N/A,FALSE,"cover";#N/A,#N/A,FALSE,"page_1";#N/A,#N/A,FALSE,"page_2";#N/A,#N/A,FALSE,"page_3";#N/A,#N/A,FALSE,"page_4"}</definedName>
    <definedName name="zzzz" hidden="1">{#N/A,#N/A,FALSE,"cover";#N/A,#N/A,FALSE,"page_1";#N/A,#N/A,FALSE,"page_2";#N/A,#N/A,FALSE,"page_3";#N/A,#N/A,FALSE,"page_4"}</definedName>
    <definedName name="zzzzz" localSheetId="68" hidden="1">{#N/A,#N/A,FALSE,"cover";#N/A,#N/A,FALSE,"page_1";#N/A,#N/A,FALSE,"page_2";#N/A,#N/A,FALSE,"page_3";#N/A,#N/A,FALSE,"page_4"}</definedName>
    <definedName name="zzzzz" localSheetId="19" hidden="1">{#N/A,#N/A,FALSE,"cover";#N/A,#N/A,FALSE,"page_1";#N/A,#N/A,FALSE,"page_2";#N/A,#N/A,FALSE,"page_3";#N/A,#N/A,FALSE,"page_4"}</definedName>
    <definedName name="zzzzz" hidden="1">{#N/A,#N/A,FALSE,"cover";#N/A,#N/A,FALSE,"page_1";#N/A,#N/A,FALSE,"page_2";#N/A,#N/A,FALSE,"page_3";#N/A,#N/A,FALSE,"page_4"}</definedName>
    <definedName name="zzzzzz" localSheetId="68" hidden="1">{#N/A,#N/A,FALSE,"cover";#N/A,#N/A,FALSE,"page_1";#N/A,#N/A,FALSE,"page_2";#N/A,#N/A,FALSE,"page_3";#N/A,#N/A,FALSE,"page_4"}</definedName>
    <definedName name="zzzzzz" localSheetId="19" hidden="1">{#N/A,#N/A,FALSE,"cover";#N/A,#N/A,FALSE,"page_1";#N/A,#N/A,FALSE,"page_2";#N/A,#N/A,FALSE,"page_3";#N/A,#N/A,FALSE,"page_4"}</definedName>
    <definedName name="zzzzzz" hidden="1">{#N/A,#N/A,FALSE,"cover";#N/A,#N/A,FALSE,"page_1";#N/A,#N/A,FALSE,"page_2";#N/A,#N/A,FALSE,"page_3";#N/A,#N/A,FALSE,"page_4"}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 i="84" l="1"/>
  <c r="J32" i="108"/>
  <c r="J31" i="108"/>
  <c r="H6" i="143"/>
  <c r="P22" i="122"/>
  <c r="O22" i="122"/>
  <c r="N22" i="122"/>
  <c r="M22" i="122"/>
  <c r="L22" i="122"/>
  <c r="K22" i="122"/>
  <c r="J22" i="122"/>
  <c r="I22" i="122"/>
  <c r="H22" i="122"/>
  <c r="M62" i="71"/>
  <c r="G46" i="126"/>
  <c r="G46" i="71"/>
  <c r="L21" i="54"/>
  <c r="L17" i="54"/>
  <c r="F93" i="54"/>
  <c r="F92" i="54"/>
  <c r="F91" i="54"/>
  <c r="F90" i="54"/>
  <c r="F89" i="54"/>
  <c r="F88" i="54"/>
  <c r="F87" i="54"/>
  <c r="F86" i="54"/>
  <c r="X25" i="163"/>
  <c r="AM25" i="163"/>
  <c r="P61" i="163"/>
  <c r="L61" i="163"/>
  <c r="P60" i="163"/>
  <c r="L60" i="163"/>
  <c r="AR52" i="163"/>
  <c r="F52" i="163"/>
  <c r="AR51" i="163"/>
  <c r="AR50" i="163"/>
  <c r="AR49" i="163"/>
  <c r="F49" i="163"/>
  <c r="AR48" i="163"/>
  <c r="AX47" i="163"/>
  <c r="AV47" i="163"/>
  <c r="AU47" i="163"/>
  <c r="AS47" i="163"/>
  <c r="AT47" i="163"/>
  <c r="AW47" i="163"/>
  <c r="AR47" i="163"/>
  <c r="L47" i="163"/>
  <c r="L53" i="163"/>
  <c r="F47" i="163"/>
  <c r="AX46" i="163"/>
  <c r="AW46" i="163"/>
  <c r="AV46" i="163"/>
  <c r="AU46" i="163"/>
  <c r="AT46" i="163"/>
  <c r="AS46" i="163"/>
  <c r="AR46" i="163"/>
  <c r="AX45" i="163"/>
  <c r="AV45" i="163"/>
  <c r="AU45" i="163"/>
  <c r="AS45" i="163"/>
  <c r="AT45" i="163"/>
  <c r="AW45" i="163"/>
  <c r="AR45" i="163"/>
  <c r="X45" i="163"/>
  <c r="X44" i="163"/>
  <c r="X42" i="163"/>
  <c r="AX43" i="163"/>
  <c r="AV43" i="163"/>
  <c r="AU43" i="163"/>
  <c r="AS43" i="163"/>
  <c r="AT43" i="163"/>
  <c r="AW43" i="163"/>
  <c r="AR43" i="163"/>
  <c r="AX42" i="163"/>
  <c r="AV42" i="163"/>
  <c r="AU42" i="163"/>
  <c r="AT42" i="163"/>
  <c r="AW42" i="163"/>
  <c r="AS42" i="163"/>
  <c r="AR42" i="163"/>
  <c r="F42" i="163"/>
  <c r="AX41" i="163"/>
  <c r="AV41" i="163"/>
  <c r="AU41" i="163"/>
  <c r="AS41" i="163"/>
  <c r="AT41" i="163"/>
  <c r="AW41" i="163"/>
  <c r="AR41" i="163"/>
  <c r="F41" i="163"/>
  <c r="H41" i="163"/>
  <c r="AX40" i="163"/>
  <c r="AV40" i="163"/>
  <c r="AU40" i="163"/>
  <c r="AS40" i="163"/>
  <c r="AT40" i="163"/>
  <c r="AW40" i="163"/>
  <c r="AR40" i="163"/>
  <c r="F40" i="163"/>
  <c r="AX39" i="163"/>
  <c r="AV39" i="163"/>
  <c r="AU39" i="163"/>
  <c r="AT39" i="163"/>
  <c r="AW39" i="163"/>
  <c r="AS39" i="163"/>
  <c r="AR39" i="163"/>
  <c r="F39" i="163"/>
  <c r="AX38" i="163"/>
  <c r="AV38" i="163"/>
  <c r="AU38" i="163"/>
  <c r="AS38" i="163"/>
  <c r="AT38" i="163"/>
  <c r="AW38" i="163"/>
  <c r="AR38" i="163"/>
  <c r="AX37" i="163"/>
  <c r="AV37" i="163"/>
  <c r="AU37" i="163"/>
  <c r="AS37" i="163"/>
  <c r="AT37" i="163"/>
  <c r="AW37" i="163"/>
  <c r="AR37" i="163"/>
  <c r="F37" i="163"/>
  <c r="AX36" i="163"/>
  <c r="AV36" i="163"/>
  <c r="AU36" i="163"/>
  <c r="AS36" i="163"/>
  <c r="AT36" i="163"/>
  <c r="AW36" i="163"/>
  <c r="AR36" i="163"/>
  <c r="H36" i="163"/>
  <c r="N36" i="163"/>
  <c r="AX35" i="163"/>
  <c r="AV35" i="163"/>
  <c r="AU35" i="163"/>
  <c r="AS35" i="163"/>
  <c r="AT35" i="163"/>
  <c r="AW35" i="163"/>
  <c r="AR35" i="163"/>
  <c r="F35" i="163"/>
  <c r="H35" i="163"/>
  <c r="AX34" i="163"/>
  <c r="AW34" i="163"/>
  <c r="AV34" i="163"/>
  <c r="AU34" i="163"/>
  <c r="AT34" i="163"/>
  <c r="AS34" i="163"/>
  <c r="AR34" i="163"/>
  <c r="AX33" i="163"/>
  <c r="AV33" i="163"/>
  <c r="AU33" i="163"/>
  <c r="AS33" i="163"/>
  <c r="AT33" i="163"/>
  <c r="AW33" i="163"/>
  <c r="AR33" i="163"/>
  <c r="F33" i="163"/>
  <c r="F43" i="163"/>
  <c r="AX32" i="163"/>
  <c r="AV32" i="163"/>
  <c r="AU32" i="163"/>
  <c r="AT32" i="163"/>
  <c r="AW32" i="163"/>
  <c r="AS32" i="163"/>
  <c r="AR32" i="163"/>
  <c r="F28" i="163"/>
  <c r="AC25" i="163"/>
  <c r="H50" i="163"/>
  <c r="N50" i="163"/>
  <c r="N59" i="163"/>
  <c r="A22" i="163"/>
  <c r="AT21" i="163"/>
  <c r="AR21" i="163"/>
  <c r="AF16" i="163"/>
  <c r="AQ21" i="163"/>
  <c r="AN18" i="163"/>
  <c r="AT17" i="163"/>
  <c r="AU17" i="163"/>
  <c r="Z16" i="163"/>
  <c r="AQ17" i="163"/>
  <c r="Q17" i="163"/>
  <c r="AF17" i="163"/>
  <c r="AI17" i="163"/>
  <c r="N57" i="163"/>
  <c r="N17" i="163"/>
  <c r="AH25" i="163"/>
  <c r="K17" i="163"/>
  <c r="H17" i="163"/>
  <c r="Q16" i="163"/>
  <c r="AR11" i="163"/>
  <c r="AR8" i="163"/>
  <c r="AU21" i="163"/>
  <c r="H21" i="163"/>
  <c r="AR7" i="163"/>
  <c r="AC7" i="163"/>
  <c r="H7" i="163"/>
  <c r="H6" i="163"/>
  <c r="AC5" i="163"/>
  <c r="H5" i="163"/>
  <c r="W23" i="157"/>
  <c r="T22" i="157"/>
  <c r="X23" i="156"/>
  <c r="U22" i="156"/>
  <c r="U21" i="155"/>
  <c r="X22" i="155"/>
  <c r="R61" i="101"/>
  <c r="R60" i="101"/>
  <c r="R59" i="101"/>
  <c r="R58" i="101"/>
  <c r="R57" i="101"/>
  <c r="R56" i="101"/>
  <c r="R55" i="101"/>
  <c r="R54" i="101"/>
  <c r="X25" i="101"/>
  <c r="R61" i="100"/>
  <c r="R60" i="100"/>
  <c r="R59" i="100"/>
  <c r="R58" i="100"/>
  <c r="R57" i="100"/>
  <c r="R56" i="100"/>
  <c r="R55" i="100"/>
  <c r="R54" i="100"/>
  <c r="X25" i="100"/>
  <c r="X43" i="100"/>
  <c r="X44" i="100"/>
  <c r="R61" i="104"/>
  <c r="R60" i="104"/>
  <c r="R59" i="104"/>
  <c r="R58" i="104"/>
  <c r="R57" i="104"/>
  <c r="R56" i="104"/>
  <c r="R55" i="104"/>
  <c r="R54" i="104"/>
  <c r="X25" i="104"/>
  <c r="X44" i="104"/>
  <c r="X41" i="104"/>
  <c r="R61" i="103"/>
  <c r="R60" i="103"/>
  <c r="R59" i="103"/>
  <c r="R58" i="103"/>
  <c r="R57" i="103"/>
  <c r="R56" i="103"/>
  <c r="R55" i="103"/>
  <c r="R54" i="103"/>
  <c r="X25" i="103"/>
  <c r="X43" i="103"/>
  <c r="X40" i="103"/>
  <c r="R61" i="102"/>
  <c r="R60" i="102"/>
  <c r="R59" i="102"/>
  <c r="R58" i="102"/>
  <c r="R57" i="102"/>
  <c r="R56" i="102"/>
  <c r="R55" i="102"/>
  <c r="R54" i="102"/>
  <c r="X25" i="102"/>
  <c r="X45" i="102"/>
  <c r="X42" i="102"/>
  <c r="P62" i="150"/>
  <c r="P61" i="150"/>
  <c r="P60" i="150"/>
  <c r="P59" i="150"/>
  <c r="P58" i="150"/>
  <c r="P57" i="150"/>
  <c r="P56" i="150"/>
  <c r="P55" i="150"/>
  <c r="X25" i="150"/>
  <c r="X43" i="150"/>
  <c r="X45" i="150"/>
  <c r="X46" i="150"/>
  <c r="X44" i="148"/>
  <c r="X42" i="148"/>
  <c r="X25" i="147"/>
  <c r="P61" i="147"/>
  <c r="P60" i="147"/>
  <c r="X25" i="146"/>
  <c r="X25" i="145"/>
  <c r="P61" i="144"/>
  <c r="P60" i="144"/>
  <c r="P59" i="144"/>
  <c r="P58" i="144"/>
  <c r="P57" i="144"/>
  <c r="P56" i="144"/>
  <c r="P55" i="144"/>
  <c r="P54" i="144"/>
  <c r="X25" i="144"/>
  <c r="P61" i="30"/>
  <c r="P60" i="30"/>
  <c r="P59" i="30"/>
  <c r="P58" i="30"/>
  <c r="P57" i="30"/>
  <c r="P56" i="30"/>
  <c r="P55" i="30"/>
  <c r="P54" i="30"/>
  <c r="X25" i="30"/>
  <c r="R62" i="132"/>
  <c r="R62" i="1"/>
  <c r="R61" i="1"/>
  <c r="R60" i="1"/>
  <c r="R59" i="1"/>
  <c r="R58" i="1"/>
  <c r="R57" i="1"/>
  <c r="R56" i="1"/>
  <c r="R55" i="1"/>
  <c r="P61" i="146"/>
  <c r="P60" i="146"/>
  <c r="X44" i="146"/>
  <c r="R61" i="132"/>
  <c r="R60" i="132"/>
  <c r="R59" i="132"/>
  <c r="R58" i="132"/>
  <c r="R57" i="132"/>
  <c r="R56" i="132"/>
  <c r="R55" i="132"/>
  <c r="P61" i="145"/>
  <c r="P60" i="145"/>
  <c r="X44" i="145"/>
  <c r="X45" i="145"/>
  <c r="X44" i="144"/>
  <c r="X42" i="144"/>
  <c r="X44" i="30"/>
  <c r="X42" i="30"/>
  <c r="H52" i="163"/>
  <c r="N52" i="163"/>
  <c r="H43" i="163"/>
  <c r="N43" i="163"/>
  <c r="T43" i="163"/>
  <c r="R43" i="163"/>
  <c r="H37" i="163"/>
  <c r="N41" i="163"/>
  <c r="T41" i="163"/>
  <c r="R41" i="163"/>
  <c r="H47" i="163"/>
  <c r="H49" i="163"/>
  <c r="H40" i="163"/>
  <c r="N40" i="163"/>
  <c r="T40" i="163"/>
  <c r="R40" i="163"/>
  <c r="H44" i="163"/>
  <c r="N44" i="163"/>
  <c r="N37" i="163"/>
  <c r="T37" i="163"/>
  <c r="R37" i="163"/>
  <c r="H39" i="163"/>
  <c r="N39" i="163"/>
  <c r="T39" i="163"/>
  <c r="R39" i="163"/>
  <c r="L57" i="163"/>
  <c r="P57" i="163"/>
  <c r="N35" i="163"/>
  <c r="T35" i="163"/>
  <c r="R35" i="163"/>
  <c r="N32" i="163"/>
  <c r="N48" i="163"/>
  <c r="P59" i="163"/>
  <c r="L59" i="163"/>
  <c r="N49" i="163"/>
  <c r="H34" i="163"/>
  <c r="N34" i="163"/>
  <c r="H48" i="163"/>
  <c r="F53" i="163"/>
  <c r="H22" i="163"/>
  <c r="K22" i="163"/>
  <c r="AR17" i="163"/>
  <c r="T16" i="163"/>
  <c r="T17" i="163"/>
  <c r="W17" i="163"/>
  <c r="Z17" i="163"/>
  <c r="AC17" i="163"/>
  <c r="H32" i="163"/>
  <c r="H45" i="163"/>
  <c r="N45" i="163"/>
  <c r="AM23" i="163"/>
  <c r="H51" i="163"/>
  <c r="H33" i="163"/>
  <c r="N33" i="163"/>
  <c r="H38" i="163"/>
  <c r="N38" i="163"/>
  <c r="H46" i="163"/>
  <c r="N62" i="163"/>
  <c r="H42" i="163"/>
  <c r="N42" i="163"/>
  <c r="T42" i="163"/>
  <c r="R42" i="163"/>
  <c r="N55" i="163"/>
  <c r="T50" i="163"/>
  <c r="R50" i="163"/>
  <c r="R51" i="163"/>
  <c r="AM26" i="163"/>
  <c r="N51" i="163"/>
  <c r="N58" i="163"/>
  <c r="T33" i="163"/>
  <c r="J46" i="163"/>
  <c r="N46" i="163"/>
  <c r="H53" i="163"/>
  <c r="P62" i="163"/>
  <c r="L62" i="163"/>
  <c r="N56" i="163"/>
  <c r="T48" i="163"/>
  <c r="R48" i="163"/>
  <c r="P58" i="163"/>
  <c r="L58" i="163"/>
  <c r="P55" i="163"/>
  <c r="L55" i="163"/>
  <c r="J47" i="163"/>
  <c r="J53" i="163"/>
  <c r="T51" i="163"/>
  <c r="P56" i="163"/>
  <c r="L56" i="163"/>
  <c r="R33" i="163"/>
  <c r="R46" i="163"/>
  <c r="R52" i="163"/>
  <c r="R49" i="163"/>
  <c r="N47" i="163"/>
  <c r="N53" i="163"/>
  <c r="R47" i="163"/>
  <c r="V20" i="154"/>
  <c r="N19" i="154"/>
  <c r="T49" i="163"/>
  <c r="T47" i="163"/>
  <c r="T46" i="163"/>
  <c r="T52" i="163"/>
  <c r="R53" i="163"/>
  <c r="P49" i="163"/>
  <c r="M23" i="133"/>
  <c r="F59" i="133"/>
  <c r="F60" i="133"/>
  <c r="F51" i="133"/>
  <c r="F52" i="133"/>
  <c r="F19" i="133"/>
  <c r="F20" i="133"/>
  <c r="N38" i="142"/>
  <c r="N36" i="142"/>
  <c r="N35" i="142"/>
  <c r="N34" i="142"/>
  <c r="N33" i="142"/>
  <c r="N32" i="142"/>
  <c r="N31" i="142"/>
  <c r="M38" i="142"/>
  <c r="M37" i="142"/>
  <c r="M36" i="142"/>
  <c r="M35" i="142"/>
  <c r="M33" i="142"/>
  <c r="M32" i="142"/>
  <c r="M31" i="142"/>
  <c r="M19" i="142"/>
  <c r="M17" i="142"/>
  <c r="M16" i="142"/>
  <c r="M12" i="142"/>
  <c r="F75" i="142"/>
  <c r="F71" i="142"/>
  <c r="F72" i="142"/>
  <c r="F67" i="142"/>
  <c r="F63" i="142"/>
  <c r="F64" i="142"/>
  <c r="F59" i="142"/>
  <c r="F55" i="142"/>
  <c r="F56" i="142"/>
  <c r="F51" i="142"/>
  <c r="F47" i="142"/>
  <c r="F48" i="142"/>
  <c r="F43" i="142"/>
  <c r="F39" i="142"/>
  <c r="F40" i="142"/>
  <c r="N14" i="141"/>
  <c r="N12" i="141"/>
  <c r="N11" i="141"/>
  <c r="N9" i="141"/>
  <c r="N8" i="141"/>
  <c r="N7" i="141"/>
  <c r="M14" i="141"/>
  <c r="M12" i="141"/>
  <c r="M9" i="141"/>
  <c r="M8" i="141"/>
  <c r="M7" i="141"/>
  <c r="F142" i="84"/>
  <c r="F143" i="84"/>
  <c r="F144" i="84"/>
  <c r="F145" i="84"/>
  <c r="F134" i="84"/>
  <c r="F135" i="84"/>
  <c r="F136" i="84"/>
  <c r="F137" i="84"/>
  <c r="X25" i="161"/>
  <c r="N59" i="161"/>
  <c r="P61" i="161"/>
  <c r="L61" i="161"/>
  <c r="P60" i="161"/>
  <c r="L60" i="161"/>
  <c r="F53" i="161"/>
  <c r="AR52" i="161"/>
  <c r="AR51" i="161"/>
  <c r="AR50" i="161"/>
  <c r="AR49" i="161"/>
  <c r="AR48" i="161"/>
  <c r="AX47" i="161"/>
  <c r="AV47" i="161"/>
  <c r="AU47" i="161"/>
  <c r="AT47" i="161"/>
  <c r="AW47" i="161"/>
  <c r="AS47" i="161"/>
  <c r="AR47" i="161"/>
  <c r="L47" i="161"/>
  <c r="L53" i="161"/>
  <c r="AX46" i="161"/>
  <c r="AV46" i="161"/>
  <c r="AU46" i="161"/>
  <c r="AS46" i="161"/>
  <c r="AT46" i="161"/>
  <c r="AW46" i="161"/>
  <c r="AR46" i="161"/>
  <c r="AX45" i="161"/>
  <c r="AV45" i="161"/>
  <c r="AU45" i="161"/>
  <c r="AS45" i="161"/>
  <c r="AT45" i="161"/>
  <c r="AW45" i="161"/>
  <c r="AR45" i="161"/>
  <c r="AX43" i="161"/>
  <c r="AV43" i="161"/>
  <c r="AU43" i="161"/>
  <c r="AS43" i="161"/>
  <c r="AT43" i="161"/>
  <c r="AW43" i="161"/>
  <c r="AR43" i="161"/>
  <c r="AX42" i="161"/>
  <c r="AV42" i="161"/>
  <c r="AU42" i="161"/>
  <c r="AS42" i="161"/>
  <c r="AT42" i="161"/>
  <c r="AW42" i="161"/>
  <c r="AR42" i="161"/>
  <c r="AX41" i="161"/>
  <c r="AV41" i="161"/>
  <c r="AU41" i="161"/>
  <c r="AS41" i="161"/>
  <c r="AT41" i="161"/>
  <c r="AW41" i="161"/>
  <c r="AR41" i="161"/>
  <c r="AX40" i="161"/>
  <c r="AV40" i="161"/>
  <c r="AU40" i="161"/>
  <c r="AS40" i="161"/>
  <c r="AT40" i="161"/>
  <c r="AW40" i="161"/>
  <c r="AR40" i="161"/>
  <c r="AX39" i="161"/>
  <c r="AV39" i="161"/>
  <c r="AU39" i="161"/>
  <c r="AS39" i="161"/>
  <c r="AT39" i="161"/>
  <c r="AW39" i="161"/>
  <c r="AR39" i="161"/>
  <c r="AX38" i="161"/>
  <c r="AV38" i="161"/>
  <c r="AU38" i="161"/>
  <c r="AS38" i="161"/>
  <c r="AT38" i="161"/>
  <c r="AW38" i="161"/>
  <c r="AR38" i="161"/>
  <c r="AX37" i="161"/>
  <c r="AV37" i="161"/>
  <c r="AU37" i="161"/>
  <c r="AS37" i="161"/>
  <c r="AT37" i="161"/>
  <c r="AW37" i="161"/>
  <c r="AR37" i="161"/>
  <c r="AX36" i="161"/>
  <c r="AW36" i="161"/>
  <c r="AV36" i="161"/>
  <c r="AU36" i="161"/>
  <c r="AT36" i="161"/>
  <c r="AS36" i="161"/>
  <c r="AR36" i="161"/>
  <c r="AX35" i="161"/>
  <c r="AV35" i="161"/>
  <c r="AU35" i="161"/>
  <c r="AT35" i="161"/>
  <c r="AW35" i="161"/>
  <c r="AS35" i="161"/>
  <c r="AR35" i="161"/>
  <c r="AX34" i="161"/>
  <c r="AV34" i="161"/>
  <c r="AU34" i="161"/>
  <c r="AT34" i="161"/>
  <c r="AW34" i="161"/>
  <c r="AS34" i="161"/>
  <c r="AR34" i="161"/>
  <c r="AX33" i="161"/>
  <c r="AV33" i="161"/>
  <c r="AU33" i="161"/>
  <c r="AS33" i="161"/>
  <c r="AT33" i="161"/>
  <c r="AW33" i="161"/>
  <c r="AR33" i="161"/>
  <c r="AX32" i="161"/>
  <c r="AV32" i="161"/>
  <c r="AU32" i="161"/>
  <c r="AS32" i="161"/>
  <c r="AT32" i="161"/>
  <c r="AW32" i="161"/>
  <c r="AR32" i="161"/>
  <c r="F28" i="161"/>
  <c r="A22" i="161"/>
  <c r="AT21" i="161"/>
  <c r="AQ21" i="161"/>
  <c r="AR21" i="161"/>
  <c r="AF16" i="161"/>
  <c r="AN18" i="161"/>
  <c r="AT17" i="161"/>
  <c r="AQ17" i="161"/>
  <c r="Q17" i="161"/>
  <c r="N17" i="161"/>
  <c r="K17" i="161"/>
  <c r="AM23" i="161"/>
  <c r="H17" i="161"/>
  <c r="Q16" i="161"/>
  <c r="AF17" i="161"/>
  <c r="AR11" i="161"/>
  <c r="AR7" i="161"/>
  <c r="AR8" i="161"/>
  <c r="AC7" i="161"/>
  <c r="H7" i="161"/>
  <c r="H6" i="161"/>
  <c r="H5" i="161"/>
  <c r="X25" i="160"/>
  <c r="P61" i="160"/>
  <c r="L61" i="160"/>
  <c r="P60" i="160"/>
  <c r="L60" i="160"/>
  <c r="F53" i="160"/>
  <c r="AR52" i="160"/>
  <c r="AR51" i="160"/>
  <c r="AR50" i="160"/>
  <c r="AR49" i="160"/>
  <c r="AR48" i="160"/>
  <c r="AX47" i="160"/>
  <c r="AV47" i="160"/>
  <c r="AU47" i="160"/>
  <c r="AT47" i="160"/>
  <c r="AW47" i="160"/>
  <c r="AS47" i="160"/>
  <c r="AR47" i="160"/>
  <c r="L47" i="160"/>
  <c r="L53" i="160"/>
  <c r="AX46" i="160"/>
  <c r="AV46" i="160"/>
  <c r="AU46" i="160"/>
  <c r="AS46" i="160"/>
  <c r="AT46" i="160"/>
  <c r="AW46" i="160"/>
  <c r="AR46" i="160"/>
  <c r="AX45" i="160"/>
  <c r="AV45" i="160"/>
  <c r="AU45" i="160"/>
  <c r="AS45" i="160"/>
  <c r="AT45" i="160"/>
  <c r="AW45" i="160"/>
  <c r="AR45" i="160"/>
  <c r="AX43" i="160"/>
  <c r="AV43" i="160"/>
  <c r="AU43" i="160"/>
  <c r="AS43" i="160"/>
  <c r="AT43" i="160"/>
  <c r="AW43" i="160"/>
  <c r="AR43" i="160"/>
  <c r="AX42" i="160"/>
  <c r="AW42" i="160"/>
  <c r="AV42" i="160"/>
  <c r="AU42" i="160"/>
  <c r="AT42" i="160"/>
  <c r="AS42" i="160"/>
  <c r="AR42" i="160"/>
  <c r="AX41" i="160"/>
  <c r="AV41" i="160"/>
  <c r="AU41" i="160"/>
  <c r="AS41" i="160"/>
  <c r="AT41" i="160"/>
  <c r="AW41" i="160"/>
  <c r="AR41" i="160"/>
  <c r="AX40" i="160"/>
  <c r="AW40" i="160"/>
  <c r="AV40" i="160"/>
  <c r="AU40" i="160"/>
  <c r="AT40" i="160"/>
  <c r="AS40" i="160"/>
  <c r="AR40" i="160"/>
  <c r="AX39" i="160"/>
  <c r="AV39" i="160"/>
  <c r="AU39" i="160"/>
  <c r="AS39" i="160"/>
  <c r="AT39" i="160"/>
  <c r="AW39" i="160"/>
  <c r="AR39" i="160"/>
  <c r="AX38" i="160"/>
  <c r="AW38" i="160"/>
  <c r="AV38" i="160"/>
  <c r="AU38" i="160"/>
  <c r="AT38" i="160"/>
  <c r="AS38" i="160"/>
  <c r="AR38" i="160"/>
  <c r="AX37" i="160"/>
  <c r="AV37" i="160"/>
  <c r="AU37" i="160"/>
  <c r="AS37" i="160"/>
  <c r="AT37" i="160"/>
  <c r="AW37" i="160"/>
  <c r="AR37" i="160"/>
  <c r="AX36" i="160"/>
  <c r="AV36" i="160"/>
  <c r="AU36" i="160"/>
  <c r="AT36" i="160"/>
  <c r="AW36" i="160"/>
  <c r="AS36" i="160"/>
  <c r="AR36" i="160"/>
  <c r="AX35" i="160"/>
  <c r="AW35" i="160"/>
  <c r="AV35" i="160"/>
  <c r="AU35" i="160"/>
  <c r="AT35" i="160"/>
  <c r="AS35" i="160"/>
  <c r="AR35" i="160"/>
  <c r="AX34" i="160"/>
  <c r="AV34" i="160"/>
  <c r="AU34" i="160"/>
  <c r="AT34" i="160"/>
  <c r="AW34" i="160"/>
  <c r="AS34" i="160"/>
  <c r="AR34" i="160"/>
  <c r="AX33" i="160"/>
  <c r="AV33" i="160"/>
  <c r="AU33" i="160"/>
  <c r="AS33" i="160"/>
  <c r="AT33" i="160"/>
  <c r="AW33" i="160"/>
  <c r="AR33" i="160"/>
  <c r="AX32" i="160"/>
  <c r="AV32" i="160"/>
  <c r="AU32" i="160"/>
  <c r="AS32" i="160"/>
  <c r="AT32" i="160"/>
  <c r="AW32" i="160"/>
  <c r="AR32" i="160"/>
  <c r="F28" i="160"/>
  <c r="N59" i="160"/>
  <c r="A22" i="160"/>
  <c r="AT21" i="160"/>
  <c r="AQ21" i="160"/>
  <c r="AR21" i="160"/>
  <c r="AF16" i="160"/>
  <c r="AF17" i="160"/>
  <c r="AI17" i="160"/>
  <c r="AN18" i="160"/>
  <c r="AT17" i="160"/>
  <c r="AQ17" i="160"/>
  <c r="Q17" i="160"/>
  <c r="N17" i="160"/>
  <c r="K17" i="160"/>
  <c r="H17" i="160"/>
  <c r="Q16" i="160"/>
  <c r="AR11" i="160"/>
  <c r="AR7" i="160"/>
  <c r="AR8" i="160"/>
  <c r="AC7" i="160"/>
  <c r="H7" i="160"/>
  <c r="H6" i="160"/>
  <c r="H5" i="160"/>
  <c r="V20" i="159"/>
  <c r="AN38" i="159"/>
  <c r="N38" i="159"/>
  <c r="F38" i="159"/>
  <c r="AN37" i="159"/>
  <c r="N37" i="159"/>
  <c r="AN36" i="159"/>
  <c r="N36" i="159"/>
  <c r="AN35" i="159"/>
  <c r="F35" i="159"/>
  <c r="J35" i="159"/>
  <c r="AN34" i="159"/>
  <c r="N34" i="159"/>
  <c r="AT33" i="159"/>
  <c r="AR33" i="159"/>
  <c r="AQ33" i="159"/>
  <c r="AO33" i="159"/>
  <c r="AP33" i="159"/>
  <c r="AS33" i="159"/>
  <c r="AN33" i="159"/>
  <c r="F33" i="159"/>
  <c r="J33" i="159"/>
  <c r="AT32" i="159"/>
  <c r="AR32" i="159"/>
  <c r="AQ32" i="159"/>
  <c r="AP32" i="159"/>
  <c r="AS32" i="159"/>
  <c r="AO32" i="159"/>
  <c r="AN32" i="159"/>
  <c r="N32" i="159"/>
  <c r="AT31" i="159"/>
  <c r="AR31" i="159"/>
  <c r="AQ31" i="159"/>
  <c r="AP31" i="159"/>
  <c r="AS31" i="159"/>
  <c r="AO31" i="159"/>
  <c r="AN31" i="159"/>
  <c r="N31" i="159"/>
  <c r="N30" i="159"/>
  <c r="AT29" i="159"/>
  <c r="AR29" i="159"/>
  <c r="AQ29" i="159"/>
  <c r="AO29" i="159"/>
  <c r="AP29" i="159"/>
  <c r="AS29" i="159"/>
  <c r="AN29" i="159"/>
  <c r="AT28" i="159"/>
  <c r="AS28" i="159"/>
  <c r="AR28" i="159"/>
  <c r="AQ28" i="159"/>
  <c r="AP28" i="159"/>
  <c r="AO28" i="159"/>
  <c r="AN28" i="159"/>
  <c r="J28" i="159"/>
  <c r="F28" i="159"/>
  <c r="AT27" i="159"/>
  <c r="AR27" i="159"/>
  <c r="AQ27" i="159"/>
  <c r="AO27" i="159"/>
  <c r="AP27" i="159"/>
  <c r="AS27" i="159"/>
  <c r="AN27" i="159"/>
  <c r="F27" i="159"/>
  <c r="J27" i="159"/>
  <c r="AT26" i="159"/>
  <c r="AS26" i="159"/>
  <c r="AR26" i="159"/>
  <c r="AQ26" i="159"/>
  <c r="AP26" i="159"/>
  <c r="AO26" i="159"/>
  <c r="AN26" i="159"/>
  <c r="N26" i="159"/>
  <c r="F26" i="159"/>
  <c r="AT25" i="159"/>
  <c r="AR25" i="159"/>
  <c r="AQ25" i="159"/>
  <c r="AO25" i="159"/>
  <c r="AP25" i="159"/>
  <c r="AS25" i="159"/>
  <c r="AN25" i="159"/>
  <c r="J25" i="159"/>
  <c r="F25" i="159"/>
  <c r="AT24" i="159"/>
  <c r="AR24" i="159"/>
  <c r="AQ24" i="159"/>
  <c r="AO24" i="159"/>
  <c r="AP24" i="159"/>
  <c r="AS24" i="159"/>
  <c r="AN24" i="159"/>
  <c r="N24" i="159"/>
  <c r="AT23" i="159"/>
  <c r="AR23" i="159"/>
  <c r="AQ23" i="159"/>
  <c r="AO23" i="159"/>
  <c r="AP23" i="159"/>
  <c r="AS23" i="159"/>
  <c r="AN23" i="159"/>
  <c r="J23" i="159"/>
  <c r="F23" i="159"/>
  <c r="AT22" i="159"/>
  <c r="AR22" i="159"/>
  <c r="AQ22" i="159"/>
  <c r="AO22" i="159"/>
  <c r="AP22" i="159"/>
  <c r="AS22" i="159"/>
  <c r="AN22" i="159"/>
  <c r="N22" i="159"/>
  <c r="AT21" i="159"/>
  <c r="AR21" i="159"/>
  <c r="AQ21" i="159"/>
  <c r="AO21" i="159"/>
  <c r="AP21" i="159"/>
  <c r="AS21" i="159"/>
  <c r="AN21" i="159"/>
  <c r="J21" i="159"/>
  <c r="F21" i="159"/>
  <c r="AT20" i="159"/>
  <c r="AR20" i="159"/>
  <c r="AQ20" i="159"/>
  <c r="AO20" i="159"/>
  <c r="AP20" i="159"/>
  <c r="AS20" i="159"/>
  <c r="AN20" i="159"/>
  <c r="N20" i="159"/>
  <c r="AT19" i="159"/>
  <c r="AR19" i="159"/>
  <c r="AQ19" i="159"/>
  <c r="AP19" i="159"/>
  <c r="AS19" i="159"/>
  <c r="AO19" i="159"/>
  <c r="AN19" i="159"/>
  <c r="F19" i="159"/>
  <c r="AT18" i="159"/>
  <c r="AR18" i="159"/>
  <c r="AQ18" i="159"/>
  <c r="AO18" i="159"/>
  <c r="AP18" i="159"/>
  <c r="AS18" i="159"/>
  <c r="AN18" i="159"/>
  <c r="N18" i="159"/>
  <c r="AN11" i="159"/>
  <c r="AN7" i="159"/>
  <c r="AN8" i="159"/>
  <c r="Y7" i="159"/>
  <c r="H7" i="159"/>
  <c r="H6" i="159"/>
  <c r="H5" i="159"/>
  <c r="V20" i="158"/>
  <c r="AN38" i="158"/>
  <c r="N38" i="158"/>
  <c r="F38" i="158"/>
  <c r="AN37" i="158"/>
  <c r="N37" i="158"/>
  <c r="AN36" i="158"/>
  <c r="N36" i="158"/>
  <c r="AN35" i="158"/>
  <c r="J35" i="158"/>
  <c r="F35" i="158"/>
  <c r="AN34" i="158"/>
  <c r="N34" i="158"/>
  <c r="AT33" i="158"/>
  <c r="AR33" i="158"/>
  <c r="AQ33" i="158"/>
  <c r="AP33" i="158"/>
  <c r="AS33" i="158"/>
  <c r="AO33" i="158"/>
  <c r="AN33" i="158"/>
  <c r="F33" i="158"/>
  <c r="J33" i="158"/>
  <c r="AT32" i="158"/>
  <c r="AR32" i="158"/>
  <c r="AQ32" i="158"/>
  <c r="AO32" i="158"/>
  <c r="AP32" i="158"/>
  <c r="AS32" i="158"/>
  <c r="AN32" i="158"/>
  <c r="N32" i="158"/>
  <c r="AT31" i="158"/>
  <c r="AR31" i="158"/>
  <c r="AQ31" i="158"/>
  <c r="AO31" i="158"/>
  <c r="AP31" i="158"/>
  <c r="AS31" i="158"/>
  <c r="AN31" i="158"/>
  <c r="N31" i="158"/>
  <c r="N30" i="158"/>
  <c r="AT29" i="158"/>
  <c r="AR29" i="158"/>
  <c r="AQ29" i="158"/>
  <c r="AO29" i="158"/>
  <c r="AP29" i="158"/>
  <c r="AS29" i="158"/>
  <c r="AN29" i="158"/>
  <c r="AT28" i="158"/>
  <c r="AR28" i="158"/>
  <c r="AQ28" i="158"/>
  <c r="AO28" i="158"/>
  <c r="AP28" i="158"/>
  <c r="AS28" i="158"/>
  <c r="AN28" i="158"/>
  <c r="J28" i="158"/>
  <c r="F28" i="158"/>
  <c r="AT27" i="158"/>
  <c r="AR27" i="158"/>
  <c r="AQ27" i="158"/>
  <c r="AO27" i="158"/>
  <c r="AP27" i="158"/>
  <c r="AS27" i="158"/>
  <c r="AN27" i="158"/>
  <c r="F27" i="158"/>
  <c r="J27" i="158"/>
  <c r="AT26" i="158"/>
  <c r="AR26" i="158"/>
  <c r="AQ26" i="158"/>
  <c r="AO26" i="158"/>
  <c r="AP26" i="158"/>
  <c r="AS26" i="158"/>
  <c r="AN26" i="158"/>
  <c r="N26" i="158"/>
  <c r="F26" i="158"/>
  <c r="AT25" i="158"/>
  <c r="AR25" i="158"/>
  <c r="AQ25" i="158"/>
  <c r="AO25" i="158"/>
  <c r="AP25" i="158"/>
  <c r="AS25" i="158"/>
  <c r="AN25" i="158"/>
  <c r="J25" i="158"/>
  <c r="F25" i="158"/>
  <c r="AT24" i="158"/>
  <c r="AR24" i="158"/>
  <c r="AQ24" i="158"/>
  <c r="AO24" i="158"/>
  <c r="AP24" i="158"/>
  <c r="AS24" i="158"/>
  <c r="AN24" i="158"/>
  <c r="N24" i="158"/>
  <c r="AT23" i="158"/>
  <c r="AR23" i="158"/>
  <c r="AQ23" i="158"/>
  <c r="AO23" i="158"/>
  <c r="AP23" i="158"/>
  <c r="AS23" i="158"/>
  <c r="AN23" i="158"/>
  <c r="J23" i="158"/>
  <c r="F23" i="158"/>
  <c r="AT22" i="158"/>
  <c r="AR22" i="158"/>
  <c r="AQ22" i="158"/>
  <c r="AO22" i="158"/>
  <c r="AP22" i="158"/>
  <c r="AS22" i="158"/>
  <c r="AN22" i="158"/>
  <c r="N22" i="158"/>
  <c r="AT21" i="158"/>
  <c r="AR21" i="158"/>
  <c r="AQ21" i="158"/>
  <c r="AO21" i="158"/>
  <c r="AP21" i="158"/>
  <c r="AS21" i="158"/>
  <c r="AN21" i="158"/>
  <c r="J21" i="158"/>
  <c r="F21" i="158"/>
  <c r="AT20" i="158"/>
  <c r="AR20" i="158"/>
  <c r="AQ20" i="158"/>
  <c r="AO20" i="158"/>
  <c r="AP20" i="158"/>
  <c r="AS20" i="158"/>
  <c r="AN20" i="158"/>
  <c r="N20" i="158"/>
  <c r="AT19" i="158"/>
  <c r="AR19" i="158"/>
  <c r="AQ19" i="158"/>
  <c r="AP19" i="158"/>
  <c r="AS19" i="158"/>
  <c r="AO19" i="158"/>
  <c r="AN19" i="158"/>
  <c r="F19" i="158"/>
  <c r="AT18" i="158"/>
  <c r="AR18" i="158"/>
  <c r="AQ18" i="158"/>
  <c r="AO18" i="158"/>
  <c r="AP18" i="158"/>
  <c r="AS18" i="158"/>
  <c r="AN18" i="158"/>
  <c r="N18" i="158"/>
  <c r="AN11" i="158"/>
  <c r="AN7" i="158"/>
  <c r="AN8" i="158"/>
  <c r="Y7" i="158"/>
  <c r="H7" i="158"/>
  <c r="H6" i="158"/>
  <c r="H5" i="158"/>
  <c r="V20" i="157"/>
  <c r="AN38" i="157"/>
  <c r="N38" i="157"/>
  <c r="F38" i="157"/>
  <c r="AN37" i="157"/>
  <c r="N37" i="157"/>
  <c r="AN36" i="157"/>
  <c r="N36" i="157"/>
  <c r="AN35" i="157"/>
  <c r="J35" i="157"/>
  <c r="F35" i="157"/>
  <c r="AN34" i="157"/>
  <c r="N34" i="157"/>
  <c r="AT33" i="157"/>
  <c r="AS33" i="157"/>
  <c r="AR33" i="157"/>
  <c r="AQ33" i="157"/>
  <c r="AP33" i="157"/>
  <c r="AO33" i="157"/>
  <c r="AN33" i="157"/>
  <c r="J33" i="157"/>
  <c r="F33" i="157"/>
  <c r="AT32" i="157"/>
  <c r="AR32" i="157"/>
  <c r="AQ32" i="157"/>
  <c r="AO32" i="157"/>
  <c r="AP32" i="157"/>
  <c r="AS32" i="157"/>
  <c r="AN32" i="157"/>
  <c r="N32" i="157"/>
  <c r="AT31" i="157"/>
  <c r="AR31" i="157"/>
  <c r="AQ31" i="157"/>
  <c r="AO31" i="157"/>
  <c r="AP31" i="157"/>
  <c r="AS31" i="157"/>
  <c r="AN31" i="157"/>
  <c r="N31" i="157"/>
  <c r="N30" i="157"/>
  <c r="AT29" i="157"/>
  <c r="AR29" i="157"/>
  <c r="AQ29" i="157"/>
  <c r="AO29" i="157"/>
  <c r="AP29" i="157"/>
  <c r="AS29" i="157"/>
  <c r="AN29" i="157"/>
  <c r="AT28" i="157"/>
  <c r="AR28" i="157"/>
  <c r="AQ28" i="157"/>
  <c r="AO28" i="157"/>
  <c r="AP28" i="157"/>
  <c r="AS28" i="157"/>
  <c r="AN28" i="157"/>
  <c r="F28" i="157"/>
  <c r="J28" i="157"/>
  <c r="AT27" i="157"/>
  <c r="AR27" i="157"/>
  <c r="AQ27" i="157"/>
  <c r="AO27" i="157"/>
  <c r="AP27" i="157"/>
  <c r="AS27" i="157"/>
  <c r="AN27" i="157"/>
  <c r="F27" i="157"/>
  <c r="J27" i="157"/>
  <c r="AT26" i="157"/>
  <c r="AR26" i="157"/>
  <c r="AQ26" i="157"/>
  <c r="AO26" i="157"/>
  <c r="AP26" i="157"/>
  <c r="AS26" i="157"/>
  <c r="AN26" i="157"/>
  <c r="N26" i="157"/>
  <c r="F26" i="157"/>
  <c r="AT25" i="157"/>
  <c r="AR25" i="157"/>
  <c r="AQ25" i="157"/>
  <c r="AO25" i="157"/>
  <c r="AP25" i="157"/>
  <c r="AS25" i="157"/>
  <c r="AN25" i="157"/>
  <c r="J25" i="157"/>
  <c r="F25" i="157"/>
  <c r="AT24" i="157"/>
  <c r="AR24" i="157"/>
  <c r="AQ24" i="157"/>
  <c r="AP24" i="157"/>
  <c r="AS24" i="157"/>
  <c r="AO24" i="157"/>
  <c r="AN24" i="157"/>
  <c r="N24" i="157"/>
  <c r="AT23" i="157"/>
  <c r="AR23" i="157"/>
  <c r="AQ23" i="157"/>
  <c r="AP23" i="157"/>
  <c r="AS23" i="157"/>
  <c r="AO23" i="157"/>
  <c r="AN23" i="157"/>
  <c r="F23" i="157"/>
  <c r="J23" i="157"/>
  <c r="AT22" i="157"/>
  <c r="AR22" i="157"/>
  <c r="AQ22" i="157"/>
  <c r="AO22" i="157"/>
  <c r="AP22" i="157"/>
  <c r="AS22" i="157"/>
  <c r="AN22" i="157"/>
  <c r="N22" i="157"/>
  <c r="AT21" i="157"/>
  <c r="AR21" i="157"/>
  <c r="AQ21" i="157"/>
  <c r="AO21" i="157"/>
  <c r="AP21" i="157"/>
  <c r="AS21" i="157"/>
  <c r="AN21" i="157"/>
  <c r="J21" i="157"/>
  <c r="F21" i="157"/>
  <c r="AT20" i="157"/>
  <c r="AR20" i="157"/>
  <c r="AQ20" i="157"/>
  <c r="AP20" i="157"/>
  <c r="AS20" i="157"/>
  <c r="AO20" i="157"/>
  <c r="AN20" i="157"/>
  <c r="N20" i="157"/>
  <c r="AT19" i="157"/>
  <c r="AR19" i="157"/>
  <c r="AQ19" i="157"/>
  <c r="AO19" i="157"/>
  <c r="AP19" i="157"/>
  <c r="AS19" i="157"/>
  <c r="AN19" i="157"/>
  <c r="F19" i="157"/>
  <c r="F29" i="157"/>
  <c r="J29" i="157"/>
  <c r="AT18" i="157"/>
  <c r="AR18" i="157"/>
  <c r="AQ18" i="157"/>
  <c r="AO18" i="157"/>
  <c r="AP18" i="157"/>
  <c r="AS18" i="157"/>
  <c r="AN18" i="157"/>
  <c r="N18" i="157"/>
  <c r="AN11" i="157"/>
  <c r="AN7" i="157"/>
  <c r="AN8" i="157"/>
  <c r="Y7" i="157"/>
  <c r="H7" i="157"/>
  <c r="H6" i="157"/>
  <c r="H5" i="157"/>
  <c r="V20" i="156"/>
  <c r="AN38" i="156"/>
  <c r="N38" i="156"/>
  <c r="F38" i="156"/>
  <c r="AN37" i="156"/>
  <c r="N37" i="156"/>
  <c r="AN36" i="156"/>
  <c r="N36" i="156"/>
  <c r="AN35" i="156"/>
  <c r="J35" i="156"/>
  <c r="F35" i="156"/>
  <c r="AN34" i="156"/>
  <c r="N34" i="156"/>
  <c r="AT33" i="156"/>
  <c r="AR33" i="156"/>
  <c r="AQ33" i="156"/>
  <c r="AP33" i="156"/>
  <c r="AS33" i="156"/>
  <c r="AO33" i="156"/>
  <c r="AN33" i="156"/>
  <c r="F33" i="156"/>
  <c r="J33" i="156"/>
  <c r="AT32" i="156"/>
  <c r="AR32" i="156"/>
  <c r="AQ32" i="156"/>
  <c r="AO32" i="156"/>
  <c r="AP32" i="156"/>
  <c r="AS32" i="156"/>
  <c r="AN32" i="156"/>
  <c r="N32" i="156"/>
  <c r="AT31" i="156"/>
  <c r="AR31" i="156"/>
  <c r="AQ31" i="156"/>
  <c r="AO31" i="156"/>
  <c r="AP31" i="156"/>
  <c r="AS31" i="156"/>
  <c r="AN31" i="156"/>
  <c r="N31" i="156"/>
  <c r="N30" i="156"/>
  <c r="AT29" i="156"/>
  <c r="AR29" i="156"/>
  <c r="AQ29" i="156"/>
  <c r="AP29" i="156"/>
  <c r="AS29" i="156"/>
  <c r="AO29" i="156"/>
  <c r="AN29" i="156"/>
  <c r="AT28" i="156"/>
  <c r="AR28" i="156"/>
  <c r="AQ28" i="156"/>
  <c r="AP28" i="156"/>
  <c r="AS28" i="156"/>
  <c r="AO28" i="156"/>
  <c r="AN28" i="156"/>
  <c r="F28" i="156"/>
  <c r="J28" i="156"/>
  <c r="AT27" i="156"/>
  <c r="AR27" i="156"/>
  <c r="AQ27" i="156"/>
  <c r="AP27" i="156"/>
  <c r="AS27" i="156"/>
  <c r="AO27" i="156"/>
  <c r="AN27" i="156"/>
  <c r="F27" i="156"/>
  <c r="J27" i="156"/>
  <c r="AT26" i="156"/>
  <c r="AR26" i="156"/>
  <c r="AQ26" i="156"/>
  <c r="AP26" i="156"/>
  <c r="AS26" i="156"/>
  <c r="AO26" i="156"/>
  <c r="AN26" i="156"/>
  <c r="N26" i="156"/>
  <c r="F26" i="156"/>
  <c r="AT25" i="156"/>
  <c r="AS25" i="156"/>
  <c r="AR25" i="156"/>
  <c r="AQ25" i="156"/>
  <c r="AP25" i="156"/>
  <c r="AO25" i="156"/>
  <c r="AN25" i="156"/>
  <c r="J25" i="156"/>
  <c r="F25" i="156"/>
  <c r="AT24" i="156"/>
  <c r="AR24" i="156"/>
  <c r="AQ24" i="156"/>
  <c r="AO24" i="156"/>
  <c r="AP24" i="156"/>
  <c r="AS24" i="156"/>
  <c r="AN24" i="156"/>
  <c r="N24" i="156"/>
  <c r="AT23" i="156"/>
  <c r="AR23" i="156"/>
  <c r="AQ23" i="156"/>
  <c r="AO23" i="156"/>
  <c r="AP23" i="156"/>
  <c r="AS23" i="156"/>
  <c r="AN23" i="156"/>
  <c r="J23" i="156"/>
  <c r="F23" i="156"/>
  <c r="AT22" i="156"/>
  <c r="AS22" i="156"/>
  <c r="AR22" i="156"/>
  <c r="AQ22" i="156"/>
  <c r="AP22" i="156"/>
  <c r="AO22" i="156"/>
  <c r="AN22" i="156"/>
  <c r="N22" i="156"/>
  <c r="AT21" i="156"/>
  <c r="AS21" i="156"/>
  <c r="AR21" i="156"/>
  <c r="AQ21" i="156"/>
  <c r="AP21" i="156"/>
  <c r="AO21" i="156"/>
  <c r="AN21" i="156"/>
  <c r="J21" i="156"/>
  <c r="F21" i="156"/>
  <c r="AT20" i="156"/>
  <c r="AR20" i="156"/>
  <c r="AQ20" i="156"/>
  <c r="AO20" i="156"/>
  <c r="AP20" i="156"/>
  <c r="AS20" i="156"/>
  <c r="AN20" i="156"/>
  <c r="N20" i="156"/>
  <c r="AT19" i="156"/>
  <c r="AR19" i="156"/>
  <c r="AQ19" i="156"/>
  <c r="AO19" i="156"/>
  <c r="AP19" i="156"/>
  <c r="AS19" i="156"/>
  <c r="AN19" i="156"/>
  <c r="J19" i="156"/>
  <c r="F19" i="156"/>
  <c r="AT18" i="156"/>
  <c r="AR18" i="156"/>
  <c r="AQ18" i="156"/>
  <c r="AO18" i="156"/>
  <c r="AP18" i="156"/>
  <c r="AS18" i="156"/>
  <c r="AN18" i="156"/>
  <c r="N18" i="156"/>
  <c r="AN11" i="156"/>
  <c r="AN7" i="156"/>
  <c r="AN8" i="156"/>
  <c r="Y7" i="156"/>
  <c r="H7" i="156"/>
  <c r="H6" i="156"/>
  <c r="H5" i="156"/>
  <c r="V20" i="155"/>
  <c r="AN38" i="155"/>
  <c r="N38" i="155"/>
  <c r="F38" i="155"/>
  <c r="AN37" i="155"/>
  <c r="N37" i="155"/>
  <c r="AN36" i="155"/>
  <c r="N36" i="155"/>
  <c r="AN35" i="155"/>
  <c r="J35" i="155"/>
  <c r="F35" i="155"/>
  <c r="AN34" i="155"/>
  <c r="N34" i="155"/>
  <c r="AT33" i="155"/>
  <c r="AR33" i="155"/>
  <c r="AQ33" i="155"/>
  <c r="AP33" i="155"/>
  <c r="AS33" i="155"/>
  <c r="AO33" i="155"/>
  <c r="AN33" i="155"/>
  <c r="F33" i="155"/>
  <c r="J33" i="155"/>
  <c r="AT32" i="155"/>
  <c r="AR32" i="155"/>
  <c r="AQ32" i="155"/>
  <c r="AO32" i="155"/>
  <c r="AP32" i="155"/>
  <c r="AS32" i="155"/>
  <c r="AN32" i="155"/>
  <c r="N32" i="155"/>
  <c r="AT31" i="155"/>
  <c r="AR31" i="155"/>
  <c r="AQ31" i="155"/>
  <c r="AO31" i="155"/>
  <c r="AP31" i="155"/>
  <c r="AS31" i="155"/>
  <c r="AN31" i="155"/>
  <c r="N31" i="155"/>
  <c r="N30" i="155"/>
  <c r="AT29" i="155"/>
  <c r="AR29" i="155"/>
  <c r="AQ29" i="155"/>
  <c r="AP29" i="155"/>
  <c r="AS29" i="155"/>
  <c r="AO29" i="155"/>
  <c r="AN29" i="155"/>
  <c r="AT28" i="155"/>
  <c r="AR28" i="155"/>
  <c r="AQ28" i="155"/>
  <c r="AP28" i="155"/>
  <c r="AS28" i="155"/>
  <c r="AO28" i="155"/>
  <c r="AN28" i="155"/>
  <c r="F28" i="155"/>
  <c r="J28" i="155"/>
  <c r="AT27" i="155"/>
  <c r="AR27" i="155"/>
  <c r="AQ27" i="155"/>
  <c r="AP27" i="155"/>
  <c r="AS27" i="155"/>
  <c r="AO27" i="155"/>
  <c r="AN27" i="155"/>
  <c r="F27" i="155"/>
  <c r="J27" i="155"/>
  <c r="AT26" i="155"/>
  <c r="AR26" i="155"/>
  <c r="AQ26" i="155"/>
  <c r="AP26" i="155"/>
  <c r="AS26" i="155"/>
  <c r="AO26" i="155"/>
  <c r="AN26" i="155"/>
  <c r="N26" i="155"/>
  <c r="F26" i="155"/>
  <c r="AT25" i="155"/>
  <c r="AS25" i="155"/>
  <c r="AR25" i="155"/>
  <c r="AQ25" i="155"/>
  <c r="AP25" i="155"/>
  <c r="AO25" i="155"/>
  <c r="AN25" i="155"/>
  <c r="J25" i="155"/>
  <c r="F25" i="155"/>
  <c r="AT24" i="155"/>
  <c r="AR24" i="155"/>
  <c r="AQ24" i="155"/>
  <c r="AO24" i="155"/>
  <c r="AP24" i="155"/>
  <c r="AS24" i="155"/>
  <c r="AN24" i="155"/>
  <c r="N24" i="155"/>
  <c r="AT23" i="155"/>
  <c r="AR23" i="155"/>
  <c r="AQ23" i="155"/>
  <c r="AO23" i="155"/>
  <c r="AP23" i="155"/>
  <c r="AS23" i="155"/>
  <c r="AN23" i="155"/>
  <c r="J23" i="155"/>
  <c r="F23" i="155"/>
  <c r="AT22" i="155"/>
  <c r="AS22" i="155"/>
  <c r="AR22" i="155"/>
  <c r="AQ22" i="155"/>
  <c r="AP22" i="155"/>
  <c r="AO22" i="155"/>
  <c r="AN22" i="155"/>
  <c r="N22" i="155"/>
  <c r="AT21" i="155"/>
  <c r="AS21" i="155"/>
  <c r="AR21" i="155"/>
  <c r="AQ21" i="155"/>
  <c r="AP21" i="155"/>
  <c r="AO21" i="155"/>
  <c r="AN21" i="155"/>
  <c r="J21" i="155"/>
  <c r="F21" i="155"/>
  <c r="AT20" i="155"/>
  <c r="AR20" i="155"/>
  <c r="AQ20" i="155"/>
  <c r="AO20" i="155"/>
  <c r="AP20" i="155"/>
  <c r="AS20" i="155"/>
  <c r="AN20" i="155"/>
  <c r="N20" i="155"/>
  <c r="AT19" i="155"/>
  <c r="AR19" i="155"/>
  <c r="AQ19" i="155"/>
  <c r="AO19" i="155"/>
  <c r="AP19" i="155"/>
  <c r="AS19" i="155"/>
  <c r="AN19" i="155"/>
  <c r="J19" i="155"/>
  <c r="F19" i="155"/>
  <c r="AT18" i="155"/>
  <c r="AS18" i="155"/>
  <c r="AR18" i="155"/>
  <c r="AQ18" i="155"/>
  <c r="AP18" i="155"/>
  <c r="AO18" i="155"/>
  <c r="AN18" i="155"/>
  <c r="N18" i="155"/>
  <c r="AN11" i="155"/>
  <c r="AN8" i="155"/>
  <c r="AN7" i="155"/>
  <c r="Y7" i="155"/>
  <c r="H7" i="155"/>
  <c r="H6" i="155"/>
  <c r="H5" i="155"/>
  <c r="O62" i="125"/>
  <c r="Q22" i="125"/>
  <c r="AI17" i="125"/>
  <c r="AC17" i="125"/>
  <c r="W17" i="125"/>
  <c r="N22" i="125"/>
  <c r="AF17" i="125"/>
  <c r="Z17" i="125"/>
  <c r="T17" i="125"/>
  <c r="N21" i="125"/>
  <c r="AF16" i="125"/>
  <c r="Z16" i="125"/>
  <c r="T16" i="125"/>
  <c r="Q16" i="125"/>
  <c r="O62" i="123"/>
  <c r="Q22" i="123"/>
  <c r="AI17" i="123"/>
  <c r="AC17" i="123"/>
  <c r="W17" i="123"/>
  <c r="N22" i="123"/>
  <c r="AF17" i="123"/>
  <c r="Z17" i="123"/>
  <c r="T17" i="123"/>
  <c r="N21" i="123"/>
  <c r="AF16" i="123"/>
  <c r="Z16" i="123"/>
  <c r="T16" i="123"/>
  <c r="Q16" i="123"/>
  <c r="O62" i="124"/>
  <c r="Q22" i="124"/>
  <c r="AI17" i="124"/>
  <c r="AC17" i="124"/>
  <c r="W17" i="124"/>
  <c r="N22" i="124"/>
  <c r="AF17" i="124"/>
  <c r="Z17" i="124"/>
  <c r="T17" i="124"/>
  <c r="N21" i="124"/>
  <c r="AF16" i="124"/>
  <c r="Z16" i="124"/>
  <c r="T16" i="124"/>
  <c r="Q16" i="124"/>
  <c r="O62" i="112"/>
  <c r="X25" i="112"/>
  <c r="Q22" i="112"/>
  <c r="AI17" i="112"/>
  <c r="AC17" i="112"/>
  <c r="W17" i="112"/>
  <c r="N22" i="112"/>
  <c r="AF17" i="112"/>
  <c r="Z17" i="112"/>
  <c r="T17" i="112"/>
  <c r="N21" i="112"/>
  <c r="AF16" i="112"/>
  <c r="Z16" i="112"/>
  <c r="T16" i="112"/>
  <c r="Q16" i="112"/>
  <c r="AN38" i="154"/>
  <c r="N38" i="154"/>
  <c r="F38" i="154"/>
  <c r="AN37" i="154"/>
  <c r="N37" i="154"/>
  <c r="AN36" i="154"/>
  <c r="N36" i="154"/>
  <c r="AN35" i="154"/>
  <c r="F35" i="154"/>
  <c r="J35" i="154"/>
  <c r="AN34" i="154"/>
  <c r="N34" i="154"/>
  <c r="AT33" i="154"/>
  <c r="AR33" i="154"/>
  <c r="AQ33" i="154"/>
  <c r="AO33" i="154"/>
  <c r="AP33" i="154"/>
  <c r="AS33" i="154"/>
  <c r="AN33" i="154"/>
  <c r="F33" i="154"/>
  <c r="J33" i="154"/>
  <c r="AT32" i="154"/>
  <c r="AR32" i="154"/>
  <c r="AQ32" i="154"/>
  <c r="AO32" i="154"/>
  <c r="AP32" i="154"/>
  <c r="AS32" i="154"/>
  <c r="AN32" i="154"/>
  <c r="N32" i="154"/>
  <c r="AT31" i="154"/>
  <c r="AR31" i="154"/>
  <c r="AQ31" i="154"/>
  <c r="AO31" i="154"/>
  <c r="AP31" i="154"/>
  <c r="AS31" i="154"/>
  <c r="AN31" i="154"/>
  <c r="N31" i="154"/>
  <c r="N30" i="154"/>
  <c r="AT29" i="154"/>
  <c r="AR29" i="154"/>
  <c r="AQ29" i="154"/>
  <c r="AO29" i="154"/>
  <c r="AP29" i="154"/>
  <c r="AS29" i="154"/>
  <c r="AN29" i="154"/>
  <c r="AT28" i="154"/>
  <c r="AS28" i="154"/>
  <c r="AR28" i="154"/>
  <c r="AQ28" i="154"/>
  <c r="AP28" i="154"/>
  <c r="AO28" i="154"/>
  <c r="AN28" i="154"/>
  <c r="J28" i="154"/>
  <c r="F28" i="154"/>
  <c r="AT27" i="154"/>
  <c r="AR27" i="154"/>
  <c r="AQ27" i="154"/>
  <c r="AO27" i="154"/>
  <c r="AP27" i="154"/>
  <c r="AS27" i="154"/>
  <c r="AN27" i="154"/>
  <c r="F27" i="154"/>
  <c r="J27" i="154"/>
  <c r="AT26" i="154"/>
  <c r="AS26" i="154"/>
  <c r="AR26" i="154"/>
  <c r="AQ26" i="154"/>
  <c r="AP26" i="154"/>
  <c r="AO26" i="154"/>
  <c r="AN26" i="154"/>
  <c r="N26" i="154"/>
  <c r="F26" i="154"/>
  <c r="AT25" i="154"/>
  <c r="AS25" i="154"/>
  <c r="AR25" i="154"/>
  <c r="AQ25" i="154"/>
  <c r="AP25" i="154"/>
  <c r="AO25" i="154"/>
  <c r="AN25" i="154"/>
  <c r="F25" i="154"/>
  <c r="J25" i="154"/>
  <c r="AT24" i="154"/>
  <c r="AR24" i="154"/>
  <c r="AQ24" i="154"/>
  <c r="AO24" i="154"/>
  <c r="AP24" i="154"/>
  <c r="AS24" i="154"/>
  <c r="AN24" i="154"/>
  <c r="N24" i="154"/>
  <c r="AT23" i="154"/>
  <c r="AR23" i="154"/>
  <c r="AQ23" i="154"/>
  <c r="AO23" i="154"/>
  <c r="AP23" i="154"/>
  <c r="AS23" i="154"/>
  <c r="AN23" i="154"/>
  <c r="J23" i="154"/>
  <c r="F23" i="154"/>
  <c r="AT22" i="154"/>
  <c r="AS22" i="154"/>
  <c r="AR22" i="154"/>
  <c r="AQ22" i="154"/>
  <c r="AP22" i="154"/>
  <c r="AO22" i="154"/>
  <c r="AN22" i="154"/>
  <c r="N22" i="154"/>
  <c r="AT21" i="154"/>
  <c r="AR21" i="154"/>
  <c r="AQ21" i="154"/>
  <c r="AO21" i="154"/>
  <c r="AP21" i="154"/>
  <c r="AS21" i="154"/>
  <c r="AN21" i="154"/>
  <c r="F21" i="154"/>
  <c r="J21" i="154"/>
  <c r="AT20" i="154"/>
  <c r="AR20" i="154"/>
  <c r="AQ20" i="154"/>
  <c r="AO20" i="154"/>
  <c r="AP20" i="154"/>
  <c r="AS20" i="154"/>
  <c r="AN20" i="154"/>
  <c r="N20" i="154"/>
  <c r="AT19" i="154"/>
  <c r="AR19" i="154"/>
  <c r="AQ19" i="154"/>
  <c r="AO19" i="154"/>
  <c r="AP19" i="154"/>
  <c r="AS19" i="154"/>
  <c r="AN19" i="154"/>
  <c r="J19" i="154"/>
  <c r="F19" i="154"/>
  <c r="AT18" i="154"/>
  <c r="AR18" i="154"/>
  <c r="AQ18" i="154"/>
  <c r="AO18" i="154"/>
  <c r="AP18" i="154"/>
  <c r="AS18" i="154"/>
  <c r="AN18" i="154"/>
  <c r="N18" i="154"/>
  <c r="AN11" i="154"/>
  <c r="AN7" i="154"/>
  <c r="AN8" i="154"/>
  <c r="Y7" i="154"/>
  <c r="H7" i="154"/>
  <c r="H6" i="154"/>
  <c r="H5" i="154"/>
  <c r="O62" i="121"/>
  <c r="Q22" i="121"/>
  <c r="AI17" i="121"/>
  <c r="AC17" i="121"/>
  <c r="W17" i="121"/>
  <c r="N22" i="121"/>
  <c r="AF17" i="121"/>
  <c r="Z17" i="121"/>
  <c r="T17" i="121"/>
  <c r="N21" i="121"/>
  <c r="AF16" i="121"/>
  <c r="Z16" i="121"/>
  <c r="T16" i="121"/>
  <c r="Q16" i="121"/>
  <c r="O62" i="98"/>
  <c r="Q22" i="98"/>
  <c r="AI17" i="98"/>
  <c r="AC17" i="98"/>
  <c r="W17" i="98"/>
  <c r="N22" i="98"/>
  <c r="AF17" i="98"/>
  <c r="Z17" i="98"/>
  <c r="T17" i="98"/>
  <c r="N21" i="98"/>
  <c r="AF16" i="98"/>
  <c r="Z16" i="98"/>
  <c r="T16" i="98"/>
  <c r="Q16" i="98"/>
  <c r="O62" i="97"/>
  <c r="Q22" i="97"/>
  <c r="AI17" i="97"/>
  <c r="AC17" i="97"/>
  <c r="W17" i="97"/>
  <c r="N22" i="97"/>
  <c r="AF17" i="97"/>
  <c r="Z17" i="97"/>
  <c r="T17" i="97"/>
  <c r="N21" i="97"/>
  <c r="AF16" i="97"/>
  <c r="Z16" i="97"/>
  <c r="T16" i="97"/>
  <c r="Q16" i="97"/>
  <c r="O62" i="96"/>
  <c r="Q22" i="96"/>
  <c r="AI17" i="96"/>
  <c r="AC17" i="96"/>
  <c r="W17" i="96"/>
  <c r="N22" i="96"/>
  <c r="AF17" i="96"/>
  <c r="Z17" i="96"/>
  <c r="N21" i="96"/>
  <c r="AF16" i="96"/>
  <c r="Z16" i="96"/>
  <c r="T16" i="96"/>
  <c r="T17" i="96"/>
  <c r="Q16" i="96"/>
  <c r="X25" i="106"/>
  <c r="X25" i="105"/>
  <c r="O62" i="95"/>
  <c r="Q22" i="95"/>
  <c r="AI17" i="95"/>
  <c r="AC17" i="95"/>
  <c r="W17" i="95"/>
  <c r="N22" i="95"/>
  <c r="AF17" i="95"/>
  <c r="Z17" i="95"/>
  <c r="T17" i="95"/>
  <c r="N21" i="95"/>
  <c r="AF16" i="95"/>
  <c r="Z16" i="95"/>
  <c r="T16" i="95"/>
  <c r="Q16" i="95"/>
  <c r="O62" i="94"/>
  <c r="Q22" i="94"/>
  <c r="AI17" i="94"/>
  <c r="AC17" i="94"/>
  <c r="W17" i="94"/>
  <c r="N22" i="94"/>
  <c r="AF17" i="94"/>
  <c r="Z17" i="94"/>
  <c r="T17" i="94"/>
  <c r="N21" i="94"/>
  <c r="AF16" i="94"/>
  <c r="Z16" i="94"/>
  <c r="T16" i="94"/>
  <c r="Q16" i="94"/>
  <c r="O62" i="93"/>
  <c r="Q22" i="93"/>
  <c r="AI17" i="93"/>
  <c r="AC17" i="93"/>
  <c r="W17" i="93"/>
  <c r="N22" i="93"/>
  <c r="AF17" i="93"/>
  <c r="Z17" i="93"/>
  <c r="T17" i="93"/>
  <c r="N21" i="93"/>
  <c r="AF16" i="93"/>
  <c r="Z16" i="93"/>
  <c r="T16" i="93"/>
  <c r="Q16" i="93"/>
  <c r="O62" i="92"/>
  <c r="Q22" i="92"/>
  <c r="AI17" i="92"/>
  <c r="AC17" i="92"/>
  <c r="W17" i="92"/>
  <c r="N22" i="92"/>
  <c r="AF17" i="92"/>
  <c r="Z17" i="92"/>
  <c r="T17" i="92"/>
  <c r="N21" i="92"/>
  <c r="AF16" i="92"/>
  <c r="Z16" i="92"/>
  <c r="T16" i="92"/>
  <c r="Q16" i="92"/>
  <c r="O62" i="91"/>
  <c r="Q22" i="91"/>
  <c r="AI17" i="91"/>
  <c r="AC17" i="91"/>
  <c r="W17" i="91"/>
  <c r="N22" i="91"/>
  <c r="AF17" i="91"/>
  <c r="Z17" i="91"/>
  <c r="T17" i="91"/>
  <c r="N21" i="91"/>
  <c r="AF16" i="91"/>
  <c r="Z16" i="91"/>
  <c r="T16" i="91"/>
  <c r="Q16" i="91"/>
  <c r="O62" i="90"/>
  <c r="Q22" i="90"/>
  <c r="AI17" i="90"/>
  <c r="AC17" i="90"/>
  <c r="W17" i="90"/>
  <c r="N22" i="90"/>
  <c r="AF17" i="90"/>
  <c r="Z17" i="90"/>
  <c r="T17" i="90"/>
  <c r="N21" i="90"/>
  <c r="AF16" i="90"/>
  <c r="Z16" i="90"/>
  <c r="T16" i="90"/>
  <c r="Q16" i="90"/>
  <c r="O62" i="89"/>
  <c r="Q22" i="89"/>
  <c r="AI17" i="89"/>
  <c r="AC17" i="89"/>
  <c r="W17" i="89"/>
  <c r="N22" i="89"/>
  <c r="AF17" i="89"/>
  <c r="Z17" i="89"/>
  <c r="T17" i="89"/>
  <c r="N21" i="89"/>
  <c r="AF16" i="89"/>
  <c r="Z16" i="89"/>
  <c r="T16" i="89"/>
  <c r="Q16" i="89"/>
  <c r="O62" i="85"/>
  <c r="Q22" i="85"/>
  <c r="AI17" i="85"/>
  <c r="AC17" i="85"/>
  <c r="W17" i="85"/>
  <c r="N22" i="85"/>
  <c r="AF17" i="85"/>
  <c r="Z17" i="85"/>
  <c r="T17" i="85"/>
  <c r="N21" i="85"/>
  <c r="AF16" i="85"/>
  <c r="Z16" i="85"/>
  <c r="T16" i="85"/>
  <c r="Q16" i="85"/>
  <c r="O62" i="88"/>
  <c r="Q22" i="88"/>
  <c r="AI17" i="88"/>
  <c r="AC17" i="88"/>
  <c r="W17" i="88"/>
  <c r="X25" i="148"/>
  <c r="F24" i="54"/>
  <c r="C107" i="54"/>
  <c r="C116" i="54"/>
  <c r="F105" i="54"/>
  <c r="F106" i="54"/>
  <c r="F107" i="54"/>
  <c r="C106" i="54"/>
  <c r="F110" i="54"/>
  <c r="F109" i="54"/>
  <c r="F108" i="54"/>
  <c r="F104" i="54"/>
  <c r="F103" i="54"/>
  <c r="F102" i="54"/>
  <c r="C110" i="54"/>
  <c r="C119" i="54"/>
  <c r="C109" i="54"/>
  <c r="C118" i="54"/>
  <c r="C108" i="54"/>
  <c r="C105" i="54"/>
  <c r="C114" i="54"/>
  <c r="C104" i="54"/>
  <c r="C113" i="54"/>
  <c r="C103" i="54"/>
  <c r="C102" i="54"/>
  <c r="F99" i="54"/>
  <c r="F100" i="54"/>
  <c r="F83" i="54"/>
  <c r="F84" i="54"/>
  <c r="N22" i="88"/>
  <c r="AF17" i="88"/>
  <c r="Z17" i="88"/>
  <c r="N21" i="88"/>
  <c r="AF16" i="88"/>
  <c r="Z16" i="88"/>
  <c r="T16" i="88"/>
  <c r="T17" i="88"/>
  <c r="AN38" i="153"/>
  <c r="N38" i="153"/>
  <c r="F38" i="153"/>
  <c r="AN37" i="153"/>
  <c r="N37" i="153"/>
  <c r="AN36" i="153"/>
  <c r="N36" i="153"/>
  <c r="AN35" i="153"/>
  <c r="J35" i="153"/>
  <c r="F35" i="153"/>
  <c r="AN34" i="153"/>
  <c r="N34" i="153"/>
  <c r="AT33" i="153"/>
  <c r="AR33" i="153"/>
  <c r="AQ33" i="153"/>
  <c r="AP33" i="153"/>
  <c r="AS33" i="153"/>
  <c r="AO33" i="153"/>
  <c r="AN33" i="153"/>
  <c r="F33" i="153"/>
  <c r="J33" i="153"/>
  <c r="AT32" i="153"/>
  <c r="AR32" i="153"/>
  <c r="AQ32" i="153"/>
  <c r="AO32" i="153"/>
  <c r="AP32" i="153"/>
  <c r="AS32" i="153"/>
  <c r="AN32" i="153"/>
  <c r="N32" i="153"/>
  <c r="AT31" i="153"/>
  <c r="AR31" i="153"/>
  <c r="AQ31" i="153"/>
  <c r="AO31" i="153"/>
  <c r="AP31" i="153"/>
  <c r="AS31" i="153"/>
  <c r="AN31" i="153"/>
  <c r="N31" i="153"/>
  <c r="N30" i="153"/>
  <c r="AT29" i="153"/>
  <c r="AS29" i="153"/>
  <c r="AR29" i="153"/>
  <c r="AQ29" i="153"/>
  <c r="AP29" i="153"/>
  <c r="AO29" i="153"/>
  <c r="AN29" i="153"/>
  <c r="AT28" i="153"/>
  <c r="AR28" i="153"/>
  <c r="AQ28" i="153"/>
  <c r="AO28" i="153"/>
  <c r="AP28" i="153"/>
  <c r="AS28" i="153"/>
  <c r="AN28" i="153"/>
  <c r="F28" i="153"/>
  <c r="J28" i="153"/>
  <c r="AT27" i="153"/>
  <c r="AS27" i="153"/>
  <c r="AR27" i="153"/>
  <c r="AQ27" i="153"/>
  <c r="AP27" i="153"/>
  <c r="AO27" i="153"/>
  <c r="AN27" i="153"/>
  <c r="J27" i="153"/>
  <c r="F27" i="153"/>
  <c r="AT26" i="153"/>
  <c r="AR26" i="153"/>
  <c r="AQ26" i="153"/>
  <c r="AO26" i="153"/>
  <c r="AP26" i="153"/>
  <c r="AS26" i="153"/>
  <c r="AN26" i="153"/>
  <c r="N26" i="153"/>
  <c r="F26" i="153"/>
  <c r="AT25" i="153"/>
  <c r="AR25" i="153"/>
  <c r="AQ25" i="153"/>
  <c r="AO25" i="153"/>
  <c r="AP25" i="153"/>
  <c r="AS25" i="153"/>
  <c r="AN25" i="153"/>
  <c r="J25" i="153"/>
  <c r="F25" i="153"/>
  <c r="AT24" i="153"/>
  <c r="AS24" i="153"/>
  <c r="AR24" i="153"/>
  <c r="AQ24" i="153"/>
  <c r="AP24" i="153"/>
  <c r="AO24" i="153"/>
  <c r="AN24" i="153"/>
  <c r="N24" i="153"/>
  <c r="AT23" i="153"/>
  <c r="AR23" i="153"/>
  <c r="AQ23" i="153"/>
  <c r="AO23" i="153"/>
  <c r="AP23" i="153"/>
  <c r="AS23" i="153"/>
  <c r="AN23" i="153"/>
  <c r="F23" i="153"/>
  <c r="J23" i="153"/>
  <c r="AT22" i="153"/>
  <c r="AR22" i="153"/>
  <c r="AQ22" i="153"/>
  <c r="AO22" i="153"/>
  <c r="AP22" i="153"/>
  <c r="AS22" i="153"/>
  <c r="AN22" i="153"/>
  <c r="N22" i="153"/>
  <c r="AT21" i="153"/>
  <c r="AR21" i="153"/>
  <c r="AQ21" i="153"/>
  <c r="AO21" i="153"/>
  <c r="AP21" i="153"/>
  <c r="AS21" i="153"/>
  <c r="AN21" i="153"/>
  <c r="J21" i="153"/>
  <c r="F21" i="153"/>
  <c r="AT20" i="153"/>
  <c r="AR20" i="153"/>
  <c r="AQ20" i="153"/>
  <c r="AO20" i="153"/>
  <c r="AP20" i="153"/>
  <c r="AS20" i="153"/>
  <c r="AN20" i="153"/>
  <c r="N20" i="153"/>
  <c r="AT19" i="153"/>
  <c r="AR19" i="153"/>
  <c r="AQ19" i="153"/>
  <c r="AO19" i="153"/>
  <c r="AP19" i="153"/>
  <c r="AS19" i="153"/>
  <c r="AN19" i="153"/>
  <c r="F19" i="153"/>
  <c r="AT18" i="153"/>
  <c r="AR18" i="153"/>
  <c r="AQ18" i="153"/>
  <c r="AO18" i="153"/>
  <c r="AP18" i="153"/>
  <c r="AS18" i="153"/>
  <c r="AN18" i="153"/>
  <c r="N18" i="153"/>
  <c r="AN11" i="153"/>
  <c r="AN8" i="153"/>
  <c r="AN7" i="153"/>
  <c r="Y7" i="153"/>
  <c r="H7" i="153"/>
  <c r="H6" i="153"/>
  <c r="H5" i="153"/>
  <c r="F67" i="54"/>
  <c r="F68" i="54"/>
  <c r="F51" i="54"/>
  <c r="F52" i="54"/>
  <c r="Q16" i="88"/>
  <c r="O62" i="87"/>
  <c r="O62" i="83"/>
  <c r="Q22" i="87"/>
  <c r="AI17" i="87"/>
  <c r="AC17" i="87"/>
  <c r="W17" i="87"/>
  <c r="N22" i="87"/>
  <c r="AF17" i="87"/>
  <c r="Z17" i="87"/>
  <c r="T17" i="87"/>
  <c r="N21" i="87"/>
  <c r="AF16" i="87"/>
  <c r="Z16" i="87"/>
  <c r="T16" i="87"/>
  <c r="Q16" i="87"/>
  <c r="Q22" i="83"/>
  <c r="AI17" i="83"/>
  <c r="AC17" i="83"/>
  <c r="W17" i="83"/>
  <c r="N22" i="83"/>
  <c r="AF17" i="83"/>
  <c r="Z17" i="83"/>
  <c r="T17" i="83"/>
  <c r="N21" i="83"/>
  <c r="AF16" i="83"/>
  <c r="Z16" i="83"/>
  <c r="T16" i="83"/>
  <c r="Q16" i="83"/>
  <c r="O62" i="132"/>
  <c r="O62" i="52"/>
  <c r="Q22" i="132"/>
  <c r="AI17" i="132"/>
  <c r="AC17" i="132"/>
  <c r="N22" i="132"/>
  <c r="AF17" i="132"/>
  <c r="Z17" i="132"/>
  <c r="N21" i="132"/>
  <c r="AF16" i="132"/>
  <c r="Z16" i="132"/>
  <c r="W17" i="132"/>
  <c r="T16" i="132"/>
  <c r="T17" i="132"/>
  <c r="Q16" i="132"/>
  <c r="Q22" i="52"/>
  <c r="AI17" i="52"/>
  <c r="AC17" i="52"/>
  <c r="W17" i="52"/>
  <c r="N22" i="52"/>
  <c r="AF17" i="52"/>
  <c r="Z17" i="52"/>
  <c r="T17" i="52"/>
  <c r="N21" i="52"/>
  <c r="AF16" i="52"/>
  <c r="Z16" i="52"/>
  <c r="T16" i="52"/>
  <c r="Q16" i="52"/>
  <c r="O62" i="51"/>
  <c r="F57" i="143"/>
  <c r="E56" i="143"/>
  <c r="H55" i="143"/>
  <c r="F55" i="143"/>
  <c r="H54" i="143"/>
  <c r="F54" i="143"/>
  <c r="H53" i="143"/>
  <c r="F53" i="143"/>
  <c r="H52" i="143"/>
  <c r="F52" i="143"/>
  <c r="H51" i="143"/>
  <c r="F51" i="143"/>
  <c r="H50" i="143"/>
  <c r="F50" i="143"/>
  <c r="H49" i="143"/>
  <c r="F49" i="143"/>
  <c r="H48" i="143"/>
  <c r="F48" i="143"/>
  <c r="H47" i="143"/>
  <c r="F47" i="143"/>
  <c r="H46" i="143"/>
  <c r="F46" i="143"/>
  <c r="H45" i="143"/>
  <c r="F45" i="143"/>
  <c r="H44" i="143"/>
  <c r="F44" i="143"/>
  <c r="H43" i="143"/>
  <c r="F43" i="143"/>
  <c r="H42" i="143"/>
  <c r="F42" i="143"/>
  <c r="H41" i="143"/>
  <c r="F41" i="143"/>
  <c r="H40" i="143"/>
  <c r="F40" i="143"/>
  <c r="H39" i="143"/>
  <c r="F39" i="143"/>
  <c r="H38" i="143"/>
  <c r="F38" i="143"/>
  <c r="H37" i="143"/>
  <c r="F37" i="143"/>
  <c r="H36" i="143"/>
  <c r="F36" i="143"/>
  <c r="H35" i="143"/>
  <c r="F35" i="143"/>
  <c r="H34" i="143"/>
  <c r="F34" i="143"/>
  <c r="F56" i="143"/>
  <c r="P52" i="163"/>
  <c r="P46" i="163"/>
  <c r="P47" i="163"/>
  <c r="T53" i="163"/>
  <c r="P37" i="163"/>
  <c r="P40" i="163"/>
  <c r="P41" i="163"/>
  <c r="P39" i="163"/>
  <c r="P43" i="163"/>
  <c r="P42" i="163"/>
  <c r="P35" i="163"/>
  <c r="P51" i="163"/>
  <c r="P50" i="163"/>
  <c r="P48" i="163"/>
  <c r="P33" i="163"/>
  <c r="AI17" i="161"/>
  <c r="N57" i="161"/>
  <c r="L57" i="161"/>
  <c r="Z17" i="161"/>
  <c r="AC17" i="161"/>
  <c r="L59" i="161"/>
  <c r="P59" i="161"/>
  <c r="AU21" i="161"/>
  <c r="H21" i="161"/>
  <c r="AR17" i="161"/>
  <c r="T16" i="161"/>
  <c r="AU17" i="161"/>
  <c r="Z16" i="161"/>
  <c r="T17" i="161"/>
  <c r="W17" i="161"/>
  <c r="H22" i="161"/>
  <c r="K22" i="161"/>
  <c r="AC25" i="161"/>
  <c r="AH25" i="161"/>
  <c r="N62" i="161"/>
  <c r="AM25" i="161"/>
  <c r="N57" i="160"/>
  <c r="L57" i="160"/>
  <c r="P57" i="160"/>
  <c r="F132" i="84"/>
  <c r="Z17" i="160"/>
  <c r="AC17" i="160"/>
  <c r="L59" i="160"/>
  <c r="P59" i="160"/>
  <c r="AU21" i="160"/>
  <c r="H21" i="160"/>
  <c r="AU17" i="160"/>
  <c r="Z16" i="160"/>
  <c r="AR17" i="160"/>
  <c r="T16" i="160"/>
  <c r="T17" i="160"/>
  <c r="W17" i="160"/>
  <c r="AC25" i="160"/>
  <c r="AH25" i="160"/>
  <c r="AM25" i="160"/>
  <c r="H22" i="160"/>
  <c r="K22" i="160"/>
  <c r="N62" i="160"/>
  <c r="AM23" i="160"/>
  <c r="J19" i="159"/>
  <c r="F29" i="159"/>
  <c r="J29" i="159"/>
  <c r="F39" i="158"/>
  <c r="J19" i="158"/>
  <c r="F29" i="158"/>
  <c r="J29" i="158"/>
  <c r="F39" i="157"/>
  <c r="J19" i="157"/>
  <c r="F29" i="156"/>
  <c r="J29" i="156"/>
  <c r="J39" i="156"/>
  <c r="F29" i="155"/>
  <c r="J29" i="155"/>
  <c r="F39" i="154"/>
  <c r="J39" i="154"/>
  <c r="L27" i="154"/>
  <c r="N27" i="154"/>
  <c r="P27" i="154"/>
  <c r="L25" i="154"/>
  <c r="N25" i="154"/>
  <c r="P25" i="154"/>
  <c r="F29" i="154"/>
  <c r="J29" i="154"/>
  <c r="C115" i="54"/>
  <c r="C112" i="54"/>
  <c r="C117" i="54"/>
  <c r="C111" i="54"/>
  <c r="F39" i="153"/>
  <c r="J19" i="153"/>
  <c r="F29" i="153"/>
  <c r="J29" i="153"/>
  <c r="H56" i="143"/>
  <c r="P53" i="163"/>
  <c r="P57" i="161"/>
  <c r="F140" i="84"/>
  <c r="N56" i="161"/>
  <c r="T48" i="161"/>
  <c r="R48" i="161"/>
  <c r="P62" i="161"/>
  <c r="L62" i="161"/>
  <c r="H34" i="161"/>
  <c r="N34" i="161"/>
  <c r="H36" i="161"/>
  <c r="N36" i="161"/>
  <c r="H51" i="161"/>
  <c r="N51" i="161"/>
  <c r="H47" i="161"/>
  <c r="H44" i="161"/>
  <c r="N44" i="161"/>
  <c r="H42" i="161"/>
  <c r="N42" i="161"/>
  <c r="T42" i="161"/>
  <c r="R42" i="161"/>
  <c r="H40" i="161"/>
  <c r="N40" i="161"/>
  <c r="T40" i="161"/>
  <c r="R40" i="161"/>
  <c r="H48" i="161"/>
  <c r="N48" i="161"/>
  <c r="H33" i="161"/>
  <c r="N33" i="161"/>
  <c r="H37" i="161"/>
  <c r="N37" i="161"/>
  <c r="T37" i="161"/>
  <c r="R37" i="161"/>
  <c r="H52" i="161"/>
  <c r="N52" i="161"/>
  <c r="H49" i="161"/>
  <c r="N49" i="161"/>
  <c r="H43" i="161"/>
  <c r="N43" i="161"/>
  <c r="T43" i="161"/>
  <c r="R43" i="161"/>
  <c r="H41" i="161"/>
  <c r="N41" i="161"/>
  <c r="T41" i="161"/>
  <c r="R41" i="161"/>
  <c r="H39" i="161"/>
  <c r="N39" i="161"/>
  <c r="T39" i="161"/>
  <c r="R39" i="161"/>
  <c r="H32" i="161"/>
  <c r="H46" i="161"/>
  <c r="H38" i="161"/>
  <c r="N38" i="161"/>
  <c r="H50" i="161"/>
  <c r="N50" i="161"/>
  <c r="H45" i="161"/>
  <c r="N45" i="161"/>
  <c r="H35" i="161"/>
  <c r="N35" i="161"/>
  <c r="T35" i="161"/>
  <c r="R35" i="161"/>
  <c r="N55" i="161"/>
  <c r="T50" i="161"/>
  <c r="R50" i="161"/>
  <c r="T33" i="161"/>
  <c r="N58" i="161"/>
  <c r="N55" i="160"/>
  <c r="T50" i="160"/>
  <c r="R50" i="160"/>
  <c r="N58" i="160"/>
  <c r="T33" i="160"/>
  <c r="N56" i="160"/>
  <c r="T48" i="160"/>
  <c r="R48" i="160"/>
  <c r="P62" i="160"/>
  <c r="L62" i="160"/>
  <c r="H33" i="160"/>
  <c r="N33" i="160"/>
  <c r="H51" i="160"/>
  <c r="N51" i="160"/>
  <c r="H47" i="160"/>
  <c r="H44" i="160"/>
  <c r="N44" i="160"/>
  <c r="H42" i="160"/>
  <c r="N42" i="160"/>
  <c r="T42" i="160"/>
  <c r="R42" i="160"/>
  <c r="H40" i="160"/>
  <c r="N40" i="160"/>
  <c r="T40" i="160"/>
  <c r="R40" i="160"/>
  <c r="H32" i="160"/>
  <c r="H45" i="160"/>
  <c r="N45" i="160"/>
  <c r="H35" i="160"/>
  <c r="N35" i="160"/>
  <c r="T35" i="160"/>
  <c r="R35" i="160"/>
  <c r="H34" i="160"/>
  <c r="N34" i="160"/>
  <c r="H52" i="160"/>
  <c r="N52" i="160"/>
  <c r="H48" i="160"/>
  <c r="N48" i="160"/>
  <c r="H37" i="160"/>
  <c r="N37" i="160"/>
  <c r="T37" i="160"/>
  <c r="R37" i="160"/>
  <c r="H49" i="160"/>
  <c r="N49" i="160"/>
  <c r="H43" i="160"/>
  <c r="N43" i="160"/>
  <c r="T43" i="160"/>
  <c r="R43" i="160"/>
  <c r="H41" i="160"/>
  <c r="N41" i="160"/>
  <c r="T41" i="160"/>
  <c r="R41" i="160"/>
  <c r="H39" i="160"/>
  <c r="N39" i="160"/>
  <c r="T39" i="160"/>
  <c r="R39" i="160"/>
  <c r="H36" i="160"/>
  <c r="N36" i="160"/>
  <c r="H46" i="160"/>
  <c r="H38" i="160"/>
  <c r="N38" i="160"/>
  <c r="H50" i="160"/>
  <c r="N50" i="160"/>
  <c r="F39" i="159"/>
  <c r="J39" i="159"/>
  <c r="J39" i="158"/>
  <c r="L19" i="158"/>
  <c r="N19" i="158"/>
  <c r="L29" i="158"/>
  <c r="N29" i="158"/>
  <c r="P29" i="158"/>
  <c r="J39" i="157"/>
  <c r="L19" i="156"/>
  <c r="N19" i="156"/>
  <c r="L27" i="156"/>
  <c r="N27" i="156"/>
  <c r="P27" i="156"/>
  <c r="L33" i="156"/>
  <c r="N33" i="156"/>
  <c r="P33" i="156"/>
  <c r="L21" i="156"/>
  <c r="N21" i="156"/>
  <c r="L35" i="156"/>
  <c r="N35" i="156"/>
  <c r="P35" i="156"/>
  <c r="L25" i="156"/>
  <c r="N25" i="156"/>
  <c r="P25" i="156"/>
  <c r="L28" i="156"/>
  <c r="N28" i="156"/>
  <c r="P28" i="156"/>
  <c r="L23" i="156"/>
  <c r="N23" i="156"/>
  <c r="P23" i="156"/>
  <c r="L29" i="156"/>
  <c r="N29" i="156"/>
  <c r="P29" i="156"/>
  <c r="F39" i="156"/>
  <c r="L29" i="155"/>
  <c r="N29" i="155"/>
  <c r="P29" i="155"/>
  <c r="J39" i="155"/>
  <c r="F39" i="155"/>
  <c r="L21" i="154"/>
  <c r="N21" i="154"/>
  <c r="L23" i="154"/>
  <c r="N23" i="154"/>
  <c r="P23" i="154"/>
  <c r="L19" i="154"/>
  <c r="L35" i="154"/>
  <c r="N35" i="154"/>
  <c r="P35" i="154"/>
  <c r="F186" i="84"/>
  <c r="L33" i="154"/>
  <c r="N33" i="154"/>
  <c r="P33" i="154"/>
  <c r="L29" i="154"/>
  <c r="N29" i="154"/>
  <c r="P29" i="154"/>
  <c r="L28" i="154"/>
  <c r="N28" i="154"/>
  <c r="P28" i="154"/>
  <c r="L29" i="153"/>
  <c r="N29" i="153"/>
  <c r="P29" i="153"/>
  <c r="F117" i="54"/>
  <c r="J39" i="153"/>
  <c r="L19" i="153"/>
  <c r="N19" i="153"/>
  <c r="R33" i="161"/>
  <c r="R52" i="161"/>
  <c r="N32" i="161"/>
  <c r="H53" i="161"/>
  <c r="J46" i="161"/>
  <c r="N46" i="161"/>
  <c r="R51" i="161"/>
  <c r="AM26" i="161"/>
  <c r="P55" i="161"/>
  <c r="F138" i="84"/>
  <c r="L55" i="161"/>
  <c r="L58" i="161"/>
  <c r="P58" i="161"/>
  <c r="F141" i="84"/>
  <c r="P56" i="161"/>
  <c r="F139" i="84"/>
  <c r="L56" i="161"/>
  <c r="R52" i="160"/>
  <c r="H53" i="160"/>
  <c r="J46" i="160"/>
  <c r="R51" i="160"/>
  <c r="N32" i="160"/>
  <c r="R33" i="160"/>
  <c r="R49" i="160"/>
  <c r="P56" i="160"/>
  <c r="F131" i="84"/>
  <c r="L56" i="160"/>
  <c r="L58" i="160"/>
  <c r="P58" i="160"/>
  <c r="F133" i="84"/>
  <c r="AM26" i="160"/>
  <c r="P55" i="160"/>
  <c r="F130" i="84"/>
  <c r="L55" i="160"/>
  <c r="L25" i="159"/>
  <c r="N25" i="159"/>
  <c r="P25" i="159"/>
  <c r="L21" i="159"/>
  <c r="N21" i="159"/>
  <c r="L35" i="159"/>
  <c r="N35" i="159"/>
  <c r="P35" i="159"/>
  <c r="L27" i="159"/>
  <c r="N27" i="159"/>
  <c r="P27" i="159"/>
  <c r="L23" i="159"/>
  <c r="N23" i="159"/>
  <c r="P23" i="159"/>
  <c r="L28" i="159"/>
  <c r="N28" i="159"/>
  <c r="P28" i="159"/>
  <c r="L33" i="159"/>
  <c r="N33" i="159"/>
  <c r="P33" i="159"/>
  <c r="L29" i="159"/>
  <c r="N29" i="159"/>
  <c r="P29" i="159"/>
  <c r="L19" i="159"/>
  <c r="N19" i="159"/>
  <c r="P19" i="158"/>
  <c r="L35" i="158"/>
  <c r="N35" i="158"/>
  <c r="P35" i="158"/>
  <c r="L25" i="158"/>
  <c r="N25" i="158"/>
  <c r="P25" i="158"/>
  <c r="L21" i="158"/>
  <c r="N21" i="158"/>
  <c r="N39" i="158"/>
  <c r="L23" i="158"/>
  <c r="N23" i="158"/>
  <c r="P23" i="158"/>
  <c r="L33" i="158"/>
  <c r="N33" i="158"/>
  <c r="P33" i="158"/>
  <c r="L27" i="158"/>
  <c r="N27" i="158"/>
  <c r="P27" i="158"/>
  <c r="L28" i="158"/>
  <c r="N28" i="158"/>
  <c r="P28" i="158"/>
  <c r="L33" i="157"/>
  <c r="N33" i="157"/>
  <c r="P33" i="157"/>
  <c r="L21" i="157"/>
  <c r="N21" i="157"/>
  <c r="L27" i="157"/>
  <c r="N27" i="157"/>
  <c r="P27" i="157"/>
  <c r="L25" i="157"/>
  <c r="N25" i="157"/>
  <c r="P25" i="157"/>
  <c r="L23" i="157"/>
  <c r="N23" i="157"/>
  <c r="P23" i="157"/>
  <c r="L28" i="157"/>
  <c r="N28" i="157"/>
  <c r="P28" i="157"/>
  <c r="L29" i="157"/>
  <c r="N29" i="157"/>
  <c r="P29" i="157"/>
  <c r="L35" i="157"/>
  <c r="N35" i="157"/>
  <c r="P35" i="157"/>
  <c r="L19" i="157"/>
  <c r="N19" i="157"/>
  <c r="P21" i="156"/>
  <c r="AI13" i="156"/>
  <c r="P19" i="156"/>
  <c r="N39" i="156"/>
  <c r="L33" i="155"/>
  <c r="N33" i="155"/>
  <c r="P33" i="155"/>
  <c r="L35" i="155"/>
  <c r="N35" i="155"/>
  <c r="P35" i="155"/>
  <c r="L28" i="155"/>
  <c r="N28" i="155"/>
  <c r="P28" i="155"/>
  <c r="L19" i="155"/>
  <c r="N19" i="155"/>
  <c r="L23" i="155"/>
  <c r="N23" i="155"/>
  <c r="P23" i="155"/>
  <c r="L25" i="155"/>
  <c r="N25" i="155"/>
  <c r="P25" i="155"/>
  <c r="L21" i="155"/>
  <c r="N21" i="155"/>
  <c r="L27" i="155"/>
  <c r="N27" i="155"/>
  <c r="P27" i="155"/>
  <c r="P19" i="154"/>
  <c r="F182" i="84"/>
  <c r="N39" i="154"/>
  <c r="AI13" i="154"/>
  <c r="P21" i="154"/>
  <c r="F183" i="84"/>
  <c r="P19" i="153"/>
  <c r="F111" i="54"/>
  <c r="L21" i="153"/>
  <c r="N21" i="153"/>
  <c r="L23" i="153"/>
  <c r="N23" i="153"/>
  <c r="P23" i="153"/>
  <c r="F113" i="54"/>
  <c r="L35" i="153"/>
  <c r="N35" i="153"/>
  <c r="P35" i="153"/>
  <c r="F119" i="54"/>
  <c r="L27" i="153"/>
  <c r="N27" i="153"/>
  <c r="P27" i="153"/>
  <c r="F115" i="54"/>
  <c r="L25" i="153"/>
  <c r="N25" i="153"/>
  <c r="P25" i="153"/>
  <c r="F114" i="54"/>
  <c r="L28" i="153"/>
  <c r="N28" i="153"/>
  <c r="P28" i="153"/>
  <c r="F116" i="54"/>
  <c r="L33" i="153"/>
  <c r="N33" i="153"/>
  <c r="P33" i="153"/>
  <c r="F118" i="54"/>
  <c r="R49" i="161"/>
  <c r="T49" i="161"/>
  <c r="T52" i="161"/>
  <c r="R46" i="161"/>
  <c r="T51" i="161"/>
  <c r="J47" i="161"/>
  <c r="J53" i="161"/>
  <c r="T51" i="160"/>
  <c r="J47" i="160"/>
  <c r="J53" i="160"/>
  <c r="T49" i="160"/>
  <c r="R46" i="160"/>
  <c r="T52" i="160"/>
  <c r="N46" i="160"/>
  <c r="P21" i="159"/>
  <c r="AI13" i="159"/>
  <c r="P19" i="159"/>
  <c r="N39" i="159"/>
  <c r="P21" i="158"/>
  <c r="P39" i="158"/>
  <c r="AI13" i="158"/>
  <c r="P21" i="157"/>
  <c r="AI13" i="157"/>
  <c r="P19" i="157"/>
  <c r="N39" i="157"/>
  <c r="P39" i="156"/>
  <c r="P21" i="155"/>
  <c r="AI13" i="155"/>
  <c r="P19" i="155"/>
  <c r="N39" i="155"/>
  <c r="P39" i="154"/>
  <c r="P21" i="153"/>
  <c r="AI13" i="153"/>
  <c r="N39" i="153"/>
  <c r="N21" i="51"/>
  <c r="AF16" i="51"/>
  <c r="Z16" i="51"/>
  <c r="Z17" i="51"/>
  <c r="AC17" i="51"/>
  <c r="T17" i="51"/>
  <c r="W17" i="51"/>
  <c r="T16" i="51"/>
  <c r="Q16" i="51"/>
  <c r="N22" i="51"/>
  <c r="Q22" i="51"/>
  <c r="G20" i="143"/>
  <c r="D25" i="143"/>
  <c r="G8" i="143"/>
  <c r="H8" i="143"/>
  <c r="G7" i="143"/>
  <c r="H7" i="143"/>
  <c r="G6" i="143"/>
  <c r="G5" i="143"/>
  <c r="H5" i="143"/>
  <c r="E6" i="143"/>
  <c r="E5" i="143"/>
  <c r="D9" i="143"/>
  <c r="E9" i="143"/>
  <c r="D8" i="143"/>
  <c r="E8" i="143"/>
  <c r="D7" i="143"/>
  <c r="E7" i="143"/>
  <c r="D6" i="143"/>
  <c r="D5" i="143"/>
  <c r="H21" i="101"/>
  <c r="AF16" i="101"/>
  <c r="Z16" i="101"/>
  <c r="Z17" i="101"/>
  <c r="T16" i="101"/>
  <c r="T17" i="101"/>
  <c r="H22" i="101"/>
  <c r="AF17" i="101"/>
  <c r="AP23" i="101"/>
  <c r="AT22" i="101"/>
  <c r="AQ22" i="101"/>
  <c r="AR22" i="101"/>
  <c r="AT17" i="101"/>
  <c r="AQ17" i="101"/>
  <c r="H21" i="100"/>
  <c r="AF16" i="100"/>
  <c r="Z16" i="100"/>
  <c r="T16" i="100"/>
  <c r="AP23" i="100"/>
  <c r="AT22" i="100"/>
  <c r="AQ22" i="100"/>
  <c r="AR22" i="100"/>
  <c r="AT17" i="100"/>
  <c r="AQ17" i="100"/>
  <c r="H21" i="104"/>
  <c r="H22" i="104"/>
  <c r="AF16" i="104"/>
  <c r="AF17" i="104"/>
  <c r="Z17" i="104"/>
  <c r="Z16" i="104"/>
  <c r="T17" i="104"/>
  <c r="T16" i="104"/>
  <c r="AP23" i="104"/>
  <c r="AQ23" i="104"/>
  <c r="AR23" i="104"/>
  <c r="AT22" i="104"/>
  <c r="AU22" i="104"/>
  <c r="AQ22" i="104"/>
  <c r="AR22" i="104"/>
  <c r="AU17" i="104"/>
  <c r="AT17" i="104"/>
  <c r="AQ17" i="104"/>
  <c r="AR17" i="104"/>
  <c r="H22" i="103"/>
  <c r="H21" i="103"/>
  <c r="AF17" i="103"/>
  <c r="AF16" i="103"/>
  <c r="Z17" i="103"/>
  <c r="Z16" i="103"/>
  <c r="T17" i="103"/>
  <c r="T16" i="103"/>
  <c r="Q16" i="103"/>
  <c r="AT22" i="103"/>
  <c r="AU22" i="103"/>
  <c r="AT17" i="103"/>
  <c r="AU17" i="103"/>
  <c r="AQ17" i="103"/>
  <c r="AR17" i="103"/>
  <c r="AT22" i="102"/>
  <c r="AU22" i="102"/>
  <c r="H21" i="102"/>
  <c r="H22" i="102"/>
  <c r="AQ21" i="150"/>
  <c r="AQ22" i="102"/>
  <c r="AR22" i="102"/>
  <c r="AF16" i="102"/>
  <c r="AF17" i="102"/>
  <c r="AU17" i="102"/>
  <c r="AT17" i="102"/>
  <c r="AR17" i="102"/>
  <c r="AQ17" i="102"/>
  <c r="T16" i="102"/>
  <c r="T17" i="102"/>
  <c r="T46" i="161"/>
  <c r="R47" i="161"/>
  <c r="N47" i="161"/>
  <c r="N53" i="161"/>
  <c r="R47" i="160"/>
  <c r="N47" i="160"/>
  <c r="N53" i="160"/>
  <c r="T46" i="160"/>
  <c r="P39" i="159"/>
  <c r="P39" i="157"/>
  <c r="P39" i="155"/>
  <c r="P39" i="153"/>
  <c r="F112" i="54"/>
  <c r="AF17" i="51"/>
  <c r="AI17" i="51"/>
  <c r="N62" i="150"/>
  <c r="F21" i="133"/>
  <c r="L61" i="150"/>
  <c r="L60" i="150"/>
  <c r="N58" i="150"/>
  <c r="F17" i="133"/>
  <c r="F53" i="150"/>
  <c r="AR52" i="150"/>
  <c r="AR51" i="150"/>
  <c r="AR50" i="150"/>
  <c r="AR49" i="150"/>
  <c r="AR48" i="150"/>
  <c r="AX47" i="150"/>
  <c r="AV47" i="150"/>
  <c r="AU47" i="150"/>
  <c r="AT47" i="150"/>
  <c r="AW47" i="150"/>
  <c r="AS47" i="150"/>
  <c r="AR47" i="150"/>
  <c r="L47" i="150"/>
  <c r="L53" i="150"/>
  <c r="AX46" i="150"/>
  <c r="AV46" i="150"/>
  <c r="AU46" i="150"/>
  <c r="AS46" i="150"/>
  <c r="AT46" i="150"/>
  <c r="AW46" i="150"/>
  <c r="AR46" i="150"/>
  <c r="AX45" i="150"/>
  <c r="AV45" i="150"/>
  <c r="AU45" i="150"/>
  <c r="AS45" i="150"/>
  <c r="AT45" i="150"/>
  <c r="AW45" i="150"/>
  <c r="AR45" i="150"/>
  <c r="AX43" i="150"/>
  <c r="AV43" i="150"/>
  <c r="AU43" i="150"/>
  <c r="AS43" i="150"/>
  <c r="AT43" i="150"/>
  <c r="AW43" i="150"/>
  <c r="AR43" i="150"/>
  <c r="AX42" i="150"/>
  <c r="AW42" i="150"/>
  <c r="AV42" i="150"/>
  <c r="AU42" i="150"/>
  <c r="AT42" i="150"/>
  <c r="AS42" i="150"/>
  <c r="AR42" i="150"/>
  <c r="AX41" i="150"/>
  <c r="AV41" i="150"/>
  <c r="AU41" i="150"/>
  <c r="AS41" i="150"/>
  <c r="AT41" i="150"/>
  <c r="AW41" i="150"/>
  <c r="AR41" i="150"/>
  <c r="AX40" i="150"/>
  <c r="AW40" i="150"/>
  <c r="AV40" i="150"/>
  <c r="AU40" i="150"/>
  <c r="AT40" i="150"/>
  <c r="AS40" i="150"/>
  <c r="AR40" i="150"/>
  <c r="AX39" i="150"/>
  <c r="AV39" i="150"/>
  <c r="AU39" i="150"/>
  <c r="AS39" i="150"/>
  <c r="AT39" i="150"/>
  <c r="AW39" i="150"/>
  <c r="AR39" i="150"/>
  <c r="AX38" i="150"/>
  <c r="AW38" i="150"/>
  <c r="AV38" i="150"/>
  <c r="AU38" i="150"/>
  <c r="AT38" i="150"/>
  <c r="AS38" i="150"/>
  <c r="AR38" i="150"/>
  <c r="AX37" i="150"/>
  <c r="AV37" i="150"/>
  <c r="AU37" i="150"/>
  <c r="AS37" i="150"/>
  <c r="AT37" i="150"/>
  <c r="AW37" i="150"/>
  <c r="AR37" i="150"/>
  <c r="AX36" i="150"/>
  <c r="AV36" i="150"/>
  <c r="AU36" i="150"/>
  <c r="AT36" i="150"/>
  <c r="AW36" i="150"/>
  <c r="AS36" i="150"/>
  <c r="AR36" i="150"/>
  <c r="AX35" i="150"/>
  <c r="AW35" i="150"/>
  <c r="AV35" i="150"/>
  <c r="AU35" i="150"/>
  <c r="AT35" i="150"/>
  <c r="AS35" i="150"/>
  <c r="AR35" i="150"/>
  <c r="AX34" i="150"/>
  <c r="AV34" i="150"/>
  <c r="AU34" i="150"/>
  <c r="AT34" i="150"/>
  <c r="AW34" i="150"/>
  <c r="AS34" i="150"/>
  <c r="AR34" i="150"/>
  <c r="AX33" i="150"/>
  <c r="AV33" i="150"/>
  <c r="AU33" i="150"/>
  <c r="AS33" i="150"/>
  <c r="AT33" i="150"/>
  <c r="AW33" i="150"/>
  <c r="AR33" i="150"/>
  <c r="AX32" i="150"/>
  <c r="AV32" i="150"/>
  <c r="AU32" i="150"/>
  <c r="AS32" i="150"/>
  <c r="AT32" i="150"/>
  <c r="AW32" i="150"/>
  <c r="AR32" i="150"/>
  <c r="F28" i="150"/>
  <c r="AM25" i="150"/>
  <c r="A22" i="150"/>
  <c r="AT21" i="150"/>
  <c r="AR21" i="150"/>
  <c r="AF16" i="150"/>
  <c r="AF17" i="150"/>
  <c r="AI17" i="150"/>
  <c r="N55" i="150"/>
  <c r="F14" i="133"/>
  <c r="AN18" i="150"/>
  <c r="AT17" i="150"/>
  <c r="AU17" i="150"/>
  <c r="Z16" i="150"/>
  <c r="AQ17" i="150"/>
  <c r="Q17" i="150"/>
  <c r="N17" i="150"/>
  <c r="AH25" i="150"/>
  <c r="X34" i="150"/>
  <c r="X36" i="150"/>
  <c r="X37" i="150"/>
  <c r="K17" i="150"/>
  <c r="AM23" i="150"/>
  <c r="H17" i="150"/>
  <c r="AC25" i="150"/>
  <c r="Q16" i="150"/>
  <c r="AR11" i="150"/>
  <c r="AR8" i="150"/>
  <c r="AU21" i="150"/>
  <c r="H21" i="150"/>
  <c r="AR7" i="150"/>
  <c r="AC7" i="150"/>
  <c r="H7" i="150"/>
  <c r="H6" i="150"/>
  <c r="H5" i="150"/>
  <c r="AH25" i="148"/>
  <c r="X34" i="148"/>
  <c r="AC25" i="148"/>
  <c r="K17" i="148"/>
  <c r="AM23" i="148"/>
  <c r="F52" i="148"/>
  <c r="F38" i="148"/>
  <c r="F37" i="148"/>
  <c r="F36" i="148"/>
  <c r="F35" i="148"/>
  <c r="F34" i="148"/>
  <c r="F33" i="148"/>
  <c r="F32" i="148"/>
  <c r="N62" i="148"/>
  <c r="P62" i="148"/>
  <c r="F101" i="54"/>
  <c r="P61" i="148"/>
  <c r="L61" i="148"/>
  <c r="P60" i="148"/>
  <c r="L60" i="148"/>
  <c r="N59" i="148"/>
  <c r="P59" i="148"/>
  <c r="F98" i="54"/>
  <c r="AR52" i="148"/>
  <c r="AR51" i="148"/>
  <c r="AR50" i="148"/>
  <c r="AR49" i="148"/>
  <c r="AR48" i="148"/>
  <c r="AX47" i="148"/>
  <c r="AV47" i="148"/>
  <c r="AU47" i="148"/>
  <c r="AS47" i="148"/>
  <c r="AT47" i="148"/>
  <c r="AW47" i="148"/>
  <c r="AR47" i="148"/>
  <c r="L47" i="148"/>
  <c r="L53" i="148"/>
  <c r="AX46" i="148"/>
  <c r="AV46" i="148"/>
  <c r="AU46" i="148"/>
  <c r="AS46" i="148"/>
  <c r="AT46" i="148"/>
  <c r="AW46" i="148"/>
  <c r="AR46" i="148"/>
  <c r="AX45" i="148"/>
  <c r="AV45" i="148"/>
  <c r="AU45" i="148"/>
  <c r="AS45" i="148"/>
  <c r="AT45" i="148"/>
  <c r="AW45" i="148"/>
  <c r="AR45" i="148"/>
  <c r="AX43" i="148"/>
  <c r="AV43" i="148"/>
  <c r="AU43" i="148"/>
  <c r="AS43" i="148"/>
  <c r="AT43" i="148"/>
  <c r="AW43" i="148"/>
  <c r="AR43" i="148"/>
  <c r="AX42" i="148"/>
  <c r="AV42" i="148"/>
  <c r="AU42" i="148"/>
  <c r="AS42" i="148"/>
  <c r="AT42" i="148"/>
  <c r="AW42" i="148"/>
  <c r="AR42" i="148"/>
  <c r="AX41" i="148"/>
  <c r="AV41" i="148"/>
  <c r="AU41" i="148"/>
  <c r="AS41" i="148"/>
  <c r="AT41" i="148"/>
  <c r="AW41" i="148"/>
  <c r="AR41" i="148"/>
  <c r="AX40" i="148"/>
  <c r="AV40" i="148"/>
  <c r="AU40" i="148"/>
  <c r="AS40" i="148"/>
  <c r="AT40" i="148"/>
  <c r="AW40" i="148"/>
  <c r="AR40" i="148"/>
  <c r="AX39" i="148"/>
  <c r="AV39" i="148"/>
  <c r="AU39" i="148"/>
  <c r="AS39" i="148"/>
  <c r="AT39" i="148"/>
  <c r="AW39" i="148"/>
  <c r="AR39" i="148"/>
  <c r="AX38" i="148"/>
  <c r="AV38" i="148"/>
  <c r="AU38" i="148"/>
  <c r="AS38" i="148"/>
  <c r="AT38" i="148"/>
  <c r="AW38" i="148"/>
  <c r="AR38" i="148"/>
  <c r="AX37" i="148"/>
  <c r="AV37" i="148"/>
  <c r="AU37" i="148"/>
  <c r="AS37" i="148"/>
  <c r="AT37" i="148"/>
  <c r="AW37" i="148"/>
  <c r="AR37" i="148"/>
  <c r="AX36" i="148"/>
  <c r="AV36" i="148"/>
  <c r="AU36" i="148"/>
  <c r="AS36" i="148"/>
  <c r="AT36" i="148"/>
  <c r="AW36" i="148"/>
  <c r="AR36" i="148"/>
  <c r="AX35" i="148"/>
  <c r="AV35" i="148"/>
  <c r="AU35" i="148"/>
  <c r="AS35" i="148"/>
  <c r="AT35" i="148"/>
  <c r="AW35" i="148"/>
  <c r="AR35" i="148"/>
  <c r="X35" i="148"/>
  <c r="AX34" i="148"/>
  <c r="AV34" i="148"/>
  <c r="AU34" i="148"/>
  <c r="AS34" i="148"/>
  <c r="AT34" i="148"/>
  <c r="AW34" i="148"/>
  <c r="AR34" i="148"/>
  <c r="AX33" i="148"/>
  <c r="AV33" i="148"/>
  <c r="AU33" i="148"/>
  <c r="AS33" i="148"/>
  <c r="AT33" i="148"/>
  <c r="AW33" i="148"/>
  <c r="AR33" i="148"/>
  <c r="AX32" i="148"/>
  <c r="AV32" i="148"/>
  <c r="AU32" i="148"/>
  <c r="AS32" i="148"/>
  <c r="AT32" i="148"/>
  <c r="AW32" i="148"/>
  <c r="AR32" i="148"/>
  <c r="F28" i="148"/>
  <c r="AM25" i="148"/>
  <c r="A22" i="148"/>
  <c r="AT21" i="148"/>
  <c r="AQ21" i="148"/>
  <c r="AR21" i="148"/>
  <c r="AF16" i="148"/>
  <c r="AN18" i="148"/>
  <c r="AT17" i="148"/>
  <c r="AQ17" i="148"/>
  <c r="Q16" i="148"/>
  <c r="AR11" i="148"/>
  <c r="AR7" i="148"/>
  <c r="AR8" i="148"/>
  <c r="AU21" i="148"/>
  <c r="H21" i="148"/>
  <c r="AC7" i="148"/>
  <c r="H7" i="148"/>
  <c r="H6" i="148"/>
  <c r="H5" i="148"/>
  <c r="N62" i="147"/>
  <c r="L61" i="147"/>
  <c r="L60" i="147"/>
  <c r="N59" i="147"/>
  <c r="AR52" i="147"/>
  <c r="F52" i="147"/>
  <c r="AR51" i="147"/>
  <c r="AR50" i="147"/>
  <c r="AR49" i="147"/>
  <c r="F49" i="147"/>
  <c r="AR48" i="147"/>
  <c r="AX47" i="147"/>
  <c r="AV47" i="147"/>
  <c r="AU47" i="147"/>
  <c r="AS47" i="147"/>
  <c r="AT47" i="147"/>
  <c r="AW47" i="147"/>
  <c r="AR47" i="147"/>
  <c r="L47" i="147"/>
  <c r="L53" i="147"/>
  <c r="F47" i="147"/>
  <c r="AX46" i="147"/>
  <c r="AV46" i="147"/>
  <c r="AU46" i="147"/>
  <c r="AS46" i="147"/>
  <c r="AT46" i="147"/>
  <c r="AW46" i="147"/>
  <c r="AR46" i="147"/>
  <c r="AX45" i="147"/>
  <c r="AV45" i="147"/>
  <c r="AU45" i="147"/>
  <c r="AS45" i="147"/>
  <c r="AT45" i="147"/>
  <c r="AW45" i="147"/>
  <c r="AR45" i="147"/>
  <c r="AX43" i="147"/>
  <c r="AV43" i="147"/>
  <c r="AU43" i="147"/>
  <c r="AS43" i="147"/>
  <c r="AT43" i="147"/>
  <c r="AW43" i="147"/>
  <c r="AR43" i="147"/>
  <c r="AX42" i="147"/>
  <c r="AV42" i="147"/>
  <c r="AU42" i="147"/>
  <c r="AS42" i="147"/>
  <c r="AT42" i="147"/>
  <c r="AW42" i="147"/>
  <c r="AR42" i="147"/>
  <c r="F42" i="147"/>
  <c r="AX41" i="147"/>
  <c r="AV41" i="147"/>
  <c r="AU41" i="147"/>
  <c r="AS41" i="147"/>
  <c r="AT41" i="147"/>
  <c r="AW41" i="147"/>
  <c r="AR41" i="147"/>
  <c r="F41" i="147"/>
  <c r="AX40" i="147"/>
  <c r="AV40" i="147"/>
  <c r="AU40" i="147"/>
  <c r="AS40" i="147"/>
  <c r="AT40" i="147"/>
  <c r="AW40" i="147"/>
  <c r="AR40" i="147"/>
  <c r="F40" i="147"/>
  <c r="AX39" i="147"/>
  <c r="AV39" i="147"/>
  <c r="AU39" i="147"/>
  <c r="AT39" i="147"/>
  <c r="AW39" i="147"/>
  <c r="AS39" i="147"/>
  <c r="AR39" i="147"/>
  <c r="F39" i="147"/>
  <c r="AX38" i="147"/>
  <c r="AV38" i="147"/>
  <c r="AU38" i="147"/>
  <c r="AS38" i="147"/>
  <c r="AT38" i="147"/>
  <c r="AW38" i="147"/>
  <c r="AR38" i="147"/>
  <c r="AX37" i="147"/>
  <c r="AV37" i="147"/>
  <c r="AU37" i="147"/>
  <c r="AS37" i="147"/>
  <c r="AT37" i="147"/>
  <c r="AW37" i="147"/>
  <c r="AR37" i="147"/>
  <c r="F37" i="147"/>
  <c r="AX36" i="147"/>
  <c r="AV36" i="147"/>
  <c r="AU36" i="147"/>
  <c r="AS36" i="147"/>
  <c r="AT36" i="147"/>
  <c r="AW36" i="147"/>
  <c r="AR36" i="147"/>
  <c r="AX35" i="147"/>
  <c r="AV35" i="147"/>
  <c r="AU35" i="147"/>
  <c r="AS35" i="147"/>
  <c r="AT35" i="147"/>
  <c r="AW35" i="147"/>
  <c r="AR35" i="147"/>
  <c r="X35" i="147"/>
  <c r="F35" i="147"/>
  <c r="AX34" i="147"/>
  <c r="AV34" i="147"/>
  <c r="AU34" i="147"/>
  <c r="AS34" i="147"/>
  <c r="AT34" i="147"/>
  <c r="AW34" i="147"/>
  <c r="AR34" i="147"/>
  <c r="AX33" i="147"/>
  <c r="AV33" i="147"/>
  <c r="AU33" i="147"/>
  <c r="AS33" i="147"/>
  <c r="AT33" i="147"/>
  <c r="AW33" i="147"/>
  <c r="AR33" i="147"/>
  <c r="F33" i="147"/>
  <c r="AX32" i="147"/>
  <c r="AV32" i="147"/>
  <c r="AU32" i="147"/>
  <c r="AS32" i="147"/>
  <c r="AT32" i="147"/>
  <c r="AW32" i="147"/>
  <c r="AR32" i="147"/>
  <c r="F28" i="147"/>
  <c r="AM25" i="147"/>
  <c r="A22" i="147"/>
  <c r="AT21" i="147"/>
  <c r="AQ21" i="147"/>
  <c r="AR21" i="147"/>
  <c r="AF16" i="147"/>
  <c r="AN18" i="147"/>
  <c r="AT17" i="147"/>
  <c r="AQ17" i="147"/>
  <c r="Q17" i="147"/>
  <c r="N17" i="147"/>
  <c r="AH25" i="147"/>
  <c r="X34" i="147"/>
  <c r="X36" i="147"/>
  <c r="X37" i="147"/>
  <c r="K17" i="147"/>
  <c r="AM23" i="147"/>
  <c r="H17" i="147"/>
  <c r="AC25" i="147"/>
  <c r="Q16" i="147"/>
  <c r="AR11" i="147"/>
  <c r="AR7" i="147"/>
  <c r="AR8" i="147"/>
  <c r="AU17" i="147"/>
  <c r="Z16" i="147"/>
  <c r="AC7" i="147"/>
  <c r="H7" i="147"/>
  <c r="H6" i="147"/>
  <c r="H5" i="147"/>
  <c r="X35" i="146"/>
  <c r="H17" i="146"/>
  <c r="AC25" i="146"/>
  <c r="Q17" i="30"/>
  <c r="N17" i="30"/>
  <c r="Q16" i="30"/>
  <c r="Q17" i="146"/>
  <c r="N17" i="146"/>
  <c r="AH25" i="146"/>
  <c r="X34" i="146"/>
  <c r="X36" i="146"/>
  <c r="X37" i="146"/>
  <c r="K17" i="146"/>
  <c r="AM23" i="146"/>
  <c r="N62" i="146"/>
  <c r="F76" i="54"/>
  <c r="L61" i="146"/>
  <c r="F75" i="54"/>
  <c r="L60" i="146"/>
  <c r="N59" i="146"/>
  <c r="L59" i="146"/>
  <c r="AR52" i="146"/>
  <c r="AR51" i="146"/>
  <c r="AR50" i="146"/>
  <c r="AR49" i="146"/>
  <c r="AR48" i="146"/>
  <c r="AX47" i="146"/>
  <c r="AV47" i="146"/>
  <c r="AU47" i="146"/>
  <c r="AS47" i="146"/>
  <c r="AT47" i="146"/>
  <c r="AW47" i="146"/>
  <c r="AR47" i="146"/>
  <c r="L47" i="146"/>
  <c r="L53" i="146"/>
  <c r="AX46" i="146"/>
  <c r="AV46" i="146"/>
  <c r="AU46" i="146"/>
  <c r="AS46" i="146"/>
  <c r="AT46" i="146"/>
  <c r="AW46" i="146"/>
  <c r="AR46" i="146"/>
  <c r="AX45" i="146"/>
  <c r="AV45" i="146"/>
  <c r="AU45" i="146"/>
  <c r="AS45" i="146"/>
  <c r="AT45" i="146"/>
  <c r="AW45" i="146"/>
  <c r="AR45" i="146"/>
  <c r="AX43" i="146"/>
  <c r="AV43" i="146"/>
  <c r="AU43" i="146"/>
  <c r="AS43" i="146"/>
  <c r="AT43" i="146"/>
  <c r="AW43" i="146"/>
  <c r="AR43" i="146"/>
  <c r="AX42" i="146"/>
  <c r="AV42" i="146"/>
  <c r="AU42" i="146"/>
  <c r="AS42" i="146"/>
  <c r="AT42" i="146"/>
  <c r="AW42" i="146"/>
  <c r="AR42" i="146"/>
  <c r="AX41" i="146"/>
  <c r="AV41" i="146"/>
  <c r="AU41" i="146"/>
  <c r="AS41" i="146"/>
  <c r="AT41" i="146"/>
  <c r="AW41" i="146"/>
  <c r="AR41" i="146"/>
  <c r="AX40" i="146"/>
  <c r="AV40" i="146"/>
  <c r="AU40" i="146"/>
  <c r="AS40" i="146"/>
  <c r="AT40" i="146"/>
  <c r="AW40" i="146"/>
  <c r="AR40" i="146"/>
  <c r="AX39" i="146"/>
  <c r="AV39" i="146"/>
  <c r="AU39" i="146"/>
  <c r="AS39" i="146"/>
  <c r="AT39" i="146"/>
  <c r="AW39" i="146"/>
  <c r="AR39" i="146"/>
  <c r="AX38" i="146"/>
  <c r="AV38" i="146"/>
  <c r="AU38" i="146"/>
  <c r="AS38" i="146"/>
  <c r="AT38" i="146"/>
  <c r="AW38" i="146"/>
  <c r="AR38" i="146"/>
  <c r="AX37" i="146"/>
  <c r="AV37" i="146"/>
  <c r="AU37" i="146"/>
  <c r="AS37" i="146"/>
  <c r="AT37" i="146"/>
  <c r="AW37" i="146"/>
  <c r="AR37" i="146"/>
  <c r="AX36" i="146"/>
  <c r="AV36" i="146"/>
  <c r="AU36" i="146"/>
  <c r="AS36" i="146"/>
  <c r="AT36" i="146"/>
  <c r="AW36" i="146"/>
  <c r="AR36" i="146"/>
  <c r="AX35" i="146"/>
  <c r="AV35" i="146"/>
  <c r="AU35" i="146"/>
  <c r="AS35" i="146"/>
  <c r="AT35" i="146"/>
  <c r="AW35" i="146"/>
  <c r="AR35" i="146"/>
  <c r="AX34" i="146"/>
  <c r="AV34" i="146"/>
  <c r="AU34" i="146"/>
  <c r="AS34" i="146"/>
  <c r="AT34" i="146"/>
  <c r="AW34" i="146"/>
  <c r="AR34" i="146"/>
  <c r="AX33" i="146"/>
  <c r="AV33" i="146"/>
  <c r="AU33" i="146"/>
  <c r="AS33" i="146"/>
  <c r="AT33" i="146"/>
  <c r="AW33" i="146"/>
  <c r="AR33" i="146"/>
  <c r="AX32" i="146"/>
  <c r="AV32" i="146"/>
  <c r="AU32" i="146"/>
  <c r="AS32" i="146"/>
  <c r="AT32" i="146"/>
  <c r="AW32" i="146"/>
  <c r="AR32" i="146"/>
  <c r="F28" i="146"/>
  <c r="AM25" i="146"/>
  <c r="A22" i="146"/>
  <c r="AT21" i="146"/>
  <c r="AQ21" i="146"/>
  <c r="AR21" i="146"/>
  <c r="AF16" i="146"/>
  <c r="AN18" i="146"/>
  <c r="AT17" i="146"/>
  <c r="AQ17" i="146"/>
  <c r="Q16" i="146"/>
  <c r="AR11" i="146"/>
  <c r="AR7" i="146"/>
  <c r="AC7" i="146"/>
  <c r="H7" i="146"/>
  <c r="H6" i="146"/>
  <c r="H5" i="146"/>
  <c r="F52" i="145"/>
  <c r="F49" i="145"/>
  <c r="F47" i="145"/>
  <c r="F42" i="145"/>
  <c r="F41" i="145"/>
  <c r="F40" i="145"/>
  <c r="F39" i="145"/>
  <c r="F37" i="145"/>
  <c r="F35" i="145"/>
  <c r="F33" i="145"/>
  <c r="Q17" i="145"/>
  <c r="N17" i="145"/>
  <c r="K17" i="145"/>
  <c r="AM23" i="145"/>
  <c r="H17" i="145"/>
  <c r="AC25" i="145"/>
  <c r="H50" i="145"/>
  <c r="N62" i="145"/>
  <c r="L61" i="145"/>
  <c r="L60" i="145"/>
  <c r="N59" i="145"/>
  <c r="AR52" i="145"/>
  <c r="AR51" i="145"/>
  <c r="AR50" i="145"/>
  <c r="AR49" i="145"/>
  <c r="AR48" i="145"/>
  <c r="AX47" i="145"/>
  <c r="AV47" i="145"/>
  <c r="AU47" i="145"/>
  <c r="AS47" i="145"/>
  <c r="AT47" i="145"/>
  <c r="AW47" i="145"/>
  <c r="AR47" i="145"/>
  <c r="L47" i="145"/>
  <c r="L53" i="145"/>
  <c r="AX46" i="145"/>
  <c r="AV46" i="145"/>
  <c r="AU46" i="145"/>
  <c r="AS46" i="145"/>
  <c r="AT46" i="145"/>
  <c r="AW46" i="145"/>
  <c r="AR46" i="145"/>
  <c r="AX45" i="145"/>
  <c r="AV45" i="145"/>
  <c r="AU45" i="145"/>
  <c r="AS45" i="145"/>
  <c r="AT45" i="145"/>
  <c r="AW45" i="145"/>
  <c r="AR45" i="145"/>
  <c r="AX43" i="145"/>
  <c r="AV43" i="145"/>
  <c r="AU43" i="145"/>
  <c r="AS43" i="145"/>
  <c r="AT43" i="145"/>
  <c r="AW43" i="145"/>
  <c r="AR43" i="145"/>
  <c r="AX42" i="145"/>
  <c r="AV42" i="145"/>
  <c r="AU42" i="145"/>
  <c r="AS42" i="145"/>
  <c r="AT42" i="145"/>
  <c r="AW42" i="145"/>
  <c r="AR42" i="145"/>
  <c r="AX41" i="145"/>
  <c r="AV41" i="145"/>
  <c r="AU41" i="145"/>
  <c r="AS41" i="145"/>
  <c r="AT41" i="145"/>
  <c r="AW41" i="145"/>
  <c r="AR41" i="145"/>
  <c r="AX40" i="145"/>
  <c r="AV40" i="145"/>
  <c r="AU40" i="145"/>
  <c r="AS40" i="145"/>
  <c r="AT40" i="145"/>
  <c r="AW40" i="145"/>
  <c r="AR40" i="145"/>
  <c r="AX39" i="145"/>
  <c r="AV39" i="145"/>
  <c r="AU39" i="145"/>
  <c r="AS39" i="145"/>
  <c r="AT39" i="145"/>
  <c r="AW39" i="145"/>
  <c r="AR39" i="145"/>
  <c r="AX38" i="145"/>
  <c r="AV38" i="145"/>
  <c r="AU38" i="145"/>
  <c r="AS38" i="145"/>
  <c r="AT38" i="145"/>
  <c r="AW38" i="145"/>
  <c r="AR38" i="145"/>
  <c r="AX37" i="145"/>
  <c r="AV37" i="145"/>
  <c r="AU37" i="145"/>
  <c r="AS37" i="145"/>
  <c r="AT37" i="145"/>
  <c r="AW37" i="145"/>
  <c r="AR37" i="145"/>
  <c r="AX36" i="145"/>
  <c r="AV36" i="145"/>
  <c r="AU36" i="145"/>
  <c r="AS36" i="145"/>
  <c r="AT36" i="145"/>
  <c r="AW36" i="145"/>
  <c r="AR36" i="145"/>
  <c r="AX35" i="145"/>
  <c r="AV35" i="145"/>
  <c r="AU35" i="145"/>
  <c r="AS35" i="145"/>
  <c r="AT35" i="145"/>
  <c r="AW35" i="145"/>
  <c r="AR35" i="145"/>
  <c r="X35" i="145"/>
  <c r="AX34" i="145"/>
  <c r="AV34" i="145"/>
  <c r="AU34" i="145"/>
  <c r="AS34" i="145"/>
  <c r="AT34" i="145"/>
  <c r="AW34" i="145"/>
  <c r="AR34" i="145"/>
  <c r="AX33" i="145"/>
  <c r="AV33" i="145"/>
  <c r="AU33" i="145"/>
  <c r="AS33" i="145"/>
  <c r="AT33" i="145"/>
  <c r="AW33" i="145"/>
  <c r="AR33" i="145"/>
  <c r="AX32" i="145"/>
  <c r="AV32" i="145"/>
  <c r="AU32" i="145"/>
  <c r="AS32" i="145"/>
  <c r="AT32" i="145"/>
  <c r="AW32" i="145"/>
  <c r="AR32" i="145"/>
  <c r="F28" i="145"/>
  <c r="AM25" i="145"/>
  <c r="A22" i="145"/>
  <c r="AT21" i="145"/>
  <c r="AQ21" i="145"/>
  <c r="AR21" i="145"/>
  <c r="AF16" i="145"/>
  <c r="AN18" i="145"/>
  <c r="AT17" i="145"/>
  <c r="AQ17" i="145"/>
  <c r="AH25" i="145"/>
  <c r="X34" i="145"/>
  <c r="X36" i="145"/>
  <c r="X37" i="145"/>
  <c r="Q16" i="145"/>
  <c r="AR11" i="145"/>
  <c r="AR7" i="145"/>
  <c r="AR8" i="145"/>
  <c r="AC7" i="145"/>
  <c r="H7" i="145"/>
  <c r="H6" i="145"/>
  <c r="H5" i="145"/>
  <c r="F51" i="144"/>
  <c r="F48" i="144"/>
  <c r="F46" i="144"/>
  <c r="F41" i="144"/>
  <c r="F40" i="144"/>
  <c r="F39" i="144"/>
  <c r="F38" i="144"/>
  <c r="F36" i="144"/>
  <c r="F34" i="144"/>
  <c r="F32" i="144"/>
  <c r="F42" i="144"/>
  <c r="Q17" i="144"/>
  <c r="N17" i="144"/>
  <c r="AH25" i="144"/>
  <c r="X33" i="144"/>
  <c r="X35" i="144"/>
  <c r="X36" i="144"/>
  <c r="K17" i="144"/>
  <c r="AM23" i="144"/>
  <c r="H17" i="144"/>
  <c r="N61" i="144"/>
  <c r="L60" i="144"/>
  <c r="L59" i="144"/>
  <c r="N57" i="144"/>
  <c r="AR51" i="144"/>
  <c r="AR50" i="144"/>
  <c r="AR49" i="144"/>
  <c r="AR48" i="144"/>
  <c r="AR47" i="144"/>
  <c r="AX46" i="144"/>
  <c r="AV46" i="144"/>
  <c r="AU46" i="144"/>
  <c r="AS46" i="144"/>
  <c r="AT46" i="144"/>
  <c r="AW46" i="144"/>
  <c r="AR46" i="144"/>
  <c r="L46" i="144"/>
  <c r="L52" i="144"/>
  <c r="AX45" i="144"/>
  <c r="AV45" i="144"/>
  <c r="AU45" i="144"/>
  <c r="AS45" i="144"/>
  <c r="AT45" i="144"/>
  <c r="AW45" i="144"/>
  <c r="AR45" i="144"/>
  <c r="AX44" i="144"/>
  <c r="AV44" i="144"/>
  <c r="AU44" i="144"/>
  <c r="AS44" i="144"/>
  <c r="AT44" i="144"/>
  <c r="AW44" i="144"/>
  <c r="AR44" i="144"/>
  <c r="AX42" i="144"/>
  <c r="AV42" i="144"/>
  <c r="AU42" i="144"/>
  <c r="AS42" i="144"/>
  <c r="AT42" i="144"/>
  <c r="AW42" i="144"/>
  <c r="AR42" i="144"/>
  <c r="AX41" i="144"/>
  <c r="AV41" i="144"/>
  <c r="AU41" i="144"/>
  <c r="AS41" i="144"/>
  <c r="AT41" i="144"/>
  <c r="AW41" i="144"/>
  <c r="AR41" i="144"/>
  <c r="AX40" i="144"/>
  <c r="AV40" i="144"/>
  <c r="AU40" i="144"/>
  <c r="AT40" i="144"/>
  <c r="AW40" i="144"/>
  <c r="AS40" i="144"/>
  <c r="AR40" i="144"/>
  <c r="AX39" i="144"/>
  <c r="AW39" i="144"/>
  <c r="AV39" i="144"/>
  <c r="AU39" i="144"/>
  <c r="AT39" i="144"/>
  <c r="AS39" i="144"/>
  <c r="AR39" i="144"/>
  <c r="AX38" i="144"/>
  <c r="AV38" i="144"/>
  <c r="AU38" i="144"/>
  <c r="AT38" i="144"/>
  <c r="AW38" i="144"/>
  <c r="AS38" i="144"/>
  <c r="AR38" i="144"/>
  <c r="AX37" i="144"/>
  <c r="AV37" i="144"/>
  <c r="AU37" i="144"/>
  <c r="AS37" i="144"/>
  <c r="AT37" i="144"/>
  <c r="AW37" i="144"/>
  <c r="AR37" i="144"/>
  <c r="AX36" i="144"/>
  <c r="AV36" i="144"/>
  <c r="AU36" i="144"/>
  <c r="AT36" i="144"/>
  <c r="AW36" i="144"/>
  <c r="AS36" i="144"/>
  <c r="AR36" i="144"/>
  <c r="AX35" i="144"/>
  <c r="AV35" i="144"/>
  <c r="AU35" i="144"/>
  <c r="AS35" i="144"/>
  <c r="AT35" i="144"/>
  <c r="AW35" i="144"/>
  <c r="AR35" i="144"/>
  <c r="AX34" i="144"/>
  <c r="AV34" i="144"/>
  <c r="AU34" i="144"/>
  <c r="AT34" i="144"/>
  <c r="AW34" i="144"/>
  <c r="AS34" i="144"/>
  <c r="AR34" i="144"/>
  <c r="X34" i="144"/>
  <c r="AX33" i="144"/>
  <c r="AV33" i="144"/>
  <c r="AU33" i="144"/>
  <c r="AS33" i="144"/>
  <c r="AT33" i="144"/>
  <c r="AW33" i="144"/>
  <c r="AR33" i="144"/>
  <c r="AX32" i="144"/>
  <c r="AV32" i="144"/>
  <c r="AU32" i="144"/>
  <c r="AT32" i="144"/>
  <c r="AW32" i="144"/>
  <c r="AS32" i="144"/>
  <c r="AR32" i="144"/>
  <c r="AX31" i="144"/>
  <c r="AW31" i="144"/>
  <c r="AV31" i="144"/>
  <c r="AU31" i="144"/>
  <c r="AT31" i="144"/>
  <c r="AS31" i="144"/>
  <c r="AR31" i="144"/>
  <c r="F27" i="144"/>
  <c r="AM25" i="144"/>
  <c r="T25" i="144"/>
  <c r="A22" i="144"/>
  <c r="AU21" i="144"/>
  <c r="H21" i="144"/>
  <c r="AT21" i="144"/>
  <c r="AQ21" i="144"/>
  <c r="AR21" i="144"/>
  <c r="AF16" i="144"/>
  <c r="AN18" i="144"/>
  <c r="AU17" i="144"/>
  <c r="Z16" i="144"/>
  <c r="AT17" i="144"/>
  <c r="AR17" i="144"/>
  <c r="T16" i="144"/>
  <c r="AQ17" i="144"/>
  <c r="AC25" i="144"/>
  <c r="Q16" i="144"/>
  <c r="AR11" i="144"/>
  <c r="AR8" i="144"/>
  <c r="AR7" i="144"/>
  <c r="AC7" i="144"/>
  <c r="H7" i="144"/>
  <c r="H6" i="144"/>
  <c r="H5" i="144"/>
  <c r="AQ17" i="30"/>
  <c r="AT17" i="30"/>
  <c r="AX4" i="51"/>
  <c r="AX5" i="51"/>
  <c r="AX6" i="51"/>
  <c r="AR7" i="51"/>
  <c r="AR8" i="51"/>
  <c r="AV7" i="51"/>
  <c r="AX7" i="51"/>
  <c r="AX8" i="51"/>
  <c r="AX9" i="51"/>
  <c r="AT12" i="51"/>
  <c r="AQ13" i="51"/>
  <c r="AN18" i="51"/>
  <c r="AR31" i="51"/>
  <c r="AS31" i="51"/>
  <c r="AT31" i="51"/>
  <c r="AW31" i="51"/>
  <c r="AU31" i="51"/>
  <c r="AV31" i="51"/>
  <c r="AX31" i="51"/>
  <c r="AR32" i="51"/>
  <c r="AS32" i="51"/>
  <c r="AT32" i="51"/>
  <c r="AW32" i="51"/>
  <c r="AU32" i="51"/>
  <c r="AV32" i="51"/>
  <c r="AX32" i="51"/>
  <c r="AR33" i="51"/>
  <c r="AS33" i="51"/>
  <c r="AT33" i="51"/>
  <c r="AW33" i="51"/>
  <c r="AU33" i="51"/>
  <c r="AV33" i="51"/>
  <c r="AX33" i="51"/>
  <c r="AR34" i="51"/>
  <c r="AS34" i="51"/>
  <c r="AT34" i="51"/>
  <c r="AW34" i="51"/>
  <c r="AU34" i="51"/>
  <c r="AV34" i="51"/>
  <c r="AX34" i="51"/>
  <c r="AR35" i="51"/>
  <c r="AS35" i="51"/>
  <c r="AT35" i="51"/>
  <c r="AW35" i="51"/>
  <c r="AU35" i="51"/>
  <c r="AV35" i="51"/>
  <c r="AX35" i="51"/>
  <c r="AR36" i="51"/>
  <c r="AS36" i="51"/>
  <c r="AT36" i="51"/>
  <c r="AW36" i="51"/>
  <c r="AU36" i="51"/>
  <c r="AV36" i="51"/>
  <c r="AX36" i="51"/>
  <c r="AR37" i="51"/>
  <c r="AS37" i="51"/>
  <c r="AT37" i="51"/>
  <c r="AW37" i="51"/>
  <c r="AU37" i="51"/>
  <c r="AV37" i="51"/>
  <c r="AX37" i="51"/>
  <c r="AR38" i="51"/>
  <c r="AS38" i="51"/>
  <c r="AT38" i="51"/>
  <c r="AW38" i="51"/>
  <c r="AU38" i="51"/>
  <c r="AV38" i="51"/>
  <c r="AX38" i="51"/>
  <c r="AR39" i="51"/>
  <c r="AS39" i="51"/>
  <c r="AT39" i="51"/>
  <c r="AW39" i="51"/>
  <c r="AU39" i="51"/>
  <c r="AV39" i="51"/>
  <c r="AX39" i="51"/>
  <c r="AR40" i="51"/>
  <c r="AS40" i="51"/>
  <c r="AT40" i="51"/>
  <c r="AW40" i="51"/>
  <c r="AU40" i="51"/>
  <c r="AV40" i="51"/>
  <c r="AX40" i="51"/>
  <c r="AR41" i="51"/>
  <c r="AS41" i="51"/>
  <c r="AT41" i="51"/>
  <c r="AW41" i="51"/>
  <c r="AU41" i="51"/>
  <c r="AV41" i="51"/>
  <c r="AX41" i="51"/>
  <c r="AN42" i="51"/>
  <c r="AV42" i="51"/>
  <c r="AS42" i="51"/>
  <c r="AT42" i="51"/>
  <c r="AW42" i="51"/>
  <c r="AU42" i="51"/>
  <c r="AX42" i="51"/>
  <c r="AR44" i="51"/>
  <c r="AS44" i="51"/>
  <c r="AT44" i="51"/>
  <c r="AW44" i="51"/>
  <c r="AU44" i="51"/>
  <c r="AV44" i="51"/>
  <c r="AX44" i="51"/>
  <c r="AR45" i="51"/>
  <c r="AS45" i="51"/>
  <c r="AT45" i="51"/>
  <c r="AW45" i="51"/>
  <c r="AU45" i="51"/>
  <c r="AV45" i="51"/>
  <c r="AX45" i="51"/>
  <c r="AR46" i="51"/>
  <c r="AS46" i="51"/>
  <c r="AT46" i="51"/>
  <c r="AW46" i="51"/>
  <c r="AU46" i="51"/>
  <c r="AV46" i="51"/>
  <c r="AX46" i="51"/>
  <c r="AR47" i="51"/>
  <c r="AR48" i="51"/>
  <c r="AR49" i="51"/>
  <c r="AR50" i="51"/>
  <c r="AR51" i="51"/>
  <c r="AR52" i="51"/>
  <c r="K2" i="126"/>
  <c r="AC5" i="161" s="1"/>
  <c r="K2" i="71"/>
  <c r="I2" i="133"/>
  <c r="I2" i="54"/>
  <c r="I2" i="142"/>
  <c r="I2" i="141"/>
  <c r="Q25" i="122"/>
  <c r="P25" i="122"/>
  <c r="O25" i="122"/>
  <c r="N25" i="122"/>
  <c r="M25" i="122"/>
  <c r="L25" i="122"/>
  <c r="K25" i="122"/>
  <c r="J25" i="122"/>
  <c r="I25" i="122"/>
  <c r="H25" i="122"/>
  <c r="P24" i="122"/>
  <c r="O24" i="122"/>
  <c r="N24" i="122"/>
  <c r="M24" i="122"/>
  <c r="L24" i="122"/>
  <c r="K24" i="122"/>
  <c r="J24" i="122"/>
  <c r="I24" i="122"/>
  <c r="H24" i="122"/>
  <c r="P23" i="122"/>
  <c r="O23" i="122"/>
  <c r="N23" i="122"/>
  <c r="M23" i="122"/>
  <c r="L23" i="122"/>
  <c r="K23" i="122"/>
  <c r="J23" i="122"/>
  <c r="I23" i="122"/>
  <c r="H23" i="122"/>
  <c r="I21" i="122"/>
  <c r="P21" i="122"/>
  <c r="O21" i="122"/>
  <c r="N21" i="122"/>
  <c r="M21" i="122"/>
  <c r="L21" i="122"/>
  <c r="K21" i="122"/>
  <c r="J21" i="122"/>
  <c r="H21" i="122"/>
  <c r="T25" i="92"/>
  <c r="AC25" i="92"/>
  <c r="AH25" i="92"/>
  <c r="AM25" i="51"/>
  <c r="AC5" i="144"/>
  <c r="Y5" i="155"/>
  <c r="AC5" i="148"/>
  <c r="F85" i="54"/>
  <c r="P62" i="147"/>
  <c r="P59" i="147"/>
  <c r="F82" i="54"/>
  <c r="P62" i="146"/>
  <c r="F77" i="54"/>
  <c r="P59" i="146"/>
  <c r="F74" i="54"/>
  <c r="P62" i="145"/>
  <c r="F69" i="54"/>
  <c r="P59" i="145"/>
  <c r="F66" i="54"/>
  <c r="F58" i="54"/>
  <c r="F61" i="54"/>
  <c r="T47" i="161"/>
  <c r="R53" i="161"/>
  <c r="T53" i="161"/>
  <c r="T47" i="160"/>
  <c r="T53" i="160"/>
  <c r="R53" i="160"/>
  <c r="L58" i="150"/>
  <c r="L59" i="148"/>
  <c r="X36" i="148"/>
  <c r="X37" i="148"/>
  <c r="AF17" i="148"/>
  <c r="AI17" i="148"/>
  <c r="N57" i="148"/>
  <c r="P57" i="148"/>
  <c r="F96" i="54"/>
  <c r="AU17" i="148"/>
  <c r="Z16" i="148"/>
  <c r="H35" i="148"/>
  <c r="H41" i="147"/>
  <c r="L59" i="147"/>
  <c r="Z17" i="147"/>
  <c r="AC17" i="147"/>
  <c r="T48" i="147"/>
  <c r="R48" i="147"/>
  <c r="H47" i="147"/>
  <c r="H49" i="147"/>
  <c r="N49" i="147"/>
  <c r="F43" i="147"/>
  <c r="H43" i="147"/>
  <c r="N43" i="147"/>
  <c r="T43" i="147"/>
  <c r="R43" i="147"/>
  <c r="AR8" i="146"/>
  <c r="AU17" i="146"/>
  <c r="Z16" i="146"/>
  <c r="Z17" i="146"/>
  <c r="AC17" i="146"/>
  <c r="AF17" i="145"/>
  <c r="AI17" i="145"/>
  <c r="N57" i="145"/>
  <c r="N50" i="145"/>
  <c r="F60" i="54"/>
  <c r="F59" i="54"/>
  <c r="Z17" i="150"/>
  <c r="AC17" i="150"/>
  <c r="T17" i="150"/>
  <c r="W17" i="150"/>
  <c r="L55" i="150"/>
  <c r="H33" i="150"/>
  <c r="N33" i="150"/>
  <c r="H45" i="150"/>
  <c r="N45" i="150"/>
  <c r="H51" i="150"/>
  <c r="N51" i="150"/>
  <c r="H47" i="150"/>
  <c r="H44" i="150"/>
  <c r="N44" i="150"/>
  <c r="H42" i="150"/>
  <c r="H40" i="150"/>
  <c r="N40" i="150"/>
  <c r="T40" i="150"/>
  <c r="R40" i="150"/>
  <c r="H32" i="150"/>
  <c r="H35" i="150"/>
  <c r="N35" i="150"/>
  <c r="T35" i="150"/>
  <c r="R35" i="150"/>
  <c r="H52" i="150"/>
  <c r="N52" i="150"/>
  <c r="H48" i="150"/>
  <c r="N48" i="150"/>
  <c r="H37" i="150"/>
  <c r="N37" i="150"/>
  <c r="T37" i="150"/>
  <c r="R37" i="150"/>
  <c r="H38" i="150"/>
  <c r="N38" i="150"/>
  <c r="H34" i="150"/>
  <c r="N34" i="150"/>
  <c r="H46" i="150"/>
  <c r="H49" i="150"/>
  <c r="N49" i="150"/>
  <c r="H43" i="150"/>
  <c r="N43" i="150"/>
  <c r="T43" i="150"/>
  <c r="R43" i="150"/>
  <c r="H41" i="150"/>
  <c r="N41" i="150"/>
  <c r="T41" i="150"/>
  <c r="R41" i="150"/>
  <c r="H39" i="150"/>
  <c r="N39" i="150"/>
  <c r="T39" i="150"/>
  <c r="R39" i="150"/>
  <c r="H36" i="150"/>
  <c r="N36" i="150"/>
  <c r="H50" i="150"/>
  <c r="N50" i="150"/>
  <c r="N42" i="150"/>
  <c r="T42" i="150"/>
  <c r="R42" i="150"/>
  <c r="AR17" i="150"/>
  <c r="T16" i="150"/>
  <c r="L62" i="150"/>
  <c r="H22" i="150"/>
  <c r="K22" i="150"/>
  <c r="H39" i="148"/>
  <c r="N39" i="148"/>
  <c r="T39" i="148"/>
  <c r="R39" i="148"/>
  <c r="H43" i="148"/>
  <c r="N43" i="148"/>
  <c r="T43" i="148"/>
  <c r="R43" i="148"/>
  <c r="H41" i="148"/>
  <c r="N41" i="148"/>
  <c r="T41" i="148"/>
  <c r="R41" i="148"/>
  <c r="H47" i="148"/>
  <c r="H49" i="148"/>
  <c r="N49" i="148"/>
  <c r="H50" i="148"/>
  <c r="N50" i="148"/>
  <c r="H46" i="148"/>
  <c r="H38" i="148"/>
  <c r="N38" i="148"/>
  <c r="H40" i="148"/>
  <c r="N40" i="148"/>
  <c r="T40" i="148"/>
  <c r="R40" i="148"/>
  <c r="H51" i="148"/>
  <c r="N51" i="148"/>
  <c r="H45" i="148"/>
  <c r="N45" i="148"/>
  <c r="H36" i="148"/>
  <c r="N36" i="148"/>
  <c r="H44" i="148"/>
  <c r="N44" i="148"/>
  <c r="H32" i="148"/>
  <c r="H48" i="148"/>
  <c r="N48" i="148"/>
  <c r="H34" i="148"/>
  <c r="N34" i="148"/>
  <c r="N35" i="148"/>
  <c r="T35" i="148"/>
  <c r="R35" i="148"/>
  <c r="H42" i="148"/>
  <c r="N42" i="148"/>
  <c r="T42" i="148"/>
  <c r="R42" i="148"/>
  <c r="H37" i="148"/>
  <c r="N37" i="148"/>
  <c r="T37" i="148"/>
  <c r="R37" i="148"/>
  <c r="H52" i="148"/>
  <c r="N52" i="148"/>
  <c r="AR17" i="148"/>
  <c r="T16" i="148"/>
  <c r="T17" i="148"/>
  <c r="W17" i="148"/>
  <c r="F53" i="148"/>
  <c r="H22" i="148"/>
  <c r="K22" i="148"/>
  <c r="Z17" i="148"/>
  <c r="AC17" i="148"/>
  <c r="H33" i="148"/>
  <c r="N33" i="148"/>
  <c r="L62" i="148"/>
  <c r="N41" i="147"/>
  <c r="T41" i="147"/>
  <c r="R41" i="147"/>
  <c r="H35" i="147"/>
  <c r="N35" i="147"/>
  <c r="T35" i="147"/>
  <c r="R35" i="147"/>
  <c r="H37" i="147"/>
  <c r="N37" i="147"/>
  <c r="T37" i="147"/>
  <c r="R37" i="147"/>
  <c r="N56" i="147"/>
  <c r="P56" i="147"/>
  <c r="H50" i="147"/>
  <c r="N50" i="147"/>
  <c r="H46" i="147"/>
  <c r="H44" i="147"/>
  <c r="N44" i="147"/>
  <c r="H32" i="147"/>
  <c r="H51" i="147"/>
  <c r="N51" i="147"/>
  <c r="H45" i="147"/>
  <c r="N45" i="147"/>
  <c r="H39" i="147"/>
  <c r="N39" i="147"/>
  <c r="T39" i="147"/>
  <c r="R39" i="147"/>
  <c r="H48" i="147"/>
  <c r="N48" i="147"/>
  <c r="H42" i="147"/>
  <c r="N42" i="147"/>
  <c r="T42" i="147"/>
  <c r="R42" i="147"/>
  <c r="H38" i="147"/>
  <c r="N38" i="147"/>
  <c r="H36" i="147"/>
  <c r="N36" i="147"/>
  <c r="H34" i="147"/>
  <c r="N34" i="147"/>
  <c r="H40" i="147"/>
  <c r="N40" i="147"/>
  <c r="T40" i="147"/>
  <c r="R40" i="147"/>
  <c r="AF17" i="147"/>
  <c r="AI17" i="147"/>
  <c r="N57" i="147"/>
  <c r="P57" i="147"/>
  <c r="H52" i="147"/>
  <c r="N52" i="147"/>
  <c r="AR17" i="147"/>
  <c r="T16" i="147"/>
  <c r="T17" i="147"/>
  <c r="W17" i="147"/>
  <c r="AU21" i="147"/>
  <c r="H21" i="147"/>
  <c r="H22" i="147"/>
  <c r="K22" i="147"/>
  <c r="F53" i="147"/>
  <c r="H33" i="147"/>
  <c r="N33" i="147"/>
  <c r="L62" i="147"/>
  <c r="H35" i="146"/>
  <c r="H47" i="146"/>
  <c r="H49" i="146"/>
  <c r="N49" i="146"/>
  <c r="H50" i="146"/>
  <c r="N50" i="146"/>
  <c r="H32" i="146"/>
  <c r="H34" i="146"/>
  <c r="N34" i="146"/>
  <c r="H46" i="146"/>
  <c r="H44" i="146"/>
  <c r="N44" i="146"/>
  <c r="H39" i="146"/>
  <c r="N39" i="146"/>
  <c r="T39" i="146"/>
  <c r="R39" i="146"/>
  <c r="H40" i="146"/>
  <c r="N40" i="146"/>
  <c r="T40" i="146"/>
  <c r="R40" i="146"/>
  <c r="H51" i="146"/>
  <c r="N51" i="146"/>
  <c r="H45" i="146"/>
  <c r="N45" i="146"/>
  <c r="H33" i="146"/>
  <c r="N33" i="146"/>
  <c r="H36" i="146"/>
  <c r="N36" i="146"/>
  <c r="H48" i="146"/>
  <c r="N48" i="146"/>
  <c r="H38" i="146"/>
  <c r="N38" i="146"/>
  <c r="N35" i="146"/>
  <c r="T35" i="146"/>
  <c r="R35" i="146"/>
  <c r="H37" i="146"/>
  <c r="N37" i="146"/>
  <c r="T37" i="146"/>
  <c r="R37" i="146"/>
  <c r="H43" i="146"/>
  <c r="N43" i="146"/>
  <c r="T43" i="146"/>
  <c r="R43" i="146"/>
  <c r="H42" i="146"/>
  <c r="N42" i="146"/>
  <c r="T42" i="146"/>
  <c r="R42" i="146"/>
  <c r="AF17" i="146"/>
  <c r="AI17" i="146"/>
  <c r="N57" i="146"/>
  <c r="P57" i="146"/>
  <c r="H52" i="146"/>
  <c r="N52" i="146"/>
  <c r="H41" i="146"/>
  <c r="N41" i="146"/>
  <c r="T41" i="146"/>
  <c r="R41" i="146"/>
  <c r="F53" i="146"/>
  <c r="L62" i="146"/>
  <c r="H42" i="145"/>
  <c r="N42" i="145"/>
  <c r="T42" i="145"/>
  <c r="R42" i="145"/>
  <c r="F43" i="145"/>
  <c r="H43" i="145"/>
  <c r="N43" i="145"/>
  <c r="T43" i="145"/>
  <c r="R43" i="145"/>
  <c r="L59" i="145"/>
  <c r="H37" i="145"/>
  <c r="N37" i="145"/>
  <c r="T37" i="145"/>
  <c r="R37" i="145"/>
  <c r="H40" i="145"/>
  <c r="N40" i="145"/>
  <c r="T40" i="145"/>
  <c r="R40" i="145"/>
  <c r="H33" i="145"/>
  <c r="N33" i="145"/>
  <c r="H52" i="145"/>
  <c r="N52" i="145"/>
  <c r="H35" i="145"/>
  <c r="N35" i="145"/>
  <c r="T35" i="145"/>
  <c r="R35" i="145"/>
  <c r="H41" i="145"/>
  <c r="N41" i="145"/>
  <c r="T41" i="145"/>
  <c r="R41" i="145"/>
  <c r="H47" i="145"/>
  <c r="AR17" i="145"/>
  <c r="T16" i="145"/>
  <c r="T17" i="145"/>
  <c r="W17" i="145"/>
  <c r="AU21" i="145"/>
  <c r="H21" i="145"/>
  <c r="H22" i="145"/>
  <c r="K22" i="145"/>
  <c r="AU17" i="145"/>
  <c r="Z16" i="145"/>
  <c r="Z17" i="145"/>
  <c r="AC17" i="145"/>
  <c r="H34" i="145"/>
  <c r="N34" i="145"/>
  <c r="H36" i="145"/>
  <c r="N36" i="145"/>
  <c r="H38" i="145"/>
  <c r="N38" i="145"/>
  <c r="H49" i="145"/>
  <c r="N49" i="145"/>
  <c r="H48" i="145"/>
  <c r="N48" i="145"/>
  <c r="F53" i="145"/>
  <c r="H39" i="145"/>
  <c r="N39" i="145"/>
  <c r="T39" i="145"/>
  <c r="R39" i="145"/>
  <c r="H32" i="145"/>
  <c r="H44" i="145"/>
  <c r="N44" i="145"/>
  <c r="H45" i="145"/>
  <c r="N45" i="145"/>
  <c r="H51" i="145"/>
  <c r="N51" i="145"/>
  <c r="L62" i="145"/>
  <c r="H46" i="145"/>
  <c r="H40" i="144"/>
  <c r="N40" i="144"/>
  <c r="T40" i="144"/>
  <c r="R40" i="144"/>
  <c r="H38" i="144"/>
  <c r="N38" i="144"/>
  <c r="T38" i="144"/>
  <c r="R38" i="144"/>
  <c r="H49" i="144"/>
  <c r="N49" i="144"/>
  <c r="H39" i="144"/>
  <c r="N39" i="144"/>
  <c r="T39" i="144"/>
  <c r="R39" i="144"/>
  <c r="H45" i="144"/>
  <c r="H50" i="144"/>
  <c r="H44" i="144"/>
  <c r="N44" i="144"/>
  <c r="H51" i="144"/>
  <c r="N51" i="144"/>
  <c r="H46" i="144"/>
  <c r="H36" i="144"/>
  <c r="N36" i="144"/>
  <c r="T36" i="144"/>
  <c r="R36" i="144"/>
  <c r="H34" i="144"/>
  <c r="N34" i="144"/>
  <c r="T34" i="144"/>
  <c r="R34" i="144"/>
  <c r="H43" i="144"/>
  <c r="N43" i="144"/>
  <c r="H31" i="144"/>
  <c r="H47" i="144"/>
  <c r="N47" i="144"/>
  <c r="H41" i="144"/>
  <c r="N41" i="144"/>
  <c r="T41" i="144"/>
  <c r="R41" i="144"/>
  <c r="H37" i="144"/>
  <c r="N37" i="144"/>
  <c r="H35" i="144"/>
  <c r="N35" i="144"/>
  <c r="H33" i="144"/>
  <c r="N33" i="144"/>
  <c r="H42" i="144"/>
  <c r="N42" i="144"/>
  <c r="T42" i="144"/>
  <c r="R42" i="144"/>
  <c r="H48" i="144"/>
  <c r="N48" i="144"/>
  <c r="AF17" i="144"/>
  <c r="AI17" i="144"/>
  <c r="N54" i="144"/>
  <c r="N50" i="144"/>
  <c r="T17" i="144"/>
  <c r="W17" i="144"/>
  <c r="H22" i="144"/>
  <c r="K22" i="144"/>
  <c r="F52" i="144"/>
  <c r="Z17" i="144"/>
  <c r="AC17" i="144"/>
  <c r="L57" i="144"/>
  <c r="H32" i="144"/>
  <c r="N32" i="144"/>
  <c r="L61" i="144"/>
  <c r="AR42" i="51"/>
  <c r="P57" i="145"/>
  <c r="F64" i="54"/>
  <c r="P37" i="161"/>
  <c r="P41" i="161"/>
  <c r="P43" i="161"/>
  <c r="P42" i="161"/>
  <c r="P48" i="161"/>
  <c r="P50" i="161"/>
  <c r="P39" i="161"/>
  <c r="P35" i="161"/>
  <c r="P40" i="161"/>
  <c r="P49" i="161"/>
  <c r="P51" i="161"/>
  <c r="P52" i="161"/>
  <c r="P33" i="161"/>
  <c r="P46" i="161"/>
  <c r="P47" i="161"/>
  <c r="P43" i="160"/>
  <c r="P48" i="160"/>
  <c r="P35" i="160"/>
  <c r="P42" i="160"/>
  <c r="P41" i="160"/>
  <c r="P37" i="160"/>
  <c r="P40" i="160"/>
  <c r="P39" i="160"/>
  <c r="P50" i="160"/>
  <c r="P51" i="160"/>
  <c r="P33" i="160"/>
  <c r="P52" i="160"/>
  <c r="P49" i="160"/>
  <c r="P46" i="160"/>
  <c r="P47" i="160"/>
  <c r="L57" i="148"/>
  <c r="AU21" i="146"/>
  <c r="H21" i="146"/>
  <c r="H22" i="146"/>
  <c r="K22" i="146"/>
  <c r="T33" i="146"/>
  <c r="AR17" i="146"/>
  <c r="T16" i="146"/>
  <c r="T17" i="146"/>
  <c r="W17" i="146"/>
  <c r="L57" i="145"/>
  <c r="R51" i="150"/>
  <c r="H53" i="150"/>
  <c r="J46" i="150"/>
  <c r="N46" i="150"/>
  <c r="AM26" i="150"/>
  <c r="N32" i="150"/>
  <c r="N56" i="150"/>
  <c r="T50" i="150"/>
  <c r="R50" i="150"/>
  <c r="N59" i="150"/>
  <c r="T33" i="150"/>
  <c r="T48" i="150"/>
  <c r="R48" i="150"/>
  <c r="N57" i="150"/>
  <c r="AM26" i="148"/>
  <c r="J46" i="148"/>
  <c r="N32" i="148"/>
  <c r="H53" i="148"/>
  <c r="R51" i="148"/>
  <c r="T48" i="148"/>
  <c r="R48" i="148"/>
  <c r="N56" i="148"/>
  <c r="N58" i="148"/>
  <c r="T33" i="148"/>
  <c r="N55" i="148"/>
  <c r="T50" i="148"/>
  <c r="R50" i="148"/>
  <c r="T50" i="147"/>
  <c r="R50" i="147"/>
  <c r="N55" i="147"/>
  <c r="P55" i="147"/>
  <c r="J46" i="147"/>
  <c r="N46" i="147"/>
  <c r="H53" i="147"/>
  <c r="N32" i="147"/>
  <c r="R51" i="147"/>
  <c r="F80" i="54"/>
  <c r="L57" i="147"/>
  <c r="F79" i="54"/>
  <c r="L56" i="147"/>
  <c r="AM26" i="147"/>
  <c r="N58" i="147"/>
  <c r="P58" i="147"/>
  <c r="T33" i="147"/>
  <c r="N55" i="146"/>
  <c r="P55" i="146"/>
  <c r="T50" i="146"/>
  <c r="R50" i="146"/>
  <c r="AM26" i="146"/>
  <c r="J46" i="146"/>
  <c r="N46" i="146"/>
  <c r="R51" i="146"/>
  <c r="H53" i="146"/>
  <c r="F72" i="54"/>
  <c r="L57" i="146"/>
  <c r="T48" i="146"/>
  <c r="R48" i="146"/>
  <c r="N56" i="146"/>
  <c r="P56" i="146"/>
  <c r="N32" i="146"/>
  <c r="AM26" i="145"/>
  <c r="N55" i="145"/>
  <c r="P55" i="145"/>
  <c r="T50" i="145"/>
  <c r="R50" i="145"/>
  <c r="N58" i="145"/>
  <c r="P58" i="145"/>
  <c r="T33" i="145"/>
  <c r="J46" i="145"/>
  <c r="N46" i="145"/>
  <c r="N32" i="145"/>
  <c r="H53" i="145"/>
  <c r="R51" i="145"/>
  <c r="T48" i="145"/>
  <c r="R48" i="145"/>
  <c r="N56" i="145"/>
  <c r="P56" i="145"/>
  <c r="N58" i="144"/>
  <c r="T32" i="144"/>
  <c r="N55" i="144"/>
  <c r="T49" i="144"/>
  <c r="R49" i="144"/>
  <c r="AM26" i="144"/>
  <c r="F56" i="54"/>
  <c r="L54" i="144"/>
  <c r="T47" i="144"/>
  <c r="R47" i="144"/>
  <c r="N56" i="144"/>
  <c r="J45" i="144"/>
  <c r="N45" i="144"/>
  <c r="R50" i="144"/>
  <c r="N31" i="144"/>
  <c r="H52" i="144"/>
  <c r="Q17" i="106"/>
  <c r="N17" i="106"/>
  <c r="K17" i="106"/>
  <c r="H17" i="106"/>
  <c r="Q16" i="106"/>
  <c r="Q17" i="105"/>
  <c r="N17" i="105"/>
  <c r="K17" i="105"/>
  <c r="H17" i="105"/>
  <c r="Q16" i="105"/>
  <c r="Q17" i="101"/>
  <c r="N17" i="101"/>
  <c r="K17" i="101"/>
  <c r="H17" i="101"/>
  <c r="H22" i="100"/>
  <c r="Q17" i="100"/>
  <c r="N17" i="100"/>
  <c r="K17" i="100"/>
  <c r="H17" i="100"/>
  <c r="Q17" i="104"/>
  <c r="N17" i="104"/>
  <c r="K17" i="104"/>
  <c r="H17" i="104"/>
  <c r="Q17" i="103"/>
  <c r="N17" i="103"/>
  <c r="K17" i="103"/>
  <c r="H17" i="103"/>
  <c r="Q17" i="102"/>
  <c r="N17" i="102"/>
  <c r="K17" i="102"/>
  <c r="H17" i="102"/>
  <c r="AH25" i="51"/>
  <c r="N58" i="146"/>
  <c r="P53" i="161"/>
  <c r="P53" i="160"/>
  <c r="O5" i="108"/>
  <c r="L57" i="150"/>
  <c r="F16" i="133"/>
  <c r="R49" i="150"/>
  <c r="R33" i="150"/>
  <c r="T51" i="150"/>
  <c r="F18" i="133"/>
  <c r="L59" i="150"/>
  <c r="J47" i="150"/>
  <c r="J53" i="150"/>
  <c r="F15" i="133"/>
  <c r="L56" i="150"/>
  <c r="P55" i="148"/>
  <c r="F94" i="54"/>
  <c r="L55" i="148"/>
  <c r="T51" i="148"/>
  <c r="R33" i="148"/>
  <c r="L58" i="148"/>
  <c r="P58" i="148"/>
  <c r="F97" i="54"/>
  <c r="P56" i="148"/>
  <c r="F95" i="54"/>
  <c r="L56" i="148"/>
  <c r="J47" i="148"/>
  <c r="J53" i="148"/>
  <c r="N46" i="148"/>
  <c r="R33" i="147"/>
  <c r="T51" i="147"/>
  <c r="J47" i="147"/>
  <c r="J53" i="147"/>
  <c r="L58" i="147"/>
  <c r="F81" i="54"/>
  <c r="F78" i="54"/>
  <c r="L55" i="147"/>
  <c r="F70" i="54"/>
  <c r="L55" i="146"/>
  <c r="T51" i="146"/>
  <c r="J47" i="146"/>
  <c r="J53" i="146"/>
  <c r="R33" i="146"/>
  <c r="L56" i="146"/>
  <c r="F71" i="54"/>
  <c r="J47" i="145"/>
  <c r="J53" i="145"/>
  <c r="L56" i="145"/>
  <c r="F63" i="54"/>
  <c r="L58" i="145"/>
  <c r="F65" i="54"/>
  <c r="T51" i="145"/>
  <c r="R33" i="145"/>
  <c r="F62" i="54"/>
  <c r="L55" i="145"/>
  <c r="T50" i="144"/>
  <c r="R32" i="144"/>
  <c r="R48" i="144"/>
  <c r="J46" i="144"/>
  <c r="J52" i="144"/>
  <c r="L58" i="144"/>
  <c r="F57" i="54"/>
  <c r="F54" i="54"/>
  <c r="L55" i="144"/>
  <c r="F55" i="54"/>
  <c r="L56" i="144"/>
  <c r="AF17" i="100"/>
  <c r="Z17" i="100"/>
  <c r="T17" i="100"/>
  <c r="L58" i="146"/>
  <c r="P58" i="146"/>
  <c r="F73" i="54"/>
  <c r="M17" i="54"/>
  <c r="T49" i="150"/>
  <c r="R46" i="150"/>
  <c r="R52" i="150"/>
  <c r="N47" i="150"/>
  <c r="N53" i="150"/>
  <c r="R47" i="150"/>
  <c r="R46" i="148"/>
  <c r="R49" i="148"/>
  <c r="R52" i="148"/>
  <c r="N47" i="148"/>
  <c r="N53" i="148"/>
  <c r="R47" i="148"/>
  <c r="R47" i="147"/>
  <c r="N47" i="147"/>
  <c r="N53" i="147"/>
  <c r="R46" i="147"/>
  <c r="R49" i="147"/>
  <c r="R52" i="147"/>
  <c r="R46" i="146"/>
  <c r="R49" i="146"/>
  <c r="R52" i="146"/>
  <c r="R47" i="146"/>
  <c r="N47" i="146"/>
  <c r="N53" i="146"/>
  <c r="R46" i="145"/>
  <c r="R52" i="145"/>
  <c r="R49" i="145"/>
  <c r="N47" i="145"/>
  <c r="N53" i="145"/>
  <c r="R47" i="145"/>
  <c r="T48" i="144"/>
  <c r="N46" i="144"/>
  <c r="N52" i="144"/>
  <c r="R46" i="144"/>
  <c r="R45" i="144"/>
  <c r="R51" i="144"/>
  <c r="G61" i="126"/>
  <c r="G60" i="126"/>
  <c r="F21" i="142"/>
  <c r="F84" i="142"/>
  <c r="F53" i="141"/>
  <c r="F51" i="141"/>
  <c r="F50" i="141"/>
  <c r="F47" i="141"/>
  <c r="F46" i="141"/>
  <c r="F45" i="141"/>
  <c r="F43" i="141"/>
  <c r="F42" i="141"/>
  <c r="F39" i="141"/>
  <c r="F38" i="141"/>
  <c r="O62" i="106"/>
  <c r="O62" i="105"/>
  <c r="N61" i="101"/>
  <c r="F61" i="133"/>
  <c r="N61" i="100"/>
  <c r="F53" i="133"/>
  <c r="N61" i="104"/>
  <c r="N61" i="103"/>
  <c r="N61" i="102"/>
  <c r="G87" i="126"/>
  <c r="R53" i="150"/>
  <c r="P33" i="150"/>
  <c r="R53" i="147"/>
  <c r="P33" i="147"/>
  <c r="T47" i="150"/>
  <c r="T52" i="150"/>
  <c r="T46" i="150"/>
  <c r="T47" i="148"/>
  <c r="T52" i="148"/>
  <c r="T46" i="148"/>
  <c r="R53" i="148"/>
  <c r="T49" i="148"/>
  <c r="T52" i="147"/>
  <c r="T49" i="147"/>
  <c r="T46" i="147"/>
  <c r="T47" i="147"/>
  <c r="R53" i="146"/>
  <c r="P35" i="146"/>
  <c r="T47" i="146"/>
  <c r="T52" i="146"/>
  <c r="T49" i="146"/>
  <c r="T46" i="146"/>
  <c r="T49" i="145"/>
  <c r="T47" i="145"/>
  <c r="T46" i="145"/>
  <c r="T52" i="145"/>
  <c r="R53" i="145"/>
  <c r="P49" i="145"/>
  <c r="R52" i="144"/>
  <c r="P36" i="144"/>
  <c r="T51" i="144"/>
  <c r="T46" i="144"/>
  <c r="T45" i="144"/>
  <c r="P50" i="147"/>
  <c r="P37" i="147"/>
  <c r="P40" i="147"/>
  <c r="P41" i="147"/>
  <c r="P46" i="147"/>
  <c r="P45" i="144"/>
  <c r="P48" i="147"/>
  <c r="P49" i="147"/>
  <c r="P39" i="147"/>
  <c r="P51" i="144"/>
  <c r="P32" i="144"/>
  <c r="P48" i="144"/>
  <c r="P50" i="144"/>
  <c r="P50" i="150"/>
  <c r="P37" i="150"/>
  <c r="P41" i="150"/>
  <c r="P40" i="150"/>
  <c r="P43" i="150"/>
  <c r="P39" i="150"/>
  <c r="P47" i="150"/>
  <c r="P48" i="150"/>
  <c r="P49" i="150"/>
  <c r="P42" i="150"/>
  <c r="P51" i="150"/>
  <c r="P52" i="150"/>
  <c r="P46" i="150"/>
  <c r="P35" i="150"/>
  <c r="T53" i="150"/>
  <c r="P42" i="147"/>
  <c r="P52" i="147"/>
  <c r="P47" i="147"/>
  <c r="P43" i="147"/>
  <c r="P51" i="147"/>
  <c r="P35" i="147"/>
  <c r="T53" i="148"/>
  <c r="P39" i="148"/>
  <c r="P43" i="148"/>
  <c r="P35" i="148"/>
  <c r="P40" i="148"/>
  <c r="P42" i="148"/>
  <c r="P41" i="148"/>
  <c r="P37" i="148"/>
  <c r="P48" i="148"/>
  <c r="P50" i="148"/>
  <c r="P51" i="148"/>
  <c r="P33" i="148"/>
  <c r="P46" i="148"/>
  <c r="P52" i="148"/>
  <c r="P49" i="148"/>
  <c r="P47" i="148"/>
  <c r="T53" i="147"/>
  <c r="P48" i="146"/>
  <c r="P51" i="146"/>
  <c r="P40" i="146"/>
  <c r="P39" i="146"/>
  <c r="P43" i="146"/>
  <c r="P49" i="146"/>
  <c r="P52" i="146"/>
  <c r="P37" i="146"/>
  <c r="P41" i="146"/>
  <c r="P50" i="146"/>
  <c r="P47" i="146"/>
  <c r="P42" i="146"/>
  <c r="P46" i="146"/>
  <c r="P33" i="146"/>
  <c r="T53" i="146"/>
  <c r="P46" i="145"/>
  <c r="P52" i="145"/>
  <c r="P47" i="145"/>
  <c r="T53" i="145"/>
  <c r="P42" i="145"/>
  <c r="P40" i="145"/>
  <c r="P43" i="145"/>
  <c r="P35" i="145"/>
  <c r="P41" i="145"/>
  <c r="P37" i="145"/>
  <c r="P39" i="145"/>
  <c r="P51" i="145"/>
  <c r="P50" i="145"/>
  <c r="P48" i="145"/>
  <c r="P33" i="145"/>
  <c r="P41" i="144"/>
  <c r="P39" i="144"/>
  <c r="P46" i="144"/>
  <c r="P34" i="144"/>
  <c r="P49" i="144"/>
  <c r="P47" i="144"/>
  <c r="P38" i="144"/>
  <c r="P42" i="144"/>
  <c r="P40" i="144"/>
  <c r="T52" i="144"/>
  <c r="P52" i="144"/>
  <c r="P53" i="150"/>
  <c r="P53" i="147"/>
  <c r="P53" i="148"/>
  <c r="P53" i="146"/>
  <c r="P53" i="145"/>
  <c r="G70" i="126"/>
  <c r="G69" i="126"/>
  <c r="G68" i="126"/>
  <c r="F77" i="133"/>
  <c r="F75" i="133"/>
  <c r="F74" i="133"/>
  <c r="F71" i="133"/>
  <c r="F70" i="133"/>
  <c r="F69" i="133"/>
  <c r="F67" i="133"/>
  <c r="F66" i="133"/>
  <c r="F63" i="133"/>
  <c r="F62" i="133"/>
  <c r="F44" i="133"/>
  <c r="F43" i="133"/>
  <c r="F36" i="133"/>
  <c r="F35" i="133"/>
  <c r="F28" i="133"/>
  <c r="F27" i="133"/>
  <c r="F78" i="133"/>
  <c r="F127" i="54"/>
  <c r="F125" i="54"/>
  <c r="F124" i="54"/>
  <c r="M18" i="54"/>
  <c r="F121" i="54"/>
  <c r="F120" i="54"/>
  <c r="F45" i="54"/>
  <c r="AR52" i="132"/>
  <c r="F52" i="132"/>
  <c r="AR51" i="132"/>
  <c r="AR50" i="132"/>
  <c r="AR49" i="132"/>
  <c r="AR48" i="132"/>
  <c r="F48" i="132"/>
  <c r="AR47" i="132"/>
  <c r="AX46" i="132"/>
  <c r="AV46" i="132"/>
  <c r="AU46" i="132"/>
  <c r="AS46" i="132"/>
  <c r="AT46" i="132"/>
  <c r="AW46" i="132"/>
  <c r="AR46" i="132"/>
  <c r="F46" i="132"/>
  <c r="H46" i="132"/>
  <c r="AX45" i="132"/>
  <c r="AV45" i="132"/>
  <c r="AU45" i="132"/>
  <c r="AS45" i="132"/>
  <c r="AT45" i="132"/>
  <c r="AW45" i="132"/>
  <c r="AR45" i="132"/>
  <c r="AX44" i="132"/>
  <c r="AW44" i="132"/>
  <c r="AV44" i="132"/>
  <c r="AU44" i="132"/>
  <c r="AT44" i="132"/>
  <c r="AS44" i="132"/>
  <c r="AR44" i="132"/>
  <c r="AX42" i="132"/>
  <c r="AU42" i="132"/>
  <c r="AN42" i="132"/>
  <c r="AV42" i="132"/>
  <c r="F42" i="132"/>
  <c r="H42" i="132"/>
  <c r="AX41" i="132"/>
  <c r="AV41" i="132"/>
  <c r="AU41" i="132"/>
  <c r="AS41" i="132"/>
  <c r="AT41" i="132"/>
  <c r="AW41" i="132"/>
  <c r="AR41" i="132"/>
  <c r="F41" i="132"/>
  <c r="AX40" i="132"/>
  <c r="AV40" i="132"/>
  <c r="AU40" i="132"/>
  <c r="AS40" i="132"/>
  <c r="AT40" i="132"/>
  <c r="AW40" i="132"/>
  <c r="AR40" i="132"/>
  <c r="F40" i="132"/>
  <c r="AX39" i="132"/>
  <c r="AV39" i="132"/>
  <c r="AU39" i="132"/>
  <c r="AS39" i="132"/>
  <c r="AT39" i="132"/>
  <c r="AW39" i="132"/>
  <c r="AR39" i="132"/>
  <c r="F39" i="132"/>
  <c r="AX38" i="132"/>
  <c r="AV38" i="132"/>
  <c r="AU38" i="132"/>
  <c r="AS38" i="132"/>
  <c r="AT38" i="132"/>
  <c r="AW38" i="132"/>
  <c r="AR38" i="132"/>
  <c r="H38" i="132"/>
  <c r="F38" i="132"/>
  <c r="AX37" i="132"/>
  <c r="AV37" i="132"/>
  <c r="AU37" i="132"/>
  <c r="AS37" i="132"/>
  <c r="AT37" i="132"/>
  <c r="AW37" i="132"/>
  <c r="AR37" i="132"/>
  <c r="H37" i="132"/>
  <c r="AX36" i="132"/>
  <c r="AV36" i="132"/>
  <c r="AU36" i="132"/>
  <c r="AS36" i="132"/>
  <c r="AT36" i="132"/>
  <c r="AW36" i="132"/>
  <c r="AR36" i="132"/>
  <c r="F36" i="132"/>
  <c r="AX35" i="132"/>
  <c r="AV35" i="132"/>
  <c r="AU35" i="132"/>
  <c r="AS35" i="132"/>
  <c r="AT35" i="132"/>
  <c r="AW35" i="132"/>
  <c r="AR35" i="132"/>
  <c r="AX34" i="132"/>
  <c r="AW34" i="132"/>
  <c r="AV34" i="132"/>
  <c r="AU34" i="132"/>
  <c r="AT34" i="132"/>
  <c r="AS34" i="132"/>
  <c r="AR34" i="132"/>
  <c r="F34" i="132"/>
  <c r="AX33" i="132"/>
  <c r="AV33" i="132"/>
  <c r="AU33" i="132"/>
  <c r="AT33" i="132"/>
  <c r="AW33" i="132"/>
  <c r="AS33" i="132"/>
  <c r="AR33" i="132"/>
  <c r="AX32" i="132"/>
  <c r="AV32" i="132"/>
  <c r="AU32" i="132"/>
  <c r="AS32" i="132"/>
  <c r="AT32" i="132"/>
  <c r="AW32" i="132"/>
  <c r="AR32" i="132"/>
  <c r="F32" i="132"/>
  <c r="AX31" i="132"/>
  <c r="AV31" i="132"/>
  <c r="AU31" i="132"/>
  <c r="AS31" i="132"/>
  <c r="AT31" i="132"/>
  <c r="AW31" i="132"/>
  <c r="AR31" i="132"/>
  <c r="H31" i="132"/>
  <c r="F27" i="132"/>
  <c r="AH25" i="132"/>
  <c r="X27" i="132"/>
  <c r="X29" i="132"/>
  <c r="X30" i="132"/>
  <c r="AC25" i="132"/>
  <c r="H47" i="132"/>
  <c r="N47" i="132"/>
  <c r="T25" i="132"/>
  <c r="A22" i="132"/>
  <c r="A21" i="132"/>
  <c r="AN18" i="132"/>
  <c r="AR8" i="132"/>
  <c r="AQ13" i="132"/>
  <c r="AX9" i="132"/>
  <c r="AX8" i="132"/>
  <c r="AV7" i="132"/>
  <c r="AX7" i="132"/>
  <c r="AR7" i="132"/>
  <c r="AC7" i="132"/>
  <c r="H7" i="132"/>
  <c r="AX6" i="132"/>
  <c r="H6" i="132"/>
  <c r="AX5" i="132"/>
  <c r="H5" i="132"/>
  <c r="AX4" i="132"/>
  <c r="AN38" i="128"/>
  <c r="AN37" i="128"/>
  <c r="AN36" i="128"/>
  <c r="AN35" i="128"/>
  <c r="AN34" i="128"/>
  <c r="AT33" i="128"/>
  <c r="AR33" i="128"/>
  <c r="AQ33" i="128"/>
  <c r="AO33" i="128"/>
  <c r="AP33" i="128"/>
  <c r="AS33" i="128"/>
  <c r="AN33" i="128"/>
  <c r="AT32" i="128"/>
  <c r="AR32" i="128"/>
  <c r="AQ32" i="128"/>
  <c r="AO32" i="128"/>
  <c r="AP32" i="128"/>
  <c r="AS32" i="128"/>
  <c r="AN32" i="128"/>
  <c r="AT31" i="128"/>
  <c r="AR31" i="128"/>
  <c r="AQ31" i="128"/>
  <c r="AO31" i="128"/>
  <c r="AP31" i="128"/>
  <c r="AS31" i="128"/>
  <c r="AN31" i="128"/>
  <c r="AT29" i="128"/>
  <c r="AR29" i="128"/>
  <c r="AQ29" i="128"/>
  <c r="AO29" i="128"/>
  <c r="AP29" i="128"/>
  <c r="AS29" i="128"/>
  <c r="AN29" i="128"/>
  <c r="AT28" i="128"/>
  <c r="AR28" i="128"/>
  <c r="AQ28" i="128"/>
  <c r="AO28" i="128"/>
  <c r="AP28" i="128"/>
  <c r="AS28" i="128"/>
  <c r="AN28" i="128"/>
  <c r="AT27" i="128"/>
  <c r="AR27" i="128"/>
  <c r="AQ27" i="128"/>
  <c r="AO27" i="128"/>
  <c r="AP27" i="128"/>
  <c r="AS27" i="128"/>
  <c r="AN27" i="128"/>
  <c r="AT26" i="128"/>
  <c r="AR26" i="128"/>
  <c r="AQ26" i="128"/>
  <c r="AO26" i="128"/>
  <c r="AP26" i="128"/>
  <c r="AS26" i="128"/>
  <c r="AN26" i="128"/>
  <c r="AT25" i="128"/>
  <c r="AR25" i="128"/>
  <c r="AQ25" i="128"/>
  <c r="AO25" i="128"/>
  <c r="AP25" i="128"/>
  <c r="AS25" i="128"/>
  <c r="AN25" i="128"/>
  <c r="AT24" i="128"/>
  <c r="AR24" i="128"/>
  <c r="AQ24" i="128"/>
  <c r="AO24" i="128"/>
  <c r="AP24" i="128"/>
  <c r="AS24" i="128"/>
  <c r="AN24" i="128"/>
  <c r="AT23" i="128"/>
  <c r="AR23" i="128"/>
  <c r="AQ23" i="128"/>
  <c r="AO23" i="128"/>
  <c r="AP23" i="128"/>
  <c r="AS23" i="128"/>
  <c r="AN23" i="128"/>
  <c r="AT22" i="128"/>
  <c r="AR22" i="128"/>
  <c r="AQ22" i="128"/>
  <c r="AO22" i="128"/>
  <c r="AP22" i="128"/>
  <c r="AS22" i="128"/>
  <c r="AN22" i="128"/>
  <c r="AT21" i="128"/>
  <c r="AR21" i="128"/>
  <c r="AQ21" i="128"/>
  <c r="AO21" i="128"/>
  <c r="AP21" i="128"/>
  <c r="AS21" i="128"/>
  <c r="AN21" i="128"/>
  <c r="AT20" i="128"/>
  <c r="AR20" i="128"/>
  <c r="AQ20" i="128"/>
  <c r="AO20" i="128"/>
  <c r="AP20" i="128"/>
  <c r="AS20" i="128"/>
  <c r="AN20" i="128"/>
  <c r="AT19" i="128"/>
  <c r="AR19" i="128"/>
  <c r="AQ19" i="128"/>
  <c r="AO19" i="128"/>
  <c r="AP19" i="128"/>
  <c r="AS19" i="128"/>
  <c r="AN19" i="128"/>
  <c r="AT18" i="128"/>
  <c r="AR18" i="128"/>
  <c r="AQ18" i="128"/>
  <c r="AO18" i="128"/>
  <c r="AP18" i="128"/>
  <c r="AS18" i="128"/>
  <c r="AN18" i="128"/>
  <c r="N18" i="128"/>
  <c r="AN11" i="128"/>
  <c r="AN7" i="128"/>
  <c r="AN8" i="128"/>
  <c r="Y7" i="128"/>
  <c r="H7" i="128"/>
  <c r="H6" i="128"/>
  <c r="H5" i="128"/>
  <c r="F202" i="84"/>
  <c r="F200" i="84"/>
  <c r="F199" i="84"/>
  <c r="F196" i="84"/>
  <c r="F195" i="84"/>
  <c r="G100" i="71"/>
  <c r="G85" i="71"/>
  <c r="G22" i="71"/>
  <c r="G78" i="126"/>
  <c r="G80" i="126"/>
  <c r="G57" i="126"/>
  <c r="G66" i="126"/>
  <c r="G49" i="126"/>
  <c r="G38" i="126"/>
  <c r="G37" i="126"/>
  <c r="G18" i="126"/>
  <c r="G16" i="126"/>
  <c r="G21" i="126"/>
  <c r="K30" i="108"/>
  <c r="K25" i="108"/>
  <c r="J25" i="108"/>
  <c r="J30" i="108"/>
  <c r="J29" i="108"/>
  <c r="K29" i="108"/>
  <c r="K36" i="108"/>
  <c r="R62" i="125"/>
  <c r="F35" i="142"/>
  <c r="AR52" i="125"/>
  <c r="F52" i="125"/>
  <c r="H52" i="125"/>
  <c r="AR51" i="125"/>
  <c r="AR50" i="125"/>
  <c r="AR49" i="125"/>
  <c r="AR48" i="125"/>
  <c r="F48" i="125"/>
  <c r="AR47" i="125"/>
  <c r="AX46" i="125"/>
  <c r="AV46" i="125"/>
  <c r="AU46" i="125"/>
  <c r="AS46" i="125"/>
  <c r="AT46" i="125"/>
  <c r="AW46" i="125"/>
  <c r="AR46" i="125"/>
  <c r="F46" i="125"/>
  <c r="AX45" i="125"/>
  <c r="AV45" i="125"/>
  <c r="AU45" i="125"/>
  <c r="AS45" i="125"/>
  <c r="AT45" i="125"/>
  <c r="AW45" i="125"/>
  <c r="AR45" i="125"/>
  <c r="AX44" i="125"/>
  <c r="AW44" i="125"/>
  <c r="AV44" i="125"/>
  <c r="AU44" i="125"/>
  <c r="AT44" i="125"/>
  <c r="AS44" i="125"/>
  <c r="AR44" i="125"/>
  <c r="AX42" i="125"/>
  <c r="AU42" i="125"/>
  <c r="AN42" i="125"/>
  <c r="AV42" i="125"/>
  <c r="F42" i="125"/>
  <c r="AX41" i="125"/>
  <c r="AV41" i="125"/>
  <c r="AU41" i="125"/>
  <c r="AS41" i="125"/>
  <c r="AT41" i="125"/>
  <c r="AW41" i="125"/>
  <c r="AR41" i="125"/>
  <c r="F41" i="125"/>
  <c r="AX40" i="125"/>
  <c r="AV40" i="125"/>
  <c r="AU40" i="125"/>
  <c r="AS40" i="125"/>
  <c r="AT40" i="125"/>
  <c r="AW40" i="125"/>
  <c r="AR40" i="125"/>
  <c r="F40" i="125"/>
  <c r="H40" i="125"/>
  <c r="N40" i="125"/>
  <c r="AX39" i="125"/>
  <c r="AV39" i="125"/>
  <c r="AU39" i="125"/>
  <c r="AS39" i="125"/>
  <c r="AT39" i="125"/>
  <c r="AW39" i="125"/>
  <c r="AR39" i="125"/>
  <c r="F39" i="125"/>
  <c r="AX38" i="125"/>
  <c r="AV38" i="125"/>
  <c r="AU38" i="125"/>
  <c r="AS38" i="125"/>
  <c r="AT38" i="125"/>
  <c r="AW38" i="125"/>
  <c r="AR38" i="125"/>
  <c r="F38" i="125"/>
  <c r="AX37" i="125"/>
  <c r="AV37" i="125"/>
  <c r="AU37" i="125"/>
  <c r="AS37" i="125"/>
  <c r="AT37" i="125"/>
  <c r="AW37" i="125"/>
  <c r="AR37" i="125"/>
  <c r="AX36" i="125"/>
  <c r="AV36" i="125"/>
  <c r="AU36" i="125"/>
  <c r="AS36" i="125"/>
  <c r="AT36" i="125"/>
  <c r="AW36" i="125"/>
  <c r="AR36" i="125"/>
  <c r="F36" i="125"/>
  <c r="H36" i="125"/>
  <c r="N36" i="125"/>
  <c r="AX35" i="125"/>
  <c r="AV35" i="125"/>
  <c r="AU35" i="125"/>
  <c r="AS35" i="125"/>
  <c r="AT35" i="125"/>
  <c r="AW35" i="125"/>
  <c r="AR35" i="125"/>
  <c r="AX34" i="125"/>
  <c r="AW34" i="125"/>
  <c r="AV34" i="125"/>
  <c r="AU34" i="125"/>
  <c r="AT34" i="125"/>
  <c r="AS34" i="125"/>
  <c r="AR34" i="125"/>
  <c r="F34" i="125"/>
  <c r="AX33" i="125"/>
  <c r="AV33" i="125"/>
  <c r="AU33" i="125"/>
  <c r="AT33" i="125"/>
  <c r="AW33" i="125"/>
  <c r="AS33" i="125"/>
  <c r="AR33" i="125"/>
  <c r="AX32" i="125"/>
  <c r="AV32" i="125"/>
  <c r="AU32" i="125"/>
  <c r="AS32" i="125"/>
  <c r="AT32" i="125"/>
  <c r="AW32" i="125"/>
  <c r="AR32" i="125"/>
  <c r="F32" i="125"/>
  <c r="AX31" i="125"/>
  <c r="AV31" i="125"/>
  <c r="AU31" i="125"/>
  <c r="AS31" i="125"/>
  <c r="AT31" i="125"/>
  <c r="AW31" i="125"/>
  <c r="AR31" i="125"/>
  <c r="F27" i="125"/>
  <c r="AH25" i="125"/>
  <c r="X27" i="125"/>
  <c r="X29" i="125"/>
  <c r="X30" i="125"/>
  <c r="AC25" i="125"/>
  <c r="H47" i="125"/>
  <c r="N47" i="125"/>
  <c r="T25" i="125"/>
  <c r="A22" i="125"/>
  <c r="A21" i="125"/>
  <c r="AV19" i="125"/>
  <c r="AR19" i="125"/>
  <c r="AS19" i="125"/>
  <c r="AT19" i="125"/>
  <c r="AN18" i="125"/>
  <c r="AU16" i="125"/>
  <c r="AV16" i="125"/>
  <c r="AW16" i="125"/>
  <c r="AR16" i="125"/>
  <c r="AS16" i="125"/>
  <c r="AT16" i="125"/>
  <c r="AQ13" i="125"/>
  <c r="AX9" i="125"/>
  <c r="AU25" i="125"/>
  <c r="AV25" i="125"/>
  <c r="AW25" i="125"/>
  <c r="AX8" i="125"/>
  <c r="AR22" i="125"/>
  <c r="AS22" i="125"/>
  <c r="AT22" i="125"/>
  <c r="AX7" i="125"/>
  <c r="AR25" i="125"/>
  <c r="AS25" i="125"/>
  <c r="AV7" i="125"/>
  <c r="AR7" i="125"/>
  <c r="AQ16" i="125"/>
  <c r="H7" i="125"/>
  <c r="AX6" i="125"/>
  <c r="H6" i="125"/>
  <c r="AX5" i="125"/>
  <c r="H5" i="125"/>
  <c r="AX4" i="125"/>
  <c r="L62" i="124"/>
  <c r="AR52" i="124"/>
  <c r="F52" i="124"/>
  <c r="AR51" i="124"/>
  <c r="AR50" i="124"/>
  <c r="AR49" i="124"/>
  <c r="AR48" i="124"/>
  <c r="F48" i="124"/>
  <c r="AR47" i="124"/>
  <c r="AX46" i="124"/>
  <c r="AV46" i="124"/>
  <c r="AU46" i="124"/>
  <c r="AS46" i="124"/>
  <c r="AT46" i="124"/>
  <c r="AW46" i="124"/>
  <c r="AR46" i="124"/>
  <c r="F46" i="124"/>
  <c r="AX45" i="124"/>
  <c r="AV45" i="124"/>
  <c r="AU45" i="124"/>
  <c r="AS45" i="124"/>
  <c r="AT45" i="124"/>
  <c r="AW45" i="124"/>
  <c r="AR45" i="124"/>
  <c r="AX44" i="124"/>
  <c r="AW44" i="124"/>
  <c r="AV44" i="124"/>
  <c r="AU44" i="124"/>
  <c r="AT44" i="124"/>
  <c r="AS44" i="124"/>
  <c r="AR44" i="124"/>
  <c r="AX42" i="124"/>
  <c r="AU42" i="124"/>
  <c r="AN42" i="124"/>
  <c r="AV42" i="124"/>
  <c r="F42" i="124"/>
  <c r="AX41" i="124"/>
  <c r="AW41" i="124"/>
  <c r="AV41" i="124"/>
  <c r="AU41" i="124"/>
  <c r="AT41" i="124"/>
  <c r="AS41" i="124"/>
  <c r="AR41" i="124"/>
  <c r="F41" i="124"/>
  <c r="AX40" i="124"/>
  <c r="AV40" i="124"/>
  <c r="AU40" i="124"/>
  <c r="AS40" i="124"/>
  <c r="AT40" i="124"/>
  <c r="AW40" i="124"/>
  <c r="AR40" i="124"/>
  <c r="F40" i="124"/>
  <c r="AX39" i="124"/>
  <c r="AV39" i="124"/>
  <c r="AU39" i="124"/>
  <c r="AS39" i="124"/>
  <c r="AT39" i="124"/>
  <c r="AW39" i="124"/>
  <c r="AR39" i="124"/>
  <c r="F39" i="124"/>
  <c r="AX38" i="124"/>
  <c r="AV38" i="124"/>
  <c r="AU38" i="124"/>
  <c r="AT38" i="124"/>
  <c r="AW38" i="124"/>
  <c r="AS38" i="124"/>
  <c r="AR38" i="124"/>
  <c r="F38" i="124"/>
  <c r="F53" i="124"/>
  <c r="AX37" i="124"/>
  <c r="AV37" i="124"/>
  <c r="AU37" i="124"/>
  <c r="AS37" i="124"/>
  <c r="AT37" i="124"/>
  <c r="AW37" i="124"/>
  <c r="AR37" i="124"/>
  <c r="AX36" i="124"/>
  <c r="AW36" i="124"/>
  <c r="AV36" i="124"/>
  <c r="AU36" i="124"/>
  <c r="AT36" i="124"/>
  <c r="AS36" i="124"/>
  <c r="AR36" i="124"/>
  <c r="F36" i="124"/>
  <c r="AX35" i="124"/>
  <c r="AV35" i="124"/>
  <c r="AU35" i="124"/>
  <c r="AS35" i="124"/>
  <c r="AT35" i="124"/>
  <c r="AW35" i="124"/>
  <c r="AR35" i="124"/>
  <c r="AX34" i="124"/>
  <c r="AW34" i="124"/>
  <c r="AV34" i="124"/>
  <c r="AU34" i="124"/>
  <c r="AT34" i="124"/>
  <c r="AS34" i="124"/>
  <c r="AR34" i="124"/>
  <c r="F34" i="124"/>
  <c r="AX33" i="124"/>
  <c r="AV33" i="124"/>
  <c r="AU33" i="124"/>
  <c r="AS33" i="124"/>
  <c r="AT33" i="124"/>
  <c r="AW33" i="124"/>
  <c r="AR33" i="124"/>
  <c r="AX32" i="124"/>
  <c r="AV32" i="124"/>
  <c r="AU32" i="124"/>
  <c r="AS32" i="124"/>
  <c r="AT32" i="124"/>
  <c r="AW32" i="124"/>
  <c r="AR32" i="124"/>
  <c r="F32" i="124"/>
  <c r="AX31" i="124"/>
  <c r="AV31" i="124"/>
  <c r="AU31" i="124"/>
  <c r="AT31" i="124"/>
  <c r="AW31" i="124"/>
  <c r="AS31" i="124"/>
  <c r="AR31" i="124"/>
  <c r="F27" i="124"/>
  <c r="AR25" i="124"/>
  <c r="AS25" i="124"/>
  <c r="AH25" i="124"/>
  <c r="X27" i="124"/>
  <c r="X29" i="124"/>
  <c r="X30" i="124"/>
  <c r="AC25" i="124"/>
  <c r="H39" i="124"/>
  <c r="N39" i="124"/>
  <c r="T25" i="124"/>
  <c r="A22" i="124"/>
  <c r="A21" i="124"/>
  <c r="AV19" i="124"/>
  <c r="AS19" i="124"/>
  <c r="AR19" i="124"/>
  <c r="AN18" i="124"/>
  <c r="AQ16" i="124"/>
  <c r="AQ13" i="124"/>
  <c r="AX9" i="124"/>
  <c r="AU25" i="124"/>
  <c r="AV25" i="124"/>
  <c r="AW25" i="124"/>
  <c r="AX8" i="124"/>
  <c r="AR22" i="124"/>
  <c r="AS22" i="124"/>
  <c r="AT22" i="124"/>
  <c r="AR8" i="124"/>
  <c r="AX7" i="124"/>
  <c r="AV7" i="124"/>
  <c r="AR7" i="124"/>
  <c r="H7" i="124"/>
  <c r="AX6" i="124"/>
  <c r="H6" i="124"/>
  <c r="AX5" i="124"/>
  <c r="AU16" i="124"/>
  <c r="AV16" i="124"/>
  <c r="AW16" i="124"/>
  <c r="H5" i="124"/>
  <c r="AX4" i="124"/>
  <c r="AR16" i="124"/>
  <c r="R62" i="123"/>
  <c r="F37" i="141"/>
  <c r="AR52" i="123"/>
  <c r="F52" i="123"/>
  <c r="AR51" i="123"/>
  <c r="AR50" i="123"/>
  <c r="AR49" i="123"/>
  <c r="AR48" i="123"/>
  <c r="F48" i="123"/>
  <c r="AR47" i="123"/>
  <c r="AX46" i="123"/>
  <c r="AV46" i="123"/>
  <c r="AU46" i="123"/>
  <c r="AS46" i="123"/>
  <c r="AT46" i="123"/>
  <c r="AW46" i="123"/>
  <c r="AR46" i="123"/>
  <c r="F46" i="123"/>
  <c r="AX45" i="123"/>
  <c r="AV45" i="123"/>
  <c r="AU45" i="123"/>
  <c r="AS45" i="123"/>
  <c r="AT45" i="123"/>
  <c r="AW45" i="123"/>
  <c r="AR45" i="123"/>
  <c r="AX44" i="123"/>
  <c r="AW44" i="123"/>
  <c r="AV44" i="123"/>
  <c r="AU44" i="123"/>
  <c r="AT44" i="123"/>
  <c r="AS44" i="123"/>
  <c r="AR44" i="123"/>
  <c r="AX42" i="123"/>
  <c r="AU42" i="123"/>
  <c r="AR42" i="123"/>
  <c r="AN42" i="123"/>
  <c r="AV42" i="123"/>
  <c r="F42" i="123"/>
  <c r="AX41" i="123"/>
  <c r="AV41" i="123"/>
  <c r="AU41" i="123"/>
  <c r="AS41" i="123"/>
  <c r="AT41" i="123"/>
  <c r="AW41" i="123"/>
  <c r="AR41" i="123"/>
  <c r="F41" i="123"/>
  <c r="AX40" i="123"/>
  <c r="AV40" i="123"/>
  <c r="AU40" i="123"/>
  <c r="AS40" i="123"/>
  <c r="AT40" i="123"/>
  <c r="AW40" i="123"/>
  <c r="AR40" i="123"/>
  <c r="F40" i="123"/>
  <c r="AX39" i="123"/>
  <c r="AV39" i="123"/>
  <c r="AU39" i="123"/>
  <c r="AS39" i="123"/>
  <c r="AT39" i="123"/>
  <c r="AW39" i="123"/>
  <c r="AR39" i="123"/>
  <c r="F39" i="123"/>
  <c r="AX38" i="123"/>
  <c r="AV38" i="123"/>
  <c r="AU38" i="123"/>
  <c r="AS38" i="123"/>
  <c r="AT38" i="123"/>
  <c r="AW38" i="123"/>
  <c r="AR38" i="123"/>
  <c r="F38" i="123"/>
  <c r="AX37" i="123"/>
  <c r="AV37" i="123"/>
  <c r="AU37" i="123"/>
  <c r="AS37" i="123"/>
  <c r="AT37" i="123"/>
  <c r="AW37" i="123"/>
  <c r="AR37" i="123"/>
  <c r="AX36" i="123"/>
  <c r="AV36" i="123"/>
  <c r="AU36" i="123"/>
  <c r="AS36" i="123"/>
  <c r="AT36" i="123"/>
  <c r="AW36" i="123"/>
  <c r="AR36" i="123"/>
  <c r="F36" i="123"/>
  <c r="H36" i="123"/>
  <c r="N36" i="123"/>
  <c r="AX35" i="123"/>
  <c r="AV35" i="123"/>
  <c r="AU35" i="123"/>
  <c r="AS35" i="123"/>
  <c r="AT35" i="123"/>
  <c r="AW35" i="123"/>
  <c r="AR35" i="123"/>
  <c r="AX34" i="123"/>
  <c r="AW34" i="123"/>
  <c r="AV34" i="123"/>
  <c r="AU34" i="123"/>
  <c r="AT34" i="123"/>
  <c r="AS34" i="123"/>
  <c r="AR34" i="123"/>
  <c r="F34" i="123"/>
  <c r="AX33" i="123"/>
  <c r="AV33" i="123"/>
  <c r="AU33" i="123"/>
  <c r="AT33" i="123"/>
  <c r="AW33" i="123"/>
  <c r="AS33" i="123"/>
  <c r="AR33" i="123"/>
  <c r="AX32" i="123"/>
  <c r="AV32" i="123"/>
  <c r="AU32" i="123"/>
  <c r="AS32" i="123"/>
  <c r="AT32" i="123"/>
  <c r="AW32" i="123"/>
  <c r="AR32" i="123"/>
  <c r="F32" i="123"/>
  <c r="AX31" i="123"/>
  <c r="AV31" i="123"/>
  <c r="AU31" i="123"/>
  <c r="AS31" i="123"/>
  <c r="AT31" i="123"/>
  <c r="AW31" i="123"/>
  <c r="AR31" i="123"/>
  <c r="F27" i="123"/>
  <c r="AH25" i="123"/>
  <c r="X27" i="123"/>
  <c r="X29" i="123"/>
  <c r="X30" i="123"/>
  <c r="AC25" i="123"/>
  <c r="H47" i="123"/>
  <c r="N47" i="123"/>
  <c r="T25" i="123"/>
  <c r="A22" i="123"/>
  <c r="A21" i="123"/>
  <c r="AV19" i="123"/>
  <c r="AN18" i="123"/>
  <c r="AR8" i="123"/>
  <c r="AR16" i="123"/>
  <c r="AS16" i="123"/>
  <c r="AQ16" i="123"/>
  <c r="AQ13" i="123"/>
  <c r="AX9" i="123"/>
  <c r="AU25" i="123"/>
  <c r="AV25" i="123"/>
  <c r="AW25" i="123"/>
  <c r="AX8" i="123"/>
  <c r="AR22" i="123"/>
  <c r="AS22" i="123"/>
  <c r="AT22" i="123"/>
  <c r="AV7" i="123"/>
  <c r="AX7" i="123"/>
  <c r="AR25" i="123"/>
  <c r="AS25" i="123"/>
  <c r="AT25" i="123"/>
  <c r="AR7" i="123"/>
  <c r="H7" i="123"/>
  <c r="AX6" i="123"/>
  <c r="AR19" i="123"/>
  <c r="AS19" i="123"/>
  <c r="H6" i="123"/>
  <c r="AX5" i="123"/>
  <c r="AU16" i="123"/>
  <c r="AV16" i="123"/>
  <c r="AW16" i="123"/>
  <c r="H5" i="123"/>
  <c r="AX4" i="123"/>
  <c r="H29" i="122"/>
  <c r="K18" i="122"/>
  <c r="K19" i="122"/>
  <c r="L18" i="122"/>
  <c r="L19" i="122"/>
  <c r="P16" i="122"/>
  <c r="N32" i="132"/>
  <c r="N37" i="132"/>
  <c r="N38" i="132"/>
  <c r="H36" i="132"/>
  <c r="N36" i="132"/>
  <c r="H41" i="132"/>
  <c r="N41" i="132"/>
  <c r="N31" i="132"/>
  <c r="H33" i="132"/>
  <c r="N33" i="132"/>
  <c r="H34" i="132"/>
  <c r="N34" i="132"/>
  <c r="H35" i="132"/>
  <c r="N35" i="132"/>
  <c r="H40" i="132"/>
  <c r="N40" i="132"/>
  <c r="H32" i="132"/>
  <c r="H39" i="132"/>
  <c r="N39" i="132"/>
  <c r="H48" i="132"/>
  <c r="J37" i="108"/>
  <c r="J36" i="108"/>
  <c r="J35" i="108"/>
  <c r="J33" i="108"/>
  <c r="J38" i="108"/>
  <c r="K37" i="108"/>
  <c r="K38" i="108"/>
  <c r="K32" i="108"/>
  <c r="K33" i="108"/>
  <c r="K31" i="108"/>
  <c r="K35" i="108"/>
  <c r="H41" i="125"/>
  <c r="N41" i="125"/>
  <c r="H34" i="123"/>
  <c r="H35" i="123"/>
  <c r="N35" i="123"/>
  <c r="H43" i="123"/>
  <c r="R43" i="123"/>
  <c r="H39" i="123"/>
  <c r="H38" i="123"/>
  <c r="N38" i="123"/>
  <c r="H42" i="123"/>
  <c r="H32" i="123"/>
  <c r="H31" i="123"/>
  <c r="N31" i="123"/>
  <c r="H41" i="123"/>
  <c r="N41" i="123"/>
  <c r="H52" i="124"/>
  <c r="H46" i="124"/>
  <c r="R62" i="124"/>
  <c r="F29" i="141"/>
  <c r="AT12" i="132"/>
  <c r="N61" i="132"/>
  <c r="N57" i="132"/>
  <c r="N48" i="132"/>
  <c r="F53" i="132"/>
  <c r="H43" i="132"/>
  <c r="AR42" i="132"/>
  <c r="N42" i="132"/>
  <c r="H45" i="132"/>
  <c r="H52" i="132"/>
  <c r="N52" i="132"/>
  <c r="AS42" i="132"/>
  <c r="AT42" i="132"/>
  <c r="AW42" i="132"/>
  <c r="H51" i="132"/>
  <c r="N51" i="132"/>
  <c r="H49" i="132"/>
  <c r="N49" i="132"/>
  <c r="L62" i="132"/>
  <c r="H44" i="132"/>
  <c r="N44" i="132"/>
  <c r="N31" i="128"/>
  <c r="N20" i="128"/>
  <c r="N24" i="128"/>
  <c r="N22" i="128"/>
  <c r="N34" i="128"/>
  <c r="N30" i="128"/>
  <c r="N36" i="128"/>
  <c r="H34" i="125"/>
  <c r="N34" i="125"/>
  <c r="H48" i="125"/>
  <c r="H38" i="125"/>
  <c r="H42" i="125"/>
  <c r="H46" i="125"/>
  <c r="N38" i="125"/>
  <c r="N52" i="125"/>
  <c r="N61" i="125"/>
  <c r="R61" i="125"/>
  <c r="F34" i="142"/>
  <c r="N57" i="125"/>
  <c r="R57" i="125"/>
  <c r="F30" i="142"/>
  <c r="N48" i="125"/>
  <c r="AT25" i="125"/>
  <c r="AW19" i="125"/>
  <c r="F53" i="125"/>
  <c r="AT12" i="125"/>
  <c r="H33" i="125"/>
  <c r="N33" i="125"/>
  <c r="H43" i="125"/>
  <c r="H31" i="125"/>
  <c r="H35" i="125"/>
  <c r="N35" i="125"/>
  <c r="AR42" i="125"/>
  <c r="N42" i="125"/>
  <c r="H45" i="125"/>
  <c r="H37" i="125"/>
  <c r="N37" i="125"/>
  <c r="AS42" i="125"/>
  <c r="AT42" i="125"/>
  <c r="AW42" i="125"/>
  <c r="H51" i="125"/>
  <c r="N51" i="125"/>
  <c r="H49" i="125"/>
  <c r="N49" i="125"/>
  <c r="H32" i="125"/>
  <c r="N32" i="125"/>
  <c r="H39" i="125"/>
  <c r="N39" i="125"/>
  <c r="L62" i="125"/>
  <c r="AR8" i="125"/>
  <c r="H44" i="125"/>
  <c r="N44" i="125"/>
  <c r="H36" i="124"/>
  <c r="N36" i="124"/>
  <c r="H37" i="124"/>
  <c r="H34" i="124"/>
  <c r="N34" i="124"/>
  <c r="N37" i="124"/>
  <c r="H33" i="124"/>
  <c r="N33" i="124"/>
  <c r="H41" i="124"/>
  <c r="N41" i="124"/>
  <c r="H42" i="124"/>
  <c r="H40" i="124"/>
  <c r="N40" i="124"/>
  <c r="H47" i="124"/>
  <c r="N47" i="124"/>
  <c r="H43" i="124"/>
  <c r="R43" i="124"/>
  <c r="H48" i="124"/>
  <c r="N48" i="124"/>
  <c r="H44" i="124"/>
  <c r="N44" i="124"/>
  <c r="N61" i="124"/>
  <c r="R61" i="124"/>
  <c r="F28" i="141"/>
  <c r="AS16" i="124"/>
  <c r="AT16" i="124"/>
  <c r="AT12" i="124"/>
  <c r="AT25" i="124"/>
  <c r="AT19" i="124"/>
  <c r="N57" i="124"/>
  <c r="R57" i="124"/>
  <c r="F24" i="141"/>
  <c r="AW19" i="124"/>
  <c r="N52" i="124"/>
  <c r="H38" i="124"/>
  <c r="N38" i="124"/>
  <c r="H31" i="124"/>
  <c r="H35" i="124"/>
  <c r="N35" i="124"/>
  <c r="AR42" i="124"/>
  <c r="H45" i="124"/>
  <c r="AS42" i="124"/>
  <c r="AT42" i="124"/>
  <c r="AW42" i="124"/>
  <c r="H51" i="124"/>
  <c r="N51" i="124"/>
  <c r="H49" i="124"/>
  <c r="N49" i="124"/>
  <c r="H32" i="124"/>
  <c r="N32" i="124"/>
  <c r="H48" i="123"/>
  <c r="N48" i="123"/>
  <c r="H46" i="123"/>
  <c r="H33" i="123"/>
  <c r="N33" i="123"/>
  <c r="H40" i="123"/>
  <c r="N40" i="123"/>
  <c r="N32" i="123"/>
  <c r="N39" i="123"/>
  <c r="H52" i="123"/>
  <c r="N52" i="123"/>
  <c r="H37" i="123"/>
  <c r="N37" i="123"/>
  <c r="N42" i="123"/>
  <c r="N34" i="123"/>
  <c r="AT19" i="123"/>
  <c r="N57" i="123"/>
  <c r="R57" i="123"/>
  <c r="F32" i="141"/>
  <c r="AT16" i="123"/>
  <c r="N61" i="123"/>
  <c r="R61" i="123"/>
  <c r="F36" i="141"/>
  <c r="AW19" i="123"/>
  <c r="F53" i="123"/>
  <c r="AT12" i="123"/>
  <c r="N43" i="123"/>
  <c r="T43" i="123"/>
  <c r="H45" i="123"/>
  <c r="H51" i="123"/>
  <c r="N51" i="123"/>
  <c r="AS42" i="123"/>
  <c r="AT42" i="123"/>
  <c r="AW42" i="123"/>
  <c r="H49" i="123"/>
  <c r="N49" i="123"/>
  <c r="L62" i="123"/>
  <c r="H44" i="123"/>
  <c r="J18" i="122"/>
  <c r="J19" i="122"/>
  <c r="M18" i="122"/>
  <c r="M19" i="122"/>
  <c r="N18" i="122"/>
  <c r="N19" i="122"/>
  <c r="O18" i="122"/>
  <c r="O19" i="122"/>
  <c r="H18" i="122"/>
  <c r="H19" i="122"/>
  <c r="P18" i="122"/>
  <c r="P19" i="122"/>
  <c r="I18" i="122"/>
  <c r="I19" i="122"/>
  <c r="N43" i="124"/>
  <c r="T43" i="124"/>
  <c r="N42" i="124"/>
  <c r="AM26" i="124"/>
  <c r="N55" i="132"/>
  <c r="T49" i="132"/>
  <c r="R49" i="132"/>
  <c r="F44" i="54"/>
  <c r="L61" i="132"/>
  <c r="R43" i="132"/>
  <c r="N43" i="132"/>
  <c r="T43" i="132"/>
  <c r="N56" i="132"/>
  <c r="T47" i="132"/>
  <c r="R47" i="132"/>
  <c r="T51" i="132"/>
  <c r="R51" i="132"/>
  <c r="N60" i="132"/>
  <c r="T37" i="132"/>
  <c r="R37" i="132"/>
  <c r="T40" i="132"/>
  <c r="R40" i="132"/>
  <c r="T35" i="132"/>
  <c r="R35" i="132"/>
  <c r="AM25" i="132"/>
  <c r="N59" i="132"/>
  <c r="T33" i="132"/>
  <c r="R33" i="132"/>
  <c r="AM26" i="132"/>
  <c r="T38" i="132"/>
  <c r="R38" i="132"/>
  <c r="T41" i="132"/>
  <c r="R41" i="132"/>
  <c r="T36" i="132"/>
  <c r="R36" i="132"/>
  <c r="T44" i="132"/>
  <c r="R44" i="132"/>
  <c r="T34" i="132"/>
  <c r="R34" i="132"/>
  <c r="T39" i="132"/>
  <c r="R39" i="132"/>
  <c r="T42" i="132"/>
  <c r="R42" i="132"/>
  <c r="J45" i="132"/>
  <c r="H53" i="132"/>
  <c r="L57" i="132"/>
  <c r="F40" i="54"/>
  <c r="N58" i="132"/>
  <c r="T32" i="132"/>
  <c r="N37" i="128"/>
  <c r="T51" i="125"/>
  <c r="R51" i="125"/>
  <c r="N60" i="125"/>
  <c r="R60" i="125"/>
  <c r="F33" i="142"/>
  <c r="R43" i="125"/>
  <c r="N43" i="125"/>
  <c r="T43" i="125"/>
  <c r="T37" i="125"/>
  <c r="R37" i="125"/>
  <c r="T40" i="125"/>
  <c r="R40" i="125"/>
  <c r="T35" i="125"/>
  <c r="R35" i="125"/>
  <c r="N59" i="125"/>
  <c r="R59" i="125"/>
  <c r="F32" i="142"/>
  <c r="T33" i="125"/>
  <c r="R33" i="125"/>
  <c r="AM25" i="125"/>
  <c r="T38" i="125"/>
  <c r="R38" i="125"/>
  <c r="AM26" i="125"/>
  <c r="T41" i="125"/>
  <c r="R41" i="125"/>
  <c r="T36" i="125"/>
  <c r="R36" i="125"/>
  <c r="T44" i="125"/>
  <c r="R44" i="125"/>
  <c r="T34" i="125"/>
  <c r="R34" i="125"/>
  <c r="T39" i="125"/>
  <c r="R39" i="125"/>
  <c r="T42" i="125"/>
  <c r="R42" i="125"/>
  <c r="L57" i="125"/>
  <c r="L61" i="125"/>
  <c r="J45" i="125"/>
  <c r="T49" i="125"/>
  <c r="R49" i="125"/>
  <c r="N55" i="125"/>
  <c r="R55" i="125"/>
  <c r="F28" i="142"/>
  <c r="N56" i="125"/>
  <c r="R56" i="125"/>
  <c r="F29" i="142"/>
  <c r="T47" i="125"/>
  <c r="R47" i="125"/>
  <c r="N58" i="125"/>
  <c r="R58" i="125"/>
  <c r="F31" i="142"/>
  <c r="T32" i="125"/>
  <c r="H53" i="125"/>
  <c r="N31" i="125"/>
  <c r="T51" i="124"/>
  <c r="R51" i="124"/>
  <c r="N60" i="124"/>
  <c r="R60" i="124"/>
  <c r="F27" i="141"/>
  <c r="L57" i="124"/>
  <c r="N58" i="124"/>
  <c r="R58" i="124"/>
  <c r="F25" i="141"/>
  <c r="T32" i="124"/>
  <c r="N56" i="124"/>
  <c r="R56" i="124"/>
  <c r="F23" i="141"/>
  <c r="T47" i="124"/>
  <c r="R47" i="124"/>
  <c r="L61" i="124"/>
  <c r="J45" i="124"/>
  <c r="T49" i="124"/>
  <c r="R49" i="124"/>
  <c r="N55" i="124"/>
  <c r="R55" i="124"/>
  <c r="F22" i="141"/>
  <c r="N31" i="124"/>
  <c r="H53" i="124"/>
  <c r="T40" i="124"/>
  <c r="R40" i="124"/>
  <c r="T35" i="124"/>
  <c r="R35" i="124"/>
  <c r="AM25" i="124"/>
  <c r="N59" i="124"/>
  <c r="R59" i="124"/>
  <c r="F26" i="141"/>
  <c r="T33" i="124"/>
  <c r="R33" i="124"/>
  <c r="T39" i="124"/>
  <c r="R39" i="124"/>
  <c r="T38" i="124"/>
  <c r="R38" i="124"/>
  <c r="T37" i="124"/>
  <c r="R37" i="124"/>
  <c r="T41" i="124"/>
  <c r="R41" i="124"/>
  <c r="T36" i="124"/>
  <c r="R36" i="124"/>
  <c r="T44" i="124"/>
  <c r="R44" i="124"/>
  <c r="T34" i="124"/>
  <c r="R34" i="124"/>
  <c r="H53" i="123"/>
  <c r="N44" i="123"/>
  <c r="L57" i="123"/>
  <c r="N55" i="123"/>
  <c r="R55" i="123"/>
  <c r="F30" i="141"/>
  <c r="T49" i="123"/>
  <c r="R49" i="123"/>
  <c r="L61" i="123"/>
  <c r="T51" i="123"/>
  <c r="R51" i="123"/>
  <c r="N60" i="123"/>
  <c r="R60" i="123"/>
  <c r="F35" i="141"/>
  <c r="J45" i="123"/>
  <c r="N56" i="123"/>
  <c r="R56" i="123"/>
  <c r="F31" i="141"/>
  <c r="T47" i="123"/>
  <c r="R47" i="123"/>
  <c r="T32" i="123"/>
  <c r="N58" i="123"/>
  <c r="R58" i="123"/>
  <c r="F33" i="141"/>
  <c r="T37" i="123"/>
  <c r="R37" i="123"/>
  <c r="T33" i="123"/>
  <c r="R33" i="123"/>
  <c r="AM26" i="123"/>
  <c r="T36" i="123"/>
  <c r="R36" i="123"/>
  <c r="T40" i="123"/>
  <c r="R40" i="123"/>
  <c r="T35" i="123"/>
  <c r="R35" i="123"/>
  <c r="AM25" i="123"/>
  <c r="N59" i="123"/>
  <c r="R59" i="123"/>
  <c r="F34" i="141"/>
  <c r="T34" i="123"/>
  <c r="R34" i="123"/>
  <c r="T38" i="123"/>
  <c r="R38" i="123"/>
  <c r="T41" i="123"/>
  <c r="R41" i="123"/>
  <c r="T44" i="123"/>
  <c r="R44" i="123"/>
  <c r="T39" i="123"/>
  <c r="R39" i="123"/>
  <c r="T42" i="123"/>
  <c r="R42" i="123"/>
  <c r="T42" i="124"/>
  <c r="R42" i="124"/>
  <c r="F39" i="54"/>
  <c r="L56" i="132"/>
  <c r="F41" i="54"/>
  <c r="L58" i="132"/>
  <c r="L60" i="132"/>
  <c r="F43" i="54"/>
  <c r="L45" i="132"/>
  <c r="N45" i="132"/>
  <c r="J46" i="132"/>
  <c r="R32" i="132"/>
  <c r="F42" i="54"/>
  <c r="L59" i="132"/>
  <c r="R48" i="132"/>
  <c r="F38" i="54"/>
  <c r="L55" i="132"/>
  <c r="L45" i="125"/>
  <c r="N45" i="125"/>
  <c r="J46" i="125"/>
  <c r="R32" i="125"/>
  <c r="L58" i="125"/>
  <c r="R48" i="125"/>
  <c r="L59" i="125"/>
  <c r="L56" i="125"/>
  <c r="L55" i="125"/>
  <c r="L60" i="125"/>
  <c r="L55" i="124"/>
  <c r="R48" i="124"/>
  <c r="L56" i="124"/>
  <c r="R32" i="124"/>
  <c r="L58" i="124"/>
  <c r="L59" i="124"/>
  <c r="L45" i="124"/>
  <c r="J46" i="124"/>
  <c r="L60" i="124"/>
  <c r="L59" i="123"/>
  <c r="L58" i="123"/>
  <c r="R32" i="123"/>
  <c r="L60" i="123"/>
  <c r="R48" i="123"/>
  <c r="L55" i="123"/>
  <c r="L56" i="123"/>
  <c r="L45" i="123"/>
  <c r="J46" i="123"/>
  <c r="T48" i="132"/>
  <c r="R52" i="132"/>
  <c r="J53" i="132"/>
  <c r="R45" i="132"/>
  <c r="L46" i="132"/>
  <c r="L53" i="132"/>
  <c r="R52" i="125"/>
  <c r="J53" i="125"/>
  <c r="T48" i="125"/>
  <c r="R45" i="125"/>
  <c r="L46" i="125"/>
  <c r="L53" i="125"/>
  <c r="R52" i="124"/>
  <c r="L46" i="124"/>
  <c r="L53" i="124"/>
  <c r="R45" i="124"/>
  <c r="J53" i="124"/>
  <c r="T48" i="124"/>
  <c r="N45" i="124"/>
  <c r="J53" i="123"/>
  <c r="R45" i="123"/>
  <c r="L46" i="123"/>
  <c r="N46" i="123"/>
  <c r="N45" i="123"/>
  <c r="R52" i="123"/>
  <c r="T48" i="123"/>
  <c r="N46" i="124"/>
  <c r="R46" i="132"/>
  <c r="N46" i="132"/>
  <c r="N53" i="132"/>
  <c r="T52" i="132"/>
  <c r="T45" i="132"/>
  <c r="T45" i="125"/>
  <c r="R46" i="125"/>
  <c r="R53" i="125"/>
  <c r="N46" i="125"/>
  <c r="N53" i="125"/>
  <c r="T52" i="125"/>
  <c r="R46" i="124"/>
  <c r="T45" i="124"/>
  <c r="N53" i="124"/>
  <c r="T52" i="124"/>
  <c r="L53" i="123"/>
  <c r="N53" i="123"/>
  <c r="T45" i="123"/>
  <c r="T52" i="123"/>
  <c r="R46" i="123"/>
  <c r="R53" i="123"/>
  <c r="T46" i="132"/>
  <c r="T53" i="132"/>
  <c r="R53" i="132"/>
  <c r="P31" i="125"/>
  <c r="P34" i="125"/>
  <c r="P51" i="125"/>
  <c r="P35" i="125"/>
  <c r="P42" i="125"/>
  <c r="P41" i="125"/>
  <c r="P39" i="125"/>
  <c r="P33" i="125"/>
  <c r="P38" i="125"/>
  <c r="P40" i="125"/>
  <c r="P44" i="125"/>
  <c r="P37" i="125"/>
  <c r="P43" i="125"/>
  <c r="P49" i="125"/>
  <c r="P36" i="125"/>
  <c r="P47" i="125"/>
  <c r="P32" i="125"/>
  <c r="P48" i="125"/>
  <c r="P52" i="125"/>
  <c r="T46" i="125"/>
  <c r="T53" i="125"/>
  <c r="P46" i="125"/>
  <c r="P45" i="125"/>
  <c r="T46" i="124"/>
  <c r="T53" i="124"/>
  <c r="R53" i="124"/>
  <c r="P31" i="123"/>
  <c r="P43" i="123"/>
  <c r="P51" i="123"/>
  <c r="P41" i="123"/>
  <c r="P35" i="123"/>
  <c r="P38" i="123"/>
  <c r="P34" i="123"/>
  <c r="P47" i="123"/>
  <c r="P44" i="123"/>
  <c r="P33" i="123"/>
  <c r="P49" i="123"/>
  <c r="P40" i="123"/>
  <c r="P42" i="123"/>
  <c r="P37" i="123"/>
  <c r="P36" i="123"/>
  <c r="P39" i="123"/>
  <c r="P48" i="123"/>
  <c r="P32" i="123"/>
  <c r="T46" i="123"/>
  <c r="P46" i="123"/>
  <c r="T53" i="123"/>
  <c r="P45" i="123"/>
  <c r="P52" i="123"/>
  <c r="P31" i="132"/>
  <c r="P40" i="132"/>
  <c r="P34" i="132"/>
  <c r="P41" i="132"/>
  <c r="P42" i="132"/>
  <c r="P43" i="132"/>
  <c r="P49" i="132"/>
  <c r="P44" i="132"/>
  <c r="P37" i="132"/>
  <c r="P39" i="132"/>
  <c r="P33" i="132"/>
  <c r="P35" i="132"/>
  <c r="P38" i="132"/>
  <c r="P36" i="132"/>
  <c r="P47" i="132"/>
  <c r="P51" i="132"/>
  <c r="P48" i="132"/>
  <c r="P32" i="132"/>
  <c r="P52" i="132"/>
  <c r="P45" i="132"/>
  <c r="P46" i="132"/>
  <c r="P53" i="125"/>
  <c r="P31" i="124"/>
  <c r="P43" i="124"/>
  <c r="P39" i="124"/>
  <c r="P33" i="124"/>
  <c r="P42" i="124"/>
  <c r="P34" i="124"/>
  <c r="P38" i="124"/>
  <c r="P49" i="124"/>
  <c r="P51" i="124"/>
  <c r="P37" i="124"/>
  <c r="P41" i="124"/>
  <c r="P47" i="124"/>
  <c r="P40" i="124"/>
  <c r="P35" i="124"/>
  <c r="P36" i="124"/>
  <c r="P44" i="124"/>
  <c r="P32" i="124"/>
  <c r="P48" i="124"/>
  <c r="P45" i="124"/>
  <c r="P52" i="124"/>
  <c r="P46" i="124"/>
  <c r="P53" i="123"/>
  <c r="P53" i="132"/>
  <c r="P53" i="124"/>
  <c r="AV12" i="122"/>
  <c r="AS12" i="122"/>
  <c r="AS11" i="122"/>
  <c r="AP12" i="122"/>
  <c r="AM12" i="122"/>
  <c r="AM11" i="122"/>
  <c r="AJ12" i="122"/>
  <c r="AG12" i="122"/>
  <c r="AG11" i="122"/>
  <c r="BB7" i="122"/>
  <c r="AY7" i="122"/>
  <c r="AY6" i="122"/>
  <c r="AV7" i="122"/>
  <c r="AS7" i="122"/>
  <c r="AS6" i="122"/>
  <c r="AP7" i="122"/>
  <c r="AM7" i="122"/>
  <c r="AM6" i="122"/>
  <c r="AJ6" i="122"/>
  <c r="T12" i="122"/>
  <c r="T11" i="122"/>
  <c r="F7" i="122"/>
  <c r="F6" i="122"/>
  <c r="F5" i="122"/>
  <c r="R62" i="121"/>
  <c r="F178" i="84"/>
  <c r="AR52" i="121"/>
  <c r="F52" i="121"/>
  <c r="AR51" i="121"/>
  <c r="AR50" i="121"/>
  <c r="AR49" i="121"/>
  <c r="AR48" i="121"/>
  <c r="F48" i="121"/>
  <c r="AR47" i="121"/>
  <c r="AX46" i="121"/>
  <c r="AV46" i="121"/>
  <c r="AU46" i="121"/>
  <c r="AS46" i="121"/>
  <c r="AT46" i="121"/>
  <c r="AW46" i="121"/>
  <c r="AR46" i="121"/>
  <c r="F46" i="121"/>
  <c r="AX45" i="121"/>
  <c r="AV45" i="121"/>
  <c r="AU45" i="121"/>
  <c r="AT45" i="121"/>
  <c r="AW45" i="121"/>
  <c r="AS45" i="121"/>
  <c r="AR45" i="121"/>
  <c r="AX44" i="121"/>
  <c r="AV44" i="121"/>
  <c r="AU44" i="121"/>
  <c r="AT44" i="121"/>
  <c r="AW44" i="121"/>
  <c r="AS44" i="121"/>
  <c r="AR44" i="121"/>
  <c r="AX42" i="121"/>
  <c r="AU42" i="121"/>
  <c r="AN42" i="121"/>
  <c r="AV42" i="121"/>
  <c r="F42" i="121"/>
  <c r="H42" i="121"/>
  <c r="AX41" i="121"/>
  <c r="AV41" i="121"/>
  <c r="AU41" i="121"/>
  <c r="AS41" i="121"/>
  <c r="AT41" i="121"/>
  <c r="AW41" i="121"/>
  <c r="AR41" i="121"/>
  <c r="F41" i="121"/>
  <c r="AX40" i="121"/>
  <c r="AV40" i="121"/>
  <c r="AU40" i="121"/>
  <c r="AT40" i="121"/>
  <c r="AW40" i="121"/>
  <c r="AS40" i="121"/>
  <c r="AR40" i="121"/>
  <c r="F40" i="121"/>
  <c r="AX39" i="121"/>
  <c r="AV39" i="121"/>
  <c r="AU39" i="121"/>
  <c r="AS39" i="121"/>
  <c r="AT39" i="121"/>
  <c r="AW39" i="121"/>
  <c r="AR39" i="121"/>
  <c r="F39" i="121"/>
  <c r="AX38" i="121"/>
  <c r="AV38" i="121"/>
  <c r="AU38" i="121"/>
  <c r="AS38" i="121"/>
  <c r="AT38" i="121"/>
  <c r="AW38" i="121"/>
  <c r="AR38" i="121"/>
  <c r="F38" i="121"/>
  <c r="AX37" i="121"/>
  <c r="AV37" i="121"/>
  <c r="AU37" i="121"/>
  <c r="AS37" i="121"/>
  <c r="AT37" i="121"/>
  <c r="AW37" i="121"/>
  <c r="AR37" i="121"/>
  <c r="AX36" i="121"/>
  <c r="AV36" i="121"/>
  <c r="AU36" i="121"/>
  <c r="AS36" i="121"/>
  <c r="AT36" i="121"/>
  <c r="AW36" i="121"/>
  <c r="AR36" i="121"/>
  <c r="F36" i="121"/>
  <c r="AX35" i="121"/>
  <c r="AV35" i="121"/>
  <c r="AU35" i="121"/>
  <c r="AT35" i="121"/>
  <c r="AW35" i="121"/>
  <c r="AS35" i="121"/>
  <c r="AR35" i="121"/>
  <c r="AX34" i="121"/>
  <c r="AV34" i="121"/>
  <c r="AU34" i="121"/>
  <c r="AS34" i="121"/>
  <c r="AT34" i="121"/>
  <c r="AW34" i="121"/>
  <c r="AR34" i="121"/>
  <c r="F34" i="121"/>
  <c r="AX33" i="121"/>
  <c r="AW33" i="121"/>
  <c r="AV33" i="121"/>
  <c r="AU33" i="121"/>
  <c r="AT33" i="121"/>
  <c r="AS33" i="121"/>
  <c r="AR33" i="121"/>
  <c r="AX32" i="121"/>
  <c r="AV32" i="121"/>
  <c r="AU32" i="121"/>
  <c r="AS32" i="121"/>
  <c r="AT32" i="121"/>
  <c r="AW32" i="121"/>
  <c r="AR32" i="121"/>
  <c r="F32" i="121"/>
  <c r="AX31" i="121"/>
  <c r="AV31" i="121"/>
  <c r="AU31" i="121"/>
  <c r="AS31" i="121"/>
  <c r="AT31" i="121"/>
  <c r="AW31" i="121"/>
  <c r="AR31" i="121"/>
  <c r="F27" i="121"/>
  <c r="AH25" i="121"/>
  <c r="X27" i="121"/>
  <c r="X29" i="121"/>
  <c r="X30" i="121"/>
  <c r="AC25" i="121"/>
  <c r="H47" i="121"/>
  <c r="N47" i="121"/>
  <c r="T25" i="121"/>
  <c r="A22" i="121"/>
  <c r="A21" i="121"/>
  <c r="AV19" i="121"/>
  <c r="AN18" i="121"/>
  <c r="AR16" i="121"/>
  <c r="AS16" i="121"/>
  <c r="AQ13" i="121"/>
  <c r="AX9" i="121"/>
  <c r="AU25" i="121"/>
  <c r="AV25" i="121"/>
  <c r="AW25" i="121"/>
  <c r="AX8" i="121"/>
  <c r="AR22" i="121"/>
  <c r="AS22" i="121"/>
  <c r="AX7" i="121"/>
  <c r="AR25" i="121"/>
  <c r="AS25" i="121"/>
  <c r="AV7" i="121"/>
  <c r="AR7" i="121"/>
  <c r="AR8" i="121"/>
  <c r="H7" i="121"/>
  <c r="AX6" i="121"/>
  <c r="AR19" i="121"/>
  <c r="AS19" i="121"/>
  <c r="AT19" i="121"/>
  <c r="H6" i="121"/>
  <c r="AX5" i="121"/>
  <c r="AU16" i="121"/>
  <c r="AV16" i="121"/>
  <c r="H5" i="121"/>
  <c r="AX4" i="121"/>
  <c r="H25" i="120"/>
  <c r="H28" i="120"/>
  <c r="I25" i="120"/>
  <c r="I30" i="120"/>
  <c r="F7" i="120"/>
  <c r="F6" i="120"/>
  <c r="F5" i="120"/>
  <c r="I25" i="119"/>
  <c r="I29" i="119"/>
  <c r="H25" i="119"/>
  <c r="H26" i="119"/>
  <c r="F7" i="119"/>
  <c r="F6" i="119"/>
  <c r="F5" i="119"/>
  <c r="J25" i="117"/>
  <c r="J26" i="117"/>
  <c r="I25" i="117"/>
  <c r="I26" i="117"/>
  <c r="H25" i="117"/>
  <c r="H29" i="117"/>
  <c r="K25" i="117"/>
  <c r="K28" i="117"/>
  <c r="F7" i="117"/>
  <c r="F6" i="117"/>
  <c r="F5" i="117"/>
  <c r="S30" i="116"/>
  <c r="R30" i="116"/>
  <c r="N30" i="116"/>
  <c r="K30" i="116"/>
  <c r="J30" i="116"/>
  <c r="O28" i="116"/>
  <c r="N28" i="116"/>
  <c r="U27" i="116"/>
  <c r="T27" i="116"/>
  <c r="O27" i="116"/>
  <c r="N27" i="116"/>
  <c r="M27" i="116"/>
  <c r="L27" i="116"/>
  <c r="U26" i="116"/>
  <c r="S26" i="116"/>
  <c r="R26" i="116"/>
  <c r="N26" i="116"/>
  <c r="M26" i="116"/>
  <c r="K26" i="116"/>
  <c r="J26" i="116"/>
  <c r="U25" i="116"/>
  <c r="U28" i="116"/>
  <c r="T25" i="116"/>
  <c r="T29" i="116"/>
  <c r="S25" i="116"/>
  <c r="S27" i="116"/>
  <c r="R25" i="116"/>
  <c r="R28" i="116"/>
  <c r="Q25" i="116"/>
  <c r="Q30" i="116"/>
  <c r="P25" i="116"/>
  <c r="P30" i="116"/>
  <c r="O25" i="116"/>
  <c r="O29" i="116"/>
  <c r="N25" i="116"/>
  <c r="N29" i="116"/>
  <c r="M25" i="116"/>
  <c r="M28" i="116"/>
  <c r="L25" i="116"/>
  <c r="L28" i="116"/>
  <c r="K25" i="116"/>
  <c r="K27" i="116"/>
  <c r="J25" i="116"/>
  <c r="J27" i="116"/>
  <c r="I25" i="116"/>
  <c r="I30" i="116"/>
  <c r="H25" i="116"/>
  <c r="H30" i="116"/>
  <c r="F7" i="116"/>
  <c r="F6" i="116"/>
  <c r="F5" i="116"/>
  <c r="H29" i="46"/>
  <c r="I24" i="46"/>
  <c r="H29" i="115"/>
  <c r="I27" i="115"/>
  <c r="H30" i="115"/>
  <c r="I25" i="115"/>
  <c r="I24" i="115"/>
  <c r="I23" i="115"/>
  <c r="F7" i="115"/>
  <c r="F6" i="115"/>
  <c r="F5" i="115"/>
  <c r="H30" i="114"/>
  <c r="H29" i="114"/>
  <c r="I26" i="114"/>
  <c r="F192" i="84"/>
  <c r="I27" i="114"/>
  <c r="F194" i="84"/>
  <c r="F7" i="114"/>
  <c r="F6" i="114"/>
  <c r="F5" i="114"/>
  <c r="I27" i="46"/>
  <c r="I26" i="46"/>
  <c r="I25" i="46"/>
  <c r="H30" i="46"/>
  <c r="I24" i="114"/>
  <c r="F188" i="84"/>
  <c r="I23" i="114"/>
  <c r="F187" i="84"/>
  <c r="I25" i="114"/>
  <c r="F191" i="84"/>
  <c r="Q21" i="122"/>
  <c r="F14" i="142"/>
  <c r="H43" i="121"/>
  <c r="R43" i="121"/>
  <c r="H32" i="121"/>
  <c r="N32" i="121"/>
  <c r="H37" i="121"/>
  <c r="N37" i="121"/>
  <c r="H48" i="121"/>
  <c r="N48" i="121"/>
  <c r="H41" i="121"/>
  <c r="H46" i="121"/>
  <c r="H36" i="121"/>
  <c r="H40" i="121"/>
  <c r="N40" i="121"/>
  <c r="H39" i="121"/>
  <c r="H52" i="121"/>
  <c r="H33" i="121"/>
  <c r="N33" i="121"/>
  <c r="H34" i="121"/>
  <c r="N34" i="121"/>
  <c r="N61" i="121"/>
  <c r="R61" i="121"/>
  <c r="F177" i="84"/>
  <c r="N57" i="121"/>
  <c r="R57" i="121"/>
  <c r="F173" i="84"/>
  <c r="AT16" i="121"/>
  <c r="AW19" i="121"/>
  <c r="N36" i="121"/>
  <c r="N39" i="121"/>
  <c r="N52" i="121"/>
  <c r="AT25" i="121"/>
  <c r="N41" i="121"/>
  <c r="AW16" i="121"/>
  <c r="AT22" i="121"/>
  <c r="AQ16" i="121"/>
  <c r="H38" i="121"/>
  <c r="N38" i="121"/>
  <c r="F53" i="121"/>
  <c r="AT12" i="121"/>
  <c r="H31" i="121"/>
  <c r="H35" i="121"/>
  <c r="N35" i="121"/>
  <c r="AR42" i="121"/>
  <c r="N42" i="121"/>
  <c r="N43" i="121"/>
  <c r="T43" i="121"/>
  <c r="H45" i="121"/>
  <c r="AS42" i="121"/>
  <c r="AT42" i="121"/>
  <c r="AW42" i="121"/>
  <c r="H51" i="121"/>
  <c r="N51" i="121"/>
  <c r="H49" i="121"/>
  <c r="N49" i="121"/>
  <c r="L62" i="121"/>
  <c r="H44" i="121"/>
  <c r="N44" i="121"/>
  <c r="H29" i="120"/>
  <c r="L29" i="120"/>
  <c r="H26" i="120"/>
  <c r="I26" i="120"/>
  <c r="L25" i="120"/>
  <c r="I28" i="120"/>
  <c r="L28" i="120"/>
  <c r="I29" i="120"/>
  <c r="H27" i="120"/>
  <c r="I27" i="120"/>
  <c r="H30" i="120"/>
  <c r="L30" i="120"/>
  <c r="I26" i="119"/>
  <c r="L26" i="119"/>
  <c r="H28" i="119"/>
  <c r="I28" i="119"/>
  <c r="H30" i="119"/>
  <c r="H27" i="119"/>
  <c r="I30" i="119"/>
  <c r="I27" i="119"/>
  <c r="L25" i="119"/>
  <c r="H29" i="119"/>
  <c r="L29" i="119"/>
  <c r="H29" i="116"/>
  <c r="I29" i="116"/>
  <c r="L26" i="116"/>
  <c r="T26" i="116"/>
  <c r="H28" i="116"/>
  <c r="P28" i="116"/>
  <c r="J29" i="116"/>
  <c r="R29" i="116"/>
  <c r="L30" i="116"/>
  <c r="T30" i="116"/>
  <c r="I28" i="116"/>
  <c r="Q28" i="116"/>
  <c r="K29" i="116"/>
  <c r="S29" i="116"/>
  <c r="M30" i="116"/>
  <c r="V30" i="116"/>
  <c r="U30" i="116"/>
  <c r="Q29" i="116"/>
  <c r="P27" i="116"/>
  <c r="O26" i="116"/>
  <c r="I27" i="116"/>
  <c r="Q27" i="116"/>
  <c r="K28" i="116"/>
  <c r="S28" i="116"/>
  <c r="M29" i="116"/>
  <c r="U29" i="116"/>
  <c r="O30" i="116"/>
  <c r="P29" i="116"/>
  <c r="H27" i="116"/>
  <c r="J28" i="116"/>
  <c r="L29" i="116"/>
  <c r="V25" i="116"/>
  <c r="H26" i="116"/>
  <c r="P26" i="116"/>
  <c r="R27" i="116"/>
  <c r="T28" i="116"/>
  <c r="I26" i="116"/>
  <c r="Q26" i="116"/>
  <c r="L25" i="117"/>
  <c r="H28" i="117"/>
  <c r="K26" i="117"/>
  <c r="H27" i="117"/>
  <c r="K27" i="117"/>
  <c r="H30" i="117"/>
  <c r="H26" i="117"/>
  <c r="I30" i="117"/>
  <c r="I29" i="117"/>
  <c r="J30" i="117"/>
  <c r="I28" i="117"/>
  <c r="J29" i="117"/>
  <c r="K30" i="117"/>
  <c r="I27" i="117"/>
  <c r="J28" i="117"/>
  <c r="K29" i="117"/>
  <c r="J27" i="117"/>
  <c r="I23" i="46"/>
  <c r="I26" i="115"/>
  <c r="X28" i="112"/>
  <c r="R62" i="112"/>
  <c r="F21" i="141"/>
  <c r="AR52" i="112"/>
  <c r="F52" i="112"/>
  <c r="AR51" i="112"/>
  <c r="AR50" i="112"/>
  <c r="AR49" i="112"/>
  <c r="AR48" i="112"/>
  <c r="F48" i="112"/>
  <c r="AR47" i="112"/>
  <c r="AX46" i="112"/>
  <c r="AV46" i="112"/>
  <c r="AU46" i="112"/>
  <c r="AS46" i="112"/>
  <c r="AT46" i="112"/>
  <c r="AW46" i="112"/>
  <c r="AR46" i="112"/>
  <c r="F46" i="112"/>
  <c r="AX45" i="112"/>
  <c r="AV45" i="112"/>
  <c r="AU45" i="112"/>
  <c r="AS45" i="112"/>
  <c r="AT45" i="112"/>
  <c r="AW45" i="112"/>
  <c r="AR45" i="112"/>
  <c r="AX44" i="112"/>
  <c r="AW44" i="112"/>
  <c r="AV44" i="112"/>
  <c r="AU44" i="112"/>
  <c r="AT44" i="112"/>
  <c r="AS44" i="112"/>
  <c r="AR44" i="112"/>
  <c r="AX42" i="112"/>
  <c r="AU42" i="112"/>
  <c r="AN42" i="112"/>
  <c r="AV42" i="112"/>
  <c r="F42" i="112"/>
  <c r="AX41" i="112"/>
  <c r="AV41" i="112"/>
  <c r="AU41" i="112"/>
  <c r="AS41" i="112"/>
  <c r="AT41" i="112"/>
  <c r="AW41" i="112"/>
  <c r="AR41" i="112"/>
  <c r="F41" i="112"/>
  <c r="AX40" i="112"/>
  <c r="AV40" i="112"/>
  <c r="AU40" i="112"/>
  <c r="AS40" i="112"/>
  <c r="AT40" i="112"/>
  <c r="AW40" i="112"/>
  <c r="AR40" i="112"/>
  <c r="F40" i="112"/>
  <c r="AX39" i="112"/>
  <c r="AV39" i="112"/>
  <c r="AU39" i="112"/>
  <c r="AS39" i="112"/>
  <c r="AT39" i="112"/>
  <c r="AW39" i="112"/>
  <c r="AR39" i="112"/>
  <c r="F39" i="112"/>
  <c r="AX38" i="112"/>
  <c r="AV38" i="112"/>
  <c r="AU38" i="112"/>
  <c r="AT38" i="112"/>
  <c r="AW38" i="112"/>
  <c r="AS38" i="112"/>
  <c r="AR38" i="112"/>
  <c r="F38" i="112"/>
  <c r="AX37" i="112"/>
  <c r="AV37" i="112"/>
  <c r="AU37" i="112"/>
  <c r="AS37" i="112"/>
  <c r="AT37" i="112"/>
  <c r="AW37" i="112"/>
  <c r="AR37" i="112"/>
  <c r="AX36" i="112"/>
  <c r="AV36" i="112"/>
  <c r="AU36" i="112"/>
  <c r="AS36" i="112"/>
  <c r="AT36" i="112"/>
  <c r="AW36" i="112"/>
  <c r="AR36" i="112"/>
  <c r="F36" i="112"/>
  <c r="AX35" i="112"/>
  <c r="AV35" i="112"/>
  <c r="AU35" i="112"/>
  <c r="AS35" i="112"/>
  <c r="AT35" i="112"/>
  <c r="AW35" i="112"/>
  <c r="AR35" i="112"/>
  <c r="AX34" i="112"/>
  <c r="AV34" i="112"/>
  <c r="AU34" i="112"/>
  <c r="AS34" i="112"/>
  <c r="AT34" i="112"/>
  <c r="AW34" i="112"/>
  <c r="AR34" i="112"/>
  <c r="F34" i="112"/>
  <c r="AX33" i="112"/>
  <c r="AV33" i="112"/>
  <c r="AU33" i="112"/>
  <c r="AT33" i="112"/>
  <c r="AW33" i="112"/>
  <c r="AS33" i="112"/>
  <c r="AR33" i="112"/>
  <c r="AX32" i="112"/>
  <c r="AV32" i="112"/>
  <c r="AU32" i="112"/>
  <c r="AS32" i="112"/>
  <c r="AT32" i="112"/>
  <c r="AW32" i="112"/>
  <c r="AR32" i="112"/>
  <c r="F32" i="112"/>
  <c r="AX31" i="112"/>
  <c r="AV31" i="112"/>
  <c r="AU31" i="112"/>
  <c r="AT31" i="112"/>
  <c r="AW31" i="112"/>
  <c r="AS31" i="112"/>
  <c r="AR31" i="112"/>
  <c r="F27" i="112"/>
  <c r="AH25" i="112"/>
  <c r="X27" i="112"/>
  <c r="AC25" i="112"/>
  <c r="H47" i="112"/>
  <c r="N47" i="112"/>
  <c r="T25" i="112"/>
  <c r="A22" i="112"/>
  <c r="A21" i="112"/>
  <c r="AV19" i="112"/>
  <c r="AN18" i="112"/>
  <c r="AU16" i="112"/>
  <c r="AV16" i="112"/>
  <c r="AR16" i="112"/>
  <c r="AS16" i="112"/>
  <c r="AQ13" i="112"/>
  <c r="AX9" i="112"/>
  <c r="AU25" i="112"/>
  <c r="AV25" i="112"/>
  <c r="AW25" i="112"/>
  <c r="AX8" i="112"/>
  <c r="AR22" i="112"/>
  <c r="AS22" i="112"/>
  <c r="AV7" i="112"/>
  <c r="AX7" i="112"/>
  <c r="AR25" i="112"/>
  <c r="AS25" i="112"/>
  <c r="AR7" i="112"/>
  <c r="AQ16" i="112"/>
  <c r="H7" i="112"/>
  <c r="AX6" i="112"/>
  <c r="AR19" i="112"/>
  <c r="AS19" i="112"/>
  <c r="H6" i="112"/>
  <c r="AX5" i="112"/>
  <c r="H5" i="112"/>
  <c r="AX4" i="112"/>
  <c r="Q22" i="122"/>
  <c r="F15" i="142"/>
  <c r="M13" i="142"/>
  <c r="Q24" i="122"/>
  <c r="F19" i="142"/>
  <c r="Q23" i="122"/>
  <c r="F18" i="142"/>
  <c r="H40" i="112"/>
  <c r="N40" i="112"/>
  <c r="H43" i="112"/>
  <c r="R43" i="112"/>
  <c r="H42" i="112"/>
  <c r="H48" i="112"/>
  <c r="N48" i="112"/>
  <c r="H34" i="112"/>
  <c r="N55" i="121"/>
  <c r="R55" i="121"/>
  <c r="F171" i="84"/>
  <c r="T49" i="121"/>
  <c r="R49" i="121"/>
  <c r="J45" i="121"/>
  <c r="T37" i="121"/>
  <c r="R37" i="121"/>
  <c r="T40" i="121"/>
  <c r="R40" i="121"/>
  <c r="T35" i="121"/>
  <c r="R35" i="121"/>
  <c r="AM25" i="121"/>
  <c r="N59" i="121"/>
  <c r="R59" i="121"/>
  <c r="F175" i="84"/>
  <c r="T33" i="121"/>
  <c r="R33" i="121"/>
  <c r="AM26" i="121"/>
  <c r="T38" i="121"/>
  <c r="R38" i="121"/>
  <c r="T41" i="121"/>
  <c r="R41" i="121"/>
  <c r="T36" i="121"/>
  <c r="R36" i="121"/>
  <c r="T44" i="121"/>
  <c r="R44" i="121"/>
  <c r="T34" i="121"/>
  <c r="R34" i="121"/>
  <c r="T42" i="121"/>
  <c r="R42" i="121"/>
  <c r="T39" i="121"/>
  <c r="R39" i="121"/>
  <c r="L61" i="121"/>
  <c r="N31" i="121"/>
  <c r="H53" i="121"/>
  <c r="T32" i="121"/>
  <c r="N58" i="121"/>
  <c r="R58" i="121"/>
  <c r="F174" i="84"/>
  <c r="N56" i="121"/>
  <c r="R56" i="121"/>
  <c r="F172" i="84"/>
  <c r="T47" i="121"/>
  <c r="R47" i="121"/>
  <c r="T51" i="121"/>
  <c r="R51" i="121"/>
  <c r="N60" i="121"/>
  <c r="R60" i="121"/>
  <c r="F176" i="84"/>
  <c r="L57" i="121"/>
  <c r="L26" i="120"/>
  <c r="L27" i="120"/>
  <c r="L27" i="119"/>
  <c r="L30" i="119"/>
  <c r="L28" i="119"/>
  <c r="L26" i="117"/>
  <c r="V28" i="116"/>
  <c r="V27" i="116"/>
  <c r="V29" i="116"/>
  <c r="V26" i="116"/>
  <c r="L29" i="117"/>
  <c r="L30" i="117"/>
  <c r="L27" i="117"/>
  <c r="L28" i="117"/>
  <c r="X29" i="112"/>
  <c r="X30" i="112"/>
  <c r="H33" i="112"/>
  <c r="N33" i="112"/>
  <c r="H46" i="112"/>
  <c r="H32" i="112"/>
  <c r="N32" i="112"/>
  <c r="H52" i="112"/>
  <c r="N52" i="112"/>
  <c r="H38" i="112"/>
  <c r="N38" i="112"/>
  <c r="AT19" i="112"/>
  <c r="N57" i="112"/>
  <c r="R57" i="112"/>
  <c r="F16" i="141"/>
  <c r="AT16" i="112"/>
  <c r="N61" i="112"/>
  <c r="R61" i="112"/>
  <c r="F20" i="141"/>
  <c r="N34" i="112"/>
  <c r="AW16" i="112"/>
  <c r="AW19" i="112"/>
  <c r="AT25" i="112"/>
  <c r="AT22" i="112"/>
  <c r="H31" i="112"/>
  <c r="H35" i="112"/>
  <c r="N35" i="112"/>
  <c r="AR42" i="112"/>
  <c r="N43" i="112"/>
  <c r="T43" i="112"/>
  <c r="H45" i="112"/>
  <c r="AT12" i="112"/>
  <c r="H37" i="112"/>
  <c r="N37" i="112"/>
  <c r="AS42" i="112"/>
  <c r="AT42" i="112"/>
  <c r="AW42" i="112"/>
  <c r="H51" i="112"/>
  <c r="N51" i="112"/>
  <c r="H49" i="112"/>
  <c r="N49" i="112"/>
  <c r="F53" i="112"/>
  <c r="H39" i="112"/>
  <c r="N39" i="112"/>
  <c r="L62" i="112"/>
  <c r="AR8" i="112"/>
  <c r="H44" i="112"/>
  <c r="N44" i="112"/>
  <c r="H36" i="112"/>
  <c r="N36" i="112"/>
  <c r="H41" i="112"/>
  <c r="N41" i="112"/>
  <c r="P34" i="108"/>
  <c r="F79" i="142"/>
  <c r="I25" i="108"/>
  <c r="F7" i="108"/>
  <c r="F6" i="108"/>
  <c r="F5" i="108"/>
  <c r="R62" i="106"/>
  <c r="F129" i="84"/>
  <c r="AR52" i="106"/>
  <c r="AR51" i="106"/>
  <c r="AR50" i="106"/>
  <c r="AR49" i="106"/>
  <c r="AR48" i="106"/>
  <c r="AR47" i="106"/>
  <c r="AX46" i="106"/>
  <c r="AV46" i="106"/>
  <c r="AU46" i="106"/>
  <c r="AS46" i="106"/>
  <c r="AT46" i="106"/>
  <c r="AW46" i="106"/>
  <c r="AR46" i="106"/>
  <c r="AX45" i="106"/>
  <c r="AV45" i="106"/>
  <c r="AU45" i="106"/>
  <c r="AS45" i="106"/>
  <c r="AT45" i="106"/>
  <c r="AW45" i="106"/>
  <c r="AR45" i="106"/>
  <c r="AX44" i="106"/>
  <c r="AW44" i="106"/>
  <c r="AV44" i="106"/>
  <c r="AU44" i="106"/>
  <c r="AT44" i="106"/>
  <c r="AS44" i="106"/>
  <c r="AR44" i="106"/>
  <c r="AX42" i="106"/>
  <c r="AU42" i="106"/>
  <c r="AN42" i="106"/>
  <c r="AV42" i="106"/>
  <c r="AX41" i="106"/>
  <c r="AV41" i="106"/>
  <c r="AU41" i="106"/>
  <c r="AS41" i="106"/>
  <c r="AT41" i="106"/>
  <c r="AW41" i="106"/>
  <c r="AR41" i="106"/>
  <c r="AX40" i="106"/>
  <c r="AV40" i="106"/>
  <c r="AU40" i="106"/>
  <c r="AS40" i="106"/>
  <c r="AT40" i="106"/>
  <c r="AW40" i="106"/>
  <c r="AR40" i="106"/>
  <c r="AX39" i="106"/>
  <c r="AV39" i="106"/>
  <c r="AU39" i="106"/>
  <c r="AT39" i="106"/>
  <c r="AW39" i="106"/>
  <c r="AS39" i="106"/>
  <c r="AR39" i="106"/>
  <c r="AX38" i="106"/>
  <c r="AV38" i="106"/>
  <c r="AU38" i="106"/>
  <c r="AT38" i="106"/>
  <c r="AW38" i="106"/>
  <c r="AS38" i="106"/>
  <c r="AR38" i="106"/>
  <c r="AX37" i="106"/>
  <c r="AV37" i="106"/>
  <c r="AU37" i="106"/>
  <c r="AS37" i="106"/>
  <c r="AT37" i="106"/>
  <c r="AW37" i="106"/>
  <c r="AR37" i="106"/>
  <c r="AX36" i="106"/>
  <c r="AV36" i="106"/>
  <c r="AU36" i="106"/>
  <c r="AS36" i="106"/>
  <c r="AT36" i="106"/>
  <c r="AW36" i="106"/>
  <c r="AR36" i="106"/>
  <c r="AX35" i="106"/>
  <c r="AV35" i="106"/>
  <c r="AU35" i="106"/>
  <c r="AS35" i="106"/>
  <c r="AT35" i="106"/>
  <c r="AW35" i="106"/>
  <c r="AR35" i="106"/>
  <c r="AX34" i="106"/>
  <c r="AV34" i="106"/>
  <c r="AU34" i="106"/>
  <c r="AS34" i="106"/>
  <c r="AT34" i="106"/>
  <c r="AW34" i="106"/>
  <c r="AR34" i="106"/>
  <c r="AX33" i="106"/>
  <c r="AV33" i="106"/>
  <c r="AU33" i="106"/>
  <c r="AT33" i="106"/>
  <c r="AW33" i="106"/>
  <c r="AS33" i="106"/>
  <c r="AR33" i="106"/>
  <c r="AX32" i="106"/>
  <c r="AV32" i="106"/>
  <c r="AU32" i="106"/>
  <c r="AT32" i="106"/>
  <c r="AW32" i="106"/>
  <c r="AS32" i="106"/>
  <c r="AR32" i="106"/>
  <c r="AX31" i="106"/>
  <c r="AV31" i="106"/>
  <c r="AU31" i="106"/>
  <c r="AS31" i="106"/>
  <c r="AT31" i="106"/>
  <c r="AW31" i="106"/>
  <c r="AR31" i="106"/>
  <c r="AH25" i="106"/>
  <c r="X27" i="106"/>
  <c r="X29" i="106"/>
  <c r="X30" i="106"/>
  <c r="AC25" i="106"/>
  <c r="H47" i="106"/>
  <c r="N47" i="106"/>
  <c r="A22" i="106"/>
  <c r="A21" i="106"/>
  <c r="AV19" i="106"/>
  <c r="AW19" i="106"/>
  <c r="H21" i="106"/>
  <c r="H22" i="106"/>
  <c r="K22" i="106"/>
  <c r="AT19" i="106"/>
  <c r="AF16" i="106"/>
  <c r="AF17" i="106"/>
  <c r="AI17" i="106"/>
  <c r="AS19" i="106"/>
  <c r="AR19" i="106"/>
  <c r="AN18" i="106"/>
  <c r="AU16" i="106"/>
  <c r="AV16" i="106"/>
  <c r="AW16" i="106"/>
  <c r="Z16" i="106"/>
  <c r="Z17" i="106"/>
  <c r="AC17" i="106"/>
  <c r="AQ16" i="106"/>
  <c r="AQ13" i="106"/>
  <c r="AX9" i="106"/>
  <c r="AU25" i="106"/>
  <c r="AV25" i="106"/>
  <c r="AW25" i="106"/>
  <c r="Z21" i="106"/>
  <c r="Z22" i="106"/>
  <c r="AC22" i="106"/>
  <c r="AX8" i="106"/>
  <c r="AR22" i="106"/>
  <c r="AS22" i="106"/>
  <c r="AT22" i="106"/>
  <c r="T21" i="106"/>
  <c r="T22" i="106"/>
  <c r="W22" i="106"/>
  <c r="AX7" i="106"/>
  <c r="AR25" i="106"/>
  <c r="AS25" i="106"/>
  <c r="AT25" i="106"/>
  <c r="N21" i="106"/>
  <c r="N22" i="106"/>
  <c r="AV7" i="106"/>
  <c r="AR7" i="106"/>
  <c r="AR8" i="106"/>
  <c r="AC7" i="106"/>
  <c r="H7" i="106"/>
  <c r="AX6" i="106"/>
  <c r="H6" i="106"/>
  <c r="AX5" i="106"/>
  <c r="H5" i="106"/>
  <c r="AX4" i="106"/>
  <c r="AR16" i="106"/>
  <c r="R62" i="105"/>
  <c r="F121" i="84"/>
  <c r="AR52" i="105"/>
  <c r="AR51" i="105"/>
  <c r="AR50" i="105"/>
  <c r="AR49" i="105"/>
  <c r="AR48" i="105"/>
  <c r="AR47" i="105"/>
  <c r="AX46" i="105"/>
  <c r="AV46" i="105"/>
  <c r="AU46" i="105"/>
  <c r="AS46" i="105"/>
  <c r="AT46" i="105"/>
  <c r="AW46" i="105"/>
  <c r="AR46" i="105"/>
  <c r="AX45" i="105"/>
  <c r="AV45" i="105"/>
  <c r="AU45" i="105"/>
  <c r="AS45" i="105"/>
  <c r="AT45" i="105"/>
  <c r="AW45" i="105"/>
  <c r="AR45" i="105"/>
  <c r="AX44" i="105"/>
  <c r="AW44" i="105"/>
  <c r="AV44" i="105"/>
  <c r="AU44" i="105"/>
  <c r="AT44" i="105"/>
  <c r="AS44" i="105"/>
  <c r="AR44" i="105"/>
  <c r="AX42" i="105"/>
  <c r="AU42" i="105"/>
  <c r="AN42" i="105"/>
  <c r="AV42" i="105"/>
  <c r="AX41" i="105"/>
  <c r="AV41" i="105"/>
  <c r="AU41" i="105"/>
  <c r="AS41" i="105"/>
  <c r="AT41" i="105"/>
  <c r="AW41" i="105"/>
  <c r="AR41" i="105"/>
  <c r="AX40" i="105"/>
  <c r="AV40" i="105"/>
  <c r="AU40" i="105"/>
  <c r="AS40" i="105"/>
  <c r="AT40" i="105"/>
  <c r="AW40" i="105"/>
  <c r="AR40" i="105"/>
  <c r="AX39" i="105"/>
  <c r="AV39" i="105"/>
  <c r="AU39" i="105"/>
  <c r="AS39" i="105"/>
  <c r="AT39" i="105"/>
  <c r="AW39" i="105"/>
  <c r="AR39" i="105"/>
  <c r="AX38" i="105"/>
  <c r="AV38" i="105"/>
  <c r="AU38" i="105"/>
  <c r="AT38" i="105"/>
  <c r="AW38" i="105"/>
  <c r="AS38" i="105"/>
  <c r="AR38" i="105"/>
  <c r="AX37" i="105"/>
  <c r="AV37" i="105"/>
  <c r="AU37" i="105"/>
  <c r="AS37" i="105"/>
  <c r="AT37" i="105"/>
  <c r="AW37" i="105"/>
  <c r="AR37" i="105"/>
  <c r="AX36" i="105"/>
  <c r="AV36" i="105"/>
  <c r="AU36" i="105"/>
  <c r="AS36" i="105"/>
  <c r="AT36" i="105"/>
  <c r="AW36" i="105"/>
  <c r="AR36" i="105"/>
  <c r="AX35" i="105"/>
  <c r="AV35" i="105"/>
  <c r="AU35" i="105"/>
  <c r="AS35" i="105"/>
  <c r="AT35" i="105"/>
  <c r="AW35" i="105"/>
  <c r="AR35" i="105"/>
  <c r="AX34" i="105"/>
  <c r="AV34" i="105"/>
  <c r="AU34" i="105"/>
  <c r="AS34" i="105"/>
  <c r="AT34" i="105"/>
  <c r="AW34" i="105"/>
  <c r="AR34" i="105"/>
  <c r="AX33" i="105"/>
  <c r="AV33" i="105"/>
  <c r="AU33" i="105"/>
  <c r="AT33" i="105"/>
  <c r="AW33" i="105"/>
  <c r="AS33" i="105"/>
  <c r="AR33" i="105"/>
  <c r="H33" i="105"/>
  <c r="AX32" i="105"/>
  <c r="AW32" i="105"/>
  <c r="AV32" i="105"/>
  <c r="AU32" i="105"/>
  <c r="AT32" i="105"/>
  <c r="AS32" i="105"/>
  <c r="AR32" i="105"/>
  <c r="AX31" i="105"/>
  <c r="AV31" i="105"/>
  <c r="AU31" i="105"/>
  <c r="AT31" i="105"/>
  <c r="AW31" i="105"/>
  <c r="AS31" i="105"/>
  <c r="AR31" i="105"/>
  <c r="AS25" i="105"/>
  <c r="AT25" i="105"/>
  <c r="N21" i="105"/>
  <c r="N22" i="105"/>
  <c r="AR25" i="105"/>
  <c r="AH25" i="105"/>
  <c r="X27" i="105"/>
  <c r="X29" i="105"/>
  <c r="X30" i="105"/>
  <c r="AC25" i="105"/>
  <c r="H44" i="105"/>
  <c r="N44" i="105"/>
  <c r="T25" i="105"/>
  <c r="A22" i="105"/>
  <c r="A21" i="105"/>
  <c r="AV19" i="105"/>
  <c r="AW19" i="105"/>
  <c r="H21" i="105"/>
  <c r="H22" i="105"/>
  <c r="K22" i="105"/>
  <c r="AN18" i="105"/>
  <c r="AR16" i="105"/>
  <c r="AS16" i="105"/>
  <c r="AT16" i="105"/>
  <c r="T16" i="105"/>
  <c r="T17" i="105"/>
  <c r="W17" i="105"/>
  <c r="AQ16" i="105"/>
  <c r="AQ13" i="105"/>
  <c r="AX9" i="105"/>
  <c r="AU25" i="105"/>
  <c r="AV25" i="105"/>
  <c r="AW25" i="105"/>
  <c r="Z21" i="105"/>
  <c r="Z22" i="105"/>
  <c r="AC22" i="105"/>
  <c r="AX8" i="105"/>
  <c r="AR22" i="105"/>
  <c r="AS22" i="105"/>
  <c r="AT22" i="105"/>
  <c r="T21" i="105"/>
  <c r="T22" i="105"/>
  <c r="W22" i="105"/>
  <c r="AR8" i="105"/>
  <c r="AX7" i="105"/>
  <c r="AV7" i="105"/>
  <c r="AR7" i="105"/>
  <c r="AC7" i="105"/>
  <c r="H7" i="105"/>
  <c r="AX6" i="105"/>
  <c r="AR19" i="105"/>
  <c r="AS19" i="105"/>
  <c r="AT19" i="105"/>
  <c r="AF16" i="105"/>
  <c r="AF17" i="105"/>
  <c r="AI17" i="105"/>
  <c r="H6" i="105"/>
  <c r="AX5" i="105"/>
  <c r="AU16" i="105"/>
  <c r="AV16" i="105"/>
  <c r="AW16" i="105"/>
  <c r="Z16" i="105"/>
  <c r="Z17" i="105"/>
  <c r="AC17" i="105"/>
  <c r="H5" i="105"/>
  <c r="AX4" i="105"/>
  <c r="X34" i="103"/>
  <c r="L60" i="104"/>
  <c r="L59" i="104"/>
  <c r="AR51" i="104"/>
  <c r="AR50" i="104"/>
  <c r="AR49" i="104"/>
  <c r="AR48" i="104"/>
  <c r="AR47" i="104"/>
  <c r="AX46" i="104"/>
  <c r="AV46" i="104"/>
  <c r="AU46" i="104"/>
  <c r="AS46" i="104"/>
  <c r="AT46" i="104"/>
  <c r="AW46" i="104"/>
  <c r="AR46" i="104"/>
  <c r="AX45" i="104"/>
  <c r="AV45" i="104"/>
  <c r="AU45" i="104"/>
  <c r="AS45" i="104"/>
  <c r="AT45" i="104"/>
  <c r="AW45" i="104"/>
  <c r="AR45" i="104"/>
  <c r="AX44" i="104"/>
  <c r="AW44" i="104"/>
  <c r="AV44" i="104"/>
  <c r="AU44" i="104"/>
  <c r="AT44" i="104"/>
  <c r="AS44" i="104"/>
  <c r="AR44" i="104"/>
  <c r="AX42" i="104"/>
  <c r="AV42" i="104"/>
  <c r="AU42" i="104"/>
  <c r="AS42" i="104"/>
  <c r="AT42" i="104"/>
  <c r="AW42" i="104"/>
  <c r="AR42" i="104"/>
  <c r="AX41" i="104"/>
  <c r="AV41" i="104"/>
  <c r="AU41" i="104"/>
  <c r="AT41" i="104"/>
  <c r="AW41" i="104"/>
  <c r="AS41" i="104"/>
  <c r="AR41" i="104"/>
  <c r="AX40" i="104"/>
  <c r="AW40" i="104"/>
  <c r="AV40" i="104"/>
  <c r="AU40" i="104"/>
  <c r="AT40" i="104"/>
  <c r="AS40" i="104"/>
  <c r="AR40" i="104"/>
  <c r="AX39" i="104"/>
  <c r="AV39" i="104"/>
  <c r="AU39" i="104"/>
  <c r="AT39" i="104"/>
  <c r="AW39" i="104"/>
  <c r="AS39" i="104"/>
  <c r="AR39" i="104"/>
  <c r="AX38" i="104"/>
  <c r="AV38" i="104"/>
  <c r="AU38" i="104"/>
  <c r="AS38" i="104"/>
  <c r="AT38" i="104"/>
  <c r="AW38" i="104"/>
  <c r="AR38" i="104"/>
  <c r="AX37" i="104"/>
  <c r="AV37" i="104"/>
  <c r="AU37" i="104"/>
  <c r="AS37" i="104"/>
  <c r="AT37" i="104"/>
  <c r="AW37" i="104"/>
  <c r="AR37" i="104"/>
  <c r="AX36" i="104"/>
  <c r="AV36" i="104"/>
  <c r="AU36" i="104"/>
  <c r="AS36" i="104"/>
  <c r="AT36" i="104"/>
  <c r="AW36" i="104"/>
  <c r="AR36" i="104"/>
  <c r="AX35" i="104"/>
  <c r="AV35" i="104"/>
  <c r="AU35" i="104"/>
  <c r="AS35" i="104"/>
  <c r="AT35" i="104"/>
  <c r="AW35" i="104"/>
  <c r="AR35" i="104"/>
  <c r="AX34" i="104"/>
  <c r="AV34" i="104"/>
  <c r="AU34" i="104"/>
  <c r="AS34" i="104"/>
  <c r="AT34" i="104"/>
  <c r="AW34" i="104"/>
  <c r="AR34" i="104"/>
  <c r="AX33" i="104"/>
  <c r="AV33" i="104"/>
  <c r="AU33" i="104"/>
  <c r="AS33" i="104"/>
  <c r="AT33" i="104"/>
  <c r="AW33" i="104"/>
  <c r="AR33" i="104"/>
  <c r="AX32" i="104"/>
  <c r="AV32" i="104"/>
  <c r="AU32" i="104"/>
  <c r="AS32" i="104"/>
  <c r="AT32" i="104"/>
  <c r="AW32" i="104"/>
  <c r="AR32" i="104"/>
  <c r="AX31" i="104"/>
  <c r="AV31" i="104"/>
  <c r="AU31" i="104"/>
  <c r="AS31" i="104"/>
  <c r="AT31" i="104"/>
  <c r="AW31" i="104"/>
  <c r="AR31" i="104"/>
  <c r="N31" i="104"/>
  <c r="AN18" i="104"/>
  <c r="AH25" i="104"/>
  <c r="X33" i="104"/>
  <c r="X35" i="104"/>
  <c r="X36" i="104"/>
  <c r="AM23" i="104"/>
  <c r="AC25" i="104"/>
  <c r="AR11" i="104"/>
  <c r="AR7" i="104"/>
  <c r="AR8" i="104"/>
  <c r="AC7" i="104"/>
  <c r="H7" i="104"/>
  <c r="H6" i="104"/>
  <c r="H5" i="104"/>
  <c r="L60" i="103"/>
  <c r="L59" i="103"/>
  <c r="AR51" i="103"/>
  <c r="AR50" i="103"/>
  <c r="AR49" i="103"/>
  <c r="AR48" i="103"/>
  <c r="AR47" i="103"/>
  <c r="AX46" i="103"/>
  <c r="AV46" i="103"/>
  <c r="AU46" i="103"/>
  <c r="AS46" i="103"/>
  <c r="AT46" i="103"/>
  <c r="AW46" i="103"/>
  <c r="AR46" i="103"/>
  <c r="AX45" i="103"/>
  <c r="AV45" i="103"/>
  <c r="AU45" i="103"/>
  <c r="AS45" i="103"/>
  <c r="AT45" i="103"/>
  <c r="AW45" i="103"/>
  <c r="AR45" i="103"/>
  <c r="AX44" i="103"/>
  <c r="AW44" i="103"/>
  <c r="AV44" i="103"/>
  <c r="AU44" i="103"/>
  <c r="AT44" i="103"/>
  <c r="AS44" i="103"/>
  <c r="AR44" i="103"/>
  <c r="AX42" i="103"/>
  <c r="AV42" i="103"/>
  <c r="AU42" i="103"/>
  <c r="AS42" i="103"/>
  <c r="AT42" i="103"/>
  <c r="AW42" i="103"/>
  <c r="AR42" i="103"/>
  <c r="AX41" i="103"/>
  <c r="AV41" i="103"/>
  <c r="AU41" i="103"/>
  <c r="AT41" i="103"/>
  <c r="AW41" i="103"/>
  <c r="AS41" i="103"/>
  <c r="AR41" i="103"/>
  <c r="AX40" i="103"/>
  <c r="AW40" i="103"/>
  <c r="AV40" i="103"/>
  <c r="AU40" i="103"/>
  <c r="AT40" i="103"/>
  <c r="AS40" i="103"/>
  <c r="AR40" i="103"/>
  <c r="AX39" i="103"/>
  <c r="AV39" i="103"/>
  <c r="AU39" i="103"/>
  <c r="AT39" i="103"/>
  <c r="AW39" i="103"/>
  <c r="AS39" i="103"/>
  <c r="AR39" i="103"/>
  <c r="AX38" i="103"/>
  <c r="AV38" i="103"/>
  <c r="AU38" i="103"/>
  <c r="AS38" i="103"/>
  <c r="AT38" i="103"/>
  <c r="AW38" i="103"/>
  <c r="AR38" i="103"/>
  <c r="AX37" i="103"/>
  <c r="AV37" i="103"/>
  <c r="AU37" i="103"/>
  <c r="AS37" i="103"/>
  <c r="AT37" i="103"/>
  <c r="AW37" i="103"/>
  <c r="AR37" i="103"/>
  <c r="AX36" i="103"/>
  <c r="AV36" i="103"/>
  <c r="AU36" i="103"/>
  <c r="AS36" i="103"/>
  <c r="AT36" i="103"/>
  <c r="AW36" i="103"/>
  <c r="AR36" i="103"/>
  <c r="AX35" i="103"/>
  <c r="AV35" i="103"/>
  <c r="AU35" i="103"/>
  <c r="AS35" i="103"/>
  <c r="AT35" i="103"/>
  <c r="AW35" i="103"/>
  <c r="AR35" i="103"/>
  <c r="AX34" i="103"/>
  <c r="AV34" i="103"/>
  <c r="AU34" i="103"/>
  <c r="AS34" i="103"/>
  <c r="AT34" i="103"/>
  <c r="AW34" i="103"/>
  <c r="AR34" i="103"/>
  <c r="AX33" i="103"/>
  <c r="AV33" i="103"/>
  <c r="AU33" i="103"/>
  <c r="AS33" i="103"/>
  <c r="AT33" i="103"/>
  <c r="AW33" i="103"/>
  <c r="AR33" i="103"/>
  <c r="AX32" i="103"/>
  <c r="AV32" i="103"/>
  <c r="AU32" i="103"/>
  <c r="AS32" i="103"/>
  <c r="AT32" i="103"/>
  <c r="AW32" i="103"/>
  <c r="AR32" i="103"/>
  <c r="AX31" i="103"/>
  <c r="AV31" i="103"/>
  <c r="AU31" i="103"/>
  <c r="AS31" i="103"/>
  <c r="AT31" i="103"/>
  <c r="AW31" i="103"/>
  <c r="AR31" i="103"/>
  <c r="N31" i="103"/>
  <c r="AM23" i="103"/>
  <c r="AP23" i="103"/>
  <c r="AN18" i="103"/>
  <c r="AR22" i="103"/>
  <c r="AQ22" i="103"/>
  <c r="AH25" i="103"/>
  <c r="X33" i="103"/>
  <c r="X35" i="103"/>
  <c r="X36" i="103"/>
  <c r="AC25" i="103"/>
  <c r="AR11" i="103"/>
  <c r="AR7" i="103"/>
  <c r="AR8" i="103"/>
  <c r="AC7" i="103"/>
  <c r="H7" i="103"/>
  <c r="H6" i="103"/>
  <c r="H5" i="103"/>
  <c r="L60" i="102"/>
  <c r="L59" i="102"/>
  <c r="AR51" i="102"/>
  <c r="AR50" i="102"/>
  <c r="AR49" i="102"/>
  <c r="AR48" i="102"/>
  <c r="AR47" i="102"/>
  <c r="AX46" i="102"/>
  <c r="AV46" i="102"/>
  <c r="AU46" i="102"/>
  <c r="AS46" i="102"/>
  <c r="AT46" i="102"/>
  <c r="AW46" i="102"/>
  <c r="AR46" i="102"/>
  <c r="AX45" i="102"/>
  <c r="AV45" i="102"/>
  <c r="AU45" i="102"/>
  <c r="AS45" i="102"/>
  <c r="AT45" i="102"/>
  <c r="AW45" i="102"/>
  <c r="AR45" i="102"/>
  <c r="AX44" i="102"/>
  <c r="AW44" i="102"/>
  <c r="AV44" i="102"/>
  <c r="AU44" i="102"/>
  <c r="AT44" i="102"/>
  <c r="AS44" i="102"/>
  <c r="AR44" i="102"/>
  <c r="AX42" i="102"/>
  <c r="AV42" i="102"/>
  <c r="AU42" i="102"/>
  <c r="AS42" i="102"/>
  <c r="AT42" i="102"/>
  <c r="AW42" i="102"/>
  <c r="AR42" i="102"/>
  <c r="AX41" i="102"/>
  <c r="AV41" i="102"/>
  <c r="AU41" i="102"/>
  <c r="AS41" i="102"/>
  <c r="AT41" i="102"/>
  <c r="AW41" i="102"/>
  <c r="AR41" i="102"/>
  <c r="AX40" i="102"/>
  <c r="AW40" i="102"/>
  <c r="AV40" i="102"/>
  <c r="AU40" i="102"/>
  <c r="AT40" i="102"/>
  <c r="AS40" i="102"/>
  <c r="AR40" i="102"/>
  <c r="AX39" i="102"/>
  <c r="AV39" i="102"/>
  <c r="AU39" i="102"/>
  <c r="AT39" i="102"/>
  <c r="AW39" i="102"/>
  <c r="AS39" i="102"/>
  <c r="AR39" i="102"/>
  <c r="AX38" i="102"/>
  <c r="AV38" i="102"/>
  <c r="AU38" i="102"/>
  <c r="AS38" i="102"/>
  <c r="AT38" i="102"/>
  <c r="AW38" i="102"/>
  <c r="AR38" i="102"/>
  <c r="AX37" i="102"/>
  <c r="AW37" i="102"/>
  <c r="AV37" i="102"/>
  <c r="AU37" i="102"/>
  <c r="AT37" i="102"/>
  <c r="AS37" i="102"/>
  <c r="AR37" i="102"/>
  <c r="AX36" i="102"/>
  <c r="AV36" i="102"/>
  <c r="AU36" i="102"/>
  <c r="AS36" i="102"/>
  <c r="AT36" i="102"/>
  <c r="AW36" i="102"/>
  <c r="AR36" i="102"/>
  <c r="AX35" i="102"/>
  <c r="AW35" i="102"/>
  <c r="AV35" i="102"/>
  <c r="AU35" i="102"/>
  <c r="AT35" i="102"/>
  <c r="AS35" i="102"/>
  <c r="AR35" i="102"/>
  <c r="AX34" i="102"/>
  <c r="AV34" i="102"/>
  <c r="AU34" i="102"/>
  <c r="AS34" i="102"/>
  <c r="AT34" i="102"/>
  <c r="AW34" i="102"/>
  <c r="AR34" i="102"/>
  <c r="AX33" i="102"/>
  <c r="AW33" i="102"/>
  <c r="AV33" i="102"/>
  <c r="AU33" i="102"/>
  <c r="AT33" i="102"/>
  <c r="AS33" i="102"/>
  <c r="AR33" i="102"/>
  <c r="AX32" i="102"/>
  <c r="AV32" i="102"/>
  <c r="AU32" i="102"/>
  <c r="AS32" i="102"/>
  <c r="AT32" i="102"/>
  <c r="AW32" i="102"/>
  <c r="AR32" i="102"/>
  <c r="AX31" i="102"/>
  <c r="AW31" i="102"/>
  <c r="AV31" i="102"/>
  <c r="AU31" i="102"/>
  <c r="AT31" i="102"/>
  <c r="AS31" i="102"/>
  <c r="AR31" i="102"/>
  <c r="N31" i="102"/>
  <c r="AN18" i="102"/>
  <c r="AR8" i="102"/>
  <c r="AH25" i="102"/>
  <c r="X33" i="102"/>
  <c r="X35" i="102"/>
  <c r="X36" i="102"/>
  <c r="AM23" i="102"/>
  <c r="AC25" i="102"/>
  <c r="AR11" i="102"/>
  <c r="AR7" i="102"/>
  <c r="AC7" i="102"/>
  <c r="H7" i="102"/>
  <c r="H6" i="102"/>
  <c r="H5" i="102"/>
  <c r="L60" i="101"/>
  <c r="L59" i="101"/>
  <c r="AR51" i="101"/>
  <c r="AR50" i="101"/>
  <c r="AR49" i="101"/>
  <c r="AR48" i="101"/>
  <c r="AR47" i="101"/>
  <c r="AX46" i="101"/>
  <c r="AV46" i="101"/>
  <c r="AU46" i="101"/>
  <c r="AS46" i="101"/>
  <c r="AT46" i="101"/>
  <c r="AW46" i="101"/>
  <c r="AR46" i="101"/>
  <c r="AX45" i="101"/>
  <c r="AV45" i="101"/>
  <c r="AU45" i="101"/>
  <c r="AS45" i="101"/>
  <c r="AT45" i="101"/>
  <c r="AW45" i="101"/>
  <c r="AR45" i="101"/>
  <c r="AX44" i="101"/>
  <c r="AV44" i="101"/>
  <c r="AU44" i="101"/>
  <c r="AS44" i="101"/>
  <c r="AT44" i="101"/>
  <c r="AW44" i="101"/>
  <c r="AR44" i="101"/>
  <c r="AX42" i="101"/>
  <c r="AV42" i="101"/>
  <c r="AU42" i="101"/>
  <c r="AS42" i="101"/>
  <c r="AT42" i="101"/>
  <c r="AW42" i="101"/>
  <c r="AR42" i="101"/>
  <c r="AX41" i="101"/>
  <c r="AW41" i="101"/>
  <c r="AV41" i="101"/>
  <c r="AU41" i="101"/>
  <c r="AT41" i="101"/>
  <c r="AS41" i="101"/>
  <c r="AR41" i="101"/>
  <c r="AX40" i="101"/>
  <c r="AV40" i="101"/>
  <c r="AU40" i="101"/>
  <c r="AS40" i="101"/>
  <c r="AT40" i="101"/>
  <c r="AW40" i="101"/>
  <c r="AR40" i="101"/>
  <c r="AX39" i="101"/>
  <c r="AV39" i="101"/>
  <c r="AU39" i="101"/>
  <c r="AT39" i="101"/>
  <c r="AW39" i="101"/>
  <c r="AS39" i="101"/>
  <c r="AR39" i="101"/>
  <c r="AX38" i="101"/>
  <c r="AV38" i="101"/>
  <c r="AU38" i="101"/>
  <c r="AS38" i="101"/>
  <c r="AT38" i="101"/>
  <c r="AW38" i="101"/>
  <c r="AR38" i="101"/>
  <c r="AX37" i="101"/>
  <c r="AV37" i="101"/>
  <c r="AU37" i="101"/>
  <c r="AS37" i="101"/>
  <c r="AT37" i="101"/>
  <c r="AW37" i="101"/>
  <c r="AR37" i="101"/>
  <c r="AX36" i="101"/>
  <c r="AV36" i="101"/>
  <c r="AU36" i="101"/>
  <c r="AS36" i="101"/>
  <c r="AT36" i="101"/>
  <c r="AW36" i="101"/>
  <c r="AR36" i="101"/>
  <c r="AX35" i="101"/>
  <c r="AV35" i="101"/>
  <c r="AU35" i="101"/>
  <c r="AS35" i="101"/>
  <c r="AT35" i="101"/>
  <c r="AW35" i="101"/>
  <c r="AR35" i="101"/>
  <c r="AX34" i="101"/>
  <c r="AV34" i="101"/>
  <c r="AU34" i="101"/>
  <c r="AS34" i="101"/>
  <c r="AT34" i="101"/>
  <c r="AW34" i="101"/>
  <c r="AR34" i="101"/>
  <c r="AX33" i="101"/>
  <c r="AV33" i="101"/>
  <c r="AU33" i="101"/>
  <c r="AS33" i="101"/>
  <c r="AT33" i="101"/>
  <c r="AW33" i="101"/>
  <c r="AR33" i="101"/>
  <c r="AX32" i="101"/>
  <c r="AV32" i="101"/>
  <c r="AU32" i="101"/>
  <c r="AS32" i="101"/>
  <c r="AT32" i="101"/>
  <c r="AW32" i="101"/>
  <c r="AR32" i="101"/>
  <c r="AX31" i="101"/>
  <c r="AV31" i="101"/>
  <c r="AU31" i="101"/>
  <c r="AS31" i="101"/>
  <c r="AT31" i="101"/>
  <c r="AW31" i="101"/>
  <c r="AR31" i="101"/>
  <c r="N31" i="101"/>
  <c r="AN18" i="101"/>
  <c r="AH25" i="101"/>
  <c r="X33" i="101"/>
  <c r="X35" i="101"/>
  <c r="X36" i="101"/>
  <c r="AM23" i="101"/>
  <c r="AC25" i="101"/>
  <c r="AR11" i="101"/>
  <c r="AQ23" i="101"/>
  <c r="AR23" i="101"/>
  <c r="AR7" i="101"/>
  <c r="AC7" i="101"/>
  <c r="H7" i="101"/>
  <c r="H6" i="101"/>
  <c r="H5" i="101"/>
  <c r="L60" i="100"/>
  <c r="L59" i="100"/>
  <c r="AR51" i="100"/>
  <c r="AR50" i="100"/>
  <c r="AR49" i="100"/>
  <c r="AR48" i="100"/>
  <c r="AR47" i="100"/>
  <c r="AX46" i="100"/>
  <c r="AV46" i="100"/>
  <c r="AU46" i="100"/>
  <c r="AS46" i="100"/>
  <c r="AT46" i="100"/>
  <c r="AW46" i="100"/>
  <c r="AR46" i="100"/>
  <c r="AX45" i="100"/>
  <c r="AV45" i="100"/>
  <c r="AU45" i="100"/>
  <c r="AS45" i="100"/>
  <c r="AT45" i="100"/>
  <c r="AW45" i="100"/>
  <c r="AR45" i="100"/>
  <c r="AX44" i="100"/>
  <c r="AV44" i="100"/>
  <c r="AU44" i="100"/>
  <c r="AS44" i="100"/>
  <c r="AT44" i="100"/>
  <c r="AW44" i="100"/>
  <c r="AR44" i="100"/>
  <c r="AX42" i="100"/>
  <c r="AV42" i="100"/>
  <c r="AU42" i="100"/>
  <c r="AS42" i="100"/>
  <c r="AT42" i="100"/>
  <c r="AW42" i="100"/>
  <c r="AR42" i="100"/>
  <c r="AX41" i="100"/>
  <c r="AV41" i="100"/>
  <c r="AU41" i="100"/>
  <c r="AS41" i="100"/>
  <c r="AT41" i="100"/>
  <c r="AW41" i="100"/>
  <c r="AR41" i="100"/>
  <c r="AX40" i="100"/>
  <c r="AV40" i="100"/>
  <c r="AU40" i="100"/>
  <c r="AS40" i="100"/>
  <c r="AT40" i="100"/>
  <c r="AW40" i="100"/>
  <c r="AR40" i="100"/>
  <c r="AX39" i="100"/>
  <c r="AV39" i="100"/>
  <c r="AU39" i="100"/>
  <c r="AS39" i="100"/>
  <c r="AT39" i="100"/>
  <c r="AW39" i="100"/>
  <c r="AR39" i="100"/>
  <c r="AX38" i="100"/>
  <c r="AV38" i="100"/>
  <c r="AU38" i="100"/>
  <c r="AS38" i="100"/>
  <c r="AT38" i="100"/>
  <c r="AW38" i="100"/>
  <c r="AR38" i="100"/>
  <c r="AX37" i="100"/>
  <c r="AV37" i="100"/>
  <c r="AU37" i="100"/>
  <c r="AS37" i="100"/>
  <c r="AT37" i="100"/>
  <c r="AW37" i="100"/>
  <c r="AR37" i="100"/>
  <c r="AX36" i="100"/>
  <c r="AV36" i="100"/>
  <c r="AU36" i="100"/>
  <c r="AS36" i="100"/>
  <c r="AT36" i="100"/>
  <c r="AW36" i="100"/>
  <c r="AR36" i="100"/>
  <c r="AX35" i="100"/>
  <c r="AV35" i="100"/>
  <c r="AU35" i="100"/>
  <c r="AT35" i="100"/>
  <c r="AW35" i="100"/>
  <c r="AS35" i="100"/>
  <c r="AR35" i="100"/>
  <c r="AX34" i="100"/>
  <c r="AV34" i="100"/>
  <c r="AU34" i="100"/>
  <c r="AS34" i="100"/>
  <c r="AT34" i="100"/>
  <c r="AW34" i="100"/>
  <c r="AR34" i="100"/>
  <c r="AX33" i="100"/>
  <c r="AV33" i="100"/>
  <c r="AU33" i="100"/>
  <c r="AT33" i="100"/>
  <c r="AW33" i="100"/>
  <c r="AS33" i="100"/>
  <c r="AR33" i="100"/>
  <c r="AX32" i="100"/>
  <c r="AV32" i="100"/>
  <c r="AU32" i="100"/>
  <c r="AS32" i="100"/>
  <c r="AT32" i="100"/>
  <c r="AW32" i="100"/>
  <c r="AR32" i="100"/>
  <c r="AX31" i="100"/>
  <c r="AV31" i="100"/>
  <c r="AU31" i="100"/>
  <c r="AT31" i="100"/>
  <c r="AW31" i="100"/>
  <c r="AS31" i="100"/>
  <c r="AR31" i="100"/>
  <c r="N31" i="100"/>
  <c r="AN18" i="100"/>
  <c r="AH25" i="100"/>
  <c r="X33" i="100"/>
  <c r="X35" i="100"/>
  <c r="X36" i="100"/>
  <c r="AM23" i="100"/>
  <c r="AC25" i="100"/>
  <c r="AR11" i="100"/>
  <c r="AQ23" i="100"/>
  <c r="AR23" i="100"/>
  <c r="AR7" i="100"/>
  <c r="AR8" i="100"/>
  <c r="AC7" i="100"/>
  <c r="H7" i="100"/>
  <c r="H6" i="100"/>
  <c r="H5" i="100"/>
  <c r="H39" i="106"/>
  <c r="AR8" i="101"/>
  <c r="AU17" i="100"/>
  <c r="AR17" i="100"/>
  <c r="AU22" i="100"/>
  <c r="N42" i="112"/>
  <c r="AM26" i="112"/>
  <c r="N39" i="106"/>
  <c r="H52" i="106"/>
  <c r="N52" i="106"/>
  <c r="N33" i="105"/>
  <c r="H52" i="105"/>
  <c r="H47" i="105"/>
  <c r="N47" i="105"/>
  <c r="N57" i="102"/>
  <c r="R32" i="121"/>
  <c r="L56" i="121"/>
  <c r="L60" i="121"/>
  <c r="L45" i="121"/>
  <c r="J53" i="121"/>
  <c r="J46" i="121"/>
  <c r="L59" i="121"/>
  <c r="L58" i="121"/>
  <c r="R48" i="121"/>
  <c r="L55" i="121"/>
  <c r="N55" i="112"/>
  <c r="R55" i="112"/>
  <c r="F14" i="141"/>
  <c r="T49" i="112"/>
  <c r="R49" i="112"/>
  <c r="N56" i="112"/>
  <c r="R56" i="112"/>
  <c r="F15" i="141"/>
  <c r="T47" i="112"/>
  <c r="R47" i="112"/>
  <c r="L57" i="112"/>
  <c r="L61" i="112"/>
  <c r="T37" i="112"/>
  <c r="R37" i="112"/>
  <c r="T40" i="112"/>
  <c r="R40" i="112"/>
  <c r="T35" i="112"/>
  <c r="R35" i="112"/>
  <c r="N59" i="112"/>
  <c r="R59" i="112"/>
  <c r="F18" i="141"/>
  <c r="T33" i="112"/>
  <c r="R33" i="112"/>
  <c r="AM25" i="112"/>
  <c r="T38" i="112"/>
  <c r="R38" i="112"/>
  <c r="T41" i="112"/>
  <c r="R41" i="112"/>
  <c r="T36" i="112"/>
  <c r="R36" i="112"/>
  <c r="T44" i="112"/>
  <c r="R44" i="112"/>
  <c r="T34" i="112"/>
  <c r="R34" i="112"/>
  <c r="T39" i="112"/>
  <c r="R39" i="112"/>
  <c r="T51" i="112"/>
  <c r="R51" i="112"/>
  <c r="N60" i="112"/>
  <c r="R60" i="112"/>
  <c r="F19" i="141"/>
  <c r="H53" i="112"/>
  <c r="N31" i="112"/>
  <c r="J45" i="112"/>
  <c r="T32" i="112"/>
  <c r="N58" i="112"/>
  <c r="R58" i="112"/>
  <c r="F17" i="141"/>
  <c r="P38" i="108"/>
  <c r="F83" i="142"/>
  <c r="P32" i="108"/>
  <c r="F77" i="142"/>
  <c r="P35" i="108"/>
  <c r="F80" i="142"/>
  <c r="P37" i="108"/>
  <c r="F82" i="142"/>
  <c r="P33" i="108"/>
  <c r="F78" i="142"/>
  <c r="P36" i="108"/>
  <c r="F81" i="142"/>
  <c r="P31" i="108"/>
  <c r="F76" i="142"/>
  <c r="N58" i="106"/>
  <c r="T32" i="106"/>
  <c r="AS16" i="106"/>
  <c r="AT16" i="106"/>
  <c r="T16" i="106"/>
  <c r="T17" i="106"/>
  <c r="W17" i="106"/>
  <c r="AT12" i="106"/>
  <c r="H33" i="106"/>
  <c r="N33" i="106"/>
  <c r="H43" i="106"/>
  <c r="H31" i="106"/>
  <c r="H35" i="106"/>
  <c r="N35" i="106"/>
  <c r="AR42" i="106"/>
  <c r="H45" i="106"/>
  <c r="N57" i="106"/>
  <c r="H37" i="106"/>
  <c r="N37" i="106"/>
  <c r="AS42" i="106"/>
  <c r="AT42" i="106"/>
  <c r="AW42" i="106"/>
  <c r="H51" i="106"/>
  <c r="N51" i="106"/>
  <c r="H49" i="106"/>
  <c r="N49" i="106"/>
  <c r="L62" i="106"/>
  <c r="N61" i="106"/>
  <c r="H44" i="106"/>
  <c r="N44" i="106"/>
  <c r="H43" i="105"/>
  <c r="R43" i="105"/>
  <c r="N61" i="105"/>
  <c r="R61" i="105"/>
  <c r="F120" i="84"/>
  <c r="N57" i="105"/>
  <c r="R57" i="105"/>
  <c r="F116" i="84"/>
  <c r="N52" i="105"/>
  <c r="AT12" i="105"/>
  <c r="H31" i="105"/>
  <c r="H35" i="105"/>
  <c r="N35" i="105"/>
  <c r="AR42" i="105"/>
  <c r="H45" i="105"/>
  <c r="H37" i="105"/>
  <c r="N37" i="105"/>
  <c r="AS42" i="105"/>
  <c r="AT42" i="105"/>
  <c r="AW42" i="105"/>
  <c r="H51" i="105"/>
  <c r="N51" i="105"/>
  <c r="H49" i="105"/>
  <c r="N49" i="105"/>
  <c r="H39" i="105"/>
  <c r="N39" i="105"/>
  <c r="L62" i="105"/>
  <c r="H50" i="104"/>
  <c r="H44" i="104"/>
  <c r="N44" i="104"/>
  <c r="H35" i="104"/>
  <c r="N35" i="104"/>
  <c r="H47" i="104"/>
  <c r="N47" i="104"/>
  <c r="H43" i="104"/>
  <c r="N43" i="104"/>
  <c r="H33" i="104"/>
  <c r="N33" i="104"/>
  <c r="H49" i="104"/>
  <c r="N49" i="104"/>
  <c r="H45" i="104"/>
  <c r="H37" i="104"/>
  <c r="N37" i="104"/>
  <c r="H50" i="103"/>
  <c r="H44" i="103"/>
  <c r="N44" i="103"/>
  <c r="H35" i="103"/>
  <c r="N35" i="103"/>
  <c r="H33" i="103"/>
  <c r="N33" i="103"/>
  <c r="H47" i="103"/>
  <c r="N47" i="103"/>
  <c r="H43" i="103"/>
  <c r="N43" i="103"/>
  <c r="H49" i="103"/>
  <c r="N49" i="103"/>
  <c r="H45" i="103"/>
  <c r="H37" i="103"/>
  <c r="N37" i="103"/>
  <c r="AQ23" i="103"/>
  <c r="AR23" i="103"/>
  <c r="H50" i="102"/>
  <c r="H44" i="102"/>
  <c r="N44" i="102"/>
  <c r="H45" i="102"/>
  <c r="H35" i="102"/>
  <c r="N35" i="102"/>
  <c r="H49" i="102"/>
  <c r="N49" i="102"/>
  <c r="H37" i="102"/>
  <c r="N37" i="102"/>
  <c r="H47" i="102"/>
  <c r="N47" i="102"/>
  <c r="H43" i="102"/>
  <c r="N43" i="102"/>
  <c r="H33" i="102"/>
  <c r="N33" i="102"/>
  <c r="Z16" i="102"/>
  <c r="Z17" i="102"/>
  <c r="H50" i="101"/>
  <c r="H44" i="101"/>
  <c r="N44" i="101"/>
  <c r="H47" i="101"/>
  <c r="N47" i="101"/>
  <c r="H43" i="101"/>
  <c r="N43" i="101"/>
  <c r="H35" i="101"/>
  <c r="N35" i="101"/>
  <c r="H49" i="101"/>
  <c r="N49" i="101"/>
  <c r="H45" i="101"/>
  <c r="H37" i="101"/>
  <c r="N37" i="101"/>
  <c r="H33" i="101"/>
  <c r="N33" i="101"/>
  <c r="N57" i="100"/>
  <c r="F49" i="133"/>
  <c r="H50" i="100"/>
  <c r="H44" i="100"/>
  <c r="N44" i="100"/>
  <c r="H33" i="100"/>
  <c r="N33" i="100"/>
  <c r="H47" i="100"/>
  <c r="N47" i="100"/>
  <c r="H43" i="100"/>
  <c r="N43" i="100"/>
  <c r="H49" i="100"/>
  <c r="N49" i="100"/>
  <c r="H45" i="100"/>
  <c r="H37" i="100"/>
  <c r="N37" i="100"/>
  <c r="H35" i="100"/>
  <c r="N35" i="100"/>
  <c r="R62" i="98"/>
  <c r="F170" i="84"/>
  <c r="AR52" i="98"/>
  <c r="F52" i="98"/>
  <c r="AR51" i="98"/>
  <c r="AR50" i="98"/>
  <c r="AR49" i="98"/>
  <c r="AR48" i="98"/>
  <c r="F48" i="98"/>
  <c r="AR47" i="98"/>
  <c r="AX46" i="98"/>
  <c r="AV46" i="98"/>
  <c r="AU46" i="98"/>
  <c r="AT46" i="98"/>
  <c r="AW46" i="98"/>
  <c r="AS46" i="98"/>
  <c r="AR46" i="98"/>
  <c r="F46" i="98"/>
  <c r="F53" i="98"/>
  <c r="AX45" i="98"/>
  <c r="AV45" i="98"/>
  <c r="AU45" i="98"/>
  <c r="AS45" i="98"/>
  <c r="AT45" i="98"/>
  <c r="AW45" i="98"/>
  <c r="AR45" i="98"/>
  <c r="AX44" i="98"/>
  <c r="AW44" i="98"/>
  <c r="AV44" i="98"/>
  <c r="AU44" i="98"/>
  <c r="AT44" i="98"/>
  <c r="AS44" i="98"/>
  <c r="AR44" i="98"/>
  <c r="AX42" i="98"/>
  <c r="AV42" i="98"/>
  <c r="AU42" i="98"/>
  <c r="AS42" i="98"/>
  <c r="AT42" i="98"/>
  <c r="AW42" i="98"/>
  <c r="AR42" i="98"/>
  <c r="AN42" i="98"/>
  <c r="F42" i="98"/>
  <c r="H42" i="98"/>
  <c r="AX41" i="98"/>
  <c r="AV41" i="98"/>
  <c r="AU41" i="98"/>
  <c r="AT41" i="98"/>
  <c r="AW41" i="98"/>
  <c r="AS41" i="98"/>
  <c r="AR41" i="98"/>
  <c r="F41" i="98"/>
  <c r="AX40" i="98"/>
  <c r="AV40" i="98"/>
  <c r="AU40" i="98"/>
  <c r="AS40" i="98"/>
  <c r="AT40" i="98"/>
  <c r="AW40" i="98"/>
  <c r="AR40" i="98"/>
  <c r="F40" i="98"/>
  <c r="AX39" i="98"/>
  <c r="AV39" i="98"/>
  <c r="AU39" i="98"/>
  <c r="AS39" i="98"/>
  <c r="AT39" i="98"/>
  <c r="AW39" i="98"/>
  <c r="AR39" i="98"/>
  <c r="F39" i="98"/>
  <c r="AX38" i="98"/>
  <c r="AV38" i="98"/>
  <c r="AU38" i="98"/>
  <c r="AS38" i="98"/>
  <c r="AT38" i="98"/>
  <c r="AW38" i="98"/>
  <c r="AR38" i="98"/>
  <c r="F38" i="98"/>
  <c r="AX37" i="98"/>
  <c r="AV37" i="98"/>
  <c r="AU37" i="98"/>
  <c r="AT37" i="98"/>
  <c r="AW37" i="98"/>
  <c r="AS37" i="98"/>
  <c r="AR37" i="98"/>
  <c r="AX36" i="98"/>
  <c r="AV36" i="98"/>
  <c r="AU36" i="98"/>
  <c r="AT36" i="98"/>
  <c r="AW36" i="98"/>
  <c r="AS36" i="98"/>
  <c r="AR36" i="98"/>
  <c r="F36" i="98"/>
  <c r="AX35" i="98"/>
  <c r="AV35" i="98"/>
  <c r="AU35" i="98"/>
  <c r="AS35" i="98"/>
  <c r="AT35" i="98"/>
  <c r="AW35" i="98"/>
  <c r="AR35" i="98"/>
  <c r="AX34" i="98"/>
  <c r="AW34" i="98"/>
  <c r="AV34" i="98"/>
  <c r="AU34" i="98"/>
  <c r="AT34" i="98"/>
  <c r="AS34" i="98"/>
  <c r="AR34" i="98"/>
  <c r="F34" i="98"/>
  <c r="AX33" i="98"/>
  <c r="AV33" i="98"/>
  <c r="AU33" i="98"/>
  <c r="AT33" i="98"/>
  <c r="AW33" i="98"/>
  <c r="AS33" i="98"/>
  <c r="AR33" i="98"/>
  <c r="AX32" i="98"/>
  <c r="AV32" i="98"/>
  <c r="AU32" i="98"/>
  <c r="AS32" i="98"/>
  <c r="AT32" i="98"/>
  <c r="AW32" i="98"/>
  <c r="AR32" i="98"/>
  <c r="F32" i="98"/>
  <c r="AX31" i="98"/>
  <c r="AV31" i="98"/>
  <c r="AU31" i="98"/>
  <c r="AS31" i="98"/>
  <c r="AT31" i="98"/>
  <c r="AW31" i="98"/>
  <c r="AR31" i="98"/>
  <c r="F27" i="98"/>
  <c r="AU25" i="98"/>
  <c r="AV25" i="98"/>
  <c r="AH25" i="98"/>
  <c r="X27" i="98"/>
  <c r="X29" i="98"/>
  <c r="X30" i="98"/>
  <c r="AC25" i="98"/>
  <c r="H49" i="98"/>
  <c r="N49" i="98"/>
  <c r="T25" i="98"/>
  <c r="A22" i="98"/>
  <c r="A21" i="98"/>
  <c r="AV19" i="98"/>
  <c r="AR19" i="98"/>
  <c r="AS19" i="98"/>
  <c r="AT19" i="98"/>
  <c r="AN18" i="98"/>
  <c r="AQ16" i="98"/>
  <c r="AQ13" i="98"/>
  <c r="AX9" i="98"/>
  <c r="AX8" i="98"/>
  <c r="AR22" i="98"/>
  <c r="AS22" i="98"/>
  <c r="AT22" i="98"/>
  <c r="AR8" i="98"/>
  <c r="AX7" i="98"/>
  <c r="AR25" i="98"/>
  <c r="AS25" i="98"/>
  <c r="AT25" i="98"/>
  <c r="AV7" i="98"/>
  <c r="AR7" i="98"/>
  <c r="AC7" i="98"/>
  <c r="H7" i="98"/>
  <c r="AX6" i="98"/>
  <c r="H6" i="98"/>
  <c r="AX5" i="98"/>
  <c r="AU16" i="98"/>
  <c r="AV16" i="98"/>
  <c r="H5" i="98"/>
  <c r="AX4" i="98"/>
  <c r="AR16" i="98"/>
  <c r="L62" i="97"/>
  <c r="AR52" i="97"/>
  <c r="F52" i="97"/>
  <c r="AR51" i="97"/>
  <c r="AR50" i="97"/>
  <c r="AR49" i="97"/>
  <c r="AR48" i="97"/>
  <c r="F48" i="97"/>
  <c r="AR47" i="97"/>
  <c r="AX46" i="97"/>
  <c r="AV46" i="97"/>
  <c r="AU46" i="97"/>
  <c r="AS46" i="97"/>
  <c r="AT46" i="97"/>
  <c r="AW46" i="97"/>
  <c r="AR46" i="97"/>
  <c r="F46" i="97"/>
  <c r="H46" i="97"/>
  <c r="AX45" i="97"/>
  <c r="AV45" i="97"/>
  <c r="AU45" i="97"/>
  <c r="AS45" i="97"/>
  <c r="AT45" i="97"/>
  <c r="AW45" i="97"/>
  <c r="AR45" i="97"/>
  <c r="AX44" i="97"/>
  <c r="AV44" i="97"/>
  <c r="AU44" i="97"/>
  <c r="AS44" i="97"/>
  <c r="AT44" i="97"/>
  <c r="AW44" i="97"/>
  <c r="AR44" i="97"/>
  <c r="AX42" i="97"/>
  <c r="AU42" i="97"/>
  <c r="AN42" i="97"/>
  <c r="AV42" i="97"/>
  <c r="F42" i="97"/>
  <c r="AX41" i="97"/>
  <c r="AV41" i="97"/>
  <c r="AU41" i="97"/>
  <c r="AS41" i="97"/>
  <c r="AT41" i="97"/>
  <c r="AW41" i="97"/>
  <c r="AR41" i="97"/>
  <c r="F41" i="97"/>
  <c r="AX40" i="97"/>
  <c r="AV40" i="97"/>
  <c r="AU40" i="97"/>
  <c r="AS40" i="97"/>
  <c r="AT40" i="97"/>
  <c r="AW40" i="97"/>
  <c r="AR40" i="97"/>
  <c r="F40" i="97"/>
  <c r="AX39" i="97"/>
  <c r="AW39" i="97"/>
  <c r="AV39" i="97"/>
  <c r="AU39" i="97"/>
  <c r="AT39" i="97"/>
  <c r="AS39" i="97"/>
  <c r="AR39" i="97"/>
  <c r="F39" i="97"/>
  <c r="AX38" i="97"/>
  <c r="AV38" i="97"/>
  <c r="AU38" i="97"/>
  <c r="AT38" i="97"/>
  <c r="AW38" i="97"/>
  <c r="AS38" i="97"/>
  <c r="AR38" i="97"/>
  <c r="F38" i="97"/>
  <c r="AX37" i="97"/>
  <c r="AV37" i="97"/>
  <c r="AU37" i="97"/>
  <c r="AS37" i="97"/>
  <c r="AT37" i="97"/>
  <c r="AW37" i="97"/>
  <c r="AR37" i="97"/>
  <c r="AX36" i="97"/>
  <c r="AV36" i="97"/>
  <c r="AU36" i="97"/>
  <c r="AS36" i="97"/>
  <c r="AT36" i="97"/>
  <c r="AW36" i="97"/>
  <c r="AR36" i="97"/>
  <c r="F36" i="97"/>
  <c r="AX35" i="97"/>
  <c r="AV35" i="97"/>
  <c r="AU35" i="97"/>
  <c r="AS35" i="97"/>
  <c r="AT35" i="97"/>
  <c r="AW35" i="97"/>
  <c r="AR35" i="97"/>
  <c r="AX34" i="97"/>
  <c r="AV34" i="97"/>
  <c r="AU34" i="97"/>
  <c r="AS34" i="97"/>
  <c r="AT34" i="97"/>
  <c r="AW34" i="97"/>
  <c r="AR34" i="97"/>
  <c r="F34" i="97"/>
  <c r="H34" i="97"/>
  <c r="N34" i="97"/>
  <c r="AX33" i="97"/>
  <c r="AV33" i="97"/>
  <c r="AU33" i="97"/>
  <c r="AT33" i="97"/>
  <c r="AW33" i="97"/>
  <c r="AS33" i="97"/>
  <c r="AR33" i="97"/>
  <c r="AX32" i="97"/>
  <c r="AW32" i="97"/>
  <c r="AV32" i="97"/>
  <c r="AU32" i="97"/>
  <c r="AT32" i="97"/>
  <c r="AS32" i="97"/>
  <c r="AR32" i="97"/>
  <c r="F32" i="97"/>
  <c r="AX31" i="97"/>
  <c r="AV31" i="97"/>
  <c r="AU31" i="97"/>
  <c r="AT31" i="97"/>
  <c r="AW31" i="97"/>
  <c r="AS31" i="97"/>
  <c r="AR31" i="97"/>
  <c r="X27" i="97"/>
  <c r="X29" i="97"/>
  <c r="X30" i="97"/>
  <c r="F27" i="97"/>
  <c r="AH25" i="97"/>
  <c r="AC25" i="97"/>
  <c r="H47" i="97"/>
  <c r="N47" i="97"/>
  <c r="T25" i="97"/>
  <c r="A22" i="97"/>
  <c r="A21" i="97"/>
  <c r="AV19" i="97"/>
  <c r="AW19" i="97"/>
  <c r="AN18" i="97"/>
  <c r="AR16" i="97"/>
  <c r="AS16" i="97"/>
  <c r="AT16" i="97"/>
  <c r="AQ16" i="97"/>
  <c r="AQ13" i="97"/>
  <c r="AX9" i="97"/>
  <c r="AU25" i="97"/>
  <c r="AV25" i="97"/>
  <c r="AW25" i="97"/>
  <c r="AX8" i="97"/>
  <c r="AR22" i="97"/>
  <c r="AS22" i="97"/>
  <c r="AT22" i="97"/>
  <c r="AR8" i="97"/>
  <c r="AV7" i="97"/>
  <c r="AX7" i="97"/>
  <c r="AR25" i="97"/>
  <c r="AS25" i="97"/>
  <c r="AT25" i="97"/>
  <c r="AR7" i="97"/>
  <c r="H7" i="97"/>
  <c r="AX6" i="97"/>
  <c r="AR19" i="97"/>
  <c r="AS19" i="97"/>
  <c r="AT19" i="97"/>
  <c r="H6" i="97"/>
  <c r="AX5" i="97"/>
  <c r="AU16" i="97"/>
  <c r="AV16" i="97"/>
  <c r="AW16" i="97"/>
  <c r="H5" i="97"/>
  <c r="AX4" i="97"/>
  <c r="R62" i="96"/>
  <c r="F153" i="84"/>
  <c r="AR52" i="96"/>
  <c r="F52" i="96"/>
  <c r="AR51" i="96"/>
  <c r="AR50" i="96"/>
  <c r="AR49" i="96"/>
  <c r="AR48" i="96"/>
  <c r="F48" i="96"/>
  <c r="AR47" i="96"/>
  <c r="AX46" i="96"/>
  <c r="AV46" i="96"/>
  <c r="AU46" i="96"/>
  <c r="AT46" i="96"/>
  <c r="AW46" i="96"/>
  <c r="AS46" i="96"/>
  <c r="AR46" i="96"/>
  <c r="F46" i="96"/>
  <c r="F53" i="96"/>
  <c r="AX45" i="96"/>
  <c r="AV45" i="96"/>
  <c r="AU45" i="96"/>
  <c r="AS45" i="96"/>
  <c r="AT45" i="96"/>
  <c r="AW45" i="96"/>
  <c r="AR45" i="96"/>
  <c r="AX44" i="96"/>
  <c r="AW44" i="96"/>
  <c r="AV44" i="96"/>
  <c r="AU44" i="96"/>
  <c r="AT44" i="96"/>
  <c r="AS44" i="96"/>
  <c r="AR44" i="96"/>
  <c r="AX42" i="96"/>
  <c r="AV42" i="96"/>
  <c r="AU42" i="96"/>
  <c r="AS42" i="96"/>
  <c r="AT42" i="96"/>
  <c r="AW42" i="96"/>
  <c r="AR42" i="96"/>
  <c r="AN42" i="96"/>
  <c r="F42" i="96"/>
  <c r="AX41" i="96"/>
  <c r="AV41" i="96"/>
  <c r="AU41" i="96"/>
  <c r="AT41" i="96"/>
  <c r="AW41" i="96"/>
  <c r="AS41" i="96"/>
  <c r="AR41" i="96"/>
  <c r="F41" i="96"/>
  <c r="AX40" i="96"/>
  <c r="AV40" i="96"/>
  <c r="AU40" i="96"/>
  <c r="AS40" i="96"/>
  <c r="AT40" i="96"/>
  <c r="AW40" i="96"/>
  <c r="AR40" i="96"/>
  <c r="F40" i="96"/>
  <c r="AX39" i="96"/>
  <c r="AV39" i="96"/>
  <c r="AU39" i="96"/>
  <c r="AS39" i="96"/>
  <c r="AT39" i="96"/>
  <c r="AW39" i="96"/>
  <c r="AR39" i="96"/>
  <c r="F39" i="96"/>
  <c r="AX38" i="96"/>
  <c r="AV38" i="96"/>
  <c r="AU38" i="96"/>
  <c r="AS38" i="96"/>
  <c r="AT38" i="96"/>
  <c r="AW38" i="96"/>
  <c r="AR38" i="96"/>
  <c r="F38" i="96"/>
  <c r="AX37" i="96"/>
  <c r="AV37" i="96"/>
  <c r="AU37" i="96"/>
  <c r="AT37" i="96"/>
  <c r="AW37" i="96"/>
  <c r="AS37" i="96"/>
  <c r="AR37" i="96"/>
  <c r="AX36" i="96"/>
  <c r="AV36" i="96"/>
  <c r="AU36" i="96"/>
  <c r="AT36" i="96"/>
  <c r="AW36" i="96"/>
  <c r="AS36" i="96"/>
  <c r="AR36" i="96"/>
  <c r="F36" i="96"/>
  <c r="AX35" i="96"/>
  <c r="AV35" i="96"/>
  <c r="AU35" i="96"/>
  <c r="AS35" i="96"/>
  <c r="AT35" i="96"/>
  <c r="AW35" i="96"/>
  <c r="AR35" i="96"/>
  <c r="AX34" i="96"/>
  <c r="AW34" i="96"/>
  <c r="AV34" i="96"/>
  <c r="AU34" i="96"/>
  <c r="AT34" i="96"/>
  <c r="AS34" i="96"/>
  <c r="AR34" i="96"/>
  <c r="F34" i="96"/>
  <c r="AX33" i="96"/>
  <c r="AV33" i="96"/>
  <c r="AU33" i="96"/>
  <c r="AT33" i="96"/>
  <c r="AW33" i="96"/>
  <c r="AS33" i="96"/>
  <c r="AR33" i="96"/>
  <c r="AX32" i="96"/>
  <c r="AV32" i="96"/>
  <c r="AU32" i="96"/>
  <c r="AS32" i="96"/>
  <c r="AT32" i="96"/>
  <c r="AW32" i="96"/>
  <c r="AR32" i="96"/>
  <c r="F32" i="96"/>
  <c r="AX31" i="96"/>
  <c r="AV31" i="96"/>
  <c r="AU31" i="96"/>
  <c r="AS31" i="96"/>
  <c r="AT31" i="96"/>
  <c r="AW31" i="96"/>
  <c r="AR31" i="96"/>
  <c r="F27" i="96"/>
  <c r="AU25" i="96"/>
  <c r="AV25" i="96"/>
  <c r="AW25" i="96"/>
  <c r="AH25" i="96"/>
  <c r="X27" i="96"/>
  <c r="X29" i="96"/>
  <c r="X30" i="96"/>
  <c r="AC25" i="96"/>
  <c r="H39" i="96"/>
  <c r="T25" i="96"/>
  <c r="A22" i="96"/>
  <c r="A21" i="96"/>
  <c r="AV19" i="96"/>
  <c r="AR19" i="96"/>
  <c r="AS19" i="96"/>
  <c r="AT19" i="96"/>
  <c r="AN18" i="96"/>
  <c r="AQ16" i="96"/>
  <c r="AQ13" i="96"/>
  <c r="AX9" i="96"/>
  <c r="AX8" i="96"/>
  <c r="AR22" i="96"/>
  <c r="AS22" i="96"/>
  <c r="AR8" i="96"/>
  <c r="AX7" i="96"/>
  <c r="AR25" i="96"/>
  <c r="AS25" i="96"/>
  <c r="AT25" i="96"/>
  <c r="AV7" i="96"/>
  <c r="AR7" i="96"/>
  <c r="H7" i="96"/>
  <c r="AX6" i="96"/>
  <c r="H6" i="96"/>
  <c r="AX5" i="96"/>
  <c r="AU16" i="96"/>
  <c r="AV16" i="96"/>
  <c r="AW16" i="96"/>
  <c r="H5" i="96"/>
  <c r="AX4" i="96"/>
  <c r="AR16" i="96"/>
  <c r="R62" i="95"/>
  <c r="F109" i="84"/>
  <c r="AR52" i="95"/>
  <c r="F52" i="95"/>
  <c r="AR51" i="95"/>
  <c r="AR50" i="95"/>
  <c r="AR49" i="95"/>
  <c r="AR48" i="95"/>
  <c r="F48" i="95"/>
  <c r="AR47" i="95"/>
  <c r="AX46" i="95"/>
  <c r="AV46" i="95"/>
  <c r="AU46" i="95"/>
  <c r="AS46" i="95"/>
  <c r="AT46" i="95"/>
  <c r="AW46" i="95"/>
  <c r="AR46" i="95"/>
  <c r="F46" i="95"/>
  <c r="F53" i="95"/>
  <c r="AX45" i="95"/>
  <c r="AW45" i="95"/>
  <c r="AV45" i="95"/>
  <c r="AU45" i="95"/>
  <c r="AT45" i="95"/>
  <c r="AS45" i="95"/>
  <c r="AR45" i="95"/>
  <c r="AX44" i="95"/>
  <c r="AV44" i="95"/>
  <c r="AU44" i="95"/>
  <c r="AS44" i="95"/>
  <c r="AT44" i="95"/>
  <c r="AW44" i="95"/>
  <c r="AR44" i="95"/>
  <c r="AX42" i="95"/>
  <c r="AV42" i="95"/>
  <c r="AU42" i="95"/>
  <c r="AT42" i="95"/>
  <c r="AW42" i="95"/>
  <c r="AS42" i="95"/>
  <c r="AR42" i="95"/>
  <c r="AN42" i="95"/>
  <c r="F42" i="95"/>
  <c r="AX41" i="95"/>
  <c r="AV41" i="95"/>
  <c r="AU41" i="95"/>
  <c r="AT41" i="95"/>
  <c r="AW41" i="95"/>
  <c r="AS41" i="95"/>
  <c r="AR41" i="95"/>
  <c r="F41" i="95"/>
  <c r="AX40" i="95"/>
  <c r="AV40" i="95"/>
  <c r="AU40" i="95"/>
  <c r="AS40" i="95"/>
  <c r="AT40" i="95"/>
  <c r="AW40" i="95"/>
  <c r="AR40" i="95"/>
  <c r="F40" i="95"/>
  <c r="AX39" i="95"/>
  <c r="AV39" i="95"/>
  <c r="AU39" i="95"/>
  <c r="AT39" i="95"/>
  <c r="AW39" i="95"/>
  <c r="AS39" i="95"/>
  <c r="AR39" i="95"/>
  <c r="F39" i="95"/>
  <c r="AX38" i="95"/>
  <c r="AV38" i="95"/>
  <c r="AU38" i="95"/>
  <c r="AS38" i="95"/>
  <c r="AT38" i="95"/>
  <c r="AW38" i="95"/>
  <c r="AR38" i="95"/>
  <c r="H38" i="95"/>
  <c r="F38" i="95"/>
  <c r="AX37" i="95"/>
  <c r="AW37" i="95"/>
  <c r="AV37" i="95"/>
  <c r="AU37" i="95"/>
  <c r="AT37" i="95"/>
  <c r="AS37" i="95"/>
  <c r="AR37" i="95"/>
  <c r="AX36" i="95"/>
  <c r="AV36" i="95"/>
  <c r="AU36" i="95"/>
  <c r="AT36" i="95"/>
  <c r="AW36" i="95"/>
  <c r="AS36" i="95"/>
  <c r="AR36" i="95"/>
  <c r="F36" i="95"/>
  <c r="H36" i="95"/>
  <c r="N36" i="95"/>
  <c r="AX35" i="95"/>
  <c r="AV35" i="95"/>
  <c r="AU35" i="95"/>
  <c r="AS35" i="95"/>
  <c r="AT35" i="95"/>
  <c r="AW35" i="95"/>
  <c r="AR35" i="95"/>
  <c r="AX34" i="95"/>
  <c r="AV34" i="95"/>
  <c r="AU34" i="95"/>
  <c r="AS34" i="95"/>
  <c r="AT34" i="95"/>
  <c r="AW34" i="95"/>
  <c r="AR34" i="95"/>
  <c r="F34" i="95"/>
  <c r="AX33" i="95"/>
  <c r="AV33" i="95"/>
  <c r="AU33" i="95"/>
  <c r="AT33" i="95"/>
  <c r="AW33" i="95"/>
  <c r="AS33" i="95"/>
  <c r="AR33" i="95"/>
  <c r="AX32" i="95"/>
  <c r="AV32" i="95"/>
  <c r="AU32" i="95"/>
  <c r="AT32" i="95"/>
  <c r="AW32" i="95"/>
  <c r="AS32" i="95"/>
  <c r="AR32" i="95"/>
  <c r="F32" i="95"/>
  <c r="H32" i="95"/>
  <c r="N32" i="95"/>
  <c r="AX31" i="95"/>
  <c r="AV31" i="95"/>
  <c r="AU31" i="95"/>
  <c r="AS31" i="95"/>
  <c r="AT31" i="95"/>
  <c r="AW31" i="95"/>
  <c r="AR31" i="95"/>
  <c r="F27" i="95"/>
  <c r="AH25" i="95"/>
  <c r="X27" i="95"/>
  <c r="X29" i="95"/>
  <c r="X30" i="95"/>
  <c r="AC25" i="95"/>
  <c r="H47" i="95"/>
  <c r="N47" i="95"/>
  <c r="T25" i="95"/>
  <c r="A22" i="95"/>
  <c r="A21" i="95"/>
  <c r="AV19" i="95"/>
  <c r="AR19" i="95"/>
  <c r="AS19" i="95"/>
  <c r="AT19" i="95"/>
  <c r="AN18" i="95"/>
  <c r="AU16" i="95"/>
  <c r="AV16" i="95"/>
  <c r="AW16" i="95"/>
  <c r="AQ16" i="95"/>
  <c r="AQ13" i="95"/>
  <c r="AX9" i="95"/>
  <c r="AU25" i="95"/>
  <c r="AV25" i="95"/>
  <c r="AW25" i="95"/>
  <c r="N61" i="95"/>
  <c r="R61" i="95"/>
  <c r="F108" i="84"/>
  <c r="AX8" i="95"/>
  <c r="AR22" i="95"/>
  <c r="AS22" i="95"/>
  <c r="AT22" i="95"/>
  <c r="AX7" i="95"/>
  <c r="AR25" i="95"/>
  <c r="AS25" i="95"/>
  <c r="AT25" i="95"/>
  <c r="AV7" i="95"/>
  <c r="AR7" i="95"/>
  <c r="AR8" i="95"/>
  <c r="H7" i="95"/>
  <c r="AX6" i="95"/>
  <c r="H6" i="95"/>
  <c r="AX5" i="95"/>
  <c r="H5" i="95"/>
  <c r="AX4" i="95"/>
  <c r="AR16" i="95"/>
  <c r="L62" i="94"/>
  <c r="F53" i="94"/>
  <c r="AR52" i="94"/>
  <c r="F52" i="94"/>
  <c r="AR51" i="94"/>
  <c r="AR50" i="94"/>
  <c r="AR49" i="94"/>
  <c r="AR48" i="94"/>
  <c r="F48" i="94"/>
  <c r="AR47" i="94"/>
  <c r="AX46" i="94"/>
  <c r="AV46" i="94"/>
  <c r="AU46" i="94"/>
  <c r="AS46" i="94"/>
  <c r="AT46" i="94"/>
  <c r="AW46" i="94"/>
  <c r="AR46" i="94"/>
  <c r="F46" i="94"/>
  <c r="AX45" i="94"/>
  <c r="AV45" i="94"/>
  <c r="AU45" i="94"/>
  <c r="AS45" i="94"/>
  <c r="AT45" i="94"/>
  <c r="AW45" i="94"/>
  <c r="AR45" i="94"/>
  <c r="AX44" i="94"/>
  <c r="AW44" i="94"/>
  <c r="AV44" i="94"/>
  <c r="AU44" i="94"/>
  <c r="AT44" i="94"/>
  <c r="AS44" i="94"/>
  <c r="AR44" i="94"/>
  <c r="AX42" i="94"/>
  <c r="AU42" i="94"/>
  <c r="AR42" i="94"/>
  <c r="AN42" i="94"/>
  <c r="AV42" i="94"/>
  <c r="F42" i="94"/>
  <c r="AX41" i="94"/>
  <c r="AV41" i="94"/>
  <c r="AU41" i="94"/>
  <c r="AS41" i="94"/>
  <c r="AT41" i="94"/>
  <c r="AW41" i="94"/>
  <c r="AR41" i="94"/>
  <c r="F41" i="94"/>
  <c r="AX40" i="94"/>
  <c r="AV40" i="94"/>
  <c r="AU40" i="94"/>
  <c r="AS40" i="94"/>
  <c r="AT40" i="94"/>
  <c r="AW40" i="94"/>
  <c r="AR40" i="94"/>
  <c r="F40" i="94"/>
  <c r="AX39" i="94"/>
  <c r="AV39" i="94"/>
  <c r="AU39" i="94"/>
  <c r="AS39" i="94"/>
  <c r="AT39" i="94"/>
  <c r="AW39" i="94"/>
  <c r="AR39" i="94"/>
  <c r="F39" i="94"/>
  <c r="AX38" i="94"/>
  <c r="AV38" i="94"/>
  <c r="AU38" i="94"/>
  <c r="AT38" i="94"/>
  <c r="AW38" i="94"/>
  <c r="AS38" i="94"/>
  <c r="AR38" i="94"/>
  <c r="F38" i="94"/>
  <c r="AX37" i="94"/>
  <c r="AW37" i="94"/>
  <c r="AV37" i="94"/>
  <c r="AU37" i="94"/>
  <c r="AT37" i="94"/>
  <c r="AS37" i="94"/>
  <c r="AR37" i="94"/>
  <c r="AX36" i="94"/>
  <c r="AV36" i="94"/>
  <c r="AU36" i="94"/>
  <c r="AS36" i="94"/>
  <c r="AT36" i="94"/>
  <c r="AW36" i="94"/>
  <c r="AR36" i="94"/>
  <c r="H36" i="94"/>
  <c r="N36" i="94"/>
  <c r="F36" i="94"/>
  <c r="AX35" i="94"/>
  <c r="AV35" i="94"/>
  <c r="AU35" i="94"/>
  <c r="AS35" i="94"/>
  <c r="AT35" i="94"/>
  <c r="AW35" i="94"/>
  <c r="AR35" i="94"/>
  <c r="AX34" i="94"/>
  <c r="AW34" i="94"/>
  <c r="AV34" i="94"/>
  <c r="AU34" i="94"/>
  <c r="AT34" i="94"/>
  <c r="AS34" i="94"/>
  <c r="AR34" i="94"/>
  <c r="F34" i="94"/>
  <c r="AX33" i="94"/>
  <c r="AV33" i="94"/>
  <c r="AU33" i="94"/>
  <c r="AT33" i="94"/>
  <c r="AW33" i="94"/>
  <c r="AS33" i="94"/>
  <c r="AR33" i="94"/>
  <c r="AX32" i="94"/>
  <c r="AV32" i="94"/>
  <c r="AU32" i="94"/>
  <c r="AS32" i="94"/>
  <c r="AT32" i="94"/>
  <c r="AW32" i="94"/>
  <c r="AR32" i="94"/>
  <c r="F32" i="94"/>
  <c r="AX31" i="94"/>
  <c r="AV31" i="94"/>
  <c r="AU31" i="94"/>
  <c r="AT31" i="94"/>
  <c r="AW31" i="94"/>
  <c r="AS31" i="94"/>
  <c r="AR31" i="94"/>
  <c r="F27" i="94"/>
  <c r="AH25" i="94"/>
  <c r="X27" i="94"/>
  <c r="X29" i="94"/>
  <c r="X30" i="94"/>
  <c r="AC25" i="94"/>
  <c r="H47" i="94"/>
  <c r="N47" i="94"/>
  <c r="T25" i="94"/>
  <c r="A22" i="94"/>
  <c r="A21" i="94"/>
  <c r="AV19" i="94"/>
  <c r="AS19" i="94"/>
  <c r="AR19" i="94"/>
  <c r="AN18" i="94"/>
  <c r="AQ16" i="94"/>
  <c r="AQ13" i="94"/>
  <c r="AX9" i="94"/>
  <c r="AU25" i="94"/>
  <c r="AV25" i="94"/>
  <c r="AW25" i="94"/>
  <c r="AX8" i="94"/>
  <c r="AR22" i="94"/>
  <c r="AS22" i="94"/>
  <c r="AT22" i="94"/>
  <c r="AR8" i="94"/>
  <c r="AV7" i="94"/>
  <c r="AX7" i="94"/>
  <c r="AR25" i="94"/>
  <c r="AS25" i="94"/>
  <c r="AT25" i="94"/>
  <c r="AR7" i="94"/>
  <c r="H7" i="94"/>
  <c r="AX6" i="94"/>
  <c r="H6" i="94"/>
  <c r="AX5" i="94"/>
  <c r="AU16" i="94"/>
  <c r="AV16" i="94"/>
  <c r="AW16" i="94"/>
  <c r="H5" i="94"/>
  <c r="AX4" i="94"/>
  <c r="AR16" i="94"/>
  <c r="R62" i="93"/>
  <c r="F93" i="84"/>
  <c r="AR52" i="93"/>
  <c r="F52" i="93"/>
  <c r="AR51" i="93"/>
  <c r="AR50" i="93"/>
  <c r="AR49" i="93"/>
  <c r="AR48" i="93"/>
  <c r="F48" i="93"/>
  <c r="AR47" i="93"/>
  <c r="AX46" i="93"/>
  <c r="AV46" i="93"/>
  <c r="AU46" i="93"/>
  <c r="AT46" i="93"/>
  <c r="AW46" i="93"/>
  <c r="AS46" i="93"/>
  <c r="AR46" i="93"/>
  <c r="F46" i="93"/>
  <c r="AX45" i="93"/>
  <c r="AV45" i="93"/>
  <c r="AU45" i="93"/>
  <c r="AS45" i="93"/>
  <c r="AT45" i="93"/>
  <c r="AW45" i="93"/>
  <c r="AR45" i="93"/>
  <c r="AX44" i="93"/>
  <c r="AW44" i="93"/>
  <c r="AV44" i="93"/>
  <c r="AU44" i="93"/>
  <c r="AT44" i="93"/>
  <c r="AS44" i="93"/>
  <c r="AR44" i="93"/>
  <c r="AX42" i="93"/>
  <c r="AV42" i="93"/>
  <c r="AU42" i="93"/>
  <c r="AS42" i="93"/>
  <c r="AT42" i="93"/>
  <c r="AW42" i="93"/>
  <c r="AR42" i="93"/>
  <c r="AN42" i="93"/>
  <c r="F42" i="93"/>
  <c r="AX41" i="93"/>
  <c r="AV41" i="93"/>
  <c r="AU41" i="93"/>
  <c r="AT41" i="93"/>
  <c r="AW41" i="93"/>
  <c r="AS41" i="93"/>
  <c r="AR41" i="93"/>
  <c r="F41" i="93"/>
  <c r="AX40" i="93"/>
  <c r="AV40" i="93"/>
  <c r="AU40" i="93"/>
  <c r="AS40" i="93"/>
  <c r="AT40" i="93"/>
  <c r="AW40" i="93"/>
  <c r="AR40" i="93"/>
  <c r="F40" i="93"/>
  <c r="AX39" i="93"/>
  <c r="AV39" i="93"/>
  <c r="AU39" i="93"/>
  <c r="AS39" i="93"/>
  <c r="AT39" i="93"/>
  <c r="AW39" i="93"/>
  <c r="AR39" i="93"/>
  <c r="F39" i="93"/>
  <c r="AX38" i="93"/>
  <c r="AV38" i="93"/>
  <c r="AU38" i="93"/>
  <c r="AS38" i="93"/>
  <c r="AT38" i="93"/>
  <c r="AW38" i="93"/>
  <c r="AR38" i="93"/>
  <c r="F38" i="93"/>
  <c r="AX37" i="93"/>
  <c r="AV37" i="93"/>
  <c r="AU37" i="93"/>
  <c r="AT37" i="93"/>
  <c r="AW37" i="93"/>
  <c r="AS37" i="93"/>
  <c r="AR37" i="93"/>
  <c r="AX36" i="93"/>
  <c r="AV36" i="93"/>
  <c r="AU36" i="93"/>
  <c r="AT36" i="93"/>
  <c r="AW36" i="93"/>
  <c r="AS36" i="93"/>
  <c r="AR36" i="93"/>
  <c r="F36" i="93"/>
  <c r="AX35" i="93"/>
  <c r="AV35" i="93"/>
  <c r="AU35" i="93"/>
  <c r="AS35" i="93"/>
  <c r="AT35" i="93"/>
  <c r="AW35" i="93"/>
  <c r="AR35" i="93"/>
  <c r="AX34" i="93"/>
  <c r="AW34" i="93"/>
  <c r="AV34" i="93"/>
  <c r="AU34" i="93"/>
  <c r="AT34" i="93"/>
  <c r="AS34" i="93"/>
  <c r="AR34" i="93"/>
  <c r="F34" i="93"/>
  <c r="AX33" i="93"/>
  <c r="AV33" i="93"/>
  <c r="AU33" i="93"/>
  <c r="AT33" i="93"/>
  <c r="AW33" i="93"/>
  <c r="AS33" i="93"/>
  <c r="AR33" i="93"/>
  <c r="AX32" i="93"/>
  <c r="AV32" i="93"/>
  <c r="AU32" i="93"/>
  <c r="AS32" i="93"/>
  <c r="AT32" i="93"/>
  <c r="AW32" i="93"/>
  <c r="AR32" i="93"/>
  <c r="F32" i="93"/>
  <c r="AX31" i="93"/>
  <c r="AV31" i="93"/>
  <c r="AU31" i="93"/>
  <c r="AS31" i="93"/>
  <c r="AT31" i="93"/>
  <c r="AW31" i="93"/>
  <c r="AR31" i="93"/>
  <c r="F27" i="93"/>
  <c r="AU25" i="93"/>
  <c r="AV25" i="93"/>
  <c r="AH25" i="93"/>
  <c r="X27" i="93"/>
  <c r="X29" i="93"/>
  <c r="X30" i="93"/>
  <c r="AC25" i="93"/>
  <c r="H47" i="93"/>
  <c r="N47" i="93"/>
  <c r="T25" i="93"/>
  <c r="AR22" i="93"/>
  <c r="AS22" i="93"/>
  <c r="A22" i="93"/>
  <c r="A21" i="93"/>
  <c r="AV19" i="93"/>
  <c r="AR19" i="93"/>
  <c r="AS19" i="93"/>
  <c r="AN18" i="93"/>
  <c r="AQ16" i="93"/>
  <c r="AQ13" i="93"/>
  <c r="AX9" i="93"/>
  <c r="AX8" i="93"/>
  <c r="AR8" i="93"/>
  <c r="AX7" i="93"/>
  <c r="AR25" i="93"/>
  <c r="AS25" i="93"/>
  <c r="AV7" i="93"/>
  <c r="AR7" i="93"/>
  <c r="H7" i="93"/>
  <c r="AX6" i="93"/>
  <c r="H6" i="93"/>
  <c r="AX5" i="93"/>
  <c r="AU16" i="93"/>
  <c r="AV16" i="93"/>
  <c r="H5" i="93"/>
  <c r="AX4" i="93"/>
  <c r="AR16" i="93"/>
  <c r="R62" i="92"/>
  <c r="F85" i="84"/>
  <c r="AR52" i="92"/>
  <c r="F52" i="92"/>
  <c r="AR51" i="92"/>
  <c r="AR50" i="92"/>
  <c r="AR49" i="92"/>
  <c r="AR48" i="92"/>
  <c r="F48" i="92"/>
  <c r="AR47" i="92"/>
  <c r="AX46" i="92"/>
  <c r="AV46" i="92"/>
  <c r="AU46" i="92"/>
  <c r="AS46" i="92"/>
  <c r="AT46" i="92"/>
  <c r="AW46" i="92"/>
  <c r="AR46" i="92"/>
  <c r="F46" i="92"/>
  <c r="F53" i="92"/>
  <c r="AX45" i="92"/>
  <c r="AV45" i="92"/>
  <c r="AU45" i="92"/>
  <c r="AS45" i="92"/>
  <c r="AT45" i="92"/>
  <c r="AW45" i="92"/>
  <c r="AR45" i="92"/>
  <c r="AX44" i="92"/>
  <c r="AW44" i="92"/>
  <c r="AV44" i="92"/>
  <c r="AU44" i="92"/>
  <c r="AT44" i="92"/>
  <c r="AS44" i="92"/>
  <c r="AR44" i="92"/>
  <c r="AX42" i="92"/>
  <c r="AU42" i="92"/>
  <c r="AN42" i="92"/>
  <c r="AV42" i="92"/>
  <c r="F42" i="92"/>
  <c r="AX41" i="92"/>
  <c r="AV41" i="92"/>
  <c r="AU41" i="92"/>
  <c r="AS41" i="92"/>
  <c r="AT41" i="92"/>
  <c r="AW41" i="92"/>
  <c r="AR41" i="92"/>
  <c r="F41" i="92"/>
  <c r="AX40" i="92"/>
  <c r="AV40" i="92"/>
  <c r="AU40" i="92"/>
  <c r="AS40" i="92"/>
  <c r="AT40" i="92"/>
  <c r="AW40" i="92"/>
  <c r="AR40" i="92"/>
  <c r="F40" i="92"/>
  <c r="AX39" i="92"/>
  <c r="AV39" i="92"/>
  <c r="AU39" i="92"/>
  <c r="AS39" i="92"/>
  <c r="AT39" i="92"/>
  <c r="AW39" i="92"/>
  <c r="AR39" i="92"/>
  <c r="F39" i="92"/>
  <c r="AX38" i="92"/>
  <c r="AW38" i="92"/>
  <c r="AV38" i="92"/>
  <c r="AU38" i="92"/>
  <c r="AT38" i="92"/>
  <c r="AS38" i="92"/>
  <c r="AR38" i="92"/>
  <c r="F38" i="92"/>
  <c r="AX37" i="92"/>
  <c r="AV37" i="92"/>
  <c r="AU37" i="92"/>
  <c r="AS37" i="92"/>
  <c r="AT37" i="92"/>
  <c r="AW37" i="92"/>
  <c r="AR37" i="92"/>
  <c r="AX36" i="92"/>
  <c r="AV36" i="92"/>
  <c r="AU36" i="92"/>
  <c r="AS36" i="92"/>
  <c r="AT36" i="92"/>
  <c r="AW36" i="92"/>
  <c r="AR36" i="92"/>
  <c r="F36" i="92"/>
  <c r="AX35" i="92"/>
  <c r="AV35" i="92"/>
  <c r="AU35" i="92"/>
  <c r="AS35" i="92"/>
  <c r="AT35" i="92"/>
  <c r="AW35" i="92"/>
  <c r="AR35" i="92"/>
  <c r="AX34" i="92"/>
  <c r="AW34" i="92"/>
  <c r="AV34" i="92"/>
  <c r="AU34" i="92"/>
  <c r="AT34" i="92"/>
  <c r="AS34" i="92"/>
  <c r="AR34" i="92"/>
  <c r="F34" i="92"/>
  <c r="AX33" i="92"/>
  <c r="AV33" i="92"/>
  <c r="AU33" i="92"/>
  <c r="AT33" i="92"/>
  <c r="AW33" i="92"/>
  <c r="AS33" i="92"/>
  <c r="AR33" i="92"/>
  <c r="AX32" i="92"/>
  <c r="AV32" i="92"/>
  <c r="AU32" i="92"/>
  <c r="AS32" i="92"/>
  <c r="AT32" i="92"/>
  <c r="AW32" i="92"/>
  <c r="AR32" i="92"/>
  <c r="F32" i="92"/>
  <c r="AX31" i="92"/>
  <c r="AW31" i="92"/>
  <c r="AV31" i="92"/>
  <c r="AU31" i="92"/>
  <c r="AT31" i="92"/>
  <c r="AS31" i="92"/>
  <c r="AR31" i="92"/>
  <c r="F27" i="92"/>
  <c r="X27" i="92"/>
  <c r="X29" i="92"/>
  <c r="X30" i="92"/>
  <c r="H47" i="92"/>
  <c r="N47" i="92"/>
  <c r="A22" i="92"/>
  <c r="A21" i="92"/>
  <c r="AV19" i="92"/>
  <c r="AN18" i="92"/>
  <c r="AR16" i="92"/>
  <c r="AT12" i="92"/>
  <c r="AQ16" i="92"/>
  <c r="AQ13" i="92"/>
  <c r="AX9" i="92"/>
  <c r="AU25" i="92"/>
  <c r="AV25" i="92"/>
  <c r="AW25" i="92"/>
  <c r="AX8" i="92"/>
  <c r="AR22" i="92"/>
  <c r="AS22" i="92"/>
  <c r="AT22" i="92"/>
  <c r="AR8" i="92"/>
  <c r="AX7" i="92"/>
  <c r="AR25" i="92"/>
  <c r="AS25" i="92"/>
  <c r="AV7" i="92"/>
  <c r="AR7" i="92"/>
  <c r="H7" i="92"/>
  <c r="AX6" i="92"/>
  <c r="AR19" i="92"/>
  <c r="AS19" i="92"/>
  <c r="AT19" i="92"/>
  <c r="H6" i="92"/>
  <c r="AX5" i="92"/>
  <c r="AU16" i="92"/>
  <c r="AV16" i="92"/>
  <c r="H5" i="92"/>
  <c r="AX4" i="92"/>
  <c r="R62" i="91"/>
  <c r="F77" i="84"/>
  <c r="AR52" i="91"/>
  <c r="F52" i="91"/>
  <c r="AR51" i="91"/>
  <c r="AR50" i="91"/>
  <c r="AR49" i="91"/>
  <c r="AR48" i="91"/>
  <c r="F48" i="91"/>
  <c r="AR47" i="91"/>
  <c r="AX46" i="91"/>
  <c r="AV46" i="91"/>
  <c r="AU46" i="91"/>
  <c r="AS46" i="91"/>
  <c r="AT46" i="91"/>
  <c r="AW46" i="91"/>
  <c r="AR46" i="91"/>
  <c r="F46" i="91"/>
  <c r="F53" i="91"/>
  <c r="AX45" i="91"/>
  <c r="AV45" i="91"/>
  <c r="AU45" i="91"/>
  <c r="AT45" i="91"/>
  <c r="AW45" i="91"/>
  <c r="AS45" i="91"/>
  <c r="AR45" i="91"/>
  <c r="AX44" i="91"/>
  <c r="AW44" i="91"/>
  <c r="AV44" i="91"/>
  <c r="AU44" i="91"/>
  <c r="AT44" i="91"/>
  <c r="AS44" i="91"/>
  <c r="AR44" i="91"/>
  <c r="AX42" i="91"/>
  <c r="AU42" i="91"/>
  <c r="AN42" i="91"/>
  <c r="AV42" i="91"/>
  <c r="F42" i="91"/>
  <c r="AX41" i="91"/>
  <c r="AV41" i="91"/>
  <c r="AU41" i="91"/>
  <c r="AS41" i="91"/>
  <c r="AT41" i="91"/>
  <c r="AW41" i="91"/>
  <c r="AR41" i="91"/>
  <c r="F41" i="91"/>
  <c r="AX40" i="91"/>
  <c r="AV40" i="91"/>
  <c r="AU40" i="91"/>
  <c r="AS40" i="91"/>
  <c r="AT40" i="91"/>
  <c r="AW40" i="91"/>
  <c r="AR40" i="91"/>
  <c r="F40" i="91"/>
  <c r="AX39" i="91"/>
  <c r="AV39" i="91"/>
  <c r="AU39" i="91"/>
  <c r="AS39" i="91"/>
  <c r="AT39" i="91"/>
  <c r="AW39" i="91"/>
  <c r="AR39" i="91"/>
  <c r="F39" i="91"/>
  <c r="AX38" i="91"/>
  <c r="AV38" i="91"/>
  <c r="AU38" i="91"/>
  <c r="AS38" i="91"/>
  <c r="AT38" i="91"/>
  <c r="AW38" i="91"/>
  <c r="AR38" i="91"/>
  <c r="F38" i="91"/>
  <c r="AX37" i="91"/>
  <c r="AV37" i="91"/>
  <c r="AU37" i="91"/>
  <c r="AS37" i="91"/>
  <c r="AT37" i="91"/>
  <c r="AW37" i="91"/>
  <c r="AR37" i="91"/>
  <c r="AX36" i="91"/>
  <c r="AV36" i="91"/>
  <c r="AU36" i="91"/>
  <c r="AS36" i="91"/>
  <c r="AT36" i="91"/>
  <c r="AW36" i="91"/>
  <c r="AR36" i="91"/>
  <c r="F36" i="91"/>
  <c r="AX35" i="91"/>
  <c r="AV35" i="91"/>
  <c r="AU35" i="91"/>
  <c r="AS35" i="91"/>
  <c r="AT35" i="91"/>
  <c r="AW35" i="91"/>
  <c r="AR35" i="91"/>
  <c r="AX34" i="91"/>
  <c r="AW34" i="91"/>
  <c r="AV34" i="91"/>
  <c r="AU34" i="91"/>
  <c r="AT34" i="91"/>
  <c r="AS34" i="91"/>
  <c r="AR34" i="91"/>
  <c r="F34" i="91"/>
  <c r="AX33" i="91"/>
  <c r="AV33" i="91"/>
  <c r="AU33" i="91"/>
  <c r="AT33" i="91"/>
  <c r="AW33" i="91"/>
  <c r="AS33" i="91"/>
  <c r="AR33" i="91"/>
  <c r="AX32" i="91"/>
  <c r="AV32" i="91"/>
  <c r="AU32" i="91"/>
  <c r="AS32" i="91"/>
  <c r="AT32" i="91"/>
  <c r="AW32" i="91"/>
  <c r="AR32" i="91"/>
  <c r="F32" i="91"/>
  <c r="AX31" i="91"/>
  <c r="AV31" i="91"/>
  <c r="AU31" i="91"/>
  <c r="AS31" i="91"/>
  <c r="AT31" i="91"/>
  <c r="AW31" i="91"/>
  <c r="AR31" i="91"/>
  <c r="F27" i="91"/>
  <c r="AH25" i="91"/>
  <c r="X27" i="91"/>
  <c r="X29" i="91"/>
  <c r="X30" i="91"/>
  <c r="AC25" i="91"/>
  <c r="H47" i="91"/>
  <c r="N47" i="91"/>
  <c r="T25" i="91"/>
  <c r="A22" i="91"/>
  <c r="A21" i="91"/>
  <c r="AV19" i="91"/>
  <c r="AW19" i="91"/>
  <c r="AN18" i="91"/>
  <c r="AR16" i="91"/>
  <c r="AS16" i="91"/>
  <c r="AQ16" i="91"/>
  <c r="AQ13" i="91"/>
  <c r="AX9" i="91"/>
  <c r="AU25" i="91"/>
  <c r="AV25" i="91"/>
  <c r="AW25" i="91"/>
  <c r="AX8" i="91"/>
  <c r="AR22" i="91"/>
  <c r="AS22" i="91"/>
  <c r="AT22" i="91"/>
  <c r="AR8" i="91"/>
  <c r="AX7" i="91"/>
  <c r="AR25" i="91"/>
  <c r="AS25" i="91"/>
  <c r="AT25" i="91"/>
  <c r="AV7" i="91"/>
  <c r="AR7" i="91"/>
  <c r="H7" i="91"/>
  <c r="AX6" i="91"/>
  <c r="AR19" i="91"/>
  <c r="AS19" i="91"/>
  <c r="AT19" i="91"/>
  <c r="H6" i="91"/>
  <c r="AX5" i="91"/>
  <c r="AU16" i="91"/>
  <c r="AV16" i="91"/>
  <c r="AW16" i="91"/>
  <c r="H5" i="91"/>
  <c r="AX4" i="91"/>
  <c r="R62" i="90"/>
  <c r="F69" i="84"/>
  <c r="AR52" i="90"/>
  <c r="F52" i="90"/>
  <c r="AR51" i="90"/>
  <c r="AR50" i="90"/>
  <c r="AR49" i="90"/>
  <c r="AR48" i="90"/>
  <c r="F48" i="90"/>
  <c r="AR47" i="90"/>
  <c r="AX46" i="90"/>
  <c r="AV46" i="90"/>
  <c r="AU46" i="90"/>
  <c r="AS46" i="90"/>
  <c r="AT46" i="90"/>
  <c r="AW46" i="90"/>
  <c r="AR46" i="90"/>
  <c r="F46" i="90"/>
  <c r="AX45" i="90"/>
  <c r="AV45" i="90"/>
  <c r="AU45" i="90"/>
  <c r="AS45" i="90"/>
  <c r="AT45" i="90"/>
  <c r="AW45" i="90"/>
  <c r="AR45" i="90"/>
  <c r="AX44" i="90"/>
  <c r="AV44" i="90"/>
  <c r="AU44" i="90"/>
  <c r="AT44" i="90"/>
  <c r="AW44" i="90"/>
  <c r="AS44" i="90"/>
  <c r="AR44" i="90"/>
  <c r="AX42" i="90"/>
  <c r="AU42" i="90"/>
  <c r="AN42" i="90"/>
  <c r="AV42" i="90"/>
  <c r="F42" i="90"/>
  <c r="AX41" i="90"/>
  <c r="AV41" i="90"/>
  <c r="AU41" i="90"/>
  <c r="AS41" i="90"/>
  <c r="AT41" i="90"/>
  <c r="AW41" i="90"/>
  <c r="AR41" i="90"/>
  <c r="F41" i="90"/>
  <c r="AX40" i="90"/>
  <c r="AV40" i="90"/>
  <c r="AU40" i="90"/>
  <c r="AT40" i="90"/>
  <c r="AW40" i="90"/>
  <c r="AS40" i="90"/>
  <c r="AR40" i="90"/>
  <c r="F40" i="90"/>
  <c r="AX39" i="90"/>
  <c r="AV39" i="90"/>
  <c r="AU39" i="90"/>
  <c r="AS39" i="90"/>
  <c r="AT39" i="90"/>
  <c r="AW39" i="90"/>
  <c r="AR39" i="90"/>
  <c r="F39" i="90"/>
  <c r="AX38" i="90"/>
  <c r="AW38" i="90"/>
  <c r="AV38" i="90"/>
  <c r="AU38" i="90"/>
  <c r="AT38" i="90"/>
  <c r="AS38" i="90"/>
  <c r="AR38" i="90"/>
  <c r="F38" i="90"/>
  <c r="AX37" i="90"/>
  <c r="AV37" i="90"/>
  <c r="AU37" i="90"/>
  <c r="AS37" i="90"/>
  <c r="AT37" i="90"/>
  <c r="AW37" i="90"/>
  <c r="AR37" i="90"/>
  <c r="AX36" i="90"/>
  <c r="AV36" i="90"/>
  <c r="AU36" i="90"/>
  <c r="AS36" i="90"/>
  <c r="AT36" i="90"/>
  <c r="AW36" i="90"/>
  <c r="AR36" i="90"/>
  <c r="F36" i="90"/>
  <c r="AX35" i="90"/>
  <c r="AV35" i="90"/>
  <c r="AU35" i="90"/>
  <c r="AT35" i="90"/>
  <c r="AW35" i="90"/>
  <c r="AS35" i="90"/>
  <c r="AR35" i="90"/>
  <c r="AX34" i="90"/>
  <c r="AV34" i="90"/>
  <c r="AU34" i="90"/>
  <c r="AT34" i="90"/>
  <c r="AW34" i="90"/>
  <c r="AS34" i="90"/>
  <c r="AR34" i="90"/>
  <c r="F34" i="90"/>
  <c r="AX33" i="90"/>
  <c r="AV33" i="90"/>
  <c r="AU33" i="90"/>
  <c r="AT33" i="90"/>
  <c r="AW33" i="90"/>
  <c r="AS33" i="90"/>
  <c r="AR33" i="90"/>
  <c r="AX32" i="90"/>
  <c r="AV32" i="90"/>
  <c r="AU32" i="90"/>
  <c r="AS32" i="90"/>
  <c r="AT32" i="90"/>
  <c r="AW32" i="90"/>
  <c r="AR32" i="90"/>
  <c r="F32" i="90"/>
  <c r="F53" i="90"/>
  <c r="AX31" i="90"/>
  <c r="AW31" i="90"/>
  <c r="AV31" i="90"/>
  <c r="AU31" i="90"/>
  <c r="AT31" i="90"/>
  <c r="AS31" i="90"/>
  <c r="AR31" i="90"/>
  <c r="F27" i="90"/>
  <c r="AH25" i="90"/>
  <c r="X27" i="90"/>
  <c r="X29" i="90"/>
  <c r="X30" i="90"/>
  <c r="AC25" i="90"/>
  <c r="H47" i="90"/>
  <c r="N47" i="90"/>
  <c r="T25" i="90"/>
  <c r="A22" i="90"/>
  <c r="A21" i="90"/>
  <c r="AV19" i="90"/>
  <c r="AW19" i="90"/>
  <c r="AN18" i="90"/>
  <c r="AR16" i="90"/>
  <c r="AT12" i="90"/>
  <c r="AQ16" i="90"/>
  <c r="AQ13" i="90"/>
  <c r="AX9" i="90"/>
  <c r="AU25" i="90"/>
  <c r="AV25" i="90"/>
  <c r="AW25" i="90"/>
  <c r="AX8" i="90"/>
  <c r="AR22" i="90"/>
  <c r="AS22" i="90"/>
  <c r="AT22" i="90"/>
  <c r="AX7" i="90"/>
  <c r="AR25" i="90"/>
  <c r="AS25" i="90"/>
  <c r="AT25" i="90"/>
  <c r="AV7" i="90"/>
  <c r="AR7" i="90"/>
  <c r="AR8" i="90"/>
  <c r="H7" i="90"/>
  <c r="AX6" i="90"/>
  <c r="AR19" i="90"/>
  <c r="AS19" i="90"/>
  <c r="AT19" i="90"/>
  <c r="H6" i="90"/>
  <c r="AX5" i="90"/>
  <c r="AU16" i="90"/>
  <c r="AV16" i="90"/>
  <c r="AW16" i="90"/>
  <c r="H5" i="90"/>
  <c r="AX4" i="90"/>
  <c r="R62" i="89"/>
  <c r="F61" i="84"/>
  <c r="AR52" i="89"/>
  <c r="F52" i="89"/>
  <c r="AR51" i="89"/>
  <c r="AR50" i="89"/>
  <c r="AR49" i="89"/>
  <c r="AR48" i="89"/>
  <c r="F48" i="89"/>
  <c r="AR47" i="89"/>
  <c r="AX46" i="89"/>
  <c r="AV46" i="89"/>
  <c r="AU46" i="89"/>
  <c r="AS46" i="89"/>
  <c r="AT46" i="89"/>
  <c r="AW46" i="89"/>
  <c r="AR46" i="89"/>
  <c r="F46" i="89"/>
  <c r="F53" i="89"/>
  <c r="AX45" i="89"/>
  <c r="AV45" i="89"/>
  <c r="AU45" i="89"/>
  <c r="AS45" i="89"/>
  <c r="AT45" i="89"/>
  <c r="AW45" i="89"/>
  <c r="AR45" i="89"/>
  <c r="AX44" i="89"/>
  <c r="AV44" i="89"/>
  <c r="AU44" i="89"/>
  <c r="AS44" i="89"/>
  <c r="AT44" i="89"/>
  <c r="AW44" i="89"/>
  <c r="AR44" i="89"/>
  <c r="AX42" i="89"/>
  <c r="AU42" i="89"/>
  <c r="AN42" i="89"/>
  <c r="AV42" i="89"/>
  <c r="F42" i="89"/>
  <c r="AX41" i="89"/>
  <c r="AW41" i="89"/>
  <c r="AV41" i="89"/>
  <c r="AU41" i="89"/>
  <c r="AT41" i="89"/>
  <c r="AS41" i="89"/>
  <c r="AR41" i="89"/>
  <c r="F41" i="89"/>
  <c r="AX40" i="89"/>
  <c r="AV40" i="89"/>
  <c r="AU40" i="89"/>
  <c r="AS40" i="89"/>
  <c r="AT40" i="89"/>
  <c r="AW40" i="89"/>
  <c r="AR40" i="89"/>
  <c r="F40" i="89"/>
  <c r="AX39" i="89"/>
  <c r="AV39" i="89"/>
  <c r="AU39" i="89"/>
  <c r="AT39" i="89"/>
  <c r="AW39" i="89"/>
  <c r="AS39" i="89"/>
  <c r="AR39" i="89"/>
  <c r="F39" i="89"/>
  <c r="AX38" i="89"/>
  <c r="AV38" i="89"/>
  <c r="AU38" i="89"/>
  <c r="AS38" i="89"/>
  <c r="AT38" i="89"/>
  <c r="AW38" i="89"/>
  <c r="AR38" i="89"/>
  <c r="F38" i="89"/>
  <c r="AX37" i="89"/>
  <c r="AV37" i="89"/>
  <c r="AU37" i="89"/>
  <c r="AS37" i="89"/>
  <c r="AT37" i="89"/>
  <c r="AW37" i="89"/>
  <c r="AR37" i="89"/>
  <c r="AX36" i="89"/>
  <c r="AW36" i="89"/>
  <c r="AV36" i="89"/>
  <c r="AU36" i="89"/>
  <c r="AT36" i="89"/>
  <c r="AS36" i="89"/>
  <c r="AR36" i="89"/>
  <c r="F36" i="89"/>
  <c r="AX35" i="89"/>
  <c r="AV35" i="89"/>
  <c r="AU35" i="89"/>
  <c r="AS35" i="89"/>
  <c r="AT35" i="89"/>
  <c r="AW35" i="89"/>
  <c r="AR35" i="89"/>
  <c r="AX34" i="89"/>
  <c r="AV34" i="89"/>
  <c r="AU34" i="89"/>
  <c r="AS34" i="89"/>
  <c r="AT34" i="89"/>
  <c r="AW34" i="89"/>
  <c r="AR34" i="89"/>
  <c r="F34" i="89"/>
  <c r="AX33" i="89"/>
  <c r="AV33" i="89"/>
  <c r="AU33" i="89"/>
  <c r="AT33" i="89"/>
  <c r="AW33" i="89"/>
  <c r="AS33" i="89"/>
  <c r="AR33" i="89"/>
  <c r="AX32" i="89"/>
  <c r="AV32" i="89"/>
  <c r="AU32" i="89"/>
  <c r="AT32" i="89"/>
  <c r="AW32" i="89"/>
  <c r="AS32" i="89"/>
  <c r="AR32" i="89"/>
  <c r="F32" i="89"/>
  <c r="AX31" i="89"/>
  <c r="AV31" i="89"/>
  <c r="AU31" i="89"/>
  <c r="AS31" i="89"/>
  <c r="AT31" i="89"/>
  <c r="AW31" i="89"/>
  <c r="AR31" i="89"/>
  <c r="F27" i="89"/>
  <c r="AH25" i="89"/>
  <c r="X27" i="89"/>
  <c r="X29" i="89"/>
  <c r="X30" i="89"/>
  <c r="AC25" i="89"/>
  <c r="H47" i="89"/>
  <c r="N47" i="89"/>
  <c r="T25" i="89"/>
  <c r="A22" i="89"/>
  <c r="A21" i="89"/>
  <c r="AV19" i="89"/>
  <c r="AW19" i="89"/>
  <c r="AN18" i="89"/>
  <c r="AR16" i="89"/>
  <c r="AS16" i="89"/>
  <c r="AT16" i="89"/>
  <c r="AQ13" i="89"/>
  <c r="AX9" i="89"/>
  <c r="AU25" i="89"/>
  <c r="AV25" i="89"/>
  <c r="AW25" i="89"/>
  <c r="N61" i="89"/>
  <c r="R61" i="89"/>
  <c r="F60" i="84"/>
  <c r="AX8" i="89"/>
  <c r="AR22" i="89"/>
  <c r="AS22" i="89"/>
  <c r="AT22" i="89"/>
  <c r="AR8" i="89"/>
  <c r="AV7" i="89"/>
  <c r="AX7" i="89"/>
  <c r="AR25" i="89"/>
  <c r="AS25" i="89"/>
  <c r="AT25" i="89"/>
  <c r="AR7" i="89"/>
  <c r="AQ16" i="89"/>
  <c r="H7" i="89"/>
  <c r="AX6" i="89"/>
  <c r="AR19" i="89"/>
  <c r="AS19" i="89"/>
  <c r="AT19" i="89"/>
  <c r="H6" i="89"/>
  <c r="AX5" i="89"/>
  <c r="AU16" i="89"/>
  <c r="AV16" i="89"/>
  <c r="AW16" i="89"/>
  <c r="H5" i="89"/>
  <c r="AX4" i="89"/>
  <c r="X28" i="87"/>
  <c r="R60" i="86"/>
  <c r="X28" i="88"/>
  <c r="R62" i="88"/>
  <c r="F45" i="84"/>
  <c r="AR52" i="88"/>
  <c r="F52" i="88"/>
  <c r="AR51" i="88"/>
  <c r="AR50" i="88"/>
  <c r="AR49" i="88"/>
  <c r="AR48" i="88"/>
  <c r="F48" i="88"/>
  <c r="H48" i="88"/>
  <c r="AR47" i="88"/>
  <c r="AX46" i="88"/>
  <c r="AV46" i="88"/>
  <c r="AU46" i="88"/>
  <c r="AS46" i="88"/>
  <c r="AT46" i="88"/>
  <c r="AW46" i="88"/>
  <c r="AR46" i="88"/>
  <c r="F46" i="88"/>
  <c r="H46" i="88"/>
  <c r="AX45" i="88"/>
  <c r="AV45" i="88"/>
  <c r="AU45" i="88"/>
  <c r="AT45" i="88"/>
  <c r="AW45" i="88"/>
  <c r="AS45" i="88"/>
  <c r="AR45" i="88"/>
  <c r="AX44" i="88"/>
  <c r="AW44" i="88"/>
  <c r="AV44" i="88"/>
  <c r="AU44" i="88"/>
  <c r="AT44" i="88"/>
  <c r="AS44" i="88"/>
  <c r="AR44" i="88"/>
  <c r="AX42" i="88"/>
  <c r="AU42" i="88"/>
  <c r="AS42" i="88"/>
  <c r="AT42" i="88"/>
  <c r="AW42" i="88"/>
  <c r="AN42" i="88"/>
  <c r="AV42" i="88"/>
  <c r="F42" i="88"/>
  <c r="H42" i="88"/>
  <c r="AX41" i="88"/>
  <c r="AV41" i="88"/>
  <c r="AU41" i="88"/>
  <c r="AS41" i="88"/>
  <c r="AT41" i="88"/>
  <c r="AW41" i="88"/>
  <c r="AR41" i="88"/>
  <c r="F41" i="88"/>
  <c r="H41" i="88"/>
  <c r="N41" i="88"/>
  <c r="AX40" i="88"/>
  <c r="AV40" i="88"/>
  <c r="AU40" i="88"/>
  <c r="AS40" i="88"/>
  <c r="AT40" i="88"/>
  <c r="AW40" i="88"/>
  <c r="AR40" i="88"/>
  <c r="F40" i="88"/>
  <c r="AX39" i="88"/>
  <c r="AV39" i="88"/>
  <c r="AU39" i="88"/>
  <c r="AS39" i="88"/>
  <c r="AT39" i="88"/>
  <c r="AW39" i="88"/>
  <c r="AR39" i="88"/>
  <c r="F39" i="88"/>
  <c r="AX38" i="88"/>
  <c r="AV38" i="88"/>
  <c r="AU38" i="88"/>
  <c r="AS38" i="88"/>
  <c r="AT38" i="88"/>
  <c r="AW38" i="88"/>
  <c r="AR38" i="88"/>
  <c r="H38" i="88"/>
  <c r="F38" i="88"/>
  <c r="AX37" i="88"/>
  <c r="AV37" i="88"/>
  <c r="AU37" i="88"/>
  <c r="AS37" i="88"/>
  <c r="AT37" i="88"/>
  <c r="AW37" i="88"/>
  <c r="AR37" i="88"/>
  <c r="H37" i="88"/>
  <c r="AX36" i="88"/>
  <c r="AV36" i="88"/>
  <c r="AU36" i="88"/>
  <c r="AS36" i="88"/>
  <c r="AT36" i="88"/>
  <c r="AW36" i="88"/>
  <c r="AR36" i="88"/>
  <c r="F36" i="88"/>
  <c r="AX35" i="88"/>
  <c r="AV35" i="88"/>
  <c r="AU35" i="88"/>
  <c r="AS35" i="88"/>
  <c r="AT35" i="88"/>
  <c r="AW35" i="88"/>
  <c r="AR35" i="88"/>
  <c r="AX34" i="88"/>
  <c r="AW34" i="88"/>
  <c r="AV34" i="88"/>
  <c r="AU34" i="88"/>
  <c r="AT34" i="88"/>
  <c r="AS34" i="88"/>
  <c r="AR34" i="88"/>
  <c r="F34" i="88"/>
  <c r="AX33" i="88"/>
  <c r="AV33" i="88"/>
  <c r="AU33" i="88"/>
  <c r="AT33" i="88"/>
  <c r="AW33" i="88"/>
  <c r="AS33" i="88"/>
  <c r="AR33" i="88"/>
  <c r="AX32" i="88"/>
  <c r="AV32" i="88"/>
  <c r="AU32" i="88"/>
  <c r="AS32" i="88"/>
  <c r="AT32" i="88"/>
  <c r="AW32" i="88"/>
  <c r="AR32" i="88"/>
  <c r="H32" i="88"/>
  <c r="F32" i="88"/>
  <c r="AX31" i="88"/>
  <c r="AV31" i="88"/>
  <c r="AU31" i="88"/>
  <c r="AS31" i="88"/>
  <c r="AT31" i="88"/>
  <c r="AW31" i="88"/>
  <c r="AR31" i="88"/>
  <c r="H31" i="88"/>
  <c r="N31" i="88"/>
  <c r="F27" i="88"/>
  <c r="AH25" i="88"/>
  <c r="X27" i="88"/>
  <c r="X29" i="88"/>
  <c r="X30" i="88"/>
  <c r="AC25" i="88"/>
  <c r="H47" i="88"/>
  <c r="N47" i="88"/>
  <c r="T25" i="88"/>
  <c r="A22" i="88"/>
  <c r="A21" i="88"/>
  <c r="AV19" i="88"/>
  <c r="AW19" i="88"/>
  <c r="AN18" i="88"/>
  <c r="AQ16" i="88"/>
  <c r="AQ13" i="88"/>
  <c r="AX9" i="88"/>
  <c r="AU25" i="88"/>
  <c r="AV25" i="88"/>
  <c r="AW25" i="88"/>
  <c r="AX8" i="88"/>
  <c r="AR22" i="88"/>
  <c r="AS22" i="88"/>
  <c r="AT22" i="88"/>
  <c r="AV7" i="88"/>
  <c r="AX7" i="88"/>
  <c r="AR25" i="88"/>
  <c r="AS25" i="88"/>
  <c r="AT25" i="88"/>
  <c r="AR7" i="88"/>
  <c r="AR8" i="88"/>
  <c r="H7" i="88"/>
  <c r="AX6" i="88"/>
  <c r="AR19" i="88"/>
  <c r="AS19" i="88"/>
  <c r="H6" i="88"/>
  <c r="AX5" i="88"/>
  <c r="AU16" i="88"/>
  <c r="AV16" i="88"/>
  <c r="AW16" i="88"/>
  <c r="H5" i="88"/>
  <c r="AX4" i="88"/>
  <c r="AR16" i="88"/>
  <c r="R62" i="87"/>
  <c r="F37" i="84"/>
  <c r="AR52" i="87"/>
  <c r="F52" i="87"/>
  <c r="AR51" i="87"/>
  <c r="AR50" i="87"/>
  <c r="AR49" i="87"/>
  <c r="AR48" i="87"/>
  <c r="F48" i="87"/>
  <c r="AR47" i="87"/>
  <c r="AX46" i="87"/>
  <c r="AV46" i="87"/>
  <c r="AU46" i="87"/>
  <c r="AS46" i="87"/>
  <c r="AT46" i="87"/>
  <c r="AW46" i="87"/>
  <c r="AR46" i="87"/>
  <c r="F46" i="87"/>
  <c r="AX45" i="87"/>
  <c r="AW45" i="87"/>
  <c r="AV45" i="87"/>
  <c r="AU45" i="87"/>
  <c r="AT45" i="87"/>
  <c r="AS45" i="87"/>
  <c r="AR45" i="87"/>
  <c r="AX44" i="87"/>
  <c r="AW44" i="87"/>
  <c r="AV44" i="87"/>
  <c r="AU44" i="87"/>
  <c r="AT44" i="87"/>
  <c r="AS44" i="87"/>
  <c r="AR44" i="87"/>
  <c r="AX42" i="87"/>
  <c r="AV42" i="87"/>
  <c r="AU42" i="87"/>
  <c r="AS42" i="87"/>
  <c r="AT42" i="87"/>
  <c r="AW42" i="87"/>
  <c r="AN42" i="87"/>
  <c r="AR42" i="87"/>
  <c r="F42" i="87"/>
  <c r="AX41" i="87"/>
  <c r="AV41" i="87"/>
  <c r="AU41" i="87"/>
  <c r="AT41" i="87"/>
  <c r="AW41" i="87"/>
  <c r="AS41" i="87"/>
  <c r="AR41" i="87"/>
  <c r="F41" i="87"/>
  <c r="AX40" i="87"/>
  <c r="AV40" i="87"/>
  <c r="AU40" i="87"/>
  <c r="AS40" i="87"/>
  <c r="AT40" i="87"/>
  <c r="AW40" i="87"/>
  <c r="AR40" i="87"/>
  <c r="F40" i="87"/>
  <c r="AX39" i="87"/>
  <c r="AV39" i="87"/>
  <c r="AU39" i="87"/>
  <c r="AS39" i="87"/>
  <c r="AT39" i="87"/>
  <c r="AW39" i="87"/>
  <c r="AR39" i="87"/>
  <c r="F39" i="87"/>
  <c r="AX38" i="87"/>
  <c r="AV38" i="87"/>
  <c r="AU38" i="87"/>
  <c r="AS38" i="87"/>
  <c r="AT38" i="87"/>
  <c r="AW38" i="87"/>
  <c r="AR38" i="87"/>
  <c r="H38" i="87"/>
  <c r="F38" i="87"/>
  <c r="AX37" i="87"/>
  <c r="AW37" i="87"/>
  <c r="AV37" i="87"/>
  <c r="AU37" i="87"/>
  <c r="AT37" i="87"/>
  <c r="AS37" i="87"/>
  <c r="AR37" i="87"/>
  <c r="AX36" i="87"/>
  <c r="AV36" i="87"/>
  <c r="AU36" i="87"/>
  <c r="AT36" i="87"/>
  <c r="AW36" i="87"/>
  <c r="AS36" i="87"/>
  <c r="AR36" i="87"/>
  <c r="F36" i="87"/>
  <c r="H36" i="87"/>
  <c r="N36" i="87"/>
  <c r="AX35" i="87"/>
  <c r="AV35" i="87"/>
  <c r="AU35" i="87"/>
  <c r="AS35" i="87"/>
  <c r="AT35" i="87"/>
  <c r="AW35" i="87"/>
  <c r="AR35" i="87"/>
  <c r="AX34" i="87"/>
  <c r="AW34" i="87"/>
  <c r="AV34" i="87"/>
  <c r="AU34" i="87"/>
  <c r="AT34" i="87"/>
  <c r="AS34" i="87"/>
  <c r="AR34" i="87"/>
  <c r="F34" i="87"/>
  <c r="F53" i="87"/>
  <c r="AX33" i="87"/>
  <c r="AW33" i="87"/>
  <c r="AV33" i="87"/>
  <c r="AU33" i="87"/>
  <c r="AT33" i="87"/>
  <c r="AS33" i="87"/>
  <c r="AR33" i="87"/>
  <c r="AX32" i="87"/>
  <c r="AV32" i="87"/>
  <c r="AU32" i="87"/>
  <c r="AS32" i="87"/>
  <c r="AT32" i="87"/>
  <c r="AW32" i="87"/>
  <c r="AR32" i="87"/>
  <c r="F32" i="87"/>
  <c r="AX31" i="87"/>
  <c r="AV31" i="87"/>
  <c r="AU31" i="87"/>
  <c r="AS31" i="87"/>
  <c r="AT31" i="87"/>
  <c r="AW31" i="87"/>
  <c r="AR31" i="87"/>
  <c r="F27" i="87"/>
  <c r="AH25" i="87"/>
  <c r="X27" i="87"/>
  <c r="X29" i="87"/>
  <c r="X30" i="87"/>
  <c r="AC25" i="87"/>
  <c r="H47" i="87"/>
  <c r="N47" i="87"/>
  <c r="T25" i="87"/>
  <c r="A22" i="87"/>
  <c r="A21" i="87"/>
  <c r="AV19" i="87"/>
  <c r="AW19" i="87"/>
  <c r="AR19" i="87"/>
  <c r="AS19" i="87"/>
  <c r="AT19" i="87"/>
  <c r="AN18" i="87"/>
  <c r="AR8" i="87"/>
  <c r="AQ16" i="87"/>
  <c r="AQ13" i="87"/>
  <c r="AX9" i="87"/>
  <c r="AU25" i="87"/>
  <c r="AV25" i="87"/>
  <c r="AW25" i="87"/>
  <c r="AX8" i="87"/>
  <c r="AR22" i="87"/>
  <c r="AS22" i="87"/>
  <c r="AX7" i="87"/>
  <c r="AR25" i="87"/>
  <c r="AS25" i="87"/>
  <c r="AT25" i="87"/>
  <c r="AV7" i="87"/>
  <c r="AR7" i="87"/>
  <c r="H7" i="87"/>
  <c r="AX6" i="87"/>
  <c r="H6" i="87"/>
  <c r="AX5" i="87"/>
  <c r="AU16" i="87"/>
  <c r="AV16" i="87"/>
  <c r="H5" i="87"/>
  <c r="AX4" i="87"/>
  <c r="AR16" i="87"/>
  <c r="X34" i="86"/>
  <c r="F26" i="133"/>
  <c r="T42" i="112"/>
  <c r="R42" i="112"/>
  <c r="AR17" i="101"/>
  <c r="AU22" i="101"/>
  <c r="AU17" i="101"/>
  <c r="H34" i="98"/>
  <c r="H35" i="98"/>
  <c r="N35" i="98"/>
  <c r="H41" i="98"/>
  <c r="N41" i="98"/>
  <c r="N34" i="98"/>
  <c r="H32" i="98"/>
  <c r="N32" i="98"/>
  <c r="H40" i="98"/>
  <c r="N40" i="98"/>
  <c r="H31" i="98"/>
  <c r="N31" i="98"/>
  <c r="H37" i="98"/>
  <c r="N37" i="98"/>
  <c r="H38" i="98"/>
  <c r="H48" i="98"/>
  <c r="N48" i="98"/>
  <c r="H44" i="98"/>
  <c r="N44" i="98"/>
  <c r="H45" i="98"/>
  <c r="H38" i="97"/>
  <c r="N38" i="97"/>
  <c r="H48" i="97"/>
  <c r="H32" i="97"/>
  <c r="H33" i="97"/>
  <c r="N33" i="97"/>
  <c r="H34" i="96"/>
  <c r="H35" i="96"/>
  <c r="N35" i="96"/>
  <c r="H40" i="96"/>
  <c r="N40" i="96"/>
  <c r="H31" i="96"/>
  <c r="N31" i="96"/>
  <c r="H41" i="96"/>
  <c r="N41" i="96"/>
  <c r="N38" i="95"/>
  <c r="H41" i="95"/>
  <c r="N41" i="95"/>
  <c r="N34" i="95"/>
  <c r="H34" i="95"/>
  <c r="H39" i="95"/>
  <c r="N39" i="95"/>
  <c r="H31" i="94"/>
  <c r="N31" i="94"/>
  <c r="H32" i="94"/>
  <c r="N32" i="94"/>
  <c r="H38" i="94"/>
  <c r="H39" i="94"/>
  <c r="H31" i="91"/>
  <c r="N31" i="91"/>
  <c r="N32" i="88"/>
  <c r="H36" i="88"/>
  <c r="N36" i="88"/>
  <c r="N38" i="88"/>
  <c r="N48" i="88"/>
  <c r="H40" i="88"/>
  <c r="N40" i="88"/>
  <c r="H51" i="88"/>
  <c r="H34" i="88"/>
  <c r="N34" i="88"/>
  <c r="N51" i="88"/>
  <c r="N37" i="88"/>
  <c r="H33" i="88"/>
  <c r="N33" i="88"/>
  <c r="H52" i="88"/>
  <c r="N38" i="87"/>
  <c r="H42" i="87"/>
  <c r="H41" i="87"/>
  <c r="N41" i="87"/>
  <c r="N42" i="87"/>
  <c r="H32" i="87"/>
  <c r="N32" i="87"/>
  <c r="N34" i="87"/>
  <c r="H40" i="87"/>
  <c r="N40" i="87"/>
  <c r="N37" i="87"/>
  <c r="H34" i="87"/>
  <c r="H52" i="87"/>
  <c r="H46" i="87"/>
  <c r="H48" i="87"/>
  <c r="N44" i="87"/>
  <c r="H37" i="87"/>
  <c r="H44" i="87"/>
  <c r="N48" i="87"/>
  <c r="R62" i="94"/>
  <c r="F101" i="84"/>
  <c r="R62" i="97"/>
  <c r="F162" i="84"/>
  <c r="R45" i="121"/>
  <c r="L46" i="121"/>
  <c r="L53" i="121"/>
  <c r="T48" i="121"/>
  <c r="R52" i="121"/>
  <c r="N45" i="121"/>
  <c r="N46" i="121"/>
  <c r="R32" i="112"/>
  <c r="L59" i="112"/>
  <c r="L45" i="112"/>
  <c r="N45" i="112"/>
  <c r="J46" i="112"/>
  <c r="L56" i="112"/>
  <c r="L58" i="112"/>
  <c r="L60" i="112"/>
  <c r="L55" i="112"/>
  <c r="T49" i="106"/>
  <c r="R49" i="106"/>
  <c r="N55" i="106"/>
  <c r="N56" i="106"/>
  <c r="T47" i="106"/>
  <c r="R47" i="106"/>
  <c r="T51" i="106"/>
  <c r="R51" i="106"/>
  <c r="N60" i="106"/>
  <c r="T37" i="106"/>
  <c r="R37" i="106"/>
  <c r="T35" i="106"/>
  <c r="R35" i="106"/>
  <c r="AM25" i="106"/>
  <c r="N59" i="106"/>
  <c r="T33" i="106"/>
  <c r="R33" i="106"/>
  <c r="T44" i="106"/>
  <c r="R44" i="106"/>
  <c r="T39" i="106"/>
  <c r="R39" i="106"/>
  <c r="R43" i="106"/>
  <c r="N43" i="106"/>
  <c r="T43" i="106"/>
  <c r="R32" i="106"/>
  <c r="N31" i="106"/>
  <c r="R61" i="106"/>
  <c r="F128" i="84"/>
  <c r="N17" i="84"/>
  <c r="L61" i="106"/>
  <c r="L57" i="106"/>
  <c r="R57" i="106"/>
  <c r="F124" i="84"/>
  <c r="R58" i="106"/>
  <c r="F125" i="84"/>
  <c r="N14" i="84" s="1"/>
  <c r="L58" i="106"/>
  <c r="N43" i="105"/>
  <c r="T43" i="105"/>
  <c r="N31" i="105"/>
  <c r="L61" i="105"/>
  <c r="T37" i="105"/>
  <c r="R37" i="105"/>
  <c r="T35" i="105"/>
  <c r="R35" i="105"/>
  <c r="AM25" i="105"/>
  <c r="T39" i="105"/>
  <c r="R39" i="105"/>
  <c r="N59" i="105"/>
  <c r="R59" i="105"/>
  <c r="F118" i="84"/>
  <c r="T33" i="105"/>
  <c r="R33" i="105"/>
  <c r="T44" i="105"/>
  <c r="R44" i="105"/>
  <c r="N55" i="105"/>
  <c r="R55" i="105"/>
  <c r="F114" i="84"/>
  <c r="T49" i="105"/>
  <c r="R49" i="105"/>
  <c r="T32" i="105"/>
  <c r="N58" i="105"/>
  <c r="R58" i="105"/>
  <c r="F117" i="84"/>
  <c r="N56" i="105"/>
  <c r="R56" i="105"/>
  <c r="F115" i="84"/>
  <c r="T47" i="105"/>
  <c r="R47" i="105"/>
  <c r="L57" i="105"/>
  <c r="T51" i="105"/>
  <c r="R51" i="105"/>
  <c r="N60" i="105"/>
  <c r="R60" i="105"/>
  <c r="F119" i="84"/>
  <c r="N50" i="104"/>
  <c r="N57" i="104"/>
  <c r="N57" i="103"/>
  <c r="N50" i="103"/>
  <c r="L57" i="102"/>
  <c r="N50" i="102"/>
  <c r="N50" i="101"/>
  <c r="N57" i="101"/>
  <c r="F57" i="133"/>
  <c r="N50" i="100"/>
  <c r="L57" i="100"/>
  <c r="N42" i="98"/>
  <c r="H39" i="98"/>
  <c r="N39" i="98"/>
  <c r="H47" i="98"/>
  <c r="N47" i="98"/>
  <c r="H36" i="98"/>
  <c r="N36" i="98"/>
  <c r="N38" i="98"/>
  <c r="H52" i="98"/>
  <c r="N52" i="98"/>
  <c r="N32" i="97"/>
  <c r="H52" i="97"/>
  <c r="N52" i="97"/>
  <c r="H39" i="97"/>
  <c r="H40" i="97"/>
  <c r="N40" i="97"/>
  <c r="H43" i="97"/>
  <c r="R43" i="97"/>
  <c r="N34" i="96"/>
  <c r="H32" i="96"/>
  <c r="H47" i="96"/>
  <c r="N47" i="96"/>
  <c r="N32" i="96"/>
  <c r="H37" i="96"/>
  <c r="N37" i="96"/>
  <c r="H38" i="96"/>
  <c r="N38" i="96"/>
  <c r="H52" i="96"/>
  <c r="N52" i="96"/>
  <c r="H36" i="96"/>
  <c r="N36" i="96"/>
  <c r="H44" i="96"/>
  <c r="H45" i="96"/>
  <c r="H42" i="96"/>
  <c r="N42" i="96"/>
  <c r="N44" i="96"/>
  <c r="H48" i="96"/>
  <c r="N48" i="96"/>
  <c r="AW16" i="98"/>
  <c r="N61" i="98"/>
  <c r="R61" i="98"/>
  <c r="F169" i="84"/>
  <c r="N57" i="98"/>
  <c r="R57" i="98"/>
  <c r="F165" i="84"/>
  <c r="AW19" i="98"/>
  <c r="AS16" i="98"/>
  <c r="AT16" i="98"/>
  <c r="AT12" i="98"/>
  <c r="AW25" i="98"/>
  <c r="H33" i="98"/>
  <c r="N33" i="98"/>
  <c r="H43" i="98"/>
  <c r="H46" i="98"/>
  <c r="H51" i="98"/>
  <c r="N51" i="98"/>
  <c r="L62" i="98"/>
  <c r="N37" i="97"/>
  <c r="T32" i="97"/>
  <c r="N58" i="97"/>
  <c r="R58" i="97"/>
  <c r="F158" i="84"/>
  <c r="N61" i="97"/>
  <c r="R61" i="97"/>
  <c r="F161" i="84"/>
  <c r="T49" i="97"/>
  <c r="R49" i="97"/>
  <c r="N55" i="97"/>
  <c r="R55" i="97"/>
  <c r="F155" i="84"/>
  <c r="N39" i="97"/>
  <c r="N56" i="97"/>
  <c r="R56" i="97"/>
  <c r="F156" i="84"/>
  <c r="T47" i="97"/>
  <c r="R47" i="97"/>
  <c r="N48" i="97"/>
  <c r="AT12" i="97"/>
  <c r="H31" i="97"/>
  <c r="H35" i="97"/>
  <c r="N35" i="97"/>
  <c r="AR42" i="97"/>
  <c r="H45" i="97"/>
  <c r="N57" i="97"/>
  <c r="R57" i="97"/>
  <c r="F157" i="84"/>
  <c r="H37" i="97"/>
  <c r="AS42" i="97"/>
  <c r="AT42" i="97"/>
  <c r="AW42" i="97"/>
  <c r="H51" i="97"/>
  <c r="N51" i="97"/>
  <c r="H42" i="97"/>
  <c r="H49" i="97"/>
  <c r="N49" i="97"/>
  <c r="F53" i="97"/>
  <c r="H44" i="97"/>
  <c r="N44" i="97"/>
  <c r="H36" i="97"/>
  <c r="N36" i="97"/>
  <c r="H41" i="97"/>
  <c r="N41" i="97"/>
  <c r="AS16" i="96"/>
  <c r="AT16" i="96"/>
  <c r="AT12" i="96"/>
  <c r="AT22" i="96"/>
  <c r="N39" i="96"/>
  <c r="N61" i="96"/>
  <c r="R61" i="96"/>
  <c r="F152" i="84"/>
  <c r="N57" i="96"/>
  <c r="R57" i="96"/>
  <c r="F148" i="84"/>
  <c r="AW19" i="96"/>
  <c r="H33" i="96"/>
  <c r="N33" i="96"/>
  <c r="H43" i="96"/>
  <c r="H46" i="96"/>
  <c r="H51" i="96"/>
  <c r="N51" i="96"/>
  <c r="H49" i="96"/>
  <c r="N49" i="96"/>
  <c r="L62" i="96"/>
  <c r="H34" i="94"/>
  <c r="N34" i="94"/>
  <c r="H35" i="94"/>
  <c r="N35" i="94"/>
  <c r="H42" i="94"/>
  <c r="N42" i="94"/>
  <c r="H48" i="94"/>
  <c r="N48" i="94"/>
  <c r="H46" i="94"/>
  <c r="N38" i="94"/>
  <c r="N39" i="94"/>
  <c r="AS16" i="95"/>
  <c r="AT16" i="95"/>
  <c r="AT12" i="95"/>
  <c r="N51" i="95"/>
  <c r="L61" i="95"/>
  <c r="N58" i="95"/>
  <c r="R58" i="95"/>
  <c r="F105" i="84"/>
  <c r="T32" i="95"/>
  <c r="H33" i="95"/>
  <c r="N33" i="95"/>
  <c r="H43" i="95"/>
  <c r="H46" i="95"/>
  <c r="AW19" i="95"/>
  <c r="H31" i="95"/>
  <c r="H35" i="95"/>
  <c r="N35" i="95"/>
  <c r="H40" i="95"/>
  <c r="N40" i="95"/>
  <c r="H45" i="95"/>
  <c r="H52" i="95"/>
  <c r="N57" i="95"/>
  <c r="R57" i="95"/>
  <c r="F104" i="84"/>
  <c r="H37" i="95"/>
  <c r="N37" i="95"/>
  <c r="H51" i="95"/>
  <c r="H42" i="95"/>
  <c r="N42" i="95"/>
  <c r="H49" i="95"/>
  <c r="N49" i="95"/>
  <c r="L62" i="95"/>
  <c r="H44" i="95"/>
  <c r="N44" i="95"/>
  <c r="H48" i="95"/>
  <c r="AS16" i="94"/>
  <c r="AT16" i="94"/>
  <c r="AT12" i="94"/>
  <c r="N37" i="94"/>
  <c r="N51" i="94"/>
  <c r="N61" i="94"/>
  <c r="R61" i="94"/>
  <c r="F100" i="84"/>
  <c r="AT19" i="94"/>
  <c r="N57" i="94"/>
  <c r="R57" i="94"/>
  <c r="F96" i="84"/>
  <c r="AW19" i="94"/>
  <c r="H33" i="94"/>
  <c r="N33" i="94"/>
  <c r="H43" i="94"/>
  <c r="H40" i="94"/>
  <c r="N40" i="94"/>
  <c r="H45" i="94"/>
  <c r="H52" i="94"/>
  <c r="N52" i="94"/>
  <c r="H37" i="94"/>
  <c r="AS42" i="94"/>
  <c r="AT42" i="94"/>
  <c r="AW42" i="94"/>
  <c r="H51" i="94"/>
  <c r="H49" i="94"/>
  <c r="N49" i="94"/>
  <c r="H44" i="94"/>
  <c r="N44" i="94"/>
  <c r="H41" i="94"/>
  <c r="N41" i="94"/>
  <c r="H31" i="93"/>
  <c r="N31" i="93"/>
  <c r="H37" i="93"/>
  <c r="H38" i="93"/>
  <c r="H34" i="93"/>
  <c r="N34" i="93"/>
  <c r="H35" i="93"/>
  <c r="N35" i="93"/>
  <c r="H41" i="93"/>
  <c r="N41" i="93"/>
  <c r="H52" i="93"/>
  <c r="N52" i="93"/>
  <c r="H40" i="93"/>
  <c r="N40" i="93"/>
  <c r="H46" i="93"/>
  <c r="H32" i="93"/>
  <c r="N32" i="93"/>
  <c r="H48" i="93"/>
  <c r="N48" i="93"/>
  <c r="H33" i="92"/>
  <c r="N33" i="92"/>
  <c r="H48" i="92"/>
  <c r="H40" i="92"/>
  <c r="N40" i="92"/>
  <c r="H43" i="92"/>
  <c r="R43" i="92"/>
  <c r="H45" i="92"/>
  <c r="H36" i="93"/>
  <c r="N36" i="93"/>
  <c r="N37" i="93"/>
  <c r="N38" i="93"/>
  <c r="H44" i="93"/>
  <c r="N44" i="93"/>
  <c r="H45" i="93"/>
  <c r="H42" i="93"/>
  <c r="N42" i="93"/>
  <c r="H37" i="92"/>
  <c r="N37" i="92"/>
  <c r="H42" i="92"/>
  <c r="H34" i="92"/>
  <c r="N34" i="92"/>
  <c r="H35" i="92"/>
  <c r="N35" i="92"/>
  <c r="H31" i="92"/>
  <c r="N31" i="92"/>
  <c r="H32" i="92"/>
  <c r="H38" i="92"/>
  <c r="N38" i="92"/>
  <c r="H52" i="92"/>
  <c r="N52" i="92"/>
  <c r="H36" i="91"/>
  <c r="N36" i="91"/>
  <c r="H40" i="91"/>
  <c r="N40" i="91"/>
  <c r="H43" i="91"/>
  <c r="R43" i="91"/>
  <c r="H51" i="91"/>
  <c r="H34" i="91"/>
  <c r="N34" i="91"/>
  <c r="N51" i="91"/>
  <c r="H33" i="91"/>
  <c r="N33" i="91"/>
  <c r="H52" i="91"/>
  <c r="H38" i="91"/>
  <c r="N38" i="91"/>
  <c r="H42" i="91"/>
  <c r="H32" i="91"/>
  <c r="N32" i="91"/>
  <c r="H37" i="91"/>
  <c r="N37" i="91"/>
  <c r="H48" i="91"/>
  <c r="N48" i="91"/>
  <c r="H41" i="91"/>
  <c r="N41" i="91"/>
  <c r="AT12" i="93"/>
  <c r="AS16" i="93"/>
  <c r="AT16" i="93"/>
  <c r="AT19" i="93"/>
  <c r="AW25" i="93"/>
  <c r="N61" i="93"/>
  <c r="R61" i="93"/>
  <c r="F92" i="84"/>
  <c r="AT25" i="93"/>
  <c r="AW16" i="93"/>
  <c r="AT22" i="93"/>
  <c r="AW19" i="93"/>
  <c r="N57" i="93"/>
  <c r="R57" i="93"/>
  <c r="F88" i="84"/>
  <c r="F53" i="93"/>
  <c r="H33" i="93"/>
  <c r="N33" i="93"/>
  <c r="H43" i="93"/>
  <c r="H51" i="93"/>
  <c r="N51" i="93"/>
  <c r="H49" i="93"/>
  <c r="N49" i="93"/>
  <c r="H39" i="93"/>
  <c r="L62" i="93"/>
  <c r="N61" i="92"/>
  <c r="R61" i="92"/>
  <c r="F84" i="84"/>
  <c r="N57" i="92"/>
  <c r="R57" i="92"/>
  <c r="F80" i="84"/>
  <c r="N48" i="92"/>
  <c r="AT25" i="92"/>
  <c r="AW19" i="92"/>
  <c r="N32" i="92"/>
  <c r="AW16" i="92"/>
  <c r="N43" i="92"/>
  <c r="T43" i="92"/>
  <c r="AS42" i="92"/>
  <c r="AT42" i="92"/>
  <c r="AW42" i="92"/>
  <c r="H51" i="92"/>
  <c r="N51" i="92"/>
  <c r="H49" i="92"/>
  <c r="N49" i="92"/>
  <c r="H46" i="92"/>
  <c r="AS16" i="92"/>
  <c r="AT16" i="92"/>
  <c r="H39" i="92"/>
  <c r="L62" i="92"/>
  <c r="AR42" i="92"/>
  <c r="H44" i="92"/>
  <c r="N44" i="92"/>
  <c r="H36" i="92"/>
  <c r="N36" i="92"/>
  <c r="H41" i="92"/>
  <c r="N41" i="92"/>
  <c r="N61" i="91"/>
  <c r="R61" i="91"/>
  <c r="F76" i="84"/>
  <c r="N57" i="91"/>
  <c r="R57" i="91"/>
  <c r="F72" i="84"/>
  <c r="N52" i="91"/>
  <c r="AT16" i="91"/>
  <c r="H46" i="91"/>
  <c r="AT12" i="91"/>
  <c r="H35" i="91"/>
  <c r="N35" i="91"/>
  <c r="AR42" i="91"/>
  <c r="N43" i="91"/>
  <c r="T43" i="91"/>
  <c r="H45" i="91"/>
  <c r="H49" i="91"/>
  <c r="N49" i="91"/>
  <c r="AS42" i="91"/>
  <c r="AT42" i="91"/>
  <c r="AW42" i="91"/>
  <c r="H39" i="91"/>
  <c r="N39" i="91"/>
  <c r="L62" i="91"/>
  <c r="H44" i="91"/>
  <c r="N44" i="91"/>
  <c r="H35" i="90"/>
  <c r="N35" i="90"/>
  <c r="H40" i="90"/>
  <c r="N40" i="90"/>
  <c r="H45" i="90"/>
  <c r="H34" i="90"/>
  <c r="N34" i="90"/>
  <c r="H43" i="90"/>
  <c r="N43" i="90"/>
  <c r="T43" i="90"/>
  <c r="H38" i="90"/>
  <c r="N38" i="90"/>
  <c r="H33" i="90"/>
  <c r="N33" i="90"/>
  <c r="H31" i="90"/>
  <c r="N31" i="90"/>
  <c r="H52" i="90"/>
  <c r="N52" i="90"/>
  <c r="H32" i="90"/>
  <c r="N32" i="90"/>
  <c r="H42" i="90"/>
  <c r="L62" i="90"/>
  <c r="H48" i="90"/>
  <c r="N48" i="90"/>
  <c r="H46" i="90"/>
  <c r="H33" i="89"/>
  <c r="N33" i="89"/>
  <c r="H34" i="89"/>
  <c r="N34" i="89"/>
  <c r="H32" i="89"/>
  <c r="N32" i="89"/>
  <c r="H38" i="89"/>
  <c r="N38" i="89"/>
  <c r="H43" i="89"/>
  <c r="R43" i="89"/>
  <c r="H36" i="89"/>
  <c r="N36" i="89"/>
  <c r="H42" i="89"/>
  <c r="H41" i="89"/>
  <c r="N41" i="89"/>
  <c r="H40" i="89"/>
  <c r="N40" i="89"/>
  <c r="H39" i="89"/>
  <c r="N39" i="89"/>
  <c r="H52" i="89"/>
  <c r="N52" i="89"/>
  <c r="N61" i="90"/>
  <c r="R61" i="90"/>
  <c r="F68" i="84"/>
  <c r="N57" i="90"/>
  <c r="R57" i="90"/>
  <c r="F64" i="84"/>
  <c r="H37" i="90"/>
  <c r="N37" i="90"/>
  <c r="AS42" i="90"/>
  <c r="AT42" i="90"/>
  <c r="AW42" i="90"/>
  <c r="H51" i="90"/>
  <c r="N51" i="90"/>
  <c r="AR42" i="90"/>
  <c r="N42" i="90"/>
  <c r="R43" i="90"/>
  <c r="H49" i="90"/>
  <c r="N49" i="90"/>
  <c r="AS16" i="90"/>
  <c r="AT16" i="90"/>
  <c r="H39" i="90"/>
  <c r="N39" i="90"/>
  <c r="H44" i="90"/>
  <c r="N44" i="90"/>
  <c r="H36" i="90"/>
  <c r="N36" i="90"/>
  <c r="H41" i="90"/>
  <c r="N41" i="90"/>
  <c r="N58" i="89"/>
  <c r="R58" i="89"/>
  <c r="F57" i="84"/>
  <c r="T32" i="89"/>
  <c r="N55" i="89"/>
  <c r="R55" i="89"/>
  <c r="F54" i="84"/>
  <c r="T49" i="89"/>
  <c r="R49" i="89"/>
  <c r="T51" i="89"/>
  <c r="R51" i="89"/>
  <c r="N60" i="89"/>
  <c r="R60" i="89"/>
  <c r="F59" i="84"/>
  <c r="N56" i="89"/>
  <c r="R56" i="89"/>
  <c r="F55" i="84"/>
  <c r="T47" i="89"/>
  <c r="R47" i="89"/>
  <c r="L61" i="89"/>
  <c r="H46" i="89"/>
  <c r="N57" i="89"/>
  <c r="R57" i="89"/>
  <c r="F56" i="84"/>
  <c r="H31" i="89"/>
  <c r="H35" i="89"/>
  <c r="N35" i="89"/>
  <c r="AR42" i="89"/>
  <c r="N42" i="89"/>
  <c r="N43" i="89"/>
  <c r="T43" i="89"/>
  <c r="H45" i="89"/>
  <c r="H37" i="89"/>
  <c r="N37" i="89"/>
  <c r="AS42" i="89"/>
  <c r="AT42" i="89"/>
  <c r="AW42" i="89"/>
  <c r="H51" i="89"/>
  <c r="N51" i="89"/>
  <c r="H49" i="89"/>
  <c r="N49" i="89"/>
  <c r="L62" i="89"/>
  <c r="AT12" i="89"/>
  <c r="H44" i="89"/>
  <c r="N44" i="89"/>
  <c r="H48" i="89"/>
  <c r="AS16" i="88"/>
  <c r="AT16" i="88"/>
  <c r="AT12" i="88"/>
  <c r="N61" i="88"/>
  <c r="R61" i="88"/>
  <c r="F44" i="84"/>
  <c r="N52" i="88"/>
  <c r="AT19" i="88"/>
  <c r="N57" i="88"/>
  <c r="R57" i="88"/>
  <c r="F40" i="84"/>
  <c r="F53" i="88"/>
  <c r="H43" i="88"/>
  <c r="H35" i="88"/>
  <c r="N35" i="88"/>
  <c r="AR42" i="88"/>
  <c r="N42" i="88"/>
  <c r="H45" i="88"/>
  <c r="H49" i="88"/>
  <c r="N49" i="88"/>
  <c r="H39" i="88"/>
  <c r="N39" i="88"/>
  <c r="L62" i="88"/>
  <c r="H44" i="88"/>
  <c r="N44" i="88"/>
  <c r="AS16" i="87"/>
  <c r="AT16" i="87"/>
  <c r="AT12" i="87"/>
  <c r="AW16" i="87"/>
  <c r="AT22" i="87"/>
  <c r="N61" i="87"/>
  <c r="R61" i="87"/>
  <c r="F36" i="84"/>
  <c r="N57" i="87"/>
  <c r="R57" i="87"/>
  <c r="F32" i="84"/>
  <c r="N52" i="87"/>
  <c r="H33" i="87"/>
  <c r="N33" i="87"/>
  <c r="H43" i="87"/>
  <c r="H31" i="87"/>
  <c r="H35" i="87"/>
  <c r="N35" i="87"/>
  <c r="H45" i="87"/>
  <c r="H51" i="87"/>
  <c r="N51" i="87"/>
  <c r="H49" i="87"/>
  <c r="N49" i="87"/>
  <c r="H39" i="87"/>
  <c r="N39" i="87"/>
  <c r="L62" i="87"/>
  <c r="N60" i="86"/>
  <c r="L60" i="86"/>
  <c r="AR52" i="86"/>
  <c r="AR51" i="86"/>
  <c r="R51" i="86"/>
  <c r="T51" i="86"/>
  <c r="F51" i="86"/>
  <c r="AR50" i="86"/>
  <c r="N50" i="86"/>
  <c r="AR49" i="86"/>
  <c r="F49" i="86"/>
  <c r="AR48" i="86"/>
  <c r="AR47" i="86"/>
  <c r="F47" i="86"/>
  <c r="AX46" i="86"/>
  <c r="AV46" i="86"/>
  <c r="AU46" i="86"/>
  <c r="AS46" i="86"/>
  <c r="AT46" i="86"/>
  <c r="AW46" i="86"/>
  <c r="AR46" i="86"/>
  <c r="AX45" i="86"/>
  <c r="AV45" i="86"/>
  <c r="AU45" i="86"/>
  <c r="AS45" i="86"/>
  <c r="AT45" i="86"/>
  <c r="AW45" i="86"/>
  <c r="AR45" i="86"/>
  <c r="F45" i="86"/>
  <c r="AX44" i="86"/>
  <c r="AW44" i="86"/>
  <c r="AV44" i="86"/>
  <c r="AU44" i="86"/>
  <c r="AT44" i="86"/>
  <c r="AS44" i="86"/>
  <c r="AR44" i="86"/>
  <c r="F44" i="86"/>
  <c r="F43" i="86"/>
  <c r="AX42" i="86"/>
  <c r="AV42" i="86"/>
  <c r="AU42" i="86"/>
  <c r="AT42" i="86"/>
  <c r="AW42" i="86"/>
  <c r="AS42" i="86"/>
  <c r="AR42" i="86"/>
  <c r="AX41" i="86"/>
  <c r="AW41" i="86"/>
  <c r="AV41" i="86"/>
  <c r="AU41" i="86"/>
  <c r="AT41" i="86"/>
  <c r="AS41" i="86"/>
  <c r="AR41" i="86"/>
  <c r="AX40" i="86"/>
  <c r="AV40" i="86"/>
  <c r="AU40" i="86"/>
  <c r="AT40" i="86"/>
  <c r="AW40" i="86"/>
  <c r="AS40" i="86"/>
  <c r="AR40" i="86"/>
  <c r="AX39" i="86"/>
  <c r="AV39" i="86"/>
  <c r="AU39" i="86"/>
  <c r="AS39" i="86"/>
  <c r="AT39" i="86"/>
  <c r="AW39" i="86"/>
  <c r="AR39" i="86"/>
  <c r="AX38" i="86"/>
  <c r="AV38" i="86"/>
  <c r="AU38" i="86"/>
  <c r="AT38" i="86"/>
  <c r="AW38" i="86"/>
  <c r="AS38" i="86"/>
  <c r="AR38" i="86"/>
  <c r="AX37" i="86"/>
  <c r="AV37" i="86"/>
  <c r="AU37" i="86"/>
  <c r="AS37" i="86"/>
  <c r="AT37" i="86"/>
  <c r="AW37" i="86"/>
  <c r="AR37" i="86"/>
  <c r="F37" i="86"/>
  <c r="AX36" i="86"/>
  <c r="AV36" i="86"/>
  <c r="AU36" i="86"/>
  <c r="AS36" i="86"/>
  <c r="AT36" i="86"/>
  <c r="AW36" i="86"/>
  <c r="AR36" i="86"/>
  <c r="AX35" i="86"/>
  <c r="AV35" i="86"/>
  <c r="AU35" i="86"/>
  <c r="AT35" i="86"/>
  <c r="AW35" i="86"/>
  <c r="AS35" i="86"/>
  <c r="AR35" i="86"/>
  <c r="F35" i="86"/>
  <c r="AX34" i="86"/>
  <c r="AV34" i="86"/>
  <c r="AU34" i="86"/>
  <c r="AT34" i="86"/>
  <c r="AW34" i="86"/>
  <c r="AS34" i="86"/>
  <c r="AR34" i="86"/>
  <c r="AX33" i="86"/>
  <c r="AV33" i="86"/>
  <c r="AU33" i="86"/>
  <c r="AT33" i="86"/>
  <c r="AW33" i="86"/>
  <c r="AS33" i="86"/>
  <c r="AR33" i="86"/>
  <c r="F33" i="86"/>
  <c r="AX32" i="86"/>
  <c r="AV32" i="86"/>
  <c r="AU32" i="86"/>
  <c r="AS32" i="86"/>
  <c r="AT32" i="86"/>
  <c r="AW32" i="86"/>
  <c r="AR32" i="86"/>
  <c r="AX31" i="86"/>
  <c r="AV31" i="86"/>
  <c r="AU31" i="86"/>
  <c r="AS31" i="86"/>
  <c r="AT31" i="86"/>
  <c r="AW31" i="86"/>
  <c r="AR31" i="86"/>
  <c r="F31" i="86"/>
  <c r="F27" i="86"/>
  <c r="AV25" i="86"/>
  <c r="AS25" i="86"/>
  <c r="AH25" i="86"/>
  <c r="X33" i="86"/>
  <c r="X35" i="86"/>
  <c r="X36" i="86"/>
  <c r="T25" i="86"/>
  <c r="AV22" i="86"/>
  <c r="AS22" i="86"/>
  <c r="A22" i="86"/>
  <c r="A21" i="86"/>
  <c r="AV19" i="86"/>
  <c r="AS19" i="86"/>
  <c r="AN18" i="86"/>
  <c r="Q17" i="86"/>
  <c r="N17" i="86"/>
  <c r="AW9" i="86"/>
  <c r="K17" i="86"/>
  <c r="H17" i="86"/>
  <c r="AC25" i="86"/>
  <c r="AV16" i="86"/>
  <c r="AS16" i="86"/>
  <c r="BC11" i="86"/>
  <c r="AR8" i="86"/>
  <c r="AW25" i="86"/>
  <c r="Z21" i="86"/>
  <c r="AU7" i="86"/>
  <c r="AR7" i="86"/>
  <c r="AQ16" i="86"/>
  <c r="Q16" i="86"/>
  <c r="H7" i="86"/>
  <c r="AU6" i="86"/>
  <c r="AW6" i="86"/>
  <c r="AW8" i="86"/>
  <c r="H6" i="86"/>
  <c r="AM5" i="86"/>
  <c r="H5" i="86"/>
  <c r="R62" i="85"/>
  <c r="F53" i="84"/>
  <c r="AR52" i="85"/>
  <c r="F52" i="85"/>
  <c r="AR51" i="85"/>
  <c r="AR50" i="85"/>
  <c r="AR49" i="85"/>
  <c r="AR48" i="85"/>
  <c r="F48" i="85"/>
  <c r="AR47" i="85"/>
  <c r="AX46" i="85"/>
  <c r="AV46" i="85"/>
  <c r="AU46" i="85"/>
  <c r="AS46" i="85"/>
  <c r="AT46" i="85"/>
  <c r="AW46" i="85"/>
  <c r="AR46" i="85"/>
  <c r="F46" i="85"/>
  <c r="AX45" i="85"/>
  <c r="AW45" i="85"/>
  <c r="AV45" i="85"/>
  <c r="AU45" i="85"/>
  <c r="AT45" i="85"/>
  <c r="AS45" i="85"/>
  <c r="AR45" i="85"/>
  <c r="AX44" i="85"/>
  <c r="AV44" i="85"/>
  <c r="AU44" i="85"/>
  <c r="AS44" i="85"/>
  <c r="AT44" i="85"/>
  <c r="AW44" i="85"/>
  <c r="AR44" i="85"/>
  <c r="AX42" i="85"/>
  <c r="AV42" i="85"/>
  <c r="AU42" i="85"/>
  <c r="AS42" i="85"/>
  <c r="AT42" i="85"/>
  <c r="AW42" i="85"/>
  <c r="AN42" i="85"/>
  <c r="AR42" i="85"/>
  <c r="F42" i="85"/>
  <c r="AX41" i="85"/>
  <c r="AV41" i="85"/>
  <c r="AU41" i="85"/>
  <c r="AT41" i="85"/>
  <c r="AW41" i="85"/>
  <c r="AS41" i="85"/>
  <c r="AR41" i="85"/>
  <c r="F41" i="85"/>
  <c r="AX40" i="85"/>
  <c r="AV40" i="85"/>
  <c r="AU40" i="85"/>
  <c r="AS40" i="85"/>
  <c r="AT40" i="85"/>
  <c r="AW40" i="85"/>
  <c r="AR40" i="85"/>
  <c r="F40" i="85"/>
  <c r="AX39" i="85"/>
  <c r="AV39" i="85"/>
  <c r="AU39" i="85"/>
  <c r="AS39" i="85"/>
  <c r="AT39" i="85"/>
  <c r="AW39" i="85"/>
  <c r="AR39" i="85"/>
  <c r="F39" i="85"/>
  <c r="AX38" i="85"/>
  <c r="AV38" i="85"/>
  <c r="AU38" i="85"/>
  <c r="AS38" i="85"/>
  <c r="AT38" i="85"/>
  <c r="AW38" i="85"/>
  <c r="AR38" i="85"/>
  <c r="F38" i="85"/>
  <c r="AX37" i="85"/>
  <c r="AW37" i="85"/>
  <c r="AV37" i="85"/>
  <c r="AU37" i="85"/>
  <c r="AT37" i="85"/>
  <c r="AS37" i="85"/>
  <c r="AR37" i="85"/>
  <c r="AX36" i="85"/>
  <c r="AV36" i="85"/>
  <c r="AU36" i="85"/>
  <c r="AT36" i="85"/>
  <c r="AW36" i="85"/>
  <c r="AS36" i="85"/>
  <c r="AR36" i="85"/>
  <c r="F36" i="85"/>
  <c r="AX35" i="85"/>
  <c r="AV35" i="85"/>
  <c r="AU35" i="85"/>
  <c r="AS35" i="85"/>
  <c r="AT35" i="85"/>
  <c r="AW35" i="85"/>
  <c r="AR35" i="85"/>
  <c r="AX34" i="85"/>
  <c r="AV34" i="85"/>
  <c r="AU34" i="85"/>
  <c r="AS34" i="85"/>
  <c r="AT34" i="85"/>
  <c r="AW34" i="85"/>
  <c r="AR34" i="85"/>
  <c r="H34" i="85"/>
  <c r="F34" i="85"/>
  <c r="AX33" i="85"/>
  <c r="AV33" i="85"/>
  <c r="AU33" i="85"/>
  <c r="AS33" i="85"/>
  <c r="AT33" i="85"/>
  <c r="AW33" i="85"/>
  <c r="AR33" i="85"/>
  <c r="AX32" i="85"/>
  <c r="AV32" i="85"/>
  <c r="AU32" i="85"/>
  <c r="AS32" i="85"/>
  <c r="AT32" i="85"/>
  <c r="AW32" i="85"/>
  <c r="AR32" i="85"/>
  <c r="F32" i="85"/>
  <c r="AX31" i="85"/>
  <c r="AV31" i="85"/>
  <c r="AU31" i="85"/>
  <c r="AS31" i="85"/>
  <c r="AT31" i="85"/>
  <c r="AW31" i="85"/>
  <c r="AR31" i="85"/>
  <c r="F27" i="85"/>
  <c r="AH25" i="85"/>
  <c r="X27" i="85"/>
  <c r="X29" i="85"/>
  <c r="X30" i="85"/>
  <c r="AC25" i="85"/>
  <c r="H47" i="85"/>
  <c r="T25" i="85"/>
  <c r="A22" i="85"/>
  <c r="A21" i="85"/>
  <c r="AV19" i="85"/>
  <c r="AR19" i="85"/>
  <c r="AS19" i="85"/>
  <c r="AT19" i="85"/>
  <c r="AN18" i="85"/>
  <c r="AU16" i="85"/>
  <c r="AV16" i="85"/>
  <c r="AW16" i="85"/>
  <c r="AQ13" i="85"/>
  <c r="AX9" i="85"/>
  <c r="AU25" i="85"/>
  <c r="AV25" i="85"/>
  <c r="AW25" i="85"/>
  <c r="AX8" i="85"/>
  <c r="AR22" i="85"/>
  <c r="AS22" i="85"/>
  <c r="AT22" i="85"/>
  <c r="AX7" i="85"/>
  <c r="AR25" i="85"/>
  <c r="AS25" i="85"/>
  <c r="AV7" i="85"/>
  <c r="AR7" i="85"/>
  <c r="AR8" i="85"/>
  <c r="H7" i="85"/>
  <c r="AX6" i="85"/>
  <c r="H6" i="85"/>
  <c r="AX5" i="85"/>
  <c r="H5" i="85"/>
  <c r="AX4" i="85"/>
  <c r="AR16" i="85"/>
  <c r="F42" i="133"/>
  <c r="F34" i="133"/>
  <c r="H44" i="86"/>
  <c r="N44" i="86"/>
  <c r="R46" i="121"/>
  <c r="R53" i="121"/>
  <c r="N43" i="97"/>
  <c r="T43" i="97"/>
  <c r="H47" i="86"/>
  <c r="N53" i="121"/>
  <c r="T52" i="121"/>
  <c r="T45" i="121"/>
  <c r="J53" i="112"/>
  <c r="R45" i="112"/>
  <c r="L46" i="112"/>
  <c r="R46" i="112"/>
  <c r="R52" i="112"/>
  <c r="R48" i="112"/>
  <c r="L60" i="106"/>
  <c r="R60" i="106"/>
  <c r="F127" i="84"/>
  <c r="L55" i="106"/>
  <c r="R55" i="106"/>
  <c r="F122" i="84"/>
  <c r="R59" i="106"/>
  <c r="F126" i="84"/>
  <c r="L59" i="106"/>
  <c r="R56" i="106"/>
  <c r="F123" i="84"/>
  <c r="L56" i="106"/>
  <c r="L60" i="105"/>
  <c r="R32" i="105"/>
  <c r="L55" i="105"/>
  <c r="L59" i="105"/>
  <c r="L58" i="105"/>
  <c r="L56" i="105"/>
  <c r="L57" i="104"/>
  <c r="L57" i="103"/>
  <c r="L57" i="101"/>
  <c r="H53" i="98"/>
  <c r="N56" i="98"/>
  <c r="R56" i="98"/>
  <c r="F164" i="84"/>
  <c r="T47" i="98"/>
  <c r="R47" i="98"/>
  <c r="T51" i="98"/>
  <c r="R51" i="98"/>
  <c r="N60" i="98"/>
  <c r="R60" i="98"/>
  <c r="F168" i="84"/>
  <c r="J45" i="98"/>
  <c r="L57" i="98"/>
  <c r="T37" i="98"/>
  <c r="R37" i="98"/>
  <c r="T40" i="98"/>
  <c r="R40" i="98"/>
  <c r="T35" i="98"/>
  <c r="R35" i="98"/>
  <c r="AM25" i="98"/>
  <c r="N59" i="98"/>
  <c r="R59" i="98"/>
  <c r="F167" i="84"/>
  <c r="T33" i="98"/>
  <c r="R33" i="98"/>
  <c r="AM26" i="98"/>
  <c r="T42" i="98"/>
  <c r="R42" i="98"/>
  <c r="T38" i="98"/>
  <c r="R38" i="98"/>
  <c r="T41" i="98"/>
  <c r="R41" i="98"/>
  <c r="T36" i="98"/>
  <c r="R36" i="98"/>
  <c r="T44" i="98"/>
  <c r="R44" i="98"/>
  <c r="T34" i="98"/>
  <c r="R34" i="98"/>
  <c r="T39" i="98"/>
  <c r="R39" i="98"/>
  <c r="T49" i="98"/>
  <c r="R49" i="98"/>
  <c r="N55" i="98"/>
  <c r="R55" i="98"/>
  <c r="F163" i="84"/>
  <c r="L61" i="98"/>
  <c r="R43" i="98"/>
  <c r="N43" i="98"/>
  <c r="T43" i="98"/>
  <c r="N58" i="98"/>
  <c r="R58" i="98"/>
  <c r="F166" i="84"/>
  <c r="T32" i="98"/>
  <c r="T37" i="97"/>
  <c r="R37" i="97"/>
  <c r="T40" i="97"/>
  <c r="R40" i="97"/>
  <c r="T35" i="97"/>
  <c r="R35" i="97"/>
  <c r="AM25" i="97"/>
  <c r="N59" i="97"/>
  <c r="R59" i="97"/>
  <c r="F159" i="84"/>
  <c r="T33" i="97"/>
  <c r="R33" i="97"/>
  <c r="T39" i="97"/>
  <c r="R39" i="97"/>
  <c r="T38" i="97"/>
  <c r="R38" i="97"/>
  <c r="T41" i="97"/>
  <c r="R41" i="97"/>
  <c r="T36" i="97"/>
  <c r="R36" i="97"/>
  <c r="T44" i="97"/>
  <c r="R44" i="97"/>
  <c r="T34" i="97"/>
  <c r="R34" i="97"/>
  <c r="H53" i="97"/>
  <c r="N31" i="97"/>
  <c r="T51" i="97"/>
  <c r="R51" i="97"/>
  <c r="N60" i="97"/>
  <c r="R60" i="97"/>
  <c r="F160" i="84"/>
  <c r="L61" i="97"/>
  <c r="L55" i="97"/>
  <c r="L56" i="97"/>
  <c r="L57" i="97"/>
  <c r="J45" i="97"/>
  <c r="L58" i="97"/>
  <c r="R32" i="97"/>
  <c r="N42" i="97"/>
  <c r="T42" i="97"/>
  <c r="R42" i="97"/>
  <c r="J45" i="96"/>
  <c r="H53" i="96"/>
  <c r="T51" i="96"/>
  <c r="R51" i="96"/>
  <c r="N60" i="96"/>
  <c r="R60" i="96"/>
  <c r="F151" i="84"/>
  <c r="L57" i="96"/>
  <c r="N58" i="96"/>
  <c r="R58" i="96"/>
  <c r="F149" i="84"/>
  <c r="T32" i="96"/>
  <c r="R43" i="96"/>
  <c r="N43" i="96"/>
  <c r="T37" i="96"/>
  <c r="R37" i="96"/>
  <c r="T42" i="96"/>
  <c r="R42" i="96"/>
  <c r="T40" i="96"/>
  <c r="R40" i="96"/>
  <c r="T35" i="96"/>
  <c r="R35" i="96"/>
  <c r="AM25" i="96"/>
  <c r="N59" i="96"/>
  <c r="R59" i="96"/>
  <c r="F150" i="84"/>
  <c r="T33" i="96"/>
  <c r="R33" i="96"/>
  <c r="AM26" i="96"/>
  <c r="T38" i="96"/>
  <c r="R38" i="96"/>
  <c r="T41" i="96"/>
  <c r="R41" i="96"/>
  <c r="T36" i="96"/>
  <c r="R36" i="96"/>
  <c r="T44" i="96"/>
  <c r="R44" i="96"/>
  <c r="T34" i="96"/>
  <c r="R34" i="96"/>
  <c r="T39" i="96"/>
  <c r="R39" i="96"/>
  <c r="L61" i="96"/>
  <c r="N56" i="96"/>
  <c r="R56" i="96"/>
  <c r="F147" i="84"/>
  <c r="T47" i="96"/>
  <c r="R47" i="96"/>
  <c r="T49" i="96"/>
  <c r="R49" i="96"/>
  <c r="N55" i="96"/>
  <c r="R55" i="96"/>
  <c r="F146" i="84"/>
  <c r="H53" i="94"/>
  <c r="T49" i="95"/>
  <c r="R49" i="95"/>
  <c r="N55" i="95"/>
  <c r="R55" i="95"/>
  <c r="F102" i="84"/>
  <c r="R43" i="95"/>
  <c r="N43" i="95"/>
  <c r="T43" i="95"/>
  <c r="J45" i="95"/>
  <c r="N56" i="95"/>
  <c r="R56" i="95"/>
  <c r="F103" i="84"/>
  <c r="T47" i="95"/>
  <c r="R47" i="95"/>
  <c r="R32" i="95"/>
  <c r="T37" i="95"/>
  <c r="R37" i="95"/>
  <c r="T40" i="95"/>
  <c r="R40" i="95"/>
  <c r="T35" i="95"/>
  <c r="R35" i="95"/>
  <c r="AM25" i="95"/>
  <c r="N59" i="95"/>
  <c r="R59" i="95"/>
  <c r="F106" i="84"/>
  <c r="T33" i="95"/>
  <c r="R33" i="95"/>
  <c r="AM26" i="95"/>
  <c r="T38" i="95"/>
  <c r="R38" i="95"/>
  <c r="T41" i="95"/>
  <c r="R41" i="95"/>
  <c r="T36" i="95"/>
  <c r="R36" i="95"/>
  <c r="T42" i="95"/>
  <c r="R42" i="95"/>
  <c r="T44" i="95"/>
  <c r="R44" i="95"/>
  <c r="T34" i="95"/>
  <c r="R34" i="95"/>
  <c r="T39" i="95"/>
  <c r="R39" i="95"/>
  <c r="N31" i="95"/>
  <c r="H53" i="95"/>
  <c r="L58" i="95"/>
  <c r="T51" i="95"/>
  <c r="R51" i="95"/>
  <c r="N60" i="95"/>
  <c r="R60" i="95"/>
  <c r="F107" i="84"/>
  <c r="N52" i="95"/>
  <c r="N48" i="95"/>
  <c r="L57" i="95"/>
  <c r="T49" i="94"/>
  <c r="R49" i="94"/>
  <c r="N55" i="94"/>
  <c r="R55" i="94"/>
  <c r="F94" i="84"/>
  <c r="T51" i="94"/>
  <c r="R51" i="94"/>
  <c r="N60" i="94"/>
  <c r="R60" i="94"/>
  <c r="F99" i="84"/>
  <c r="L57" i="94"/>
  <c r="T37" i="94"/>
  <c r="R37" i="94"/>
  <c r="T40" i="94"/>
  <c r="R40" i="94"/>
  <c r="T35" i="94"/>
  <c r="R35" i="94"/>
  <c r="AM25" i="94"/>
  <c r="N59" i="94"/>
  <c r="R59" i="94"/>
  <c r="F98" i="84"/>
  <c r="T33" i="94"/>
  <c r="R33" i="94"/>
  <c r="AM26" i="94"/>
  <c r="T42" i="94"/>
  <c r="R42" i="94"/>
  <c r="T38" i="94"/>
  <c r="R38" i="94"/>
  <c r="T41" i="94"/>
  <c r="R41" i="94"/>
  <c r="T36" i="94"/>
  <c r="R36" i="94"/>
  <c r="T44" i="94"/>
  <c r="R44" i="94"/>
  <c r="T34" i="94"/>
  <c r="R34" i="94"/>
  <c r="T39" i="94"/>
  <c r="R39" i="94"/>
  <c r="J45" i="94"/>
  <c r="N58" i="94"/>
  <c r="R58" i="94"/>
  <c r="F97" i="84"/>
  <c r="T32" i="94"/>
  <c r="L61" i="94"/>
  <c r="R43" i="94"/>
  <c r="N43" i="94"/>
  <c r="T43" i="94"/>
  <c r="N56" i="94"/>
  <c r="R56" i="94"/>
  <c r="F95" i="84"/>
  <c r="T47" i="94"/>
  <c r="R47" i="94"/>
  <c r="H53" i="93"/>
  <c r="N42" i="92"/>
  <c r="T42" i="92"/>
  <c r="R42" i="92"/>
  <c r="J45" i="92"/>
  <c r="L45" i="92"/>
  <c r="N42" i="91"/>
  <c r="T42" i="91"/>
  <c r="R42" i="91"/>
  <c r="L61" i="93"/>
  <c r="N55" i="93"/>
  <c r="R55" i="93"/>
  <c r="F86" i="84"/>
  <c r="T49" i="93"/>
  <c r="R49" i="93"/>
  <c r="N58" i="93"/>
  <c r="R58" i="93"/>
  <c r="F89" i="84"/>
  <c r="T32" i="93"/>
  <c r="J45" i="93"/>
  <c r="N56" i="93"/>
  <c r="R56" i="93"/>
  <c r="F87" i="84"/>
  <c r="T47" i="93"/>
  <c r="R47" i="93"/>
  <c r="N39" i="93"/>
  <c r="AM26" i="93"/>
  <c r="L57" i="93"/>
  <c r="T37" i="93"/>
  <c r="R37" i="93"/>
  <c r="T40" i="93"/>
  <c r="R40" i="93"/>
  <c r="T35" i="93"/>
  <c r="R35" i="93"/>
  <c r="AM25" i="93"/>
  <c r="T34" i="93"/>
  <c r="R34" i="93"/>
  <c r="N59" i="93"/>
  <c r="R59" i="93"/>
  <c r="F90" i="84"/>
  <c r="T33" i="93"/>
  <c r="R33" i="93"/>
  <c r="T38" i="93"/>
  <c r="R38" i="93"/>
  <c r="T41" i="93"/>
  <c r="R41" i="93"/>
  <c r="T36" i="93"/>
  <c r="R36" i="93"/>
  <c r="T44" i="93"/>
  <c r="R44" i="93"/>
  <c r="T42" i="93"/>
  <c r="R42" i="93"/>
  <c r="T51" i="93"/>
  <c r="R51" i="93"/>
  <c r="N60" i="93"/>
  <c r="R60" i="93"/>
  <c r="F91" i="84"/>
  <c r="R43" i="93"/>
  <c r="N43" i="93"/>
  <c r="T43" i="93"/>
  <c r="N55" i="92"/>
  <c r="R55" i="92"/>
  <c r="F78" i="84"/>
  <c r="T49" i="92"/>
  <c r="R49" i="92"/>
  <c r="T51" i="92"/>
  <c r="R51" i="92"/>
  <c r="N60" i="92"/>
  <c r="R60" i="92"/>
  <c r="F83" i="84"/>
  <c r="N56" i="92"/>
  <c r="R56" i="92"/>
  <c r="F79" i="84"/>
  <c r="T47" i="92"/>
  <c r="R47" i="92"/>
  <c r="H53" i="92"/>
  <c r="N39" i="92"/>
  <c r="T39" i="92"/>
  <c r="R39" i="92"/>
  <c r="N58" i="92"/>
  <c r="R58" i="92"/>
  <c r="F81" i="84"/>
  <c r="T32" i="92"/>
  <c r="L57" i="92"/>
  <c r="T37" i="92"/>
  <c r="R37" i="92"/>
  <c r="T44" i="92"/>
  <c r="R44" i="92"/>
  <c r="T40" i="92"/>
  <c r="R40" i="92"/>
  <c r="T35" i="92"/>
  <c r="R35" i="92"/>
  <c r="AM25" i="92"/>
  <c r="N59" i="92"/>
  <c r="R59" i="92"/>
  <c r="F82" i="84"/>
  <c r="T33" i="92"/>
  <c r="R33" i="92"/>
  <c r="T38" i="92"/>
  <c r="R38" i="92"/>
  <c r="T41" i="92"/>
  <c r="R41" i="92"/>
  <c r="T36" i="92"/>
  <c r="R36" i="92"/>
  <c r="T34" i="92"/>
  <c r="R34" i="92"/>
  <c r="L61" i="92"/>
  <c r="L61" i="91"/>
  <c r="T49" i="91"/>
  <c r="R49" i="91"/>
  <c r="N55" i="91"/>
  <c r="R55" i="91"/>
  <c r="F70" i="84"/>
  <c r="T51" i="91"/>
  <c r="R51" i="91"/>
  <c r="N60" i="91"/>
  <c r="R60" i="91"/>
  <c r="F75" i="84"/>
  <c r="H53" i="91"/>
  <c r="T32" i="91"/>
  <c r="N58" i="91"/>
  <c r="R58" i="91"/>
  <c r="F73" i="84"/>
  <c r="T47" i="91"/>
  <c r="R47" i="91"/>
  <c r="N56" i="91"/>
  <c r="R56" i="91"/>
  <c r="F71" i="84"/>
  <c r="L57" i="91"/>
  <c r="J45" i="91"/>
  <c r="T37" i="91"/>
  <c r="R37" i="91"/>
  <c r="T36" i="91"/>
  <c r="R36" i="91"/>
  <c r="T40" i="91"/>
  <c r="R40" i="91"/>
  <c r="T35" i="91"/>
  <c r="R35" i="91"/>
  <c r="AM25" i="91"/>
  <c r="T41" i="91"/>
  <c r="R41" i="91"/>
  <c r="N59" i="91"/>
  <c r="R59" i="91"/>
  <c r="F74" i="84"/>
  <c r="T33" i="91"/>
  <c r="R33" i="91"/>
  <c r="T38" i="91"/>
  <c r="R38" i="91"/>
  <c r="T44" i="91"/>
  <c r="R44" i="91"/>
  <c r="T34" i="91"/>
  <c r="R34" i="91"/>
  <c r="T39" i="91"/>
  <c r="R39" i="91"/>
  <c r="H38" i="85"/>
  <c r="N38" i="85"/>
  <c r="N34" i="85"/>
  <c r="N55" i="90"/>
  <c r="R55" i="90"/>
  <c r="F62" i="84"/>
  <c r="T49" i="90"/>
  <c r="R49" i="90"/>
  <c r="H53" i="90"/>
  <c r="T32" i="90"/>
  <c r="N58" i="90"/>
  <c r="R58" i="90"/>
  <c r="F65" i="84"/>
  <c r="T37" i="90"/>
  <c r="R37" i="90"/>
  <c r="T44" i="90"/>
  <c r="R44" i="90"/>
  <c r="T34" i="90"/>
  <c r="R34" i="90"/>
  <c r="T40" i="90"/>
  <c r="R40" i="90"/>
  <c r="T35" i="90"/>
  <c r="R35" i="90"/>
  <c r="T39" i="90"/>
  <c r="R39" i="90"/>
  <c r="N59" i="90"/>
  <c r="R59" i="90"/>
  <c r="F66" i="84"/>
  <c r="T33" i="90"/>
  <c r="R33" i="90"/>
  <c r="AM25" i="90"/>
  <c r="T38" i="90"/>
  <c r="R38" i="90"/>
  <c r="AM26" i="90"/>
  <c r="T41" i="90"/>
  <c r="R41" i="90"/>
  <c r="T36" i="90"/>
  <c r="R36" i="90"/>
  <c r="T42" i="90"/>
  <c r="R42" i="90"/>
  <c r="J45" i="90"/>
  <c r="L61" i="90"/>
  <c r="N56" i="90"/>
  <c r="R56" i="90"/>
  <c r="F63" i="84"/>
  <c r="T47" i="90"/>
  <c r="R47" i="90"/>
  <c r="T51" i="90"/>
  <c r="R51" i="90"/>
  <c r="N60" i="90"/>
  <c r="R60" i="90"/>
  <c r="F67" i="84"/>
  <c r="L57" i="90"/>
  <c r="N48" i="89"/>
  <c r="L58" i="89"/>
  <c r="J45" i="89"/>
  <c r="L60" i="89"/>
  <c r="T37" i="89"/>
  <c r="R37" i="89"/>
  <c r="T40" i="89"/>
  <c r="R40" i="89"/>
  <c r="T35" i="89"/>
  <c r="R35" i="89"/>
  <c r="N59" i="89"/>
  <c r="R59" i="89"/>
  <c r="F58" i="84"/>
  <c r="T33" i="89"/>
  <c r="R33" i="89"/>
  <c r="AM25" i="89"/>
  <c r="T38" i="89"/>
  <c r="R38" i="89"/>
  <c r="AM26" i="89"/>
  <c r="T42" i="89"/>
  <c r="R42" i="89"/>
  <c r="T41" i="89"/>
  <c r="R41" i="89"/>
  <c r="T36" i="89"/>
  <c r="R36" i="89"/>
  <c r="T39" i="89"/>
  <c r="R39" i="89"/>
  <c r="T44" i="89"/>
  <c r="R44" i="89"/>
  <c r="T34" i="89"/>
  <c r="R34" i="89"/>
  <c r="H53" i="89"/>
  <c r="N31" i="89"/>
  <c r="L55" i="89"/>
  <c r="L57" i="89"/>
  <c r="L56" i="89"/>
  <c r="R32" i="89"/>
  <c r="T49" i="88"/>
  <c r="R49" i="88"/>
  <c r="N55" i="88"/>
  <c r="R55" i="88"/>
  <c r="F38" i="84"/>
  <c r="L57" i="88"/>
  <c r="T37" i="88"/>
  <c r="R37" i="88"/>
  <c r="T36" i="88"/>
  <c r="R36" i="88"/>
  <c r="T40" i="88"/>
  <c r="R40" i="88"/>
  <c r="T35" i="88"/>
  <c r="R35" i="88"/>
  <c r="AM25" i="88"/>
  <c r="N59" i="88"/>
  <c r="R59" i="88"/>
  <c r="F42" i="84"/>
  <c r="T33" i="88"/>
  <c r="R33" i="88"/>
  <c r="AM26" i="88"/>
  <c r="T38" i="88"/>
  <c r="R38" i="88"/>
  <c r="T41" i="88"/>
  <c r="R41" i="88"/>
  <c r="T44" i="88"/>
  <c r="R44" i="88"/>
  <c r="T34" i="88"/>
  <c r="R34" i="88"/>
  <c r="T39" i="88"/>
  <c r="R39" i="88"/>
  <c r="T42" i="88"/>
  <c r="R42" i="88"/>
  <c r="R43" i="88"/>
  <c r="N43" i="88"/>
  <c r="T43" i="88"/>
  <c r="L61" i="88"/>
  <c r="H53" i="88"/>
  <c r="T47" i="88"/>
  <c r="R47" i="88"/>
  <c r="N56" i="88"/>
  <c r="R56" i="88"/>
  <c r="F39" i="84"/>
  <c r="T51" i="88"/>
  <c r="R51" i="88"/>
  <c r="N60" i="88"/>
  <c r="R60" i="88"/>
  <c r="F43" i="84"/>
  <c r="J45" i="88"/>
  <c r="N58" i="88"/>
  <c r="R58" i="88"/>
  <c r="F41" i="84"/>
  <c r="T32" i="88"/>
  <c r="L61" i="87"/>
  <c r="N55" i="87"/>
  <c r="R55" i="87"/>
  <c r="F30" i="84"/>
  <c r="T49" i="87"/>
  <c r="R49" i="87"/>
  <c r="N31" i="87"/>
  <c r="H53" i="87"/>
  <c r="N56" i="87"/>
  <c r="R56" i="87"/>
  <c r="F31" i="84"/>
  <c r="T47" i="87"/>
  <c r="R47" i="87"/>
  <c r="J45" i="87"/>
  <c r="R43" i="87"/>
  <c r="N43" i="87"/>
  <c r="T43" i="87"/>
  <c r="N58" i="87"/>
  <c r="R58" i="87"/>
  <c r="T32" i="87"/>
  <c r="T51" i="87"/>
  <c r="R51" i="87"/>
  <c r="N60" i="87"/>
  <c r="R60" i="87"/>
  <c r="F35" i="84"/>
  <c r="L57" i="87"/>
  <c r="T37" i="87"/>
  <c r="R37" i="87"/>
  <c r="AM25" i="87"/>
  <c r="T40" i="87"/>
  <c r="R40" i="87"/>
  <c r="T35" i="87"/>
  <c r="R35" i="87"/>
  <c r="N59" i="87"/>
  <c r="R59" i="87"/>
  <c r="F34" i="84"/>
  <c r="T33" i="87"/>
  <c r="R33" i="87"/>
  <c r="AM26" i="87"/>
  <c r="T38" i="87"/>
  <c r="R38" i="87"/>
  <c r="T36" i="87"/>
  <c r="R36" i="87"/>
  <c r="T41" i="87"/>
  <c r="R41" i="87"/>
  <c r="T44" i="87"/>
  <c r="R44" i="87"/>
  <c r="T34" i="87"/>
  <c r="R34" i="87"/>
  <c r="T42" i="87"/>
  <c r="R42" i="87"/>
  <c r="T39" i="87"/>
  <c r="R39" i="87"/>
  <c r="H51" i="86"/>
  <c r="N51" i="86"/>
  <c r="H45" i="86"/>
  <c r="H49" i="86"/>
  <c r="N49" i="86"/>
  <c r="N47" i="86"/>
  <c r="BE10" i="86"/>
  <c r="AY8" i="86"/>
  <c r="Z22" i="86"/>
  <c r="AC22" i="86"/>
  <c r="T50" i="86"/>
  <c r="R50" i="86"/>
  <c r="H37" i="86"/>
  <c r="N37" i="86"/>
  <c r="AT19" i="86"/>
  <c r="AF16" i="86"/>
  <c r="AF17" i="86"/>
  <c r="AI17" i="86"/>
  <c r="N57" i="86"/>
  <c r="R57" i="86"/>
  <c r="F24" i="84"/>
  <c r="AT16" i="86"/>
  <c r="T16" i="86"/>
  <c r="AT22" i="86"/>
  <c r="T21" i="86"/>
  <c r="T22" i="86"/>
  <c r="W22" i="86"/>
  <c r="AT25" i="86"/>
  <c r="N21" i="86"/>
  <c r="N22" i="86"/>
  <c r="H43" i="86"/>
  <c r="H31" i="86"/>
  <c r="H33" i="86"/>
  <c r="N33" i="86"/>
  <c r="T17" i="86"/>
  <c r="W17" i="86"/>
  <c r="AW19" i="86"/>
  <c r="H21" i="86"/>
  <c r="H22" i="86"/>
  <c r="K22" i="86"/>
  <c r="AW22" i="86"/>
  <c r="H35" i="86"/>
  <c r="N35" i="86"/>
  <c r="AW16" i="86"/>
  <c r="Z16" i="86"/>
  <c r="Z17" i="86"/>
  <c r="AC17" i="86"/>
  <c r="H32" i="85"/>
  <c r="N32" i="85"/>
  <c r="N36" i="85"/>
  <c r="H41" i="85"/>
  <c r="N41" i="85"/>
  <c r="H46" i="85"/>
  <c r="H36" i="85"/>
  <c r="H39" i="85"/>
  <c r="N39" i="85"/>
  <c r="H44" i="85"/>
  <c r="N44" i="85"/>
  <c r="H52" i="85"/>
  <c r="N52" i="85"/>
  <c r="H42" i="85"/>
  <c r="N42" i="85"/>
  <c r="AS16" i="85"/>
  <c r="AT16" i="85"/>
  <c r="AT12" i="85"/>
  <c r="AT25" i="85"/>
  <c r="N61" i="85"/>
  <c r="R61" i="85"/>
  <c r="F52" i="84"/>
  <c r="N57" i="85"/>
  <c r="R57" i="85"/>
  <c r="F48" i="84"/>
  <c r="AW19" i="85"/>
  <c r="N47" i="85"/>
  <c r="F53" i="85"/>
  <c r="H33" i="85"/>
  <c r="N33" i="85"/>
  <c r="H43" i="85"/>
  <c r="AQ16" i="85"/>
  <c r="H31" i="85"/>
  <c r="H35" i="85"/>
  <c r="N35" i="85"/>
  <c r="H40" i="85"/>
  <c r="N40" i="85"/>
  <c r="H45" i="85"/>
  <c r="H37" i="85"/>
  <c r="N37" i="85"/>
  <c r="H51" i="85"/>
  <c r="N51" i="85"/>
  <c r="H49" i="85"/>
  <c r="N49" i="85"/>
  <c r="L62" i="85"/>
  <c r="H48" i="85"/>
  <c r="F154" i="84"/>
  <c r="L60" i="30"/>
  <c r="L59" i="30"/>
  <c r="R48" i="89"/>
  <c r="T48" i="89"/>
  <c r="P44" i="121"/>
  <c r="P35" i="121"/>
  <c r="P52" i="121"/>
  <c r="P43" i="121"/>
  <c r="P39" i="121"/>
  <c r="P33" i="121"/>
  <c r="P34" i="121"/>
  <c r="P36" i="121"/>
  <c r="P37" i="121"/>
  <c r="P41" i="121"/>
  <c r="P47" i="121"/>
  <c r="P51" i="121"/>
  <c r="P45" i="121"/>
  <c r="P48" i="121"/>
  <c r="P40" i="121"/>
  <c r="P49" i="121"/>
  <c r="P42" i="121"/>
  <c r="P38" i="121"/>
  <c r="P31" i="121"/>
  <c r="P32" i="121"/>
  <c r="P46" i="121"/>
  <c r="T46" i="121"/>
  <c r="T53" i="121"/>
  <c r="AM26" i="91"/>
  <c r="T46" i="112"/>
  <c r="T45" i="112"/>
  <c r="L53" i="112"/>
  <c r="T48" i="112"/>
  <c r="N46" i="112"/>
  <c r="N53" i="112"/>
  <c r="T52" i="112"/>
  <c r="R53" i="112"/>
  <c r="AM26" i="97"/>
  <c r="L45" i="98"/>
  <c r="N45" i="98"/>
  <c r="J46" i="98"/>
  <c r="L59" i="98"/>
  <c r="L60" i="98"/>
  <c r="R32" i="98"/>
  <c r="L55" i="98"/>
  <c r="L58" i="98"/>
  <c r="L56" i="98"/>
  <c r="L59" i="97"/>
  <c r="L45" i="97"/>
  <c r="N45" i="97"/>
  <c r="J46" i="97"/>
  <c r="J53" i="97"/>
  <c r="L60" i="97"/>
  <c r="R52" i="97"/>
  <c r="R48" i="97"/>
  <c r="L58" i="96"/>
  <c r="L55" i="96"/>
  <c r="T43" i="96"/>
  <c r="L56" i="96"/>
  <c r="L60" i="96"/>
  <c r="L59" i="96"/>
  <c r="R32" i="96"/>
  <c r="R48" i="96"/>
  <c r="L45" i="96"/>
  <c r="J46" i="96"/>
  <c r="L55" i="95"/>
  <c r="L56" i="95"/>
  <c r="L45" i="95"/>
  <c r="J46" i="95"/>
  <c r="N45" i="95"/>
  <c r="L59" i="95"/>
  <c r="L60" i="95"/>
  <c r="R52" i="95"/>
  <c r="R48" i="95"/>
  <c r="R32" i="94"/>
  <c r="R48" i="94"/>
  <c r="L58" i="94"/>
  <c r="L56" i="94"/>
  <c r="L60" i="94"/>
  <c r="L59" i="94"/>
  <c r="L45" i="94"/>
  <c r="N45" i="94"/>
  <c r="J46" i="94"/>
  <c r="L55" i="94"/>
  <c r="J46" i="92"/>
  <c r="J53" i="92"/>
  <c r="L55" i="93"/>
  <c r="L59" i="93"/>
  <c r="L56" i="93"/>
  <c r="L45" i="93"/>
  <c r="N45" i="93"/>
  <c r="J46" i="93"/>
  <c r="J53" i="93"/>
  <c r="R32" i="93"/>
  <c r="L58" i="93"/>
  <c r="L60" i="93"/>
  <c r="T39" i="93"/>
  <c r="R39" i="93"/>
  <c r="L46" i="92"/>
  <c r="L53" i="92"/>
  <c r="L58" i="92"/>
  <c r="L60" i="92"/>
  <c r="R32" i="92"/>
  <c r="R48" i="92"/>
  <c r="L59" i="92"/>
  <c r="L56" i="92"/>
  <c r="L55" i="92"/>
  <c r="AM26" i="92"/>
  <c r="N45" i="92"/>
  <c r="L45" i="91"/>
  <c r="J46" i="91"/>
  <c r="L59" i="91"/>
  <c r="L60" i="91"/>
  <c r="L56" i="91"/>
  <c r="L55" i="91"/>
  <c r="L58" i="91"/>
  <c r="R32" i="91"/>
  <c r="R48" i="91"/>
  <c r="L58" i="90"/>
  <c r="L60" i="90"/>
  <c r="L45" i="90"/>
  <c r="N45" i="90"/>
  <c r="J46" i="90"/>
  <c r="R32" i="90"/>
  <c r="R48" i="90"/>
  <c r="L55" i="90"/>
  <c r="L59" i="90"/>
  <c r="L56" i="90"/>
  <c r="L45" i="89"/>
  <c r="N45" i="89"/>
  <c r="J46" i="89"/>
  <c r="L59" i="89"/>
  <c r="R52" i="89"/>
  <c r="L45" i="88"/>
  <c r="J46" i="88"/>
  <c r="J53" i="88"/>
  <c r="L60" i="88"/>
  <c r="L59" i="88"/>
  <c r="L55" i="88"/>
  <c r="R32" i="88"/>
  <c r="R48" i="88"/>
  <c r="L56" i="88"/>
  <c r="L58" i="88"/>
  <c r="L59" i="87"/>
  <c r="L56" i="87"/>
  <c r="R32" i="87"/>
  <c r="R48" i="87"/>
  <c r="L60" i="87"/>
  <c r="L58" i="87"/>
  <c r="L55" i="87"/>
  <c r="L45" i="87"/>
  <c r="N45" i="87"/>
  <c r="J46" i="87"/>
  <c r="N58" i="86"/>
  <c r="R58" i="86"/>
  <c r="F25" i="84"/>
  <c r="T32" i="86"/>
  <c r="T47" i="86"/>
  <c r="R47" i="86"/>
  <c r="N56" i="86"/>
  <c r="R56" i="86"/>
  <c r="F23" i="84"/>
  <c r="T37" i="86"/>
  <c r="R37" i="86"/>
  <c r="T33" i="86"/>
  <c r="R33" i="86"/>
  <c r="N59" i="86"/>
  <c r="R59" i="86"/>
  <c r="F26" i="84"/>
  <c r="M15" i="84" s="1"/>
  <c r="T35" i="86"/>
  <c r="R35" i="86"/>
  <c r="AM25" i="86"/>
  <c r="T44" i="86"/>
  <c r="R44" i="86"/>
  <c r="L57" i="86"/>
  <c r="N31" i="86"/>
  <c r="R43" i="86"/>
  <c r="N43" i="86"/>
  <c r="T43" i="86"/>
  <c r="T49" i="86"/>
  <c r="R49" i="86"/>
  <c r="N55" i="86"/>
  <c r="R55" i="86"/>
  <c r="F22" i="84"/>
  <c r="N55" i="85"/>
  <c r="R55" i="85"/>
  <c r="F46" i="84"/>
  <c r="T49" i="85"/>
  <c r="R49" i="85"/>
  <c r="N48" i="85"/>
  <c r="N31" i="85"/>
  <c r="H53" i="85"/>
  <c r="T51" i="85"/>
  <c r="R51" i="85"/>
  <c r="N60" i="85"/>
  <c r="R60" i="85"/>
  <c r="F51" i="84"/>
  <c r="N56" i="85"/>
  <c r="R56" i="85"/>
  <c r="F47" i="84"/>
  <c r="T47" i="85"/>
  <c r="R47" i="85"/>
  <c r="R43" i="85"/>
  <c r="N43" i="85"/>
  <c r="T43" i="85"/>
  <c r="L57" i="85"/>
  <c r="L61" i="85"/>
  <c r="N58" i="85"/>
  <c r="R58" i="85"/>
  <c r="F49" i="84"/>
  <c r="T32" i="85"/>
  <c r="T37" i="85"/>
  <c r="R37" i="85"/>
  <c r="T40" i="85"/>
  <c r="R40" i="85"/>
  <c r="N59" i="85"/>
  <c r="R59" i="85"/>
  <c r="F50" i="84"/>
  <c r="T33" i="85"/>
  <c r="R33" i="85"/>
  <c r="AM26" i="85"/>
  <c r="T38" i="85"/>
  <c r="R38" i="85"/>
  <c r="T41" i="85"/>
  <c r="R41" i="85"/>
  <c r="T36" i="85"/>
  <c r="R36" i="85"/>
  <c r="T44" i="85"/>
  <c r="R44" i="85"/>
  <c r="T34" i="85"/>
  <c r="R34" i="85"/>
  <c r="T42" i="85"/>
  <c r="R42" i="85"/>
  <c r="T35" i="85"/>
  <c r="R35" i="85"/>
  <c r="AM25" i="85"/>
  <c r="T39" i="85"/>
  <c r="R39" i="85"/>
  <c r="J45" i="85"/>
  <c r="P53" i="121"/>
  <c r="P48" i="112"/>
  <c r="P40" i="112"/>
  <c r="T53" i="112"/>
  <c r="P31" i="112"/>
  <c r="P43" i="112"/>
  <c r="P51" i="112"/>
  <c r="P47" i="112"/>
  <c r="P36" i="112"/>
  <c r="P42" i="112"/>
  <c r="P35" i="112"/>
  <c r="P49" i="112"/>
  <c r="P34" i="112"/>
  <c r="P39" i="112"/>
  <c r="P38" i="112"/>
  <c r="P33" i="112"/>
  <c r="P44" i="112"/>
  <c r="P37" i="112"/>
  <c r="P41" i="112"/>
  <c r="P32" i="112"/>
  <c r="P45" i="112"/>
  <c r="P52" i="112"/>
  <c r="P46" i="112"/>
  <c r="R52" i="98"/>
  <c r="R46" i="98"/>
  <c r="J53" i="98"/>
  <c r="R45" i="98"/>
  <c r="L46" i="98"/>
  <c r="N46" i="98"/>
  <c r="N53" i="98"/>
  <c r="R48" i="98"/>
  <c r="T48" i="97"/>
  <c r="T52" i="97"/>
  <c r="R45" i="97"/>
  <c r="L46" i="97"/>
  <c r="N46" i="97"/>
  <c r="N53" i="97"/>
  <c r="J53" i="96"/>
  <c r="R45" i="96"/>
  <c r="L46" i="96"/>
  <c r="R46" i="96"/>
  <c r="T48" i="96"/>
  <c r="R52" i="96"/>
  <c r="N45" i="96"/>
  <c r="T48" i="95"/>
  <c r="R45" i="95"/>
  <c r="L46" i="95"/>
  <c r="R46" i="95"/>
  <c r="J53" i="95"/>
  <c r="T52" i="95"/>
  <c r="T48" i="94"/>
  <c r="J53" i="94"/>
  <c r="R52" i="94"/>
  <c r="R45" i="94"/>
  <c r="L46" i="94"/>
  <c r="N46" i="94"/>
  <c r="N53" i="94"/>
  <c r="N46" i="92"/>
  <c r="N53" i="92"/>
  <c r="R46" i="92"/>
  <c r="T46" i="92"/>
  <c r="R52" i="93"/>
  <c r="R48" i="93"/>
  <c r="R45" i="93"/>
  <c r="L46" i="93"/>
  <c r="R46" i="93"/>
  <c r="T48" i="92"/>
  <c r="R52" i="92"/>
  <c r="R45" i="92"/>
  <c r="R45" i="91"/>
  <c r="L46" i="91"/>
  <c r="L53" i="91"/>
  <c r="R52" i="91"/>
  <c r="T48" i="91"/>
  <c r="N45" i="91"/>
  <c r="J53" i="91"/>
  <c r="T48" i="90"/>
  <c r="R52" i="90"/>
  <c r="R45" i="90"/>
  <c r="L46" i="90"/>
  <c r="R46" i="90"/>
  <c r="J53" i="90"/>
  <c r="N46" i="89"/>
  <c r="N53" i="89"/>
  <c r="T52" i="89"/>
  <c r="J53" i="89"/>
  <c r="R45" i="89"/>
  <c r="L46" i="89"/>
  <c r="L53" i="89"/>
  <c r="T48" i="88"/>
  <c r="R52" i="88"/>
  <c r="R45" i="88"/>
  <c r="L46" i="88"/>
  <c r="N46" i="88"/>
  <c r="N53" i="88"/>
  <c r="N45" i="88"/>
  <c r="T48" i="87"/>
  <c r="R46" i="87"/>
  <c r="N46" i="87"/>
  <c r="N53" i="87"/>
  <c r="J53" i="87"/>
  <c r="R45" i="87"/>
  <c r="L46" i="87"/>
  <c r="L53" i="87"/>
  <c r="R52" i="87"/>
  <c r="L58" i="86"/>
  <c r="L56" i="86"/>
  <c r="L59" i="86"/>
  <c r="N61" i="86"/>
  <c r="R61" i="86"/>
  <c r="L55" i="86"/>
  <c r="R32" i="86"/>
  <c r="L58" i="85"/>
  <c r="L55" i="85"/>
  <c r="L56" i="85"/>
  <c r="L60" i="85"/>
  <c r="L59" i="85"/>
  <c r="L45" i="85"/>
  <c r="N45" i="85"/>
  <c r="J46" i="85"/>
  <c r="R32" i="85"/>
  <c r="AR52" i="83"/>
  <c r="F52" i="83"/>
  <c r="AR51" i="83"/>
  <c r="AR50" i="83"/>
  <c r="AR49" i="83"/>
  <c r="AR48" i="83"/>
  <c r="F48" i="83"/>
  <c r="AR47" i="83"/>
  <c r="AX46" i="83"/>
  <c r="AV46" i="83"/>
  <c r="AU46" i="83"/>
  <c r="AS46" i="83"/>
  <c r="AT46" i="83"/>
  <c r="AW46" i="83"/>
  <c r="AR46" i="83"/>
  <c r="F46" i="83"/>
  <c r="AX45" i="83"/>
  <c r="AV45" i="83"/>
  <c r="AU45" i="83"/>
  <c r="AS45" i="83"/>
  <c r="AT45" i="83"/>
  <c r="AW45" i="83"/>
  <c r="AR45" i="83"/>
  <c r="AX44" i="83"/>
  <c r="AW44" i="83"/>
  <c r="AV44" i="83"/>
  <c r="AU44" i="83"/>
  <c r="AT44" i="83"/>
  <c r="AS44" i="83"/>
  <c r="AR44" i="83"/>
  <c r="AX42" i="83"/>
  <c r="AU42" i="83"/>
  <c r="AN42" i="83"/>
  <c r="AR42" i="83"/>
  <c r="F42" i="83"/>
  <c r="AX41" i="83"/>
  <c r="AV41" i="83"/>
  <c r="AU41" i="83"/>
  <c r="AS41" i="83"/>
  <c r="AT41" i="83"/>
  <c r="AW41" i="83"/>
  <c r="AR41" i="83"/>
  <c r="F41" i="83"/>
  <c r="AX40" i="83"/>
  <c r="AV40" i="83"/>
  <c r="AU40" i="83"/>
  <c r="AT40" i="83"/>
  <c r="AW40" i="83"/>
  <c r="AS40" i="83"/>
  <c r="AR40" i="83"/>
  <c r="F40" i="83"/>
  <c r="AX39" i="83"/>
  <c r="AV39" i="83"/>
  <c r="AU39" i="83"/>
  <c r="AS39" i="83"/>
  <c r="AT39" i="83"/>
  <c r="AW39" i="83"/>
  <c r="AR39" i="83"/>
  <c r="F39" i="83"/>
  <c r="AX38" i="83"/>
  <c r="AV38" i="83"/>
  <c r="AU38" i="83"/>
  <c r="AS38" i="83"/>
  <c r="AT38" i="83"/>
  <c r="AW38" i="83"/>
  <c r="AR38" i="83"/>
  <c r="F38" i="83"/>
  <c r="AX37" i="83"/>
  <c r="AV37" i="83"/>
  <c r="AU37" i="83"/>
  <c r="AS37" i="83"/>
  <c r="AT37" i="83"/>
  <c r="AW37" i="83"/>
  <c r="AR37" i="83"/>
  <c r="AX36" i="83"/>
  <c r="AV36" i="83"/>
  <c r="AU36" i="83"/>
  <c r="AS36" i="83"/>
  <c r="AT36" i="83"/>
  <c r="AW36" i="83"/>
  <c r="AR36" i="83"/>
  <c r="F36" i="83"/>
  <c r="AX35" i="83"/>
  <c r="AV35" i="83"/>
  <c r="AU35" i="83"/>
  <c r="AT35" i="83"/>
  <c r="AW35" i="83"/>
  <c r="AS35" i="83"/>
  <c r="AR35" i="83"/>
  <c r="AX34" i="83"/>
  <c r="AW34" i="83"/>
  <c r="AV34" i="83"/>
  <c r="AU34" i="83"/>
  <c r="AT34" i="83"/>
  <c r="AS34" i="83"/>
  <c r="AR34" i="83"/>
  <c r="F34" i="83"/>
  <c r="AX33" i="83"/>
  <c r="AV33" i="83"/>
  <c r="AU33" i="83"/>
  <c r="AT33" i="83"/>
  <c r="AW33" i="83"/>
  <c r="AS33" i="83"/>
  <c r="AR33" i="83"/>
  <c r="AX32" i="83"/>
  <c r="AV32" i="83"/>
  <c r="AU32" i="83"/>
  <c r="AS32" i="83"/>
  <c r="AT32" i="83"/>
  <c r="AW32" i="83"/>
  <c r="AR32" i="83"/>
  <c r="F32" i="83"/>
  <c r="F53" i="83"/>
  <c r="AX31" i="83"/>
  <c r="AV31" i="83"/>
  <c r="AU31" i="83"/>
  <c r="AS31" i="83"/>
  <c r="AT31" i="83"/>
  <c r="AW31" i="83"/>
  <c r="AR31" i="83"/>
  <c r="F27" i="83"/>
  <c r="AH25" i="83"/>
  <c r="X27" i="83"/>
  <c r="X29" i="83"/>
  <c r="X30" i="83"/>
  <c r="AC25" i="83"/>
  <c r="H47" i="83"/>
  <c r="N47" i="83"/>
  <c r="T25" i="83"/>
  <c r="A22" i="83"/>
  <c r="A21" i="83"/>
  <c r="AV19" i="83"/>
  <c r="AN18" i="83"/>
  <c r="AR16" i="83"/>
  <c r="AT12" i="83"/>
  <c r="AQ16" i="83"/>
  <c r="AQ13" i="83"/>
  <c r="AX9" i="83"/>
  <c r="AU25" i="83"/>
  <c r="AV25" i="83"/>
  <c r="AX8" i="83"/>
  <c r="AR22" i="83"/>
  <c r="AS22" i="83"/>
  <c r="AV7" i="83"/>
  <c r="AX7" i="83"/>
  <c r="AR25" i="83"/>
  <c r="AS25" i="83"/>
  <c r="AR7" i="83"/>
  <c r="AR8" i="83"/>
  <c r="H7" i="83"/>
  <c r="AX6" i="83"/>
  <c r="AR19" i="83"/>
  <c r="AS19" i="83"/>
  <c r="H6" i="83"/>
  <c r="AX5" i="83"/>
  <c r="AU16" i="83"/>
  <c r="AV16" i="83"/>
  <c r="H5" i="83"/>
  <c r="AX4" i="83"/>
  <c r="L53" i="98"/>
  <c r="R46" i="97"/>
  <c r="T46" i="97"/>
  <c r="N46" i="96"/>
  <c r="L53" i="88"/>
  <c r="H37" i="83"/>
  <c r="H36" i="83"/>
  <c r="N36" i="83"/>
  <c r="H31" i="83"/>
  <c r="H35" i="83"/>
  <c r="N35" i="83"/>
  <c r="H34" i="83"/>
  <c r="H39" i="83"/>
  <c r="N39" i="83"/>
  <c r="H38" i="83"/>
  <c r="N38" i="83"/>
  <c r="R62" i="83"/>
  <c r="F21" i="84"/>
  <c r="L62" i="83"/>
  <c r="P53" i="112"/>
  <c r="N53" i="96"/>
  <c r="L53" i="96"/>
  <c r="T45" i="98"/>
  <c r="T46" i="98"/>
  <c r="T52" i="98"/>
  <c r="T48" i="98"/>
  <c r="R53" i="98"/>
  <c r="P52" i="98"/>
  <c r="T45" i="97"/>
  <c r="R53" i="97"/>
  <c r="L53" i="97"/>
  <c r="T46" i="96"/>
  <c r="T52" i="96"/>
  <c r="T45" i="96"/>
  <c r="R53" i="96"/>
  <c r="P52" i="96"/>
  <c r="T46" i="95"/>
  <c r="N46" i="95"/>
  <c r="N53" i="95"/>
  <c r="T45" i="95"/>
  <c r="R53" i="95"/>
  <c r="P45" i="95"/>
  <c r="L53" i="95"/>
  <c r="T52" i="94"/>
  <c r="T45" i="94"/>
  <c r="R46" i="94"/>
  <c r="L53" i="94"/>
  <c r="R53" i="92"/>
  <c r="P43" i="92"/>
  <c r="L53" i="93"/>
  <c r="N46" i="93"/>
  <c r="N53" i="93"/>
  <c r="T45" i="93"/>
  <c r="T48" i="93"/>
  <c r="T46" i="93"/>
  <c r="T52" i="93"/>
  <c r="R53" i="93"/>
  <c r="T52" i="92"/>
  <c r="T45" i="92"/>
  <c r="T45" i="91"/>
  <c r="N46" i="91"/>
  <c r="N53" i="91"/>
  <c r="T52" i="91"/>
  <c r="R46" i="91"/>
  <c r="N46" i="90"/>
  <c r="N53" i="90"/>
  <c r="L53" i="90"/>
  <c r="R46" i="89"/>
  <c r="T46" i="89"/>
  <c r="T52" i="90"/>
  <c r="T45" i="90"/>
  <c r="T46" i="90"/>
  <c r="R53" i="90"/>
  <c r="T45" i="89"/>
  <c r="T45" i="88"/>
  <c r="R46" i="88"/>
  <c r="T52" i="88"/>
  <c r="T45" i="87"/>
  <c r="T46" i="87"/>
  <c r="R53" i="87"/>
  <c r="P45" i="87"/>
  <c r="T52" i="87"/>
  <c r="L61" i="86"/>
  <c r="R52" i="85"/>
  <c r="R48" i="85"/>
  <c r="R45" i="85"/>
  <c r="L46" i="85"/>
  <c r="N46" i="85"/>
  <c r="N53" i="85"/>
  <c r="J53" i="85"/>
  <c r="H40" i="83"/>
  <c r="N40" i="83"/>
  <c r="H32" i="83"/>
  <c r="N32" i="83"/>
  <c r="H43" i="83"/>
  <c r="N43" i="83"/>
  <c r="T43" i="83"/>
  <c r="H45" i="83"/>
  <c r="N31" i="83"/>
  <c r="N37" i="83"/>
  <c r="H52" i="83"/>
  <c r="N52" i="83"/>
  <c r="H42" i="83"/>
  <c r="N42" i="83"/>
  <c r="H33" i="83"/>
  <c r="N33" i="83"/>
  <c r="N34" i="83"/>
  <c r="H48" i="83"/>
  <c r="N48" i="83"/>
  <c r="H46" i="83"/>
  <c r="AT19" i="83"/>
  <c r="AW19" i="83"/>
  <c r="AT25" i="83"/>
  <c r="AT22" i="83"/>
  <c r="AW16" i="83"/>
  <c r="AW25" i="83"/>
  <c r="AS16" i="83"/>
  <c r="AT16" i="83"/>
  <c r="AS42" i="83"/>
  <c r="AT42" i="83"/>
  <c r="AW42" i="83"/>
  <c r="H51" i="83"/>
  <c r="N51" i="83"/>
  <c r="H49" i="83"/>
  <c r="N49" i="83"/>
  <c r="AV42" i="83"/>
  <c r="H44" i="83"/>
  <c r="N44" i="83"/>
  <c r="H41" i="83"/>
  <c r="N41" i="83"/>
  <c r="P47" i="41"/>
  <c r="P46" i="41"/>
  <c r="P45" i="41"/>
  <c r="P44" i="41"/>
  <c r="P43" i="41"/>
  <c r="P42" i="41"/>
  <c r="P41" i="41"/>
  <c r="P40" i="41"/>
  <c r="P39" i="41"/>
  <c r="P38" i="41"/>
  <c r="P37" i="41"/>
  <c r="P36" i="41"/>
  <c r="P35" i="41"/>
  <c r="P34" i="41"/>
  <c r="P33" i="41"/>
  <c r="P32" i="41"/>
  <c r="P31" i="41"/>
  <c r="P30" i="41"/>
  <c r="P29" i="41"/>
  <c r="P28" i="41"/>
  <c r="P27" i="41"/>
  <c r="P26" i="41"/>
  <c r="P25" i="41"/>
  <c r="P24" i="41"/>
  <c r="P52" i="87"/>
  <c r="P46" i="87"/>
  <c r="R53" i="89"/>
  <c r="P37" i="89"/>
  <c r="P46" i="98"/>
  <c r="P48" i="98"/>
  <c r="P40" i="92"/>
  <c r="P48" i="92"/>
  <c r="P51" i="92"/>
  <c r="P31" i="92"/>
  <c r="P38" i="92"/>
  <c r="R43" i="83"/>
  <c r="N57" i="83"/>
  <c r="N61" i="83"/>
  <c r="F27" i="128"/>
  <c r="J27" i="128"/>
  <c r="F40" i="103"/>
  <c r="H40" i="103"/>
  <c r="N40" i="103"/>
  <c r="T40" i="103"/>
  <c r="R40" i="103"/>
  <c r="F40" i="101"/>
  <c r="H40" i="101"/>
  <c r="N40" i="101"/>
  <c r="T40" i="101"/>
  <c r="R40" i="101"/>
  <c r="F40" i="104"/>
  <c r="H40" i="104"/>
  <c r="N40" i="104"/>
  <c r="T40" i="104"/>
  <c r="R40" i="104"/>
  <c r="F40" i="102"/>
  <c r="H40" i="102"/>
  <c r="N40" i="102"/>
  <c r="T40" i="102"/>
  <c r="R40" i="102"/>
  <c r="F40" i="100"/>
  <c r="H40" i="100"/>
  <c r="N40" i="100"/>
  <c r="T40" i="100"/>
  <c r="R40" i="100"/>
  <c r="F38" i="128"/>
  <c r="N38" i="128"/>
  <c r="F51" i="104"/>
  <c r="H51" i="104"/>
  <c r="N51" i="104"/>
  <c r="F51" i="102"/>
  <c r="H51" i="102"/>
  <c r="N51" i="102"/>
  <c r="F51" i="100"/>
  <c r="H51" i="100"/>
  <c r="N51" i="100"/>
  <c r="F51" i="101"/>
  <c r="H51" i="101"/>
  <c r="N51" i="101"/>
  <c r="F51" i="103"/>
  <c r="H51" i="103"/>
  <c r="N51" i="103"/>
  <c r="F33" i="128"/>
  <c r="J33" i="128"/>
  <c r="F46" i="103"/>
  <c r="H46" i="103"/>
  <c r="F46" i="102"/>
  <c r="H46" i="102"/>
  <c r="F46" i="100"/>
  <c r="H46" i="100"/>
  <c r="F46" i="101"/>
  <c r="H46" i="101"/>
  <c r="F46" i="104"/>
  <c r="H46" i="104"/>
  <c r="F28" i="128"/>
  <c r="J28" i="128"/>
  <c r="F41" i="103"/>
  <c r="H41" i="103"/>
  <c r="N41" i="103"/>
  <c r="T41" i="103"/>
  <c r="R41" i="103"/>
  <c r="F41" i="101"/>
  <c r="H41" i="101"/>
  <c r="N41" i="101"/>
  <c r="T41" i="101"/>
  <c r="R41" i="101"/>
  <c r="F41" i="104"/>
  <c r="H41" i="104"/>
  <c r="N41" i="104"/>
  <c r="T41" i="104"/>
  <c r="R41" i="104"/>
  <c r="F41" i="100"/>
  <c r="H41" i="100"/>
  <c r="N41" i="100"/>
  <c r="T41" i="100"/>
  <c r="R41" i="100"/>
  <c r="F41" i="102"/>
  <c r="H41" i="102"/>
  <c r="N41" i="102"/>
  <c r="T41" i="102"/>
  <c r="R41" i="102"/>
  <c r="F25" i="128"/>
  <c r="J25" i="128"/>
  <c r="F38" i="104"/>
  <c r="H38" i="104"/>
  <c r="N38" i="104"/>
  <c r="T38" i="104"/>
  <c r="R38" i="104"/>
  <c r="F38" i="100"/>
  <c r="H38" i="100"/>
  <c r="N38" i="100"/>
  <c r="T38" i="100"/>
  <c r="R38" i="100"/>
  <c r="F38" i="103"/>
  <c r="H38" i="103"/>
  <c r="N38" i="103"/>
  <c r="T38" i="103"/>
  <c r="R38" i="103"/>
  <c r="F38" i="102"/>
  <c r="H38" i="102"/>
  <c r="N38" i="102"/>
  <c r="T38" i="102"/>
  <c r="R38" i="102"/>
  <c r="F38" i="101"/>
  <c r="H38" i="101"/>
  <c r="N38" i="101"/>
  <c r="T38" i="101"/>
  <c r="R38" i="101"/>
  <c r="F35" i="128"/>
  <c r="J35" i="128"/>
  <c r="F48" i="103"/>
  <c r="H48" i="103"/>
  <c r="N48" i="103"/>
  <c r="F48" i="101"/>
  <c r="H48" i="101"/>
  <c r="N48" i="101"/>
  <c r="F48" i="104"/>
  <c r="H48" i="104"/>
  <c r="N48" i="104"/>
  <c r="F48" i="102"/>
  <c r="H48" i="102"/>
  <c r="N48" i="102"/>
  <c r="F48" i="100"/>
  <c r="H48" i="100"/>
  <c r="N48" i="100"/>
  <c r="F19" i="128"/>
  <c r="J19" i="128"/>
  <c r="F32" i="104"/>
  <c r="F32" i="102"/>
  <c r="F32" i="101"/>
  <c r="F32" i="100"/>
  <c r="F32" i="103"/>
  <c r="F21" i="128"/>
  <c r="J21" i="128"/>
  <c r="F34" i="101"/>
  <c r="H34" i="101"/>
  <c r="N34" i="101"/>
  <c r="F34" i="100"/>
  <c r="H34" i="100"/>
  <c r="N34" i="100"/>
  <c r="F34" i="103"/>
  <c r="H34" i="103"/>
  <c r="N34" i="103"/>
  <c r="F34" i="104"/>
  <c r="H34" i="104"/>
  <c r="N34" i="104"/>
  <c r="F34" i="102"/>
  <c r="H34" i="102"/>
  <c r="N34" i="102"/>
  <c r="F23" i="128"/>
  <c r="J23" i="128"/>
  <c r="F36" i="103"/>
  <c r="H36" i="103"/>
  <c r="N36" i="103"/>
  <c r="T36" i="103"/>
  <c r="R36" i="103"/>
  <c r="F36" i="100"/>
  <c r="H36" i="100"/>
  <c r="N36" i="100"/>
  <c r="T36" i="100"/>
  <c r="R36" i="100"/>
  <c r="F36" i="101"/>
  <c r="H36" i="101"/>
  <c r="N36" i="101"/>
  <c r="T36" i="101"/>
  <c r="R36" i="101"/>
  <c r="F36" i="104"/>
  <c r="H36" i="104"/>
  <c r="N36" i="104"/>
  <c r="T36" i="104"/>
  <c r="R36" i="104"/>
  <c r="F36" i="102"/>
  <c r="H36" i="102"/>
  <c r="N36" i="102"/>
  <c r="T36" i="102"/>
  <c r="R36" i="102"/>
  <c r="F26" i="128"/>
  <c r="N26" i="128"/>
  <c r="F39" i="101"/>
  <c r="H39" i="101"/>
  <c r="N39" i="101"/>
  <c r="T39" i="101"/>
  <c r="R39" i="101"/>
  <c r="F39" i="103"/>
  <c r="H39" i="103"/>
  <c r="N39" i="103"/>
  <c r="T39" i="103"/>
  <c r="R39" i="103"/>
  <c r="F39" i="104"/>
  <c r="H39" i="104"/>
  <c r="N39" i="104"/>
  <c r="T39" i="104"/>
  <c r="R39" i="104"/>
  <c r="F39" i="100"/>
  <c r="H39" i="100"/>
  <c r="N39" i="100"/>
  <c r="T39" i="100"/>
  <c r="R39" i="100"/>
  <c r="F39" i="102"/>
  <c r="T53" i="96"/>
  <c r="T53" i="98"/>
  <c r="P31" i="98"/>
  <c r="P39" i="98"/>
  <c r="P36" i="98"/>
  <c r="P33" i="98"/>
  <c r="P35" i="98"/>
  <c r="P42" i="98"/>
  <c r="P40" i="98"/>
  <c r="P47" i="98"/>
  <c r="P44" i="98"/>
  <c r="P49" i="98"/>
  <c r="P37" i="98"/>
  <c r="P34" i="98"/>
  <c r="P51" i="98"/>
  <c r="P41" i="98"/>
  <c r="P38" i="98"/>
  <c r="P43" i="98"/>
  <c r="P32" i="98"/>
  <c r="P45" i="98"/>
  <c r="P31" i="97"/>
  <c r="P43" i="97"/>
  <c r="P47" i="97"/>
  <c r="P49" i="97"/>
  <c r="P33" i="97"/>
  <c r="P42" i="97"/>
  <c r="P38" i="97"/>
  <c r="P40" i="97"/>
  <c r="P51" i="97"/>
  <c r="P34" i="97"/>
  <c r="P36" i="97"/>
  <c r="P37" i="97"/>
  <c r="P35" i="97"/>
  <c r="P32" i="97"/>
  <c r="P44" i="97"/>
  <c r="P39" i="97"/>
  <c r="P41" i="97"/>
  <c r="P48" i="97"/>
  <c r="P52" i="97"/>
  <c r="P45" i="97"/>
  <c r="T53" i="97"/>
  <c r="P46" i="97"/>
  <c r="P31" i="96"/>
  <c r="P36" i="96"/>
  <c r="P39" i="96"/>
  <c r="P40" i="96"/>
  <c r="P33" i="96"/>
  <c r="P49" i="96"/>
  <c r="P37" i="96"/>
  <c r="P38" i="96"/>
  <c r="P42" i="96"/>
  <c r="P44" i="96"/>
  <c r="P43" i="96"/>
  <c r="P41" i="96"/>
  <c r="P35" i="96"/>
  <c r="P51" i="96"/>
  <c r="P47" i="96"/>
  <c r="P34" i="96"/>
  <c r="P48" i="96"/>
  <c r="P32" i="96"/>
  <c r="P45" i="96"/>
  <c r="P46" i="96"/>
  <c r="P31" i="95"/>
  <c r="P35" i="95"/>
  <c r="P32" i="95"/>
  <c r="P44" i="95"/>
  <c r="P47" i="95"/>
  <c r="P36" i="95"/>
  <c r="P37" i="95"/>
  <c r="P51" i="95"/>
  <c r="P43" i="95"/>
  <c r="P42" i="95"/>
  <c r="P34" i="95"/>
  <c r="P40" i="95"/>
  <c r="P41" i="95"/>
  <c r="P33" i="95"/>
  <c r="P49" i="95"/>
  <c r="P39" i="95"/>
  <c r="P38" i="95"/>
  <c r="P52" i="95"/>
  <c r="P48" i="95"/>
  <c r="T53" i="95"/>
  <c r="P46" i="95"/>
  <c r="T46" i="94"/>
  <c r="T53" i="94"/>
  <c r="R53" i="94"/>
  <c r="P36" i="92"/>
  <c r="P41" i="92"/>
  <c r="P52" i="92"/>
  <c r="P42" i="92"/>
  <c r="P49" i="92"/>
  <c r="P45" i="92"/>
  <c r="P37" i="92"/>
  <c r="P39" i="92"/>
  <c r="P47" i="92"/>
  <c r="P46" i="92"/>
  <c r="P44" i="92"/>
  <c r="P34" i="92"/>
  <c r="P35" i="92"/>
  <c r="P32" i="92"/>
  <c r="P33" i="92"/>
  <c r="P31" i="93"/>
  <c r="P33" i="93"/>
  <c r="P51" i="93"/>
  <c r="P36" i="93"/>
  <c r="P43" i="93"/>
  <c r="P38" i="93"/>
  <c r="P42" i="93"/>
  <c r="P44" i="93"/>
  <c r="P40" i="93"/>
  <c r="P34" i="93"/>
  <c r="P41" i="93"/>
  <c r="P37" i="93"/>
  <c r="P49" i="93"/>
  <c r="P35" i="93"/>
  <c r="P47" i="93"/>
  <c r="P39" i="93"/>
  <c r="P32" i="93"/>
  <c r="P45" i="93"/>
  <c r="P52" i="93"/>
  <c r="P46" i="93"/>
  <c r="P48" i="93"/>
  <c r="T53" i="93"/>
  <c r="T53" i="92"/>
  <c r="T46" i="91"/>
  <c r="T53" i="91"/>
  <c r="R53" i="91"/>
  <c r="P31" i="90"/>
  <c r="P43" i="90"/>
  <c r="P37" i="90"/>
  <c r="P44" i="90"/>
  <c r="P47" i="90"/>
  <c r="P40" i="90"/>
  <c r="P39" i="90"/>
  <c r="P33" i="90"/>
  <c r="P38" i="90"/>
  <c r="P51" i="90"/>
  <c r="P49" i="90"/>
  <c r="P36" i="90"/>
  <c r="P41" i="90"/>
  <c r="P42" i="90"/>
  <c r="P35" i="90"/>
  <c r="P34" i="90"/>
  <c r="P48" i="90"/>
  <c r="P32" i="90"/>
  <c r="P46" i="90"/>
  <c r="T53" i="90"/>
  <c r="P45" i="90"/>
  <c r="P52" i="90"/>
  <c r="P32" i="89"/>
  <c r="P36" i="89"/>
  <c r="T53" i="89"/>
  <c r="R46" i="85"/>
  <c r="T46" i="85"/>
  <c r="T46" i="88"/>
  <c r="T53" i="88"/>
  <c r="R53" i="88"/>
  <c r="P46" i="88"/>
  <c r="P31" i="87"/>
  <c r="P42" i="87"/>
  <c r="P37" i="87"/>
  <c r="P34" i="87"/>
  <c r="P41" i="87"/>
  <c r="P38" i="87"/>
  <c r="P39" i="87"/>
  <c r="P49" i="87"/>
  <c r="P51" i="87"/>
  <c r="P33" i="87"/>
  <c r="P47" i="87"/>
  <c r="P44" i="87"/>
  <c r="P36" i="87"/>
  <c r="P40" i="87"/>
  <c r="P35" i="87"/>
  <c r="P43" i="87"/>
  <c r="P32" i="87"/>
  <c r="P48" i="87"/>
  <c r="T53" i="87"/>
  <c r="L53" i="85"/>
  <c r="T45" i="85"/>
  <c r="T48" i="85"/>
  <c r="T52" i="85"/>
  <c r="P48" i="41"/>
  <c r="T37" i="83"/>
  <c r="R37" i="83"/>
  <c r="T34" i="83"/>
  <c r="R34" i="83"/>
  <c r="T40" i="83"/>
  <c r="R40" i="83"/>
  <c r="T35" i="83"/>
  <c r="R35" i="83"/>
  <c r="AM25" i="83"/>
  <c r="T33" i="83"/>
  <c r="R33" i="83"/>
  <c r="AM26" i="83"/>
  <c r="T44" i="83"/>
  <c r="R44" i="83"/>
  <c r="T38" i="83"/>
  <c r="R38" i="83"/>
  <c r="T41" i="83"/>
  <c r="R41" i="83"/>
  <c r="T36" i="83"/>
  <c r="R36" i="83"/>
  <c r="T39" i="83"/>
  <c r="R39" i="83"/>
  <c r="N59" i="83"/>
  <c r="T42" i="83"/>
  <c r="R42" i="83"/>
  <c r="N56" i="83"/>
  <c r="T47" i="83"/>
  <c r="R47" i="83"/>
  <c r="N55" i="83"/>
  <c r="T49" i="83"/>
  <c r="R49" i="83"/>
  <c r="T51" i="83"/>
  <c r="R51" i="83"/>
  <c r="N60" i="83"/>
  <c r="H53" i="83"/>
  <c r="N58" i="83"/>
  <c r="T32" i="83"/>
  <c r="J45" i="83"/>
  <c r="P52" i="89"/>
  <c r="P35" i="89"/>
  <c r="P43" i="89"/>
  <c r="P46" i="89"/>
  <c r="P48" i="89"/>
  <c r="P41" i="89"/>
  <c r="P42" i="89"/>
  <c r="P45" i="89"/>
  <c r="P33" i="89"/>
  <c r="P47" i="89"/>
  <c r="P44" i="89"/>
  <c r="P49" i="89"/>
  <c r="P40" i="89"/>
  <c r="P51" i="89"/>
  <c r="P34" i="89"/>
  <c r="P39" i="89"/>
  <c r="P31" i="89"/>
  <c r="P38" i="89"/>
  <c r="R53" i="85"/>
  <c r="P48" i="85"/>
  <c r="P53" i="92"/>
  <c r="R61" i="83"/>
  <c r="F20" i="84"/>
  <c r="M17" i="84" s="1"/>
  <c r="L61" i="83"/>
  <c r="R57" i="83"/>
  <c r="F16" i="84"/>
  <c r="L57" i="83"/>
  <c r="R60" i="83"/>
  <c r="F19" i="84"/>
  <c r="M16" i="84" s="1"/>
  <c r="L60" i="83"/>
  <c r="R56" i="83"/>
  <c r="F15" i="84"/>
  <c r="M12" i="84" s="1"/>
  <c r="L56" i="83"/>
  <c r="R58" i="83"/>
  <c r="F17" i="84"/>
  <c r="L58" i="83"/>
  <c r="R55" i="83"/>
  <c r="F14" i="84"/>
  <c r="M11" i="84" s="1"/>
  <c r="L55" i="83"/>
  <c r="R59" i="83"/>
  <c r="L59" i="83"/>
  <c r="T34" i="103"/>
  <c r="R34" i="103"/>
  <c r="H32" i="102"/>
  <c r="F52" i="102"/>
  <c r="F42" i="104"/>
  <c r="H42" i="104"/>
  <c r="N42" i="104"/>
  <c r="T42" i="104"/>
  <c r="R42" i="104"/>
  <c r="H32" i="104"/>
  <c r="T34" i="100"/>
  <c r="R34" i="100"/>
  <c r="T34" i="101"/>
  <c r="R34" i="101"/>
  <c r="F42" i="103"/>
  <c r="H42" i="103"/>
  <c r="N42" i="103"/>
  <c r="T42" i="103"/>
  <c r="R42" i="103"/>
  <c r="H32" i="103"/>
  <c r="F52" i="103"/>
  <c r="F29" i="128"/>
  <c r="J29" i="128"/>
  <c r="F42" i="102"/>
  <c r="H42" i="102"/>
  <c r="N42" i="102"/>
  <c r="T42" i="102"/>
  <c r="R42" i="102"/>
  <c r="H39" i="102"/>
  <c r="N39" i="102"/>
  <c r="T39" i="102"/>
  <c r="R39" i="102"/>
  <c r="T34" i="102"/>
  <c r="R34" i="102"/>
  <c r="F42" i="100"/>
  <c r="H42" i="100"/>
  <c r="N42" i="100"/>
  <c r="T42" i="100"/>
  <c r="R42" i="100"/>
  <c r="H32" i="100"/>
  <c r="F52" i="100"/>
  <c r="T34" i="104"/>
  <c r="R34" i="104"/>
  <c r="F42" i="101"/>
  <c r="H42" i="101"/>
  <c r="N42" i="101"/>
  <c r="T42" i="101"/>
  <c r="R42" i="101"/>
  <c r="H32" i="101"/>
  <c r="P53" i="96"/>
  <c r="P53" i="98"/>
  <c r="P53" i="97"/>
  <c r="P53" i="95"/>
  <c r="P31" i="94"/>
  <c r="P38" i="94"/>
  <c r="P34" i="94"/>
  <c r="P33" i="94"/>
  <c r="P51" i="94"/>
  <c r="P37" i="94"/>
  <c r="P36" i="94"/>
  <c r="P35" i="94"/>
  <c r="P39" i="94"/>
  <c r="P41" i="94"/>
  <c r="P42" i="94"/>
  <c r="P40" i="94"/>
  <c r="P43" i="94"/>
  <c r="P44" i="94"/>
  <c r="P47" i="94"/>
  <c r="P49" i="94"/>
  <c r="P32" i="94"/>
  <c r="P48" i="94"/>
  <c r="P52" i="94"/>
  <c r="P45" i="94"/>
  <c r="P46" i="94"/>
  <c r="P53" i="93"/>
  <c r="P31" i="91"/>
  <c r="P43" i="91"/>
  <c r="P41" i="91"/>
  <c r="P35" i="91"/>
  <c r="P51" i="91"/>
  <c r="P47" i="91"/>
  <c r="P39" i="91"/>
  <c r="P49" i="91"/>
  <c r="P44" i="91"/>
  <c r="P33" i="91"/>
  <c r="P38" i="91"/>
  <c r="P42" i="91"/>
  <c r="P34" i="91"/>
  <c r="P36" i="91"/>
  <c r="P40" i="91"/>
  <c r="P37" i="91"/>
  <c r="P32" i="91"/>
  <c r="P48" i="91"/>
  <c r="P45" i="91"/>
  <c r="P52" i="91"/>
  <c r="P46" i="91"/>
  <c r="P53" i="90"/>
  <c r="P31" i="88"/>
  <c r="P40" i="88"/>
  <c r="P41" i="88"/>
  <c r="P43" i="88"/>
  <c r="P37" i="88"/>
  <c r="P36" i="88"/>
  <c r="P51" i="88"/>
  <c r="P47" i="88"/>
  <c r="P49" i="88"/>
  <c r="P33" i="88"/>
  <c r="P42" i="88"/>
  <c r="P39" i="88"/>
  <c r="P38" i="88"/>
  <c r="P34" i="88"/>
  <c r="P35" i="88"/>
  <c r="P44" i="88"/>
  <c r="P48" i="88"/>
  <c r="P32" i="88"/>
  <c r="P45" i="88"/>
  <c r="P52" i="88"/>
  <c r="P53" i="87"/>
  <c r="T53" i="85"/>
  <c r="P46" i="85"/>
  <c r="J46" i="83"/>
  <c r="L45" i="83"/>
  <c r="R32" i="83"/>
  <c r="R48" i="83"/>
  <c r="P36" i="85"/>
  <c r="P38" i="85"/>
  <c r="P33" i="85"/>
  <c r="P32" i="85"/>
  <c r="P49" i="85"/>
  <c r="P47" i="85"/>
  <c r="P45" i="85"/>
  <c r="P39" i="85"/>
  <c r="P40" i="85"/>
  <c r="P31" i="85"/>
  <c r="P35" i="85"/>
  <c r="P41" i="85"/>
  <c r="P43" i="85"/>
  <c r="P44" i="85"/>
  <c r="P51" i="85"/>
  <c r="P34" i="85"/>
  <c r="P37" i="85"/>
  <c r="P42" i="85"/>
  <c r="J39" i="128"/>
  <c r="F39" i="128"/>
  <c r="P53" i="89"/>
  <c r="P52" i="85"/>
  <c r="N32" i="100"/>
  <c r="J45" i="100"/>
  <c r="T32" i="100"/>
  <c r="R50" i="100"/>
  <c r="R50" i="103"/>
  <c r="J45" i="103"/>
  <c r="N32" i="103"/>
  <c r="T32" i="103"/>
  <c r="T32" i="102"/>
  <c r="N32" i="102"/>
  <c r="J45" i="102"/>
  <c r="R50" i="102"/>
  <c r="R50" i="104"/>
  <c r="N32" i="104"/>
  <c r="T32" i="104"/>
  <c r="J45" i="104"/>
  <c r="F52" i="101"/>
  <c r="J45" i="101"/>
  <c r="N32" i="101"/>
  <c r="T32" i="101"/>
  <c r="R50" i="101"/>
  <c r="F52" i="104"/>
  <c r="P53" i="94"/>
  <c r="P53" i="91"/>
  <c r="P53" i="88"/>
  <c r="R52" i="83"/>
  <c r="R45" i="83"/>
  <c r="L46" i="83"/>
  <c r="N46" i="83"/>
  <c r="N45" i="83"/>
  <c r="T48" i="83"/>
  <c r="J53" i="83"/>
  <c r="P53" i="85"/>
  <c r="L33" i="128"/>
  <c r="N33" i="128"/>
  <c r="P33" i="128"/>
  <c r="L35" i="128"/>
  <c r="N35" i="128"/>
  <c r="P35" i="128"/>
  <c r="L23" i="128"/>
  <c r="N23" i="128"/>
  <c r="P23" i="128"/>
  <c r="L28" i="128"/>
  <c r="N28" i="128"/>
  <c r="P28" i="128"/>
  <c r="L21" i="128"/>
  <c r="N21" i="128"/>
  <c r="P21" i="128"/>
  <c r="L25" i="128"/>
  <c r="N25" i="128"/>
  <c r="P25" i="128"/>
  <c r="L19" i="128"/>
  <c r="N19" i="128"/>
  <c r="L27" i="128"/>
  <c r="N27" i="128"/>
  <c r="P27" i="128"/>
  <c r="L29" i="128"/>
  <c r="N29" i="128"/>
  <c r="P29" i="128"/>
  <c r="T50" i="101"/>
  <c r="T50" i="102"/>
  <c r="T50" i="100"/>
  <c r="N58" i="101"/>
  <c r="F58" i="133"/>
  <c r="R32" i="101"/>
  <c r="J46" i="102"/>
  <c r="N45" i="102"/>
  <c r="R32" i="100"/>
  <c r="N58" i="100"/>
  <c r="F50" i="133"/>
  <c r="N45" i="100"/>
  <c r="J46" i="100"/>
  <c r="J52" i="100"/>
  <c r="J46" i="101"/>
  <c r="J52" i="101"/>
  <c r="N45" i="101"/>
  <c r="N32" i="128"/>
  <c r="N45" i="104"/>
  <c r="J46" i="104"/>
  <c r="J52" i="104"/>
  <c r="N58" i="102"/>
  <c r="R32" i="102"/>
  <c r="N58" i="103"/>
  <c r="R32" i="103"/>
  <c r="N58" i="104"/>
  <c r="R32" i="104"/>
  <c r="J46" i="103"/>
  <c r="N45" i="103"/>
  <c r="T50" i="104"/>
  <c r="T50" i="103"/>
  <c r="T45" i="83"/>
  <c r="L53" i="83"/>
  <c r="R46" i="83"/>
  <c r="T52" i="83"/>
  <c r="N53" i="83"/>
  <c r="M22" i="133"/>
  <c r="P19" i="128"/>
  <c r="N39" i="128"/>
  <c r="R45" i="103"/>
  <c r="R51" i="103"/>
  <c r="R45" i="101"/>
  <c r="R51" i="101"/>
  <c r="F33" i="133"/>
  <c r="L58" i="103"/>
  <c r="J52" i="102"/>
  <c r="N46" i="102"/>
  <c r="N52" i="102"/>
  <c r="R45" i="104"/>
  <c r="R51" i="104"/>
  <c r="L58" i="100"/>
  <c r="L58" i="101"/>
  <c r="F41" i="133"/>
  <c r="L58" i="104"/>
  <c r="N46" i="100"/>
  <c r="N52" i="100"/>
  <c r="R45" i="100"/>
  <c r="R51" i="100"/>
  <c r="R45" i="102"/>
  <c r="R51" i="102"/>
  <c r="F25" i="133"/>
  <c r="L58" i="102"/>
  <c r="J52" i="103"/>
  <c r="N46" i="103"/>
  <c r="N52" i="103"/>
  <c r="N46" i="104"/>
  <c r="N52" i="104"/>
  <c r="N46" i="101"/>
  <c r="N52" i="101"/>
  <c r="T46" i="83"/>
  <c r="T53" i="83"/>
  <c r="R53" i="83"/>
  <c r="M21" i="133"/>
  <c r="T45" i="101"/>
  <c r="T45" i="102"/>
  <c r="T45" i="104"/>
  <c r="T45" i="100"/>
  <c r="L61" i="100"/>
  <c r="T51" i="101"/>
  <c r="T51" i="103"/>
  <c r="T51" i="100"/>
  <c r="T51" i="102"/>
  <c r="T51" i="104"/>
  <c r="T45" i="103"/>
  <c r="P31" i="83"/>
  <c r="P43" i="83"/>
  <c r="P39" i="83"/>
  <c r="P35" i="83"/>
  <c r="P38" i="83"/>
  <c r="P44" i="83"/>
  <c r="P33" i="83"/>
  <c r="P41" i="83"/>
  <c r="P37" i="83"/>
  <c r="P51" i="83"/>
  <c r="P49" i="83"/>
  <c r="P34" i="83"/>
  <c r="P36" i="83"/>
  <c r="P42" i="83"/>
  <c r="P40" i="83"/>
  <c r="P47" i="83"/>
  <c r="P32" i="83"/>
  <c r="P48" i="83"/>
  <c r="P45" i="83"/>
  <c r="P52" i="83"/>
  <c r="P46" i="83"/>
  <c r="F29" i="133"/>
  <c r="L61" i="102"/>
  <c r="L61" i="101"/>
  <c r="F45" i="133"/>
  <c r="L61" i="104"/>
  <c r="F37" i="133"/>
  <c r="L61" i="103"/>
  <c r="P53" i="83"/>
  <c r="M25" i="133"/>
  <c r="M24" i="41"/>
  <c r="F46" i="105"/>
  <c r="H46" i="105"/>
  <c r="F46" i="86"/>
  <c r="H46" i="86"/>
  <c r="F46" i="106"/>
  <c r="H46" i="106"/>
  <c r="F46" i="1"/>
  <c r="D5" i="50"/>
  <c r="X34" i="30"/>
  <c r="W34" i="1"/>
  <c r="Q16" i="1"/>
  <c r="N16" i="1"/>
  <c r="K16" i="1"/>
  <c r="H16" i="1"/>
  <c r="K17" i="30"/>
  <c r="H17" i="30"/>
  <c r="H27" i="41"/>
  <c r="H26" i="41"/>
  <c r="H25" i="41"/>
  <c r="D24" i="41"/>
  <c r="M25" i="41"/>
  <c r="M26" i="41"/>
  <c r="M27" i="41"/>
  <c r="M28" i="41"/>
  <c r="M29" i="41"/>
  <c r="M30" i="41"/>
  <c r="M31" i="41"/>
  <c r="M32" i="41"/>
  <c r="M33" i="41"/>
  <c r="M34" i="41"/>
  <c r="M35" i="41"/>
  <c r="M36" i="41"/>
  <c r="M37" i="41"/>
  <c r="M38" i="41"/>
  <c r="M42" i="41"/>
  <c r="M43" i="41"/>
  <c r="M44" i="41"/>
  <c r="M45" i="41"/>
  <c r="M46" i="41"/>
  <c r="M47" i="41"/>
  <c r="M41" i="41"/>
  <c r="M40" i="41"/>
  <c r="D25" i="41"/>
  <c r="F32" i="86"/>
  <c r="F32" i="105"/>
  <c r="F32" i="106"/>
  <c r="F32" i="1"/>
  <c r="F34" i="105"/>
  <c r="H34" i="105"/>
  <c r="N34" i="105"/>
  <c r="T34" i="105"/>
  <c r="F34" i="106"/>
  <c r="H34" i="106"/>
  <c r="N34" i="106"/>
  <c r="F34" i="86"/>
  <c r="H34" i="86"/>
  <c r="N34" i="86"/>
  <c r="F34" i="1"/>
  <c r="F41" i="106"/>
  <c r="H41" i="106"/>
  <c r="N41" i="106"/>
  <c r="T41" i="106"/>
  <c r="R41" i="106"/>
  <c r="F41" i="86"/>
  <c r="H41" i="86"/>
  <c r="N41" i="86"/>
  <c r="T41" i="86"/>
  <c r="R41" i="86"/>
  <c r="F41" i="105"/>
  <c r="H41" i="105"/>
  <c r="N41" i="105"/>
  <c r="T41" i="105"/>
  <c r="R41" i="105"/>
  <c r="F41" i="1"/>
  <c r="F48" i="86"/>
  <c r="H48" i="86"/>
  <c r="N48" i="86"/>
  <c r="F48" i="105"/>
  <c r="H48" i="105"/>
  <c r="F48" i="106"/>
  <c r="H48" i="106"/>
  <c r="F48" i="1"/>
  <c r="F36" i="106"/>
  <c r="H36" i="106"/>
  <c r="N36" i="106"/>
  <c r="T36" i="106"/>
  <c r="R36" i="106"/>
  <c r="F36" i="105"/>
  <c r="H36" i="105"/>
  <c r="N36" i="105"/>
  <c r="T36" i="105"/>
  <c r="R36" i="105"/>
  <c r="F36" i="86"/>
  <c r="H36" i="86"/>
  <c r="N36" i="86"/>
  <c r="T36" i="86"/>
  <c r="R36" i="86"/>
  <c r="F36" i="1"/>
  <c r="F40" i="105"/>
  <c r="H40" i="105"/>
  <c r="N40" i="105"/>
  <c r="T40" i="105"/>
  <c r="R40" i="105"/>
  <c r="F40" i="106"/>
  <c r="H40" i="106"/>
  <c r="N40" i="106"/>
  <c r="T40" i="106"/>
  <c r="R40" i="106"/>
  <c r="F40" i="86"/>
  <c r="H40" i="86"/>
  <c r="N40" i="86"/>
  <c r="T40" i="86"/>
  <c r="R40" i="86"/>
  <c r="F40" i="1"/>
  <c r="F38" i="106"/>
  <c r="H38" i="106"/>
  <c r="N38" i="106"/>
  <c r="T38" i="106"/>
  <c r="R38" i="106"/>
  <c r="F38" i="105"/>
  <c r="H38" i="105"/>
  <c r="N38" i="105"/>
  <c r="T38" i="105"/>
  <c r="R38" i="105"/>
  <c r="F38" i="86"/>
  <c r="H38" i="86"/>
  <c r="N38" i="86"/>
  <c r="T38" i="86"/>
  <c r="R38" i="86"/>
  <c r="F38" i="1"/>
  <c r="D26" i="41"/>
  <c r="M39" i="41"/>
  <c r="D27" i="41"/>
  <c r="AB7" i="57"/>
  <c r="O7" i="46"/>
  <c r="H7" i="57"/>
  <c r="H6" i="57"/>
  <c r="H5" i="57"/>
  <c r="F7" i="46"/>
  <c r="F6" i="46"/>
  <c r="F5" i="46"/>
  <c r="AC7" i="30"/>
  <c r="AC7" i="1"/>
  <c r="AC7" i="52"/>
  <c r="AC7" i="51"/>
  <c r="H7" i="30"/>
  <c r="H6" i="30"/>
  <c r="H5" i="30"/>
  <c r="H7" i="1"/>
  <c r="H6" i="1"/>
  <c r="H5" i="1"/>
  <c r="H7" i="52"/>
  <c r="H6" i="52"/>
  <c r="H5" i="52"/>
  <c r="H7" i="51"/>
  <c r="H6" i="51"/>
  <c r="H5" i="51"/>
  <c r="M7" i="50"/>
  <c r="D7" i="50"/>
  <c r="D6" i="50"/>
  <c r="F32" i="30"/>
  <c r="F34" i="30"/>
  <c r="F36" i="30"/>
  <c r="F38" i="30"/>
  <c r="F39" i="30"/>
  <c r="F39" i="86"/>
  <c r="H39" i="86"/>
  <c r="N39" i="86"/>
  <c r="T39" i="86"/>
  <c r="R39" i="86"/>
  <c r="F40" i="30"/>
  <c r="F41" i="30"/>
  <c r="F46" i="30"/>
  <c r="F48" i="30"/>
  <c r="F51" i="30"/>
  <c r="F52" i="86"/>
  <c r="H52" i="86"/>
  <c r="N52" i="86"/>
  <c r="T25" i="52"/>
  <c r="T25" i="51"/>
  <c r="F32" i="52"/>
  <c r="F34" i="52"/>
  <c r="F36" i="52"/>
  <c r="F38" i="52"/>
  <c r="F39" i="52"/>
  <c r="F40" i="52"/>
  <c r="F41" i="52"/>
  <c r="F42" i="52"/>
  <c r="F46" i="52"/>
  <c r="F48" i="52"/>
  <c r="F52" i="52"/>
  <c r="F32" i="51"/>
  <c r="F34" i="51"/>
  <c r="F36" i="51"/>
  <c r="F38" i="51"/>
  <c r="F39" i="51"/>
  <c r="F40" i="51"/>
  <c r="F41" i="51"/>
  <c r="F42" i="51"/>
  <c r="F46" i="51"/>
  <c r="F48" i="51"/>
  <c r="F52" i="51"/>
  <c r="F42" i="106"/>
  <c r="H42" i="106"/>
  <c r="N42" i="106"/>
  <c r="T42" i="106"/>
  <c r="R42" i="106"/>
  <c r="F42" i="105"/>
  <c r="H42" i="105"/>
  <c r="N42" i="105"/>
  <c r="F42" i="86"/>
  <c r="H42" i="86"/>
  <c r="N42" i="86"/>
  <c r="T42" i="86"/>
  <c r="R42" i="86"/>
  <c r="F42" i="1"/>
  <c r="AM26" i="106"/>
  <c r="T34" i="106"/>
  <c r="R34" i="105"/>
  <c r="H32" i="106"/>
  <c r="F53" i="106"/>
  <c r="N48" i="106"/>
  <c r="F53" i="105"/>
  <c r="H32" i="105"/>
  <c r="N48" i="105"/>
  <c r="F53" i="86"/>
  <c r="H32" i="86"/>
  <c r="AM26" i="86"/>
  <c r="T34" i="86"/>
  <c r="F42" i="30"/>
  <c r="N32" i="86"/>
  <c r="H53" i="86"/>
  <c r="J45" i="86"/>
  <c r="R48" i="86"/>
  <c r="R52" i="86"/>
  <c r="T52" i="86"/>
  <c r="R34" i="106"/>
  <c r="R34" i="86"/>
  <c r="N32" i="106"/>
  <c r="J45" i="106"/>
  <c r="H53" i="106"/>
  <c r="R52" i="106"/>
  <c r="N32" i="105"/>
  <c r="J45" i="105"/>
  <c r="H53" i="105"/>
  <c r="AM26" i="105"/>
  <c r="T42" i="105"/>
  <c r="D23" i="41"/>
  <c r="T52" i="106"/>
  <c r="R42" i="105"/>
  <c r="R48" i="106"/>
  <c r="L45" i="106"/>
  <c r="J46" i="106"/>
  <c r="J53" i="106"/>
  <c r="N45" i="106"/>
  <c r="T48" i="86"/>
  <c r="L45" i="86"/>
  <c r="J46" i="86"/>
  <c r="L45" i="105"/>
  <c r="J46" i="105"/>
  <c r="D16" i="41"/>
  <c r="D20" i="41"/>
  <c r="D19" i="41"/>
  <c r="D18" i="41"/>
  <c r="D17" i="41"/>
  <c r="D15" i="41"/>
  <c r="D14" i="41"/>
  <c r="R45" i="105"/>
  <c r="L46" i="105"/>
  <c r="R46" i="105"/>
  <c r="L53" i="105"/>
  <c r="R48" i="105"/>
  <c r="R53" i="105"/>
  <c r="R52" i="105"/>
  <c r="T52" i="105"/>
  <c r="R45" i="106"/>
  <c r="L46" i="106"/>
  <c r="L53" i="106"/>
  <c r="L46" i="86"/>
  <c r="L53" i="86"/>
  <c r="R45" i="86"/>
  <c r="T48" i="106"/>
  <c r="N45" i="105"/>
  <c r="J53" i="86"/>
  <c r="J53" i="105"/>
  <c r="N46" i="105"/>
  <c r="N45" i="86"/>
  <c r="S48" i="41"/>
  <c r="H85" i="41"/>
  <c r="H84" i="41"/>
  <c r="F84" i="41"/>
  <c r="H83" i="41"/>
  <c r="F83" i="41"/>
  <c r="H82" i="41"/>
  <c r="H81" i="41"/>
  <c r="H80" i="41"/>
  <c r="H79" i="41"/>
  <c r="H78" i="41"/>
  <c r="H77" i="41"/>
  <c r="H76" i="41"/>
  <c r="H75" i="41"/>
  <c r="H74" i="41"/>
  <c r="H73" i="41"/>
  <c r="H72" i="41"/>
  <c r="F71" i="41"/>
  <c r="F70" i="41"/>
  <c r="F69" i="41"/>
  <c r="H68" i="41"/>
  <c r="H67" i="41"/>
  <c r="F67" i="41"/>
  <c r="F65" i="41"/>
  <c r="F63" i="41"/>
  <c r="D8" i="41"/>
  <c r="E9" i="56"/>
  <c r="E12" i="56"/>
  <c r="C9" i="56"/>
  <c r="C12" i="56"/>
  <c r="R46" i="86"/>
  <c r="T46" i="86"/>
  <c r="N46" i="86"/>
  <c r="N53" i="86"/>
  <c r="P52" i="105"/>
  <c r="P39" i="105"/>
  <c r="P47" i="105"/>
  <c r="P51" i="105"/>
  <c r="P44" i="105"/>
  <c r="P35" i="105"/>
  <c r="P31" i="105"/>
  <c r="P32" i="105"/>
  <c r="P43" i="105"/>
  <c r="P33" i="105"/>
  <c r="P37" i="105"/>
  <c r="P49" i="105"/>
  <c r="P40" i="105"/>
  <c r="P41" i="105"/>
  <c r="P38" i="105"/>
  <c r="P36" i="105"/>
  <c r="P34" i="105"/>
  <c r="P42" i="105"/>
  <c r="T45" i="106"/>
  <c r="T48" i="105"/>
  <c r="P48" i="105"/>
  <c r="T45" i="86"/>
  <c r="R53" i="86"/>
  <c r="P46" i="86"/>
  <c r="N46" i="106"/>
  <c r="N53" i="106"/>
  <c r="R46" i="106"/>
  <c r="T46" i="106"/>
  <c r="N53" i="105"/>
  <c r="T46" i="105"/>
  <c r="P46" i="105"/>
  <c r="T45" i="105"/>
  <c r="P45" i="105"/>
  <c r="P53" i="105"/>
  <c r="T53" i="105"/>
  <c r="R53" i="106"/>
  <c r="P52" i="86"/>
  <c r="P43" i="86"/>
  <c r="P31" i="86"/>
  <c r="P44" i="86"/>
  <c r="P33" i="86"/>
  <c r="P51" i="86"/>
  <c r="P32" i="86"/>
  <c r="P50" i="86"/>
  <c r="P35" i="86"/>
  <c r="P47" i="86"/>
  <c r="P37" i="86"/>
  <c r="P49" i="86"/>
  <c r="P41" i="86"/>
  <c r="P39" i="86"/>
  <c r="P38" i="86"/>
  <c r="P40" i="86"/>
  <c r="P36" i="86"/>
  <c r="P42" i="86"/>
  <c r="P48" i="86"/>
  <c r="P34" i="86"/>
  <c r="P45" i="86"/>
  <c r="T53" i="106"/>
  <c r="T53" i="86"/>
  <c r="P53" i="86"/>
  <c r="P46" i="106"/>
  <c r="P32" i="106"/>
  <c r="P39" i="106"/>
  <c r="P37" i="106"/>
  <c r="P51" i="106"/>
  <c r="P43" i="106"/>
  <c r="P44" i="106"/>
  <c r="P49" i="106"/>
  <c r="P35" i="106"/>
  <c r="P33" i="106"/>
  <c r="P31" i="106"/>
  <c r="P47" i="106"/>
  <c r="P36" i="106"/>
  <c r="P41" i="106"/>
  <c r="P38" i="106"/>
  <c r="P40" i="106"/>
  <c r="P42" i="106"/>
  <c r="P34" i="106"/>
  <c r="P52" i="106"/>
  <c r="P48" i="106"/>
  <c r="P45" i="106"/>
  <c r="P53" i="106"/>
  <c r="I5" i="56"/>
  <c r="AM5" i="1"/>
  <c r="C20" i="56"/>
  <c r="C21" i="56"/>
  <c r="M48" i="41"/>
  <c r="R62" i="51"/>
  <c r="F21" i="54"/>
  <c r="M21" i="54"/>
  <c r="R62" i="52"/>
  <c r="F29" i="54"/>
  <c r="L62" i="51"/>
  <c r="L62" i="52"/>
  <c r="AR52" i="52"/>
  <c r="AR51" i="52"/>
  <c r="AR50" i="52"/>
  <c r="AR49" i="52"/>
  <c r="AR48" i="52"/>
  <c r="AR47" i="52"/>
  <c r="AX46" i="52"/>
  <c r="AV46" i="52"/>
  <c r="AU46" i="52"/>
  <c r="AS46" i="52"/>
  <c r="AT46" i="52"/>
  <c r="AW46" i="52"/>
  <c r="AR46" i="52"/>
  <c r="AX45" i="52"/>
  <c r="AV45" i="52"/>
  <c r="AU45" i="52"/>
  <c r="AS45" i="52"/>
  <c r="AT45" i="52"/>
  <c r="AW45" i="52"/>
  <c r="AR45" i="52"/>
  <c r="AX44" i="52"/>
  <c r="AV44" i="52"/>
  <c r="AU44" i="52"/>
  <c r="AS44" i="52"/>
  <c r="AT44" i="52"/>
  <c r="AW44" i="52"/>
  <c r="AR44" i="52"/>
  <c r="AX42" i="52"/>
  <c r="AU42" i="52"/>
  <c r="AN42" i="52"/>
  <c r="AV42" i="52"/>
  <c r="AX41" i="52"/>
  <c r="AV41" i="52"/>
  <c r="AU41" i="52"/>
  <c r="AS41" i="52"/>
  <c r="AT41" i="52"/>
  <c r="AW41" i="52"/>
  <c r="AR41" i="52"/>
  <c r="AX40" i="52"/>
  <c r="AV40" i="52"/>
  <c r="AU40" i="52"/>
  <c r="AS40" i="52"/>
  <c r="AT40" i="52"/>
  <c r="AW40" i="52"/>
  <c r="AR40" i="52"/>
  <c r="AX39" i="52"/>
  <c r="AV39" i="52"/>
  <c r="AU39" i="52"/>
  <c r="AS39" i="52"/>
  <c r="AT39" i="52"/>
  <c r="AW39" i="52"/>
  <c r="AR39" i="52"/>
  <c r="AX38" i="52"/>
  <c r="AV38" i="52"/>
  <c r="AU38" i="52"/>
  <c r="AS38" i="52"/>
  <c r="AT38" i="52"/>
  <c r="AW38" i="52"/>
  <c r="AR38" i="52"/>
  <c r="AX37" i="52"/>
  <c r="AV37" i="52"/>
  <c r="AU37" i="52"/>
  <c r="AS37" i="52"/>
  <c r="AT37" i="52"/>
  <c r="AW37" i="52"/>
  <c r="AR37" i="52"/>
  <c r="AX36" i="52"/>
  <c r="AV36" i="52"/>
  <c r="AU36" i="52"/>
  <c r="AS36" i="52"/>
  <c r="AT36" i="52"/>
  <c r="AW36" i="52"/>
  <c r="AR36" i="52"/>
  <c r="AX35" i="52"/>
  <c r="AV35" i="52"/>
  <c r="AU35" i="52"/>
  <c r="AS35" i="52"/>
  <c r="AT35" i="52"/>
  <c r="AW35" i="52"/>
  <c r="AR35" i="52"/>
  <c r="AX34" i="52"/>
  <c r="AV34" i="52"/>
  <c r="AU34" i="52"/>
  <c r="AS34" i="52"/>
  <c r="AT34" i="52"/>
  <c r="AW34" i="52"/>
  <c r="AR34" i="52"/>
  <c r="AX33" i="52"/>
  <c r="AV33" i="52"/>
  <c r="AU33" i="52"/>
  <c r="AS33" i="52"/>
  <c r="AT33" i="52"/>
  <c r="AW33" i="52"/>
  <c r="AR33" i="52"/>
  <c r="AX32" i="52"/>
  <c r="AV32" i="52"/>
  <c r="AU32" i="52"/>
  <c r="AS32" i="52"/>
  <c r="AT32" i="52"/>
  <c r="AW32" i="52"/>
  <c r="AR32" i="52"/>
  <c r="AX31" i="52"/>
  <c r="AV31" i="52"/>
  <c r="AU31" i="52"/>
  <c r="AS31" i="52"/>
  <c r="AT31" i="52"/>
  <c r="AW31" i="52"/>
  <c r="AR31" i="52"/>
  <c r="F27" i="52"/>
  <c r="AH25" i="52"/>
  <c r="X27" i="52"/>
  <c r="X29" i="52"/>
  <c r="X30" i="52"/>
  <c r="AC25" i="52"/>
  <c r="H49" i="52"/>
  <c r="N49" i="52"/>
  <c r="A22" i="52"/>
  <c r="A21" i="52"/>
  <c r="AN18" i="52"/>
  <c r="AQ13" i="52"/>
  <c r="AX9" i="52"/>
  <c r="AX8" i="52"/>
  <c r="AV7" i="52"/>
  <c r="AX7" i="52"/>
  <c r="AR7" i="52"/>
  <c r="AX6" i="52"/>
  <c r="AX5" i="52"/>
  <c r="AX4" i="52"/>
  <c r="F53" i="52"/>
  <c r="AS42" i="52"/>
  <c r="AT42" i="52"/>
  <c r="AW42" i="52"/>
  <c r="H38" i="52"/>
  <c r="N38" i="52"/>
  <c r="H48" i="52"/>
  <c r="N48" i="52"/>
  <c r="H40" i="52"/>
  <c r="N40" i="52"/>
  <c r="H42" i="52"/>
  <c r="H46" i="52"/>
  <c r="H52" i="52"/>
  <c r="N52" i="52"/>
  <c r="H34" i="52"/>
  <c r="N34" i="52"/>
  <c r="H39" i="52"/>
  <c r="N39" i="52"/>
  <c r="AT12" i="52"/>
  <c r="H37" i="52"/>
  <c r="N37" i="52"/>
  <c r="H32" i="52"/>
  <c r="N32" i="52"/>
  <c r="H33" i="52"/>
  <c r="N33" i="52"/>
  <c r="H43" i="52"/>
  <c r="AR8" i="52"/>
  <c r="H31" i="52"/>
  <c r="H35" i="52"/>
  <c r="N35" i="52"/>
  <c r="AR42" i="52"/>
  <c r="H44" i="52"/>
  <c r="N44" i="52"/>
  <c r="H45" i="52"/>
  <c r="H41" i="52"/>
  <c r="N41" i="52"/>
  <c r="H47" i="52"/>
  <c r="N47" i="52"/>
  <c r="H51" i="52"/>
  <c r="N51" i="52"/>
  <c r="H36" i="52"/>
  <c r="N36" i="52"/>
  <c r="F27" i="51"/>
  <c r="X27" i="51"/>
  <c r="X29" i="51"/>
  <c r="X30" i="51"/>
  <c r="AC25" i="51"/>
  <c r="H51" i="51"/>
  <c r="A22" i="51"/>
  <c r="A21" i="51"/>
  <c r="N57" i="52"/>
  <c r="N61" i="52"/>
  <c r="N51" i="51"/>
  <c r="F53" i="51"/>
  <c r="H31" i="51"/>
  <c r="N31" i="51"/>
  <c r="H34" i="51"/>
  <c r="N34" i="51"/>
  <c r="N42" i="52"/>
  <c r="T42" i="52"/>
  <c r="R42" i="52"/>
  <c r="H53" i="52"/>
  <c r="N31" i="52"/>
  <c r="N60" i="52"/>
  <c r="T51" i="52"/>
  <c r="R51" i="52"/>
  <c r="N56" i="52"/>
  <c r="T47" i="52"/>
  <c r="R47" i="52"/>
  <c r="R43" i="52"/>
  <c r="N43" i="52"/>
  <c r="T43" i="52"/>
  <c r="J45" i="52"/>
  <c r="N58" i="52"/>
  <c r="T32" i="52"/>
  <c r="T49" i="52"/>
  <c r="R49" i="52"/>
  <c r="N55" i="52"/>
  <c r="T38" i="52"/>
  <c r="R38" i="52"/>
  <c r="T37" i="52"/>
  <c r="R37" i="52"/>
  <c r="T41" i="52"/>
  <c r="R41" i="52"/>
  <c r="T36" i="52"/>
  <c r="R36" i="52"/>
  <c r="T44" i="52"/>
  <c r="R44" i="52"/>
  <c r="T40" i="52"/>
  <c r="R40" i="52"/>
  <c r="T35" i="52"/>
  <c r="R35" i="52"/>
  <c r="T34" i="52"/>
  <c r="R34" i="52"/>
  <c r="T33" i="52"/>
  <c r="R33" i="52"/>
  <c r="N59" i="52"/>
  <c r="T39" i="52"/>
  <c r="R39" i="52"/>
  <c r="H49" i="51"/>
  <c r="N49" i="51"/>
  <c r="H36" i="51"/>
  <c r="N36" i="51"/>
  <c r="H39" i="51"/>
  <c r="N39" i="51"/>
  <c r="H40" i="51"/>
  <c r="N40" i="51"/>
  <c r="H44" i="51"/>
  <c r="N44" i="51"/>
  <c r="H46" i="51"/>
  <c r="H52" i="51"/>
  <c r="N52" i="51"/>
  <c r="H48" i="51"/>
  <c r="N48" i="51"/>
  <c r="H35" i="51"/>
  <c r="N35" i="51"/>
  <c r="H38" i="51"/>
  <c r="N38" i="51"/>
  <c r="H41" i="51"/>
  <c r="N41" i="51"/>
  <c r="H42" i="51"/>
  <c r="H45" i="51"/>
  <c r="N57" i="51"/>
  <c r="H32" i="51"/>
  <c r="H33" i="51"/>
  <c r="N33" i="51"/>
  <c r="H43" i="51"/>
  <c r="N61" i="51"/>
  <c r="H37" i="51"/>
  <c r="N37" i="51"/>
  <c r="H47" i="51"/>
  <c r="N47" i="51"/>
  <c r="AH24" i="1"/>
  <c r="W33" i="1"/>
  <c r="W35" i="1"/>
  <c r="W36" i="1"/>
  <c r="F51" i="1"/>
  <c r="F49" i="1"/>
  <c r="F33" i="1"/>
  <c r="F37" i="1"/>
  <c r="F43" i="1"/>
  <c r="F44" i="1"/>
  <c r="F45" i="1"/>
  <c r="F47" i="1"/>
  <c r="F31" i="1"/>
  <c r="AM26" i="51"/>
  <c r="R61" i="52"/>
  <c r="F28" i="54"/>
  <c r="L61" i="52"/>
  <c r="R57" i="52"/>
  <c r="L57" i="52"/>
  <c r="R59" i="52"/>
  <c r="F26" i="54"/>
  <c r="L59" i="52"/>
  <c r="R55" i="52"/>
  <c r="F22" i="54"/>
  <c r="L55" i="52"/>
  <c r="R56" i="52"/>
  <c r="F23" i="54"/>
  <c r="L56" i="52"/>
  <c r="R60" i="52"/>
  <c r="F27" i="54"/>
  <c r="L60" i="52"/>
  <c r="R58" i="52"/>
  <c r="F25" i="54"/>
  <c r="L58" i="52"/>
  <c r="R57" i="51"/>
  <c r="F16" i="54"/>
  <c r="M16" i="54"/>
  <c r="L57" i="51"/>
  <c r="R61" i="51"/>
  <c r="F20" i="54"/>
  <c r="L61" i="51"/>
  <c r="N42" i="51"/>
  <c r="T42" i="51"/>
  <c r="R42" i="51"/>
  <c r="R32" i="52"/>
  <c r="R48" i="52"/>
  <c r="L45" i="52"/>
  <c r="N45" i="52"/>
  <c r="J46" i="52"/>
  <c r="J53" i="52"/>
  <c r="H53" i="51"/>
  <c r="T49" i="51"/>
  <c r="R49" i="51"/>
  <c r="N55" i="51"/>
  <c r="N56" i="51"/>
  <c r="T47" i="51"/>
  <c r="R47" i="51"/>
  <c r="T41" i="51"/>
  <c r="R41" i="51"/>
  <c r="T37" i="51"/>
  <c r="R37" i="51"/>
  <c r="T36" i="51"/>
  <c r="R36" i="51"/>
  <c r="T35" i="51"/>
  <c r="R35" i="51"/>
  <c r="T44" i="51"/>
  <c r="R44" i="51"/>
  <c r="T40" i="51"/>
  <c r="R40" i="51"/>
  <c r="T34" i="51"/>
  <c r="R34" i="51"/>
  <c r="N59" i="51"/>
  <c r="T39" i="51"/>
  <c r="R39" i="51"/>
  <c r="T33" i="51"/>
  <c r="R33" i="51"/>
  <c r="T38" i="51"/>
  <c r="R38" i="51"/>
  <c r="J45" i="51"/>
  <c r="N58" i="51"/>
  <c r="T32" i="51"/>
  <c r="N32" i="51"/>
  <c r="N60" i="51"/>
  <c r="T51" i="51"/>
  <c r="R51" i="51"/>
  <c r="R43" i="51"/>
  <c r="N43" i="51"/>
  <c r="T43" i="51"/>
  <c r="R60" i="51"/>
  <c r="F19" i="54"/>
  <c r="M19" i="54"/>
  <c r="L60" i="51"/>
  <c r="R59" i="51"/>
  <c r="F18" i="54"/>
  <c r="L59" i="51"/>
  <c r="R56" i="51"/>
  <c r="F15" i="54"/>
  <c r="M15" i="54"/>
  <c r="L56" i="51"/>
  <c r="R58" i="51"/>
  <c r="F17" i="54"/>
  <c r="L58" i="51"/>
  <c r="R55" i="51"/>
  <c r="F14" i="54"/>
  <c r="M14" i="54"/>
  <c r="L55" i="51"/>
  <c r="F39" i="1"/>
  <c r="R52" i="52"/>
  <c r="L46" i="52"/>
  <c r="L53" i="52"/>
  <c r="R45" i="52"/>
  <c r="T48" i="52"/>
  <c r="L45" i="51"/>
  <c r="N45" i="51"/>
  <c r="J46" i="51"/>
  <c r="R32" i="51"/>
  <c r="R48" i="51"/>
  <c r="N46" i="52"/>
  <c r="N53" i="52"/>
  <c r="R46" i="52"/>
  <c r="T46" i="52"/>
  <c r="T52" i="52"/>
  <c r="T45" i="52"/>
  <c r="R52" i="51"/>
  <c r="T48" i="51"/>
  <c r="J53" i="51"/>
  <c r="L46" i="51"/>
  <c r="N46" i="51"/>
  <c r="N53" i="51"/>
  <c r="R45" i="51"/>
  <c r="R53" i="52"/>
  <c r="P31" i="52"/>
  <c r="T53" i="52"/>
  <c r="R46" i="51"/>
  <c r="R53" i="51"/>
  <c r="L53" i="51"/>
  <c r="T52" i="51"/>
  <c r="T45" i="51"/>
  <c r="P39" i="52"/>
  <c r="P34" i="52"/>
  <c r="P47" i="52"/>
  <c r="P41" i="52"/>
  <c r="P33" i="52"/>
  <c r="P43" i="52"/>
  <c r="P38" i="52"/>
  <c r="P46" i="52"/>
  <c r="P45" i="52"/>
  <c r="P44" i="52"/>
  <c r="P52" i="52"/>
  <c r="P51" i="52"/>
  <c r="P35" i="52"/>
  <c r="P37" i="52"/>
  <c r="P42" i="52"/>
  <c r="P32" i="52"/>
  <c r="P36" i="52"/>
  <c r="P49" i="52"/>
  <c r="P48" i="52"/>
  <c r="P40" i="52"/>
  <c r="T46" i="51"/>
  <c r="T53" i="51"/>
  <c r="P39" i="51"/>
  <c r="P51" i="51"/>
  <c r="P47" i="51"/>
  <c r="P33" i="51"/>
  <c r="P48" i="51"/>
  <c r="P45" i="51"/>
  <c r="P43" i="51"/>
  <c r="P37" i="51"/>
  <c r="P41" i="51"/>
  <c r="P31" i="51"/>
  <c r="P38" i="51"/>
  <c r="P32" i="51"/>
  <c r="P44" i="51"/>
  <c r="P35" i="51"/>
  <c r="P49" i="51"/>
  <c r="P52" i="51"/>
  <c r="P36" i="51"/>
  <c r="P46" i="51"/>
  <c r="P42" i="51"/>
  <c r="P40" i="51"/>
  <c r="P34" i="51"/>
  <c r="D6" i="47"/>
  <c r="A1" i="47"/>
  <c r="P53" i="52"/>
  <c r="P53" i="51"/>
  <c r="H56" i="41"/>
  <c r="H55" i="41"/>
  <c r="F55" i="41"/>
  <c r="H54" i="41"/>
  <c r="F54" i="41"/>
  <c r="H53" i="41"/>
  <c r="F53" i="41"/>
  <c r="H52" i="41"/>
  <c r="H51" i="41"/>
  <c r="H50" i="41"/>
  <c r="H49" i="41"/>
  <c r="T48" i="41"/>
  <c r="N48" i="41"/>
  <c r="H48" i="41"/>
  <c r="T47" i="41"/>
  <c r="D66" i="41"/>
  <c r="F66" i="41"/>
  <c r="D37" i="41"/>
  <c r="F8" i="41"/>
  <c r="H47" i="41"/>
  <c r="T46" i="41"/>
  <c r="H46" i="41"/>
  <c r="T45" i="41"/>
  <c r="H45" i="41"/>
  <c r="T44" i="41"/>
  <c r="H44" i="41"/>
  <c r="T43" i="41"/>
  <c r="H43" i="41"/>
  <c r="T42" i="41"/>
  <c r="F42" i="41"/>
  <c r="T41" i="41"/>
  <c r="F41" i="41"/>
  <c r="T40" i="41"/>
  <c r="D85" i="41"/>
  <c r="F85" i="41"/>
  <c r="D56" i="41"/>
  <c r="F56" i="41"/>
  <c r="F40" i="41"/>
  <c r="T39" i="41"/>
  <c r="D51" i="41"/>
  <c r="F51" i="41"/>
  <c r="H39" i="41"/>
  <c r="T38" i="41"/>
  <c r="H38" i="41"/>
  <c r="F38" i="41"/>
  <c r="T37" i="41"/>
  <c r="T36" i="41"/>
  <c r="F36" i="41"/>
  <c r="T35" i="41"/>
  <c r="T34" i="41"/>
  <c r="D81" i="41"/>
  <c r="F81" i="41"/>
  <c r="D52" i="41"/>
  <c r="F52" i="41"/>
  <c r="F34" i="41"/>
  <c r="T33" i="41"/>
  <c r="D77" i="41"/>
  <c r="F77" i="41"/>
  <c r="D48" i="41"/>
  <c r="T32" i="41"/>
  <c r="D79" i="41"/>
  <c r="F79" i="41"/>
  <c r="T31" i="41"/>
  <c r="D78" i="41"/>
  <c r="F78" i="41"/>
  <c r="T30" i="41"/>
  <c r="D75" i="41"/>
  <c r="F75" i="41"/>
  <c r="T29" i="41"/>
  <c r="D76" i="41"/>
  <c r="F76" i="41"/>
  <c r="T28" i="41"/>
  <c r="D74" i="41"/>
  <c r="F74" i="41"/>
  <c r="T27" i="41"/>
  <c r="D73" i="41"/>
  <c r="F73" i="41"/>
  <c r="T26" i="41"/>
  <c r="D72" i="41"/>
  <c r="F72" i="41"/>
  <c r="F26" i="41"/>
  <c r="T25" i="41"/>
  <c r="D68" i="41"/>
  <c r="F68" i="41"/>
  <c r="D10" i="41"/>
  <c r="F25" i="41"/>
  <c r="T24" i="41"/>
  <c r="D64" i="41"/>
  <c r="D6" i="41"/>
  <c r="H24" i="41"/>
  <c r="F24" i="41"/>
  <c r="H23" i="41"/>
  <c r="H22" i="41"/>
  <c r="H21" i="41"/>
  <c r="F21" i="41"/>
  <c r="H20" i="41"/>
  <c r="H19" i="41"/>
  <c r="H18" i="41"/>
  <c r="H17" i="41"/>
  <c r="H16" i="41"/>
  <c r="H15" i="41"/>
  <c r="H14" i="41"/>
  <c r="F13" i="41"/>
  <c r="F12" i="41"/>
  <c r="F11" i="41"/>
  <c r="H10" i="41"/>
  <c r="F9" i="41"/>
  <c r="F7" i="41"/>
  <c r="F5" i="41"/>
  <c r="AR51" i="30"/>
  <c r="AR50" i="30"/>
  <c r="AR49" i="30"/>
  <c r="AR48" i="30"/>
  <c r="AR47" i="30"/>
  <c r="AX46" i="30"/>
  <c r="AV46" i="30"/>
  <c r="AU46" i="30"/>
  <c r="AS46" i="30"/>
  <c r="AT46" i="30"/>
  <c r="AW46" i="30"/>
  <c r="AR46" i="30"/>
  <c r="L46" i="30"/>
  <c r="L52" i="30"/>
  <c r="AX45" i="30"/>
  <c r="AV45" i="30"/>
  <c r="AU45" i="30"/>
  <c r="AS45" i="30"/>
  <c r="AT45" i="30"/>
  <c r="AW45" i="30"/>
  <c r="AR45" i="30"/>
  <c r="AX44" i="30"/>
  <c r="AV44" i="30"/>
  <c r="AU44" i="30"/>
  <c r="AS44" i="30"/>
  <c r="AT44" i="30"/>
  <c r="AW44" i="30"/>
  <c r="AR44" i="30"/>
  <c r="AX42" i="30"/>
  <c r="AV42" i="30"/>
  <c r="AU42" i="30"/>
  <c r="AS42" i="30"/>
  <c r="AT42" i="30"/>
  <c r="AW42" i="30"/>
  <c r="AR42" i="30"/>
  <c r="AX41" i="30"/>
  <c r="AV41" i="30"/>
  <c r="AU41" i="30"/>
  <c r="AS41" i="30"/>
  <c r="AT41" i="30"/>
  <c r="AW41" i="30"/>
  <c r="AR41" i="30"/>
  <c r="AX40" i="30"/>
  <c r="AV40" i="30"/>
  <c r="AU40" i="30"/>
  <c r="AS40" i="30"/>
  <c r="AT40" i="30"/>
  <c r="AW40" i="30"/>
  <c r="AR40" i="30"/>
  <c r="AX39" i="30"/>
  <c r="AV39" i="30"/>
  <c r="AU39" i="30"/>
  <c r="AS39" i="30"/>
  <c r="AT39" i="30"/>
  <c r="AW39" i="30"/>
  <c r="AR39" i="30"/>
  <c r="AX38" i="30"/>
  <c r="AV38" i="30"/>
  <c r="AU38" i="30"/>
  <c r="AS38" i="30"/>
  <c r="AT38" i="30"/>
  <c r="AW38" i="30"/>
  <c r="AR38" i="30"/>
  <c r="AX37" i="30"/>
  <c r="AV37" i="30"/>
  <c r="AU37" i="30"/>
  <c r="AS37" i="30"/>
  <c r="AT37" i="30"/>
  <c r="AW37" i="30"/>
  <c r="AR37" i="30"/>
  <c r="AX36" i="30"/>
  <c r="AV36" i="30"/>
  <c r="AU36" i="30"/>
  <c r="AS36" i="30"/>
  <c r="AT36" i="30"/>
  <c r="AW36" i="30"/>
  <c r="AR36" i="30"/>
  <c r="AX35" i="30"/>
  <c r="AV35" i="30"/>
  <c r="AU35" i="30"/>
  <c r="AS35" i="30"/>
  <c r="AT35" i="30"/>
  <c r="AW35" i="30"/>
  <c r="AR35" i="30"/>
  <c r="AX34" i="30"/>
  <c r="AV34" i="30"/>
  <c r="AU34" i="30"/>
  <c r="AS34" i="30"/>
  <c r="AT34" i="30"/>
  <c r="AW34" i="30"/>
  <c r="AR34" i="30"/>
  <c r="AX33" i="30"/>
  <c r="AV33" i="30"/>
  <c r="AU33" i="30"/>
  <c r="AS33" i="30"/>
  <c r="AT33" i="30"/>
  <c r="AW33" i="30"/>
  <c r="AR33" i="30"/>
  <c r="AX32" i="30"/>
  <c r="AV32" i="30"/>
  <c r="AU32" i="30"/>
  <c r="AS32" i="30"/>
  <c r="AT32" i="30"/>
  <c r="AW32" i="30"/>
  <c r="AR32" i="30"/>
  <c r="AX31" i="30"/>
  <c r="AV31" i="30"/>
  <c r="AU31" i="30"/>
  <c r="AS31" i="30"/>
  <c r="AT31" i="30"/>
  <c r="AW31" i="30"/>
  <c r="AR31" i="30"/>
  <c r="F27" i="30"/>
  <c r="AH25" i="30"/>
  <c r="X33" i="30"/>
  <c r="X35" i="30"/>
  <c r="X36" i="30"/>
  <c r="T25" i="30"/>
  <c r="AM23" i="30"/>
  <c r="AT21" i="30"/>
  <c r="A22" i="30"/>
  <c r="AN18" i="30"/>
  <c r="AQ21" i="30"/>
  <c r="AR21" i="30"/>
  <c r="AF16" i="30"/>
  <c r="AR11" i="30"/>
  <c r="AR7" i="30"/>
  <c r="AR52" i="1"/>
  <c r="AR51" i="1"/>
  <c r="AR50" i="1"/>
  <c r="N50" i="1"/>
  <c r="AR49" i="1"/>
  <c r="AR48" i="1"/>
  <c r="AR47" i="1"/>
  <c r="AX46" i="1"/>
  <c r="AV46" i="1"/>
  <c r="AU46" i="1"/>
  <c r="AS46" i="1"/>
  <c r="AT46" i="1"/>
  <c r="AW46" i="1"/>
  <c r="AR46" i="1"/>
  <c r="AX45" i="1"/>
  <c r="AV45" i="1"/>
  <c r="AU45" i="1"/>
  <c r="AS45" i="1"/>
  <c r="AT45" i="1"/>
  <c r="AW45" i="1"/>
  <c r="AR45" i="1"/>
  <c r="AX44" i="1"/>
  <c r="AV44" i="1"/>
  <c r="AU44" i="1"/>
  <c r="AS44" i="1"/>
  <c r="AT44" i="1"/>
  <c r="AW44" i="1"/>
  <c r="AR44" i="1"/>
  <c r="AX42" i="1"/>
  <c r="AV42" i="1"/>
  <c r="AU42" i="1"/>
  <c r="AS42" i="1"/>
  <c r="AT42" i="1"/>
  <c r="AW42" i="1"/>
  <c r="AR42" i="1"/>
  <c r="AX41" i="1"/>
  <c r="AV41" i="1"/>
  <c r="AU41" i="1"/>
  <c r="AS41" i="1"/>
  <c r="AT41" i="1"/>
  <c r="AW41" i="1"/>
  <c r="AR41" i="1"/>
  <c r="AX40" i="1"/>
  <c r="AV40" i="1"/>
  <c r="AU40" i="1"/>
  <c r="AS40" i="1"/>
  <c r="AT40" i="1"/>
  <c r="AW40" i="1"/>
  <c r="AR40" i="1"/>
  <c r="AX39" i="1"/>
  <c r="AV39" i="1"/>
  <c r="AU39" i="1"/>
  <c r="AS39" i="1"/>
  <c r="AT39" i="1"/>
  <c r="AW39" i="1"/>
  <c r="AR39" i="1"/>
  <c r="AX38" i="1"/>
  <c r="AV38" i="1"/>
  <c r="AU38" i="1"/>
  <c r="AS38" i="1"/>
  <c r="AT38" i="1"/>
  <c r="AW38" i="1"/>
  <c r="AR38" i="1"/>
  <c r="AX37" i="1"/>
  <c r="AV37" i="1"/>
  <c r="AU37" i="1"/>
  <c r="AS37" i="1"/>
  <c r="AT37" i="1"/>
  <c r="AW37" i="1"/>
  <c r="AR37" i="1"/>
  <c r="AX36" i="1"/>
  <c r="AV36" i="1"/>
  <c r="AU36" i="1"/>
  <c r="AS36" i="1"/>
  <c r="AT36" i="1"/>
  <c r="AW36" i="1"/>
  <c r="AR36" i="1"/>
  <c r="AX35" i="1"/>
  <c r="AV35" i="1"/>
  <c r="AU35" i="1"/>
  <c r="AS35" i="1"/>
  <c r="AT35" i="1"/>
  <c r="AW35" i="1"/>
  <c r="AR35" i="1"/>
  <c r="AX34" i="1"/>
  <c r="AV34" i="1"/>
  <c r="AU34" i="1"/>
  <c r="AS34" i="1"/>
  <c r="AT34" i="1"/>
  <c r="AW34" i="1"/>
  <c r="AR34" i="1"/>
  <c r="AX33" i="1"/>
  <c r="AV33" i="1"/>
  <c r="AU33" i="1"/>
  <c r="AS33" i="1"/>
  <c r="AT33" i="1"/>
  <c r="AW33" i="1"/>
  <c r="AR33" i="1"/>
  <c r="AX32" i="1"/>
  <c r="AV32" i="1"/>
  <c r="AU32" i="1"/>
  <c r="AS32" i="1"/>
  <c r="AT32" i="1"/>
  <c r="AW32" i="1"/>
  <c r="AR32" i="1"/>
  <c r="AX31" i="1"/>
  <c r="AV31" i="1"/>
  <c r="AU31" i="1"/>
  <c r="AS31" i="1"/>
  <c r="AT31" i="1"/>
  <c r="AW31" i="1"/>
  <c r="AR31" i="1"/>
  <c r="F27" i="1"/>
  <c r="AV24" i="1"/>
  <c r="AS24" i="1"/>
  <c r="T24" i="1"/>
  <c r="AV21" i="1"/>
  <c r="AS21" i="1"/>
  <c r="A21" i="1"/>
  <c r="A20" i="1"/>
  <c r="AV18" i="1"/>
  <c r="AS18" i="1"/>
  <c r="AN17" i="1"/>
  <c r="AV15" i="1"/>
  <c r="AS15" i="1"/>
  <c r="AU7" i="1"/>
  <c r="AR7" i="1"/>
  <c r="AU6" i="1"/>
  <c r="D80" i="41"/>
  <c r="F80" i="41"/>
  <c r="D82" i="41"/>
  <c r="F82" i="41"/>
  <c r="F64" i="41"/>
  <c r="D43" i="41"/>
  <c r="F43" i="41"/>
  <c r="D45" i="41"/>
  <c r="F45" i="41"/>
  <c r="D46" i="41"/>
  <c r="F46" i="41"/>
  <c r="F48" i="41"/>
  <c r="D50" i="41"/>
  <c r="F50" i="41"/>
  <c r="D44" i="41"/>
  <c r="F44" i="41"/>
  <c r="D47" i="41"/>
  <c r="F47" i="41"/>
  <c r="D49" i="41"/>
  <c r="F49" i="41"/>
  <c r="F37" i="41"/>
  <c r="F27" i="41"/>
  <c r="F22" i="41"/>
  <c r="F19" i="41"/>
  <c r="F20" i="41"/>
  <c r="F17" i="41"/>
  <c r="F18" i="41"/>
  <c r="F16" i="41"/>
  <c r="F15" i="41"/>
  <c r="F14" i="41"/>
  <c r="F10" i="41"/>
  <c r="F23" i="41"/>
  <c r="AR8" i="30"/>
  <c r="F52" i="1"/>
  <c r="AW6" i="1"/>
  <c r="AW8" i="1"/>
  <c r="AQ15" i="1"/>
  <c r="Q15" i="1"/>
  <c r="F52" i="30"/>
  <c r="F6" i="41"/>
  <c r="AR8" i="1"/>
  <c r="AW9" i="1"/>
  <c r="AR17" i="30"/>
  <c r="T16" i="30"/>
  <c r="AU17" i="30"/>
  <c r="Z16" i="30"/>
  <c r="AU21" i="30"/>
  <c r="H21" i="30"/>
  <c r="D86" i="41"/>
  <c r="D87" i="41"/>
  <c r="F86" i="41"/>
  <c r="G85" i="41"/>
  <c r="D28" i="41"/>
  <c r="F53" i="1"/>
  <c r="D29" i="41"/>
  <c r="D30" i="41"/>
  <c r="F28" i="41"/>
  <c r="AY8" i="1"/>
  <c r="AT24" i="1"/>
  <c r="N20" i="1"/>
  <c r="N21" i="1"/>
  <c r="AW21" i="1"/>
  <c r="AT18" i="1"/>
  <c r="AF15" i="1"/>
  <c r="AF16" i="1"/>
  <c r="AI16" i="1"/>
  <c r="AW15" i="1"/>
  <c r="Z15" i="1"/>
  <c r="Z16" i="1"/>
  <c r="AC16" i="1"/>
  <c r="AW18" i="1"/>
  <c r="H20" i="1"/>
  <c r="AW24" i="1"/>
  <c r="Z20" i="1"/>
  <c r="AT21" i="1"/>
  <c r="T20" i="1"/>
  <c r="AT15" i="1"/>
  <c r="T15" i="1"/>
  <c r="T16" i="1"/>
  <c r="W16" i="1"/>
  <c r="Z21" i="1"/>
  <c r="AC21" i="1"/>
  <c r="Z17" i="30"/>
  <c r="AC17" i="30"/>
  <c r="T17" i="30"/>
  <c r="W17" i="30"/>
  <c r="AF17" i="30"/>
  <c r="AI17" i="30"/>
  <c r="N56" i="30"/>
  <c r="H22" i="30"/>
  <c r="K22" i="30"/>
  <c r="T21" i="1"/>
  <c r="W21" i="1"/>
  <c r="G81" i="41"/>
  <c r="G83" i="41"/>
  <c r="G76" i="41"/>
  <c r="G63" i="41"/>
  <c r="G73" i="41"/>
  <c r="G78" i="41"/>
  <c r="G65" i="41"/>
  <c r="G64" i="41"/>
  <c r="G84" i="41"/>
  <c r="G77" i="41"/>
  <c r="G69" i="41"/>
  <c r="G75" i="41"/>
  <c r="G67" i="41"/>
  <c r="G72" i="41"/>
  <c r="G82" i="41"/>
  <c r="G80" i="41"/>
  <c r="G70" i="41"/>
  <c r="G74" i="41"/>
  <c r="G79" i="41"/>
  <c r="G68" i="41"/>
  <c r="G66" i="41"/>
  <c r="G71" i="41"/>
  <c r="H21" i="1"/>
  <c r="K21" i="1"/>
  <c r="G23" i="41"/>
  <c r="I23" i="41"/>
  <c r="G24" i="41"/>
  <c r="I24" i="41"/>
  <c r="G16" i="41"/>
  <c r="I16" i="41"/>
  <c r="G13" i="41"/>
  <c r="I13" i="41"/>
  <c r="G12" i="41"/>
  <c r="I12" i="41"/>
  <c r="G20" i="41"/>
  <c r="I20" i="41"/>
  <c r="G5" i="41"/>
  <c r="I5" i="41"/>
  <c r="G6" i="41"/>
  <c r="I6" i="41"/>
  <c r="G19" i="41"/>
  <c r="I19" i="41"/>
  <c r="G7" i="41"/>
  <c r="I7" i="41"/>
  <c r="G8" i="41"/>
  <c r="I8" i="41"/>
  <c r="G10" i="41"/>
  <c r="I10" i="41"/>
  <c r="G22" i="41"/>
  <c r="I22" i="41"/>
  <c r="G26" i="41"/>
  <c r="I26" i="41"/>
  <c r="G18" i="41"/>
  <c r="I18" i="41"/>
  <c r="G9" i="41"/>
  <c r="I9" i="41"/>
  <c r="G21" i="41"/>
  <c r="I21" i="41"/>
  <c r="G14" i="41"/>
  <c r="I14" i="41"/>
  <c r="G27" i="41"/>
  <c r="I27" i="41"/>
  <c r="G17" i="41"/>
  <c r="I17" i="41"/>
  <c r="G15" i="41"/>
  <c r="I15" i="41"/>
  <c r="G11" i="41"/>
  <c r="I11" i="41"/>
  <c r="G25" i="41"/>
  <c r="I25" i="41"/>
  <c r="AC25" i="30"/>
  <c r="AM25" i="30"/>
  <c r="N58" i="30"/>
  <c r="T32" i="30"/>
  <c r="R32" i="30"/>
  <c r="N57" i="30"/>
  <c r="L56" i="30"/>
  <c r="F48" i="54"/>
  <c r="T49" i="30"/>
  <c r="R49" i="30"/>
  <c r="N54" i="30"/>
  <c r="T47" i="30"/>
  <c r="R47" i="30"/>
  <c r="N55" i="30"/>
  <c r="K22" i="100"/>
  <c r="K22" i="101"/>
  <c r="K22" i="102"/>
  <c r="K22" i="103"/>
  <c r="K22" i="104"/>
  <c r="I28" i="41"/>
  <c r="H45" i="30"/>
  <c r="H51" i="30"/>
  <c r="N51" i="30"/>
  <c r="H35" i="30"/>
  <c r="N35" i="30"/>
  <c r="H49" i="30"/>
  <c r="N49" i="30"/>
  <c r="H39" i="30"/>
  <c r="N39" i="30"/>
  <c r="T39" i="30"/>
  <c r="R39" i="30"/>
  <c r="H41" i="30"/>
  <c r="N41" i="30"/>
  <c r="T41" i="30"/>
  <c r="R41" i="30"/>
  <c r="H36" i="30"/>
  <c r="N36" i="30"/>
  <c r="T36" i="30"/>
  <c r="R36" i="30"/>
  <c r="H37" i="30"/>
  <c r="N37" i="30"/>
  <c r="H48" i="30"/>
  <c r="N48" i="30"/>
  <c r="H47" i="30"/>
  <c r="N47" i="30"/>
  <c r="H44" i="30"/>
  <c r="N44" i="30"/>
  <c r="H38" i="30"/>
  <c r="N38" i="30"/>
  <c r="T38" i="30"/>
  <c r="R38" i="30"/>
  <c r="H46" i="30"/>
  <c r="H31" i="30"/>
  <c r="H42" i="30"/>
  <c r="N42" i="30"/>
  <c r="T42" i="30"/>
  <c r="R42" i="30"/>
  <c r="H32" i="30"/>
  <c r="N32" i="30"/>
  <c r="H43" i="30"/>
  <c r="N43" i="30"/>
  <c r="H40" i="30"/>
  <c r="N40" i="30"/>
  <c r="T40" i="30"/>
  <c r="R40" i="30"/>
  <c r="H33" i="30"/>
  <c r="N33" i="30"/>
  <c r="H50" i="30"/>
  <c r="N50" i="30"/>
  <c r="H34" i="30"/>
  <c r="N34" i="30"/>
  <c r="T34" i="30"/>
  <c r="R34" i="30"/>
  <c r="F50" i="54"/>
  <c r="L58" i="30"/>
  <c r="F47" i="54"/>
  <c r="L55" i="30"/>
  <c r="W17" i="102"/>
  <c r="W17" i="101"/>
  <c r="W17" i="100"/>
  <c r="W17" i="104"/>
  <c r="W17" i="103"/>
  <c r="AI17" i="103"/>
  <c r="N54" i="103"/>
  <c r="AI17" i="104"/>
  <c r="N54" i="104"/>
  <c r="AI17" i="101"/>
  <c r="N54" i="101"/>
  <c r="F54" i="133"/>
  <c r="AI17" i="100"/>
  <c r="N54" i="100"/>
  <c r="F46" i="133"/>
  <c r="AI17" i="102"/>
  <c r="N54" i="102"/>
  <c r="L54" i="30"/>
  <c r="F46" i="54"/>
  <c r="AC17" i="102"/>
  <c r="AC17" i="101"/>
  <c r="AC17" i="100"/>
  <c r="AC17" i="103"/>
  <c r="AC17" i="104"/>
  <c r="F49" i="54"/>
  <c r="L57" i="30"/>
  <c r="N62" i="86"/>
  <c r="N61" i="30"/>
  <c r="R45" i="30"/>
  <c r="T45" i="30"/>
  <c r="R50" i="30"/>
  <c r="T50" i="30"/>
  <c r="J45" i="30"/>
  <c r="J46" i="30"/>
  <c r="H52" i="30"/>
  <c r="N31" i="30"/>
  <c r="R48" i="30"/>
  <c r="T48" i="30"/>
  <c r="R51" i="30"/>
  <c r="T51" i="30"/>
  <c r="AM26" i="30"/>
  <c r="AM25" i="100"/>
  <c r="AM26" i="100"/>
  <c r="N55" i="101"/>
  <c r="F55" i="133"/>
  <c r="T49" i="101"/>
  <c r="R49" i="101"/>
  <c r="AM25" i="102"/>
  <c r="AM26" i="102"/>
  <c r="F24" i="133"/>
  <c r="L54" i="102"/>
  <c r="N56" i="101"/>
  <c r="F56" i="133"/>
  <c r="T47" i="101"/>
  <c r="R47" i="101"/>
  <c r="L54" i="100"/>
  <c r="N55" i="102"/>
  <c r="T49" i="102"/>
  <c r="R49" i="102"/>
  <c r="AM25" i="104"/>
  <c r="AM26" i="104"/>
  <c r="T47" i="103"/>
  <c r="R47" i="103"/>
  <c r="N56" i="103"/>
  <c r="T47" i="102"/>
  <c r="R47" i="102"/>
  <c r="N56" i="102"/>
  <c r="L54" i="101"/>
  <c r="T47" i="100"/>
  <c r="R47" i="100"/>
  <c r="N56" i="100"/>
  <c r="F48" i="133"/>
  <c r="F40" i="133"/>
  <c r="L54" i="104"/>
  <c r="AM25" i="101"/>
  <c r="AM26" i="101"/>
  <c r="AM25" i="103"/>
  <c r="AM26" i="103"/>
  <c r="N55" i="104"/>
  <c r="T49" i="104"/>
  <c r="R49" i="104"/>
  <c r="T47" i="104"/>
  <c r="R47" i="104"/>
  <c r="N56" i="104"/>
  <c r="T49" i="100"/>
  <c r="R49" i="100"/>
  <c r="N55" i="100"/>
  <c r="F47" i="133"/>
  <c r="AI13" i="128"/>
  <c r="F32" i="133"/>
  <c r="L54" i="103"/>
  <c r="T49" i="103"/>
  <c r="R49" i="103"/>
  <c r="N55" i="103"/>
  <c r="R62" i="86"/>
  <c r="F29" i="84"/>
  <c r="L62" i="86"/>
  <c r="L61" i="30"/>
  <c r="F53" i="54"/>
  <c r="N45" i="30"/>
  <c r="J52" i="30"/>
  <c r="N46" i="30"/>
  <c r="R46" i="30"/>
  <c r="M20" i="133"/>
  <c r="L55" i="100"/>
  <c r="R46" i="100"/>
  <c r="R48" i="104"/>
  <c r="F38" i="133"/>
  <c r="L55" i="104"/>
  <c r="R46" i="102"/>
  <c r="R46" i="103"/>
  <c r="F22" i="133"/>
  <c r="L55" i="102"/>
  <c r="R48" i="100"/>
  <c r="F30" i="133"/>
  <c r="L55" i="103"/>
  <c r="F23" i="133"/>
  <c r="L56" i="102"/>
  <c r="R48" i="101"/>
  <c r="T48" i="101"/>
  <c r="F39" i="133"/>
  <c r="L56" i="104"/>
  <c r="R46" i="104"/>
  <c r="R48" i="102"/>
  <c r="L56" i="101"/>
  <c r="L56" i="100"/>
  <c r="F31" i="133"/>
  <c r="L56" i="103"/>
  <c r="R46" i="101"/>
  <c r="R48" i="103"/>
  <c r="L55" i="101"/>
  <c r="N52" i="30"/>
  <c r="T46" i="30"/>
  <c r="T52" i="30"/>
  <c r="R52" i="30"/>
  <c r="M18" i="133"/>
  <c r="M19" i="133"/>
  <c r="T48" i="103"/>
  <c r="R52" i="100"/>
  <c r="P48" i="100"/>
  <c r="T46" i="100"/>
  <c r="T48" i="104"/>
  <c r="T46" i="102"/>
  <c r="R52" i="102"/>
  <c r="P46" i="102"/>
  <c r="T46" i="101"/>
  <c r="T52" i="101"/>
  <c r="R52" i="101"/>
  <c r="T46" i="103"/>
  <c r="R52" i="103"/>
  <c r="P48" i="103"/>
  <c r="T48" i="102"/>
  <c r="T46" i="104"/>
  <c r="R52" i="104"/>
  <c r="P46" i="104"/>
  <c r="T48" i="100"/>
  <c r="P51" i="30"/>
  <c r="P50" i="30"/>
  <c r="P40" i="30"/>
  <c r="P39" i="30"/>
  <c r="P42" i="30"/>
  <c r="P41" i="30"/>
  <c r="P32" i="30"/>
  <c r="P36" i="30"/>
  <c r="P34" i="30"/>
  <c r="P45" i="30"/>
  <c r="P38" i="30"/>
  <c r="P48" i="30"/>
  <c r="P46" i="30"/>
  <c r="P49" i="30"/>
  <c r="P47" i="30"/>
  <c r="T52" i="104"/>
  <c r="T52" i="103"/>
  <c r="P46" i="103"/>
  <c r="P48" i="102"/>
  <c r="P48" i="104"/>
  <c r="P44" i="104"/>
  <c r="P35" i="104"/>
  <c r="P36" i="104"/>
  <c r="P38" i="104"/>
  <c r="P41" i="104"/>
  <c r="P50" i="104"/>
  <c r="P32" i="104"/>
  <c r="P34" i="104"/>
  <c r="P33" i="104"/>
  <c r="P45" i="104"/>
  <c r="P51" i="104"/>
  <c r="P40" i="104"/>
  <c r="P42" i="104"/>
  <c r="P39" i="104"/>
  <c r="P37" i="104"/>
  <c r="P43" i="104"/>
  <c r="P49" i="104"/>
  <c r="P47" i="104"/>
  <c r="P44" i="103"/>
  <c r="P36" i="103"/>
  <c r="P38" i="103"/>
  <c r="P50" i="103"/>
  <c r="P45" i="103"/>
  <c r="P39" i="103"/>
  <c r="P32" i="103"/>
  <c r="P35" i="103"/>
  <c r="P51" i="103"/>
  <c r="P41" i="103"/>
  <c r="P42" i="103"/>
  <c r="P34" i="103"/>
  <c r="P37" i="103"/>
  <c r="P43" i="103"/>
  <c r="P33" i="103"/>
  <c r="P40" i="103"/>
  <c r="P47" i="103"/>
  <c r="P49" i="103"/>
  <c r="P48" i="101"/>
  <c r="P33" i="101"/>
  <c r="P40" i="101"/>
  <c r="P51" i="101"/>
  <c r="P35" i="101"/>
  <c r="P39" i="101"/>
  <c r="P38" i="101"/>
  <c r="P41" i="101"/>
  <c r="P34" i="101"/>
  <c r="P45" i="101"/>
  <c r="P42" i="101"/>
  <c r="P32" i="101"/>
  <c r="P37" i="101"/>
  <c r="P50" i="101"/>
  <c r="P43" i="101"/>
  <c r="P36" i="101"/>
  <c r="P44" i="101"/>
  <c r="P49" i="101"/>
  <c r="P47" i="101"/>
  <c r="P43" i="102"/>
  <c r="P39" i="102"/>
  <c r="P41" i="102"/>
  <c r="P42" i="102"/>
  <c r="P34" i="102"/>
  <c r="P38" i="102"/>
  <c r="P36" i="102"/>
  <c r="P33" i="102"/>
  <c r="P45" i="102"/>
  <c r="P32" i="102"/>
  <c r="P37" i="102"/>
  <c r="P35" i="102"/>
  <c r="P40" i="102"/>
  <c r="P51" i="102"/>
  <c r="P50" i="102"/>
  <c r="P44" i="102"/>
  <c r="P47" i="102"/>
  <c r="P49" i="102"/>
  <c r="T52" i="100"/>
  <c r="P46" i="101"/>
  <c r="T52" i="102"/>
  <c r="P46" i="100"/>
  <c r="P41" i="100"/>
  <c r="P45" i="100"/>
  <c r="P35" i="100"/>
  <c r="P33" i="100"/>
  <c r="P39" i="100"/>
  <c r="P51" i="100"/>
  <c r="P43" i="100"/>
  <c r="P40" i="100"/>
  <c r="P36" i="100"/>
  <c r="P50" i="100"/>
  <c r="P38" i="100"/>
  <c r="P42" i="100"/>
  <c r="P32" i="100"/>
  <c r="P37" i="100"/>
  <c r="P34" i="100"/>
  <c r="P44" i="100"/>
  <c r="P47" i="100"/>
  <c r="P49" i="100"/>
  <c r="P52" i="30"/>
  <c r="P52" i="102"/>
  <c r="P52" i="100"/>
  <c r="P52" i="103"/>
  <c r="P52" i="101"/>
  <c r="P52" i="104"/>
  <c r="P39" i="128"/>
  <c r="T50" i="1"/>
  <c r="R50" i="1"/>
  <c r="N62" i="1"/>
  <c r="N58" i="1"/>
  <c r="N57" i="1"/>
  <c r="N59" i="1"/>
  <c r="N55" i="1"/>
  <c r="N60" i="1"/>
  <c r="N56" i="1"/>
  <c r="T32" i="1"/>
  <c r="R32" i="1"/>
  <c r="T49" i="1"/>
  <c r="R49" i="1"/>
  <c r="T47" i="1"/>
  <c r="R47" i="1"/>
  <c r="T51" i="1"/>
  <c r="R51" i="1"/>
  <c r="AM24" i="1"/>
  <c r="AC24" i="1"/>
  <c r="L60" i="1"/>
  <c r="F35" i="54"/>
  <c r="N61" i="1"/>
  <c r="L55" i="1"/>
  <c r="F33" i="54"/>
  <c r="L58" i="1"/>
  <c r="L56" i="1"/>
  <c r="F31" i="54"/>
  <c r="L15" i="54"/>
  <c r="F34" i="54"/>
  <c r="L59" i="1"/>
  <c r="L57" i="1"/>
  <c r="F32" i="54"/>
  <c r="L16" i="54"/>
  <c r="L62" i="1"/>
  <c r="F37" i="54"/>
  <c r="F30" i="54"/>
  <c r="L14" i="54"/>
  <c r="H46" i="1"/>
  <c r="H42" i="1"/>
  <c r="N42" i="1"/>
  <c r="T42" i="1"/>
  <c r="R42" i="1"/>
  <c r="H38" i="1"/>
  <c r="N38" i="1"/>
  <c r="T38" i="1"/>
  <c r="R38" i="1"/>
  <c r="H36" i="1"/>
  <c r="N36" i="1"/>
  <c r="T36" i="1"/>
  <c r="R36" i="1"/>
  <c r="H37" i="1"/>
  <c r="N37" i="1"/>
  <c r="T37" i="1"/>
  <c r="R37" i="1"/>
  <c r="H32" i="1"/>
  <c r="N32" i="1"/>
  <c r="H31" i="1"/>
  <c r="H41" i="1"/>
  <c r="N41" i="1"/>
  <c r="T41" i="1"/>
  <c r="R41" i="1"/>
  <c r="H47" i="1"/>
  <c r="N47" i="1"/>
  <c r="H40" i="1"/>
  <c r="N40" i="1"/>
  <c r="T40" i="1"/>
  <c r="R40" i="1"/>
  <c r="H48" i="1"/>
  <c r="N48" i="1"/>
  <c r="H35" i="1"/>
  <c r="N35" i="1"/>
  <c r="T35" i="1"/>
  <c r="R35" i="1"/>
  <c r="H52" i="1"/>
  <c r="N52" i="1"/>
  <c r="H34" i="1"/>
  <c r="N34" i="1"/>
  <c r="T34" i="1"/>
  <c r="R34" i="1"/>
  <c r="H51" i="1"/>
  <c r="N51" i="1"/>
  <c r="H43" i="1"/>
  <c r="H33" i="1"/>
  <c r="N33" i="1"/>
  <c r="H49" i="1"/>
  <c r="N49" i="1"/>
  <c r="H45" i="1"/>
  <c r="H39" i="1"/>
  <c r="N39" i="1"/>
  <c r="T39" i="1"/>
  <c r="R39" i="1"/>
  <c r="H44" i="1"/>
  <c r="N44" i="1"/>
  <c r="T44" i="1"/>
  <c r="R44" i="1"/>
  <c r="L61" i="1"/>
  <c r="F36" i="54"/>
  <c r="L20" i="54"/>
  <c r="R43" i="1"/>
  <c r="N43" i="1"/>
  <c r="T43" i="1"/>
  <c r="J45" i="1"/>
  <c r="H53" i="1"/>
  <c r="N31" i="1"/>
  <c r="T33" i="1"/>
  <c r="AM25" i="1"/>
  <c r="J46" i="1"/>
  <c r="J53" i="1"/>
  <c r="L45" i="1"/>
  <c r="N45" i="1"/>
  <c r="R33" i="1"/>
  <c r="R45" i="1"/>
  <c r="L46" i="1"/>
  <c r="R46" i="1"/>
  <c r="R48" i="1"/>
  <c r="R52" i="1"/>
  <c r="T46" i="1"/>
  <c r="T52" i="1"/>
  <c r="T45" i="1"/>
  <c r="T48" i="1"/>
  <c r="L53" i="1"/>
  <c r="N46" i="1"/>
  <c r="N53" i="1"/>
  <c r="R53" i="1"/>
  <c r="P48" i="1"/>
  <c r="P52" i="1"/>
  <c r="P31" i="1"/>
  <c r="P47" i="1"/>
  <c r="P49" i="1"/>
  <c r="P32" i="1"/>
  <c r="P50" i="1"/>
  <c r="P51" i="1"/>
  <c r="P39" i="1"/>
  <c r="P40" i="1"/>
  <c r="P44" i="1"/>
  <c r="P42" i="1"/>
  <c r="P38" i="1"/>
  <c r="P36" i="1"/>
  <c r="P35" i="1"/>
  <c r="P34" i="1"/>
  <c r="P37" i="1"/>
  <c r="P41" i="1"/>
  <c r="P43" i="1"/>
  <c r="P33" i="1"/>
  <c r="T53" i="1"/>
  <c r="P46" i="1"/>
  <c r="P45" i="1"/>
  <c r="P53" i="1"/>
  <c r="D39" i="41"/>
  <c r="F39" i="41"/>
  <c r="Q48" i="41"/>
  <c r="D88" i="41"/>
  <c r="D35" i="41"/>
  <c r="D57" i="41"/>
  <c r="D58" i="41"/>
  <c r="D59" i="41"/>
  <c r="F35" i="41"/>
  <c r="F57" i="41"/>
  <c r="G41" i="41"/>
  <c r="I41" i="41"/>
  <c r="G49" i="41"/>
  <c r="I49" i="41"/>
  <c r="G34" i="41"/>
  <c r="G52" i="41"/>
  <c r="I52" i="41"/>
  <c r="G39" i="41"/>
  <c r="I39" i="41"/>
  <c r="G40" i="41"/>
  <c r="I40" i="41"/>
  <c r="G56" i="41"/>
  <c r="I56" i="41"/>
  <c r="G42" i="41"/>
  <c r="I42" i="41"/>
  <c r="G50" i="41"/>
  <c r="I50" i="41"/>
  <c r="G36" i="41"/>
  <c r="G55" i="41"/>
  <c r="I55" i="41"/>
  <c r="G48" i="41"/>
  <c r="I48" i="41"/>
  <c r="G35" i="41"/>
  <c r="I35" i="41"/>
  <c r="G43" i="41"/>
  <c r="I43" i="41"/>
  <c r="G51" i="41"/>
  <c r="I51" i="41"/>
  <c r="G44" i="41"/>
  <c r="I44" i="41"/>
  <c r="G37" i="41"/>
  <c r="I37" i="41"/>
  <c r="G45" i="41"/>
  <c r="G53" i="41"/>
  <c r="I53" i="41"/>
  <c r="G38" i="41"/>
  <c r="I38" i="41"/>
  <c r="G46" i="41"/>
  <c r="I46" i="41"/>
  <c r="G54" i="41"/>
  <c r="I54" i="41"/>
  <c r="G47" i="41"/>
  <c r="I47" i="41"/>
  <c r="I82" i="41"/>
  <c r="I77" i="41"/>
  <c r="I75" i="41"/>
  <c r="I84" i="41"/>
  <c r="I73" i="41"/>
  <c r="I70" i="41"/>
  <c r="I65" i="41"/>
  <c r="I79" i="41"/>
  <c r="I78" i="41"/>
  <c r="I81" i="41"/>
  <c r="I76" i="41"/>
  <c r="I69" i="41"/>
  <c r="I67" i="41"/>
  <c r="I74" i="41"/>
  <c r="I83" i="41"/>
  <c r="I64" i="41"/>
  <c r="I85" i="41"/>
  <c r="I66" i="41"/>
  <c r="I80" i="41"/>
  <c r="I71" i="41"/>
  <c r="I68" i="41"/>
  <c r="I36" i="41"/>
  <c r="I45" i="41"/>
  <c r="I72" i="41"/>
  <c r="I63" i="41"/>
  <c r="I34" i="41"/>
  <c r="I57" i="41"/>
  <c r="I86" i="41"/>
  <c r="I39" i="143"/>
  <c r="I41" i="143"/>
  <c r="I42" i="143"/>
  <c r="I43" i="143"/>
  <c r="I44" i="143"/>
  <c r="G46" i="143"/>
  <c r="I46" i="143"/>
  <c r="G49" i="143"/>
  <c r="I49" i="143"/>
  <c r="G50" i="143"/>
  <c r="I50" i="143"/>
  <c r="G40" i="143"/>
  <c r="I40" i="143"/>
  <c r="G51" i="143"/>
  <c r="I51" i="143"/>
  <c r="G37" i="143"/>
  <c r="I37" i="143"/>
  <c r="I47" i="143"/>
  <c r="G47" i="143"/>
  <c r="G48" i="143"/>
  <c r="I48" i="143"/>
  <c r="G54" i="143"/>
  <c r="I54" i="143"/>
  <c r="G53" i="143"/>
  <c r="I53" i="143"/>
  <c r="G52" i="143"/>
  <c r="I52" i="143"/>
  <c r="G35" i="143"/>
  <c r="I35" i="143"/>
  <c r="I55" i="143"/>
  <c r="G38" i="143"/>
  <c r="I38" i="143"/>
  <c r="G36" i="143"/>
  <c r="I36" i="143"/>
  <c r="G34" i="143"/>
  <c r="I34" i="143"/>
  <c r="I45" i="143"/>
  <c r="I56" i="143"/>
  <c r="M14" i="84" l="1"/>
  <c r="N12" i="84"/>
  <c r="N11" i="84"/>
  <c r="N15" i="84"/>
  <c r="AC5" i="30"/>
  <c r="N13" i="84"/>
  <c r="M13" i="84"/>
  <c r="Y5" i="156"/>
  <c r="M18" i="84"/>
  <c r="N16" i="84"/>
  <c r="Y5" i="157"/>
  <c r="N18" i="84"/>
  <c r="AC5" i="1"/>
  <c r="AC5" i="160"/>
  <c r="AC5" i="52"/>
  <c r="AC5" i="51"/>
  <c r="AC5" i="102"/>
  <c r="AC5" i="103" s="1"/>
  <c r="N5" i="119"/>
  <c r="AC5" i="145"/>
  <c r="AC5" i="150"/>
  <c r="Y5" i="154"/>
  <c r="AC5" i="147"/>
  <c r="Y5" i="153"/>
  <c r="Y5" i="128"/>
  <c r="Y5" i="159"/>
  <c r="AC5" i="132"/>
  <c r="Y5" i="158"/>
  <c r="AC5" i="146"/>
  <c r="AC5" i="87" l="1"/>
  <c r="AC5" i="88" s="1"/>
  <c r="AC5" i="85" s="1"/>
  <c r="AC5" i="100"/>
  <c r="O5" i="46"/>
  <c r="AC5" i="86"/>
  <c r="AC5" i="83"/>
  <c r="N5" i="120"/>
  <c r="AC5" i="104"/>
  <c r="AC5" i="101"/>
  <c r="O5" i="114" l="1"/>
  <c r="AC5" i="97"/>
  <c r="AC5" i="106"/>
  <c r="AC5" i="95"/>
  <c r="AC5" i="105"/>
  <c r="AC5" i="89"/>
  <c r="AC5" i="121"/>
  <c r="AC5" i="93"/>
  <c r="AC5" i="98"/>
  <c r="AC5" i="90"/>
  <c r="AC5" i="94"/>
  <c r="AC5" i="91"/>
  <c r="O5" i="116"/>
  <c r="AC5" i="112" s="1"/>
  <c r="AC5" i="124" s="1"/>
  <c r="AC5" i="123" s="1"/>
  <c r="O5" i="115" s="1"/>
  <c r="N5" i="117" s="1"/>
  <c r="AC5" i="125" s="1"/>
  <c r="O5" i="122" s="1"/>
  <c r="AC5" i="96"/>
  <c r="AC5" i="92"/>
</calcChain>
</file>

<file path=xl/sharedStrings.xml><?xml version="1.0" encoding="utf-8"?>
<sst xmlns="http://schemas.openxmlformats.org/spreadsheetml/2006/main" count="14815" uniqueCount="1065">
  <si>
    <t>Prepared for:</t>
  </si>
  <si>
    <t>OMVP</t>
  </si>
  <si>
    <t>Prepared by:</t>
  </si>
  <si>
    <t>Niala Yurek</t>
  </si>
  <si>
    <t>Project Title:</t>
  </si>
  <si>
    <t>OMV Neptun BAT Study &amp; ESIA</t>
  </si>
  <si>
    <t>Document:</t>
  </si>
  <si>
    <t>Date:</t>
  </si>
  <si>
    <t>Rev</t>
  </si>
  <si>
    <t>Date</t>
  </si>
  <si>
    <t>Description</t>
  </si>
  <si>
    <t>Issued By</t>
  </si>
  <si>
    <t>Checked By</t>
  </si>
  <si>
    <t>Approved By</t>
  </si>
  <si>
    <t>00</t>
  </si>
  <si>
    <t>IFC</t>
  </si>
  <si>
    <t>Safina Jivraj</t>
  </si>
  <si>
    <t>01</t>
  </si>
  <si>
    <t>IFR</t>
  </si>
  <si>
    <t>02</t>
  </si>
  <si>
    <t>IFA</t>
  </si>
  <si>
    <t>CALCULATION SHEET</t>
  </si>
  <si>
    <t>Customer</t>
  </si>
  <si>
    <t>Proj No</t>
  </si>
  <si>
    <t>Project Title</t>
  </si>
  <si>
    <t>Calc No</t>
  </si>
  <si>
    <t>Calculation Title</t>
  </si>
  <si>
    <t>Phase/CTR</t>
  </si>
  <si>
    <t>Page</t>
  </si>
  <si>
    <t>of</t>
  </si>
  <si>
    <t>CALCULATION TABLES REFERENCES</t>
  </si>
  <si>
    <t>1.</t>
  </si>
  <si>
    <t>ND-D-IO-50-PR-CHMB-0001-0001-REV P01 - Heat and Material Balance (Max Flow 790 End).</t>
  </si>
  <si>
    <t>2.</t>
  </si>
  <si>
    <t>Neptun Deep ESIA Emissions Assumptions List Rev P01 23022023.</t>
  </si>
  <si>
    <t>3.</t>
  </si>
  <si>
    <t xml:space="preserve">EPA Air Emissions Factors Quantification AP-42: Compilation of Air Emissions Factors </t>
  </si>
  <si>
    <t>https://www.epa.gov/air-emissions-factors-and-quantification/ap-42-compilation-air-emissions-factors</t>
  </si>
  <si>
    <t>4.</t>
  </si>
  <si>
    <t>UK National Atmospheric Emission Inventory - Average Road Transport emission factors</t>
  </si>
  <si>
    <t>https://naei.beis.gov.uk/resources/RoadtransportEFs_NAEI17_v1.1.xlsx</t>
  </si>
  <si>
    <t>5.</t>
  </si>
  <si>
    <t>CO2 EF from Conversion factors 2019: full set (for advance users) for Rigid HGV (all diesel)  100% laden</t>
  </si>
  <si>
    <t>https://www.gov.uk/government/publications/greenhouse-gas-reporting-conversion-factors-2019</t>
  </si>
  <si>
    <t>6.</t>
  </si>
  <si>
    <t>EF for MGO from EMEP/EEA air pollutant emission inventory guidebook 2016.</t>
  </si>
  <si>
    <t>7.</t>
  </si>
  <si>
    <t>OMV Petrom Delivery Specificiation R-36, Diesel EN 590/10 ppm</t>
  </si>
  <si>
    <t xml:space="preserve">8. </t>
  </si>
  <si>
    <t>OGUK Atmospheric Emission Calculations</t>
  </si>
  <si>
    <t>https://oilandgasuk.co.uk/atmospheric-emissions/</t>
  </si>
  <si>
    <t>9.</t>
  </si>
  <si>
    <t>Fugitive Emissions - API 2009, Page 340, Exhibit 6.1</t>
  </si>
  <si>
    <t>https://www.api.org/~/media/files/ehs/climate-change/2009_ghg_compendium.ashx</t>
  </si>
  <si>
    <t>10.</t>
  </si>
  <si>
    <t>2006 IPCC Guidelines for National Greenhouse Gas Inventories</t>
  </si>
  <si>
    <t>11.</t>
  </si>
  <si>
    <t>ND-D-IO-00-EV-REIS-0015-0001-REV P02 - Chapter 5 (ESIA).</t>
  </si>
  <si>
    <t>12.</t>
  </si>
  <si>
    <t>https://www.engineeringtoolbox.com/fuels-higher-calorific-values-d_169.html</t>
  </si>
  <si>
    <t>13.</t>
  </si>
  <si>
    <t>Density of MGO used on ships.</t>
  </si>
  <si>
    <t>https://www.marineinsight.com/guidelines/a-guide-to-marine-gas-oil-and-lsfo-used-on-ships</t>
  </si>
  <si>
    <t>14.</t>
  </si>
  <si>
    <t>EMEP/EEA Air Pollutant Emission Inventory Guidebook, 1.A.3.d Navigation-Shipping 2019 - update 2021. (Efs for MGO users).</t>
  </si>
  <si>
    <t>15.</t>
  </si>
  <si>
    <t>EMEP/EEA Air Pollutant Emission Inventory Guidebook, 1.A.3.a Aviation 2019. (Efs for helicopters).</t>
  </si>
  <si>
    <t>16.</t>
  </si>
  <si>
    <t>Aviation Fuels Technical Review, Chevron.</t>
  </si>
  <si>
    <t>17.</t>
  </si>
  <si>
    <t>https://www.verifavia.com/greenhouse-gas-verification/fq-how-are-aircraft-co2-emissions-calculated-11.php</t>
  </si>
  <si>
    <t>18.</t>
  </si>
  <si>
    <t>https://www.verifavia-shipping.com/shipping-carbon-emissions-verification/faq-which-emission-factors-shall-be-used-110.php</t>
  </si>
  <si>
    <t>19.</t>
  </si>
  <si>
    <t>EEMS, Atmospheric Emissions Calculations, Oil and Gas UK, Department of Energy and Climate Change</t>
  </si>
  <si>
    <t>https://assets.publishing.service.gov.uk/government/uploads/system/uploads/attachment_data/file/136461/atmos-calcs.pdf</t>
  </si>
  <si>
    <t>20.</t>
  </si>
  <si>
    <t>/Shared/03_Projects/000939_OMV Neptun Deep FEED Update/Process Engineering/Simulations/Simulations/</t>
  </si>
  <si>
    <t>Rev 01/790MMSCFD_2bbl_MMSCF_Rev01.hsc HYSIS LHV and HHV output for Streams 9, 11 and 13.</t>
  </si>
  <si>
    <t>21.</t>
  </si>
  <si>
    <t>Input to Env Memorandum Appendix H Estimated Wastes - Rev P01 19052023</t>
  </si>
  <si>
    <t>22.</t>
  </si>
  <si>
    <t>23.</t>
  </si>
  <si>
    <t>24.</t>
  </si>
  <si>
    <t>25.</t>
  </si>
  <si>
    <t>26.</t>
  </si>
  <si>
    <t>27.</t>
  </si>
  <si>
    <t>CALCULATION TABLES HOLDS</t>
  </si>
  <si>
    <t>HP flare blowdown rate pending issue of Blowdown Report [Ref 11].</t>
  </si>
  <si>
    <t>LP flare blowdown rate pending issue of Blowdown Report [Ref 11].</t>
  </si>
  <si>
    <t>LT flare blowdown rate pending issue of Blowdown Report [Ref 11].</t>
  </si>
  <si>
    <t>Atmospheric flare blowdown rate pending issue of Blowdown Report [Ref 11].</t>
  </si>
  <si>
    <t>Deleted.</t>
  </si>
  <si>
    <t>Estimate to be made at EPC phase when sufficient details are available.</t>
  </si>
  <si>
    <t>Flare cases and purge/pilot rates to be reviewed following outcome of Flare VIP Rationalisation Study.</t>
  </si>
  <si>
    <t>PRJ-001030</t>
  </si>
  <si>
    <t>Emissions Inventory</t>
  </si>
  <si>
    <t>Construction</t>
  </si>
  <si>
    <t>Elec File Location</t>
  </si>
  <si>
    <t>Project File Location</t>
  </si>
  <si>
    <t>Pollutants</t>
  </si>
  <si>
    <t>AMOUNT     (tonnes/year)</t>
  </si>
  <si>
    <t>Offshore Construction</t>
  </si>
  <si>
    <t>Atmospheric Emissions</t>
  </si>
  <si>
    <t>Continuous</t>
  </si>
  <si>
    <t>Intermittent</t>
  </si>
  <si>
    <t>DESCRIPTION</t>
  </si>
  <si>
    <t>WASTE</t>
  </si>
  <si>
    <t>TYPE</t>
  </si>
  <si>
    <t>HAZARDOUS WASTE</t>
  </si>
  <si>
    <t>AMOUNT     (tpa) unless otherwise stated)</t>
  </si>
  <si>
    <t>PRODUCTION</t>
  </si>
  <si>
    <t>RECEPTOR</t>
  </si>
  <si>
    <t>COMMENTS</t>
  </si>
  <si>
    <t>NOX</t>
  </si>
  <si>
    <t>CO</t>
  </si>
  <si>
    <t>PM</t>
  </si>
  <si>
    <t>Temporary Power Generators - SWP Hook Up</t>
  </si>
  <si>
    <t>Diesel</t>
  </si>
  <si>
    <t>No</t>
  </si>
  <si>
    <t>Air</t>
  </si>
  <si>
    <t>24hrs per day 1MW power gen for duration of Hook Up ( 120 days).</t>
  </si>
  <si>
    <t>CH4</t>
  </si>
  <si>
    <t>VOC</t>
  </si>
  <si>
    <t>SO2</t>
  </si>
  <si>
    <t>N2O</t>
  </si>
  <si>
    <t>CO2</t>
  </si>
  <si>
    <t>Main Power Generation for Commissioning &amp; Start Up</t>
  </si>
  <si>
    <t>Fuel Gas</t>
  </si>
  <si>
    <t>2 off GTGs online for Comissioning 24hrs per day for 7 days.
4.605 MW, 2.73 MMSCFd (2200 kg/hr)</t>
  </si>
  <si>
    <t>Black Start Generator for Commissioning and Start-up</t>
  </si>
  <si>
    <t>800 kW @ 50 kg/hr  for 24 hours a day for 7 days.</t>
  </si>
  <si>
    <t>-</t>
  </si>
  <si>
    <t>Essential Services for Commissioning and Start-up</t>
  </si>
  <si>
    <t>1.4 MW @ 319 kg/hr  for 24 hours a day for 7 days.</t>
  </si>
  <si>
    <t>Offshore Pre-Com Spread on Construction Vessels - Pelican - Filling</t>
  </si>
  <si>
    <t>Duration for Pelican pre-com over 7 days temp spread based on offshore construction vessel diesel driven units. L/hr is based on diesel consumption. Total activity basis is 7 days.
Filling - 24hrs, Filling Pump - x1 @ 80lt/hr, Service Air Compressor x 1  @ 80lt/hr and Power Generator x 1  @ 45lt/hr.</t>
  </si>
  <si>
    <t>Offshore Pre-Com Spread on Construction Vessels - Pelican - Hydrotest</t>
  </si>
  <si>
    <t>Duration for Pelican pre-com over 7 days temp spread based on offshore construction vessel diesel driven units. L/hr is based on diesel consumption. Total activity basis is 7 days.
Hydrotest  - 4 days, Service Air Compressor x 1  @ 45lt/hr, Power Generator x 1  @ 25lt/hr = 70 l/h.</t>
  </si>
  <si>
    <t>Offshore Pre-Com Spread on Construction Vessels - Pelican - Dewatering and Packing</t>
  </si>
  <si>
    <t>Total activity basis is 7 days.
De-Watering and Packing - 2 days, Primary Compressor x 12  @ 140lt/hr, Generator for NPU x 2  @ 50lt/hr, Booster x 3  @ 155lt/hr, Displacement Pump x 2  @ 100lt/hr, Power Generator x 1  @ 25lt/hr.</t>
  </si>
  <si>
    <t>Offshore Pre-Com Spread on Construction Vessels - Domino - Filling</t>
  </si>
  <si>
    <t xml:space="preserve">Duration for GPP pre-com Offshore over 15 days temp spread based on offshore construction vessel diesel driven units. Total activity basis is 15 days. 
Filling - 4 days, Lift Pump - x1  @ 160lt/hr, Flooding Pump - x1 @ 80lt/hr, Power Generator x 1  @ 45lt/hr, Service Air Compressor x 1  @ 80lt/hr. </t>
  </si>
  <si>
    <t>Offshore Pre-Com Spread on Construction Vessels - Domino - Hydrotest</t>
  </si>
  <si>
    <t>Duration for GPP pre-com Offshore over 15 days temp spread based on offshore construction vessel diesel driven units. Total activity basis is 15 days
Hydrotest  - 5 days, Lift Pump - x1  @ 77lt/hr, HP Pump - x2 @ 70lt/hr, Power Generator x 1  @ 25lt/hr, Service Air Compressor x 1  @ 45lt/hr.</t>
  </si>
  <si>
    <t>Offshore Pre-Com Spread on Construction Vessels - Domino - Dewatering and Packing</t>
  </si>
  <si>
    <t>Duration for GPP pre-com Offshore over 15 days temp spread based on offshore construction vessel diesel driven units. Total activity basis is 15 days.
De-Watering and Packing - 6 days, Primary Compressor x 12  @ 140lt/hr, Generator for NPU x 2  @ 50lt/hr, Booster x 3  @ 155lt/hr, Displacement Pump x 2  @ 100lt/hr, Power Generator x 1  @ 13lt/hr.</t>
  </si>
  <si>
    <t>Offshore Pre-Com Spread on Construction Vessels - GPP - Filling</t>
  </si>
  <si>
    <t>Duration for Domino pre-com over 15 days temp spread based on offshore construction vessel diesel driven units. Total activity basis is 7.5 days.
Filling - 6 days, Lift Pump - x3  @ 160lt/hr, Flooding Pump - x2 @ 80lt/hr, Power Generator x 1  @ 45lt/hr, Service Air Compressor x 1  @ 80lt/hr.</t>
  </si>
  <si>
    <t>Offshore Pre-Com Spread on Construction Vessels - GPP - Leak Test</t>
  </si>
  <si>
    <t>Duration for Domino pre-com over 15 days temp spread based on offshore construction vessel diesel driven units. Assumption based on engagement with pre-com contractor lt/hr is based on diesel consumption. Total activity basis is 7.5 days.
Leak Test  - 1.5 days, Power Generator x 1  @ 25lt/hr, Service Air Compressor x 1  @ 45lt/hr = 70 l/h.</t>
  </si>
  <si>
    <t>Emissions from pig launcher loading / unloading</t>
  </si>
  <si>
    <t>N/a</t>
  </si>
  <si>
    <t>Approach will use pressurised MEG to introduce pigs into lines from launchers and return production fluids to system from receivers. Waste product will be only contaminated MEG requiring disposal.</t>
  </si>
  <si>
    <t>Transformers / Substations</t>
  </si>
  <si>
    <t>SF6</t>
  </si>
  <si>
    <t>Gas</t>
  </si>
  <si>
    <t xml:space="preserve">During maintenance </t>
  </si>
  <si>
    <t>RKF2.0 intends to use air insulated switchgear, therefore shall not contribute as a GHG emitter</t>
  </si>
  <si>
    <t>Offshore LP Flare Pilot</t>
  </si>
  <si>
    <t>LP Flare only used during this phase when transitioning from Commissioning to Operations. The LP Flare will be lit when the first of the SPS's commences forward gas (expected to be Pelican). Expected to be a combined LP and HP Flare, so assumption that pilot gas is included in the HP Flare allowance = 0.09 te/day.</t>
  </si>
  <si>
    <t>bpd</t>
  </si>
  <si>
    <t>t CH4 / 1000 m3</t>
  </si>
  <si>
    <t>tpa CH4</t>
  </si>
  <si>
    <t>mmscfd</t>
  </si>
  <si>
    <t>t CH4 / mmscf</t>
  </si>
  <si>
    <t>Offshore LP/HP Flare Pilot</t>
  </si>
  <si>
    <t>Assumes a combined LP &amp; HP Flare tip with 3 pilots. Pilots to be lit during GPP N2/ backgassing process. Assumes 2 day process, noting that the pilots cannot be lit until natural gas is present in the vent gas as N2 will snuff the pilots. bottled propane gas to be provided = 0.09 te/day.</t>
  </si>
  <si>
    <t>HP Flare - Initial Cold Start (Pelican well ramp-up)</t>
  </si>
  <si>
    <t>Based on Pelican system being brought online first. Achieved after 2 days, but 5 days allowed for. Cumulative gas to HP Flare estimated at 15000Te . 
Faster re-starts expected once well performances have been monitored and understood (HP Flare - Re-Start)
Bottled Propane required for HP Flare Pilot during inital Pelican system start-up.</t>
  </si>
  <si>
    <t>Flaring  - Start Up Gas - Domino Flowline Purging (Flaring)</t>
  </si>
  <si>
    <t>Domino flowline initially filled with N2; System to be assumed to be left at 95 bara. Slow Domino well bean-up while Pelican is producing at stable conditions (250MMscfd). Pelican production being flared while N2 system purge (24h – slow well ramp up).
Assuming mixing zone of 50% of total Domino flowline volume – worst case 100% CH4 in mixing zone to be flared.</t>
  </si>
  <si>
    <t>Onshore Pre-Com Spread for GPP - Filling</t>
  </si>
  <si>
    <t>Duration for GPP pre-com Onshore over 15 days temp spread based on offshore construction vessel diesel driven units. Assumption based on engagement with pre-com contractor lt/hr is based on diesel consumption. Total activity basis is 15 days.
Assumed 12 hour day.
Filling - 6 days, Power Generator x 1  @ 25lt/hr, Service Air Compressor x 1  @ 45lt/hr.</t>
  </si>
  <si>
    <t>Grid Power</t>
  </si>
  <si>
    <t>CO2e</t>
  </si>
  <si>
    <t>6.4 MW from Ourhoud. Algerian power estimated to be taken 99.7% from fossil fuel. Using IEA Efs (for Production and T&amp;D).</t>
  </si>
  <si>
    <t>Onshore Pre-Com Spread for GPP - Hydrotest</t>
  </si>
  <si>
    <t>Duration for GPP pre-com Onshore over 15 days temp spread based on offshore construction vessel diesel driven units. Total activity basis is 15 days. Assumed 12 hour day.
Hydrotest  - 5 days, Transfer Pump - x1  @ 80lt/hr, HP Pump - x4 @ 120lt/hr, Power Generator x 1  @ 25lt/hr, Service Air Compressor x 1  @ 45lt/hr.</t>
  </si>
  <si>
    <t>Onshore Pre-Com Spread for GPP - Dewatering and Packing</t>
  </si>
  <si>
    <t>GPP pre-com Onshore over 15 days temp spread based on offshore construction vessel diesel driven units. Total activity basis is 15 days. Assumed 12 hour day.
De-Watering and Packing - 32 days, Primary Compressor x 10  @ 140lt/hr, Generator for NPU x 5  @ 50lt/hr, Booster x 2  @ 155lt/hr, Displacement Pump x 1  @ 100lt/hr, Power Generator x 1  @ 13lt/hr.</t>
  </si>
  <si>
    <t>Misc Offshore Plant and Equipment</t>
  </si>
  <si>
    <t>Assume 24 hrs per day 2 number forklifts and 1 off crawler crane.
Assumes 3L per hour forklift.
Assumes 8l per hour crawler crane.
Assume 350 ltrs per day.</t>
  </si>
  <si>
    <t>Venting  - Start Up Gas - Pre Flare Ignition (Venting)</t>
  </si>
  <si>
    <t>Assumption is mixing zone of 10% of GPP required, or c16km N2 at 14bara assumed in GPP. Estimated mass of Methane vented prior to ignition of HP Flare: 65Te (assume 100% Ch4 in mixing zone). Pelican: 1.5km tie back + manifolds. Assume system left at 14bara N2 full system sweep *1.5 before HP Pilot is lit. Assume the *0.5 is CH4 cold vent prior to HP Flare Pilot ignition: 1Te = 66 te. Duration unknown [HOLD 1].</t>
  </si>
  <si>
    <t>Transportation Emissions (Helicopter)</t>
  </si>
  <si>
    <t>Aviation Fuel</t>
  </si>
  <si>
    <t>Distance to SWP and back is 160km(*2=320km). During construction, 4 helicopter trips per day. Used value of 5.5km/L divided by aviation fuel density of 762 kg/m3</t>
  </si>
  <si>
    <t>Transportation Emissions (Vessels using MGO)</t>
  </si>
  <si>
    <t>MGO</t>
  </si>
  <si>
    <t>Operational days during construction period and fuel consumption taken from [Ref 2].</t>
  </si>
  <si>
    <t>Drilling</t>
  </si>
  <si>
    <t>AMOUNT     (tonnes/yr unless otherwise stated)</t>
  </si>
  <si>
    <t>Diesel Generators</t>
  </si>
  <si>
    <t>31.5 MW @ 50 te/day for 24 hours a day for 800 days.
Assumed 24 hours of operation per day.
8 Diesel Generators (42 MW) assuming 75% utilisation in normal operations(drilling package, DP thrusters, utilities) for 24 hours of operation per day. Assuming diesel flow rate of 50 tonnes per day.</t>
  </si>
  <si>
    <t>Temp Diesel Powered Equipment</t>
  </si>
  <si>
    <t>RMR use 12m3/ day 80 days = 500L/hr
WL - 5 days 1m3 / day / well = 458.37L/hr
GP pump skids - 2 days/ well 1m3 / day = 458.37L/hr
allow for 10 wells + 1 redrill = 1416.74L/hr</t>
  </si>
  <si>
    <t>Crane</t>
  </si>
  <si>
    <t>Assumed cranes operate for an average of 12 hrs/day and for a total of 800 days with 2.5 L/hr fuel consumption rate.</t>
  </si>
  <si>
    <t>During 800-day drilling campaign, one helicopter trip per day and another every second day (800 + 400).
Distance from NGMS to Pelican and to Domino is approximately 218 km and 238 km, respectively. A fuel consumption rate of 5.5 km/L assumed for the calculation divided by aviation fuel density of 762 kg/m3 [Ref 16].</t>
  </si>
  <si>
    <t>Operational days during construction period and fuel consumption taken from [Ref 2].
2 Supply Vessels for campaign, 2-3 standby vessels on continuous rotation (rig/transit/port) [Ref 2].
Anchor Handler for Pelican - 1 month to lay and 1 month de-mob.</t>
  </si>
  <si>
    <t>Onshore</t>
  </si>
  <si>
    <t>Construction - Onshore</t>
  </si>
  <si>
    <t>AMOUNT     (te/year unless otherwise stated)</t>
  </si>
  <si>
    <t>Onshore Construction Equipment</t>
  </si>
  <si>
    <t>For duration of construction period.
Operational hours and equipment taken from [Ref 2].</t>
  </si>
  <si>
    <t xml:space="preserve"> Update in complete ESIA report.</t>
  </si>
  <si>
    <t>Normal Operations</t>
  </si>
  <si>
    <t>Standby Power Generation</t>
  </si>
  <si>
    <t>Assumed for one hour of operation per week. For the majority of the time, the NGMS and CCR is powered from the Romanian electricity grid. 305 KVA unit assumed with a 70lhr fuel consumption rate at full load.</t>
  </si>
  <si>
    <t>Venting  - Filter Replacement (Venting)</t>
  </si>
  <si>
    <t>Occurs twice per year to change out filters and drain separator.
40 times over field life in total 48te.
1.2 te per year = 0.6 te per event. Duration unknown [HOLD 5].</t>
  </si>
  <si>
    <t>Venting - Inspection Pigging Calibration (Venting)</t>
  </si>
  <si>
    <t>Occurs Annualy for the first two years and once every 4 years after that based on RBI (together with TAR)
2 times at early field life in total 0.38te and 0.19 te per event. Duration unknown [HOLD 6].</t>
  </si>
  <si>
    <t>Venting - Plant Turnaround (Venting)</t>
  </si>
  <si>
    <t>Entire onshore facility physical volume is 170m3 (in between inlet and outlet SDVs) - assumed depresurisation volume and pressure at 55 Bar - per ND-D-IO-90-PR-BPHY-0001-0001. Every 4 years aligned with SWP TAR.
5 times over field life in total 40te - 8 te per event. Duration unknown [HOLD 7].</t>
  </si>
  <si>
    <t>Fugitive Emissions - PSV Leakage (venting)</t>
  </si>
  <si>
    <t>Based on Leakage Class - V (tbc during EPC phase). 3 x 40E50 PSV (Heaters), 2 x 80J100 PSV (Filter Separator - 1 in operation and 1 isolated, in stand-by)  - only 1 considered in the calculation.
Emissions on Annual basis (100% margin on preliinary estimate as Class V is liquid based testing, not gas emission based) = 0.11 te/year.</t>
  </si>
  <si>
    <t>Fugitive Emissions (Venting)</t>
  </si>
  <si>
    <t>The current estimate of flanges is c.200. Each flange has an acceptable leak rate of &lt;1.4m3/yr. The number of flanges at the final count may increase. Fugitive emissions from flange leakage are not contained within SWP Flare systems and will not be combusted upon release = 0.25 te/year.</t>
  </si>
  <si>
    <t>Transportation Emissions (Diesel and Petrol usage)</t>
  </si>
  <si>
    <t>Diesel and Petrol</t>
  </si>
  <si>
    <t>Crew car travels 60km per day for 365 days per year [Ref 2].
Assuming 50% of crew cars in Romania use diesel and 50% use petrol.</t>
  </si>
  <si>
    <t>All</t>
  </si>
  <si>
    <t>Construction Offshore</t>
  </si>
  <si>
    <t>Wastes</t>
  </si>
  <si>
    <t>EWC WASTE CODE</t>
  </si>
  <si>
    <t>AMOUNT</t>
  </si>
  <si>
    <t>UNITS</t>
  </si>
  <si>
    <t>Paint</t>
  </si>
  <si>
    <t>08 01 11</t>
  </si>
  <si>
    <t>Liquid</t>
  </si>
  <si>
    <t>Yes</t>
  </si>
  <si>
    <t>te</t>
  </si>
  <si>
    <t>Third Party</t>
  </si>
  <si>
    <t>Construction phase only.</t>
  </si>
  <si>
    <t>Waste Oil</t>
  </si>
  <si>
    <t>Oil</t>
  </si>
  <si>
    <t>13 02 05*</t>
  </si>
  <si>
    <t>m3/year</t>
  </si>
  <si>
    <t>TSS in PW</t>
  </si>
  <si>
    <t>mg/L</t>
  </si>
  <si>
    <t>in project BOD</t>
  </si>
  <si>
    <t>Contaminated Water with Oil</t>
  </si>
  <si>
    <t>Oil and Water</t>
  </si>
  <si>
    <t>16 10 01*</t>
  </si>
  <si>
    <t>m3</t>
  </si>
  <si>
    <t>TSS in Barr</t>
  </si>
  <si>
    <t>says 20k bpd from each of 3 wells</t>
  </si>
  <si>
    <r>
      <t xml:space="preserve">Well Start-up </t>
    </r>
    <r>
      <rPr>
        <sz val="10"/>
        <color rgb="FFFF0000"/>
        <rFont val="Calibri"/>
        <family val="2"/>
      </rPr>
      <t>(all wells)</t>
    </r>
  </si>
  <si>
    <r>
      <t xml:space="preserve">Methanol, </t>
    </r>
    <r>
      <rPr>
        <sz val="10"/>
        <color rgb="FFFF0000"/>
        <rFont val="Calibri"/>
        <family val="2"/>
      </rPr>
      <t>Corrosion Inhibitor, Scale Inhibitor, TEG, water mixture &amp; Well Suspension Fluids</t>
    </r>
  </si>
  <si>
    <t>Backloaded to shore for onshore treatment / disposal.</t>
  </si>
  <si>
    <t>Umbilical Cores Chemical Preservation Fluids</t>
  </si>
  <si>
    <t>TEG/Water Mix</t>
  </si>
  <si>
    <t>Returns from Umbilicals and Subsea Control System during Start Up - Based on volumes as contained in ND-D-OP-CG-REIS-0001-0001.</t>
  </si>
  <si>
    <t>Methanol</t>
  </si>
  <si>
    <t>Medical Waste</t>
  </si>
  <si>
    <t>Bandages, used syringes, etc.</t>
  </si>
  <si>
    <t>18 01 03*</t>
  </si>
  <si>
    <t>Solid</t>
  </si>
  <si>
    <t>te/year</t>
  </si>
  <si>
    <t>Waste Paper and Cardboard Packaging</t>
  </si>
  <si>
    <t>Paper/Card</t>
  </si>
  <si>
    <t>15 01 01</t>
  </si>
  <si>
    <t>Domestic Waste</t>
  </si>
  <si>
    <t>20 03 01</t>
  </si>
  <si>
    <t>450 personnel working on the construction site and 0.5 kg of waste per person per day over 240 days.</t>
  </si>
  <si>
    <t>Waste Wood</t>
  </si>
  <si>
    <t>Wood</t>
  </si>
  <si>
    <t>15 01 03</t>
  </si>
  <si>
    <t>Bulk Solids (Uncontaminated) – Cement</t>
  </si>
  <si>
    <t>Cement</t>
  </si>
  <si>
    <t>11 01 98*</t>
  </si>
  <si>
    <t>Concrete Waste and Concrete
Sludge</t>
  </si>
  <si>
    <t>Sludge</t>
  </si>
  <si>
    <t>Ferrous Metal</t>
  </si>
  <si>
    <t>Scrap Metal</t>
  </si>
  <si>
    <t>16 01 17</t>
  </si>
  <si>
    <t>Non-ferrous Metals</t>
  </si>
  <si>
    <t>16 01 18</t>
  </si>
  <si>
    <t>Plastic Materials</t>
  </si>
  <si>
    <t>Plastic</t>
  </si>
  <si>
    <t>16 01 19</t>
  </si>
  <si>
    <t>Based on a 25% annual degradation rate of the hot oil heating medium [Ref 2].</t>
  </si>
  <si>
    <t>Topsides Support Frame</t>
  </si>
  <si>
    <t>Jacket Support Frame</t>
  </si>
  <si>
    <t>Jacket and Topsides Installation Aids, Grillage, Transport Bracing, Guides, Bumpers, Slings</t>
  </si>
  <si>
    <t>Jackets, Piles, Caisson Trimmed Steel</t>
  </si>
  <si>
    <t>Subsea equipment installation aids, grillage, transport bracing, guides, bumpers, slings</t>
  </si>
  <si>
    <t>Batteries</t>
  </si>
  <si>
    <t>20 01 33*</t>
  </si>
  <si>
    <t>Lauch shaft (deep option)
(pile volume &amp; excavation)</t>
  </si>
  <si>
    <t>Excavated Material</t>
  </si>
  <si>
    <t>17 05 04</t>
  </si>
  <si>
    <t>Tunneling
(spoil)</t>
  </si>
  <si>
    <t>Spoil</t>
  </si>
  <si>
    <t>Offshore
(recovery pit, pipe trench)</t>
  </si>
  <si>
    <t>Construction Onshore</t>
  </si>
  <si>
    <r>
      <rPr>
        <sz val="10"/>
        <color rgb="FFFF0000"/>
        <rFont val="Calibri"/>
        <family val="2"/>
      </rPr>
      <t>Oily water in</t>
    </r>
    <r>
      <rPr>
        <sz val="10"/>
        <rFont val="Calibri"/>
        <family val="2"/>
      </rPr>
      <t xml:space="preserve"> Slops Tank for Equipment Drainage</t>
    </r>
  </si>
  <si>
    <t>Contaminated Fluids</t>
  </si>
  <si>
    <r>
      <t xml:space="preserve">70 personnel working on the construction site assuming 0.5 kg of waste per person per day over </t>
    </r>
    <r>
      <rPr>
        <sz val="10"/>
        <color rgb="FFFF0000"/>
        <rFont val="Calibri"/>
        <family val="2"/>
      </rPr>
      <t>500</t>
    </r>
    <r>
      <rPr>
        <sz val="10"/>
        <rFont val="Calibri"/>
        <family val="2"/>
      </rPr>
      <t xml:space="preserve"> days.</t>
    </r>
  </si>
  <si>
    <t>Launch Shaft + Ramp (Shallow Option) (Sheet Pile Walls, Steel Whaler Bracing, Excavation, Concrete + Sealing Body)</t>
  </si>
  <si>
    <t>Tunneling
(Drilling, Jacking Pipes, Bentonite, Disposal mob./demob.)</t>
  </si>
  <si>
    <t>Topsoil Removal (NGMS)</t>
  </si>
  <si>
    <t>Disturbed during Construction</t>
  </si>
  <si>
    <t>NADF Based Drill Cuttings</t>
  </si>
  <si>
    <r>
      <rPr>
        <sz val="10"/>
        <color rgb="FFFF0000"/>
        <rFont val="Calibri"/>
        <family val="2"/>
      </rPr>
      <t xml:space="preserve">Drill </t>
    </r>
    <r>
      <rPr>
        <sz val="10"/>
        <rFont val="Calibri"/>
        <family val="2"/>
      </rPr>
      <t>Cuttings</t>
    </r>
  </si>
  <si>
    <t>01 05 05*</t>
  </si>
  <si>
    <t>SBM wet cuttings are skipped and shipped to shore for disposal.</t>
  </si>
  <si>
    <t xml:space="preserve">10 wells + 1 redrill, 17.1/2in - 2125m, 14in - 500m and 
9.5in - 250m.  
25% contingency allowed for hole break out. </t>
  </si>
  <si>
    <t>194 personnel assuming 0.5 kg of waste per person per day over 800 days.</t>
  </si>
  <si>
    <t>Slops from Non-hazardous Drains</t>
  </si>
  <si>
    <t>Sea</t>
  </si>
  <si>
    <t>600mm of rain per year - 100 x 100m rig foot print x 2 years. Potable water and seawater lift use to wash decks 5m3 per day. 100% contingency.</t>
  </si>
  <si>
    <t xml:space="preserve">NADF Contaminated Water/Brine Slops (Tank Cleaning, Deck Drain from NADF Areas, Rig Floor Environmental Pan Catchment etc) </t>
  </si>
  <si>
    <t>Taken onshore for disposal / separation oil / fliud phase not possible due to surfactant</t>
  </si>
  <si>
    <t>Tripping wet 25bbl / trip (7 trips per well), Displacement interfaces (2,500bbl per well), Rig floor wash down volumes (1000 bbl / well), Tank and flowline cleaning rig  (10,000 bbl / well), PSV adn other vessel cleaning (25,000 bbl per well), Total 386750 bbl per well (inc. 100% contingency).</t>
  </si>
  <si>
    <t>Hazardous Disposal of Filters</t>
  </si>
  <si>
    <t>Contaminated Waste</t>
  </si>
  <si>
    <t>16 01 07*</t>
  </si>
  <si>
    <t>10kg of used filters generated per day of operation
conservative assumption.</t>
  </si>
  <si>
    <t>Drill Pipe / Scrap</t>
  </si>
  <si>
    <t>20 01 40</t>
  </si>
  <si>
    <t>Rig up and rig down materials; brackets, welding scrap; Damaged subs pups and joints slings, worn or damaged rigging assume 25 tons per well.</t>
  </si>
  <si>
    <t>bbl per well</t>
  </si>
  <si>
    <t>Assumes 50 BBL of spacer used per well</t>
  </si>
  <si>
    <t>Assumes 2000 BBL used per well, includes circulation cement.</t>
  </si>
  <si>
    <r>
      <t xml:space="preserve">Ferrous </t>
    </r>
    <r>
      <rPr>
        <sz val="10"/>
        <color rgb="FFFF0000"/>
        <rFont val="Calibri"/>
        <family val="2"/>
      </rPr>
      <t>Scrap</t>
    </r>
    <r>
      <rPr>
        <sz val="10"/>
        <rFont val="Calibri"/>
        <family val="2"/>
      </rPr>
      <t xml:space="preserve"> Metal</t>
    </r>
  </si>
  <si>
    <t>Normal Operations Offshore</t>
  </si>
  <si>
    <t>08 01 11*</t>
  </si>
  <si>
    <t>40 personnel assuming 0.5 kg of waste per person per day over 60 days.</t>
  </si>
  <si>
    <t>Normal Operations Onshore</t>
  </si>
  <si>
    <t>tpa</t>
  </si>
  <si>
    <t>6 personnel assuming 0.5 kg of waste per person per day over 365.25 days.</t>
  </si>
  <si>
    <t>Used Filters from Onshore</t>
  </si>
  <si>
    <t>Filters replaced twice per year.</t>
  </si>
  <si>
    <t>Abnormal Operations Offshore</t>
  </si>
  <si>
    <t>Sand Solids from Separator</t>
  </si>
  <si>
    <t>Contaminated Sand</t>
  </si>
  <si>
    <t>kg</t>
  </si>
  <si>
    <t xml:space="preserve">Each production well is to be fitted with an Open Hole Gravel Pack (OHGP). Early operation whereby well clean up would see coarse particulate captured in the Oil Back Flow Filters. An allowance of 25kg has been provided.
Sand fines from the well are expected to follow the produced water flow path. These are expected to be clean due to the very lean nature of the gas produced. The fines (if any) will be routed to the Produced Water Caisson. No significant build up in the Primary Separator expected. </t>
  </si>
  <si>
    <t>Essential Services Diesel Generator</t>
  </si>
  <si>
    <t>Assume pump is tested for 4 hours every 2 weeks. (Total hours per annum = 104 at 1 MW).</t>
  </si>
  <si>
    <t>Black Start Diesel Generator</t>
  </si>
  <si>
    <t>Assume pump is tested for 4 hours every 2 weeks. (Total hours per annum = 104 at 800 kW).</t>
  </si>
  <si>
    <t>Gas Turbine Generators</t>
  </si>
  <si>
    <t>Assumed gas turbine generators operate for 24 hours per day with 2 units in operation and fuel flowrate of 2,251 kg/h as documented in the H&amp;MB.
Chapter 5 of ESIA: 3 x 50% gas fired turbines (2 operating and 1 stand-by) supplying 9.2 MW of power at SWP, with a thermal efficiency of 30%.</t>
  </si>
  <si>
    <t>TEMPSC Tests</t>
  </si>
  <si>
    <t>TEMPSC tests during visits to platform - 4hrs per day and 4 times per year. In total 16h per year.</t>
  </si>
  <si>
    <t>LP Flare - Purge and Pilots</t>
  </si>
  <si>
    <t>LLP and LP Header purge gas required on continuous basis - 0.6 tonnes/day.
Based on GBA Flare Tip, 1.2kg/hr per pilot, 3 off pilots - 0.09 tonnes/day.
Total Fuel consumption = 0.69 te/day.</t>
  </si>
  <si>
    <t>HP Flare Purge Gas &amp; Pilot Lights</t>
  </si>
  <si>
    <t>HP Header purge gas required on continuous basis - 0.7 tonnes/day.
Based on GBA Flare Tip, 1.2kg/hr per pilot, 3 off pilots - 0.09 tonnes/day.
Total Fuel consumption = 0.79 te/day.</t>
  </si>
  <si>
    <t>HP Flare - TAR (Inspection and Maintenance) - 1 TAR event (amount - te/event)</t>
  </si>
  <si>
    <t>5 TARs over field life, one every 4 years and lasts 7 days.
4,000 te per TAR event.</t>
  </si>
  <si>
    <t>HP Flare - Planned SWP Pig Receiver/Launcher Inspection (amount - te/event)</t>
  </si>
  <si>
    <t>SWP Pig Receiver/Launcher blowdown to occur annually for the first two years and from then to be aligned with the SWP TAR. Hence, two additional inspections to the TAR over field life = 0.72 te per event.
Assumed over 7 days as per TAR.</t>
  </si>
  <si>
    <t>Methanol, TEG Tank Blanket Gas (Flaring)</t>
  </si>
  <si>
    <t>Re-supply of full storage tank inventories on a quarterly basis: Methanol 400 x 4m3, TEG 200 x 4m3
Total (outbreathing) 2400m3. Low pressure so assume density of 1kg/m3.
Assume additional 20% valve leakage over the course of the year = 2.9 te/year.</t>
  </si>
  <si>
    <t>Fugitive Emissions - PSV &amp; PCV Leakage (Flaring)</t>
  </si>
  <si>
    <t>Leakage occuring across valve seats of PSV's and PCV's. PSV's expected to be 'leak tight' as they will be tested and replaced in service if lifted to confirm reseating. PCV leakage due to operational wear and tear. Both based on Leakage Class - V (tbc during EPC phase).  1 x 16" PCV (Primary Separator), 1 x 6" PCV (TEG Contactor, 1 x 12" PSV (Primary Separator), 1 x 4" PSV (TEG Contactor) = 1.2 te/year.</t>
  </si>
  <si>
    <t>LP Flare Continuous Flare</t>
  </si>
  <si>
    <t>LP continuous venting from TEG Regeneration and Produced Water Degasser. From H&amp;MB Case 3 (Max water), combine total of 0.253 MMscfd (assume all hydrocarbon, CH4)
Header purges are additional and on a continuous basis (26.1 kg/hr) estimate (extra line) = 4.9 tonnes/day.</t>
  </si>
  <si>
    <t>Fugitive Emissions - Flange Leaks (Venting)</t>
  </si>
  <si>
    <t>The current estimate of flanges is c.750. Each flange has an acceptable leak rate of &lt;1.4m3/yr. The number of flanges at the final count may increase. Fugitive emissions from flange leakage not contained within SWP Flare systems and will not be combusted upon release = 1 te/year.</t>
  </si>
  <si>
    <t>Vent from Analyser (Venting)</t>
  </si>
  <si>
    <t>Details of the analysers have yet to be recieved as this will be carried out during the EPC phase. 
The primary sample of interest is the Wet Gas Dewpoint analyser. This is expected to be a 'grab' type with sequenced analysis. The volumes of grab and emission will be very small. Quoted volume is prelim and to be confirmed during EPC = 0.0024 te/day.</t>
  </si>
  <si>
    <t>Operational days during operation period and fuel consumption taken from [Ref 2].</t>
  </si>
  <si>
    <t>Abnormal Operations</t>
  </si>
  <si>
    <t>AMOUNT     (tonnes/annum)</t>
  </si>
  <si>
    <t>HP Flare - ICSS Control Response to Overpressure - Relief to HP Flare</t>
  </si>
  <si>
    <t>Based on Full Flow Relief (950MMscfd equivalent) for 5 mins.
Then reduced flaring at 100MMscfd for 2 hours.
Assumed to occur 6 times a year with 225 te per event  and 1350 te/year.</t>
  </si>
  <si>
    <t>HP Flare - Partial Shutdown Warm Restart</t>
  </si>
  <si>
    <t>SWP PSD – shutdown up to 24h (no blowdown required). Warm re-start required as wells only slightly cooled. Assuming full well bean-up on each well within 1 day. Assuming to start-up Pelican first which is less effective due to Pelican EH limitations. Assuming SWP sufficient operating temperature to be achieved within 24 hours. Assuming SWP PSDs to occur 6 times per year (2000 te per event = 12000 te/year.</t>
  </si>
  <si>
    <t>HP Flare - Emergency Shutdown Cold Restart</t>
  </si>
  <si>
    <t>ESD – confirmed F&amp;G requires full SWP blowdown and investigation time up to 7 days. Cold re-start required as wells will have cooled significantly. Assuming full well bean-up on each well within 2 days and to start-up Pelican first which is less effective due to Pelican EH limitations. Assuming high level ESD trips to occur once a year = 4000 te/year.</t>
  </si>
  <si>
    <t>HP Flare - Emergency Shutdown Cold Restart - Initial Plant Stability and Surveillance</t>
  </si>
  <si>
    <t>Assuming high level ESD trips to occur 3 times per year for the first 2 years due to initial plant stability issues and surveillance activities. Full SWP blowdown and cold re-start (Pelican – 48h flaring) required.
= 4000 te per event.</t>
  </si>
  <si>
    <t>HP Flare - Partial Blowdown - Pelican Pipeline</t>
  </si>
  <si>
    <t>Early field life - Max Pressure - Partial Blowdown. SWP Trip (320barg) on HH Pressure - Restart requires blowdown from SITHP. Assumed 1 per year event (18 te); expected to be less frequent as ICSS configured to avoid SITHP conditions in Domino Flowline. Volume of 1.5km tie back and 140m riser section (+10% margin on volume to cover manifolds etc). Total Volume for ESIA assumed 106m3. Duration unknown [HOLD 3].</t>
  </si>
  <si>
    <t>HP Flare - Partial Blowdown - Domino Pipeline</t>
  </si>
  <si>
    <t>Early field life - Max Pressure - Partial Blowdown
SWP Trip (320barg) on HH pressure - Restart requires blowdown from SITHP. Assumed 1 per year event (605 te); expected to be less frequent as ICSS would be configured to avoid SITHP conditions in Domino Flowline. Volume of 26km tie back to DC1 and further 10km tieback to DC2 Total Volume for ESIA assumed 3,600m3. Duration unknown [HOLD 4].</t>
  </si>
  <si>
    <t>Transportation Emissions (Helicopter) Emergency-Maintenance</t>
  </si>
  <si>
    <t>One emergency trip per year assumed for either maintenance or other emergency.</t>
  </si>
  <si>
    <t>Table 3.3-1</t>
  </si>
  <si>
    <t>Table 3.4-1</t>
  </si>
  <si>
    <t>lb/MMBtu</t>
  </si>
  <si>
    <r>
      <t>lb/10</t>
    </r>
    <r>
      <rPr>
        <vertAlign val="superscript"/>
        <sz val="10"/>
        <color theme="1"/>
        <rFont val="Arial"/>
        <family val="2"/>
      </rPr>
      <t>6</t>
    </r>
    <r>
      <rPr>
        <sz val="10"/>
        <color theme="1"/>
        <rFont val="Arial"/>
        <family val="2"/>
      </rPr>
      <t xml:space="preserve"> scf</t>
    </r>
  </si>
  <si>
    <r>
      <t>kg/10</t>
    </r>
    <r>
      <rPr>
        <vertAlign val="superscript"/>
        <sz val="10"/>
        <color theme="1"/>
        <rFont val="Arial"/>
        <family val="2"/>
      </rPr>
      <t>6</t>
    </r>
    <r>
      <rPr>
        <sz val="10"/>
        <color theme="1"/>
        <rFont val="Arial"/>
        <family val="2"/>
      </rPr>
      <t xml:space="preserve"> Sm</t>
    </r>
    <r>
      <rPr>
        <vertAlign val="superscript"/>
        <sz val="10"/>
        <color theme="1"/>
        <rFont val="Arial"/>
        <family val="2"/>
      </rPr>
      <t>3</t>
    </r>
  </si>
  <si>
    <t>AP42, Vol. 1,3.3: Gasoline and Diesel Industrial Engines</t>
  </si>
  <si>
    <t>Pollutant</t>
  </si>
  <si>
    <t>Engine</t>
  </si>
  <si>
    <t>Generator</t>
  </si>
  <si>
    <t>NOx</t>
  </si>
  <si>
    <t>Sox</t>
  </si>
  <si>
    <t>Diesel composition is taken as No. 4 from EPA42 1.3 (a mixture of distillate and residual oils).</t>
  </si>
  <si>
    <t>Average diesel density taken from Ref 15 - Min 820, Max 845, Average taken as 832.5</t>
  </si>
  <si>
    <r>
      <t>To convert from lb/MMBtu to lb/10</t>
    </r>
    <r>
      <rPr>
        <vertAlign val="superscript"/>
        <sz val="10"/>
        <color theme="1"/>
        <rFont val="Arial"/>
        <family val="2"/>
      </rPr>
      <t>6</t>
    </r>
    <r>
      <rPr>
        <sz val="10"/>
        <color theme="1"/>
        <rFont val="Arial"/>
        <family val="2"/>
      </rPr>
      <t xml:space="preserve"> scf, multiply by 1020.</t>
    </r>
  </si>
  <si>
    <r>
      <t>To convert from lb/10</t>
    </r>
    <r>
      <rPr>
        <vertAlign val="superscript"/>
        <sz val="10"/>
        <color theme="1"/>
        <rFont val="Arial"/>
        <family val="2"/>
      </rPr>
      <t>6</t>
    </r>
    <r>
      <rPr>
        <sz val="10"/>
        <color theme="1"/>
        <rFont val="Arial"/>
        <family val="2"/>
      </rPr>
      <t xml:space="preserve"> scf to kg/10</t>
    </r>
    <r>
      <rPr>
        <vertAlign val="superscript"/>
        <sz val="10"/>
        <color theme="1"/>
        <rFont val="Arial"/>
        <family val="2"/>
      </rPr>
      <t>6</t>
    </r>
    <r>
      <rPr>
        <sz val="10"/>
        <color theme="1"/>
        <rFont val="Arial"/>
        <family val="2"/>
      </rPr>
      <t xml:space="preserve"> scf, multiply by 16.9.</t>
    </r>
  </si>
  <si>
    <t>NOX is uncontrolled for generator.</t>
  </si>
  <si>
    <t>HHV</t>
  </si>
  <si>
    <t>Btu/lb</t>
  </si>
  <si>
    <t>MJ/Sm3</t>
  </si>
  <si>
    <t>To convert</t>
  </si>
  <si>
    <t>Multiply</t>
  </si>
  <si>
    <r>
      <t>lb/10</t>
    </r>
    <r>
      <rPr>
        <vertAlign val="superscript"/>
        <sz val="8"/>
        <rFont val="Calibri"/>
        <family val="2"/>
        <scheme val="minor"/>
      </rPr>
      <t>6</t>
    </r>
    <r>
      <rPr>
        <sz val="8"/>
        <rFont val="Calibri"/>
        <family val="2"/>
        <scheme val="minor"/>
      </rPr>
      <t xml:space="preserve"> scf</t>
    </r>
  </si>
  <si>
    <t>lb</t>
  </si>
  <si>
    <t>scf</t>
  </si>
  <si>
    <r>
      <t>Sm</t>
    </r>
    <r>
      <rPr>
        <vertAlign val="superscript"/>
        <sz val="8"/>
        <rFont val="Calibri"/>
        <family val="2"/>
        <scheme val="minor"/>
      </rPr>
      <t>3</t>
    </r>
  </si>
  <si>
    <t>MJ</t>
  </si>
  <si>
    <t>Btu</t>
  </si>
  <si>
    <t xml:space="preserve">CO2 EMISSIONS FACTOR - for DIESEL FUEL to GENERATORS </t>
  </si>
  <si>
    <t>AP42, Vol.1, 3.4: Large Stationary Diesel and all Stationary Dual-Fuel Engines</t>
  </si>
  <si>
    <t>mwt</t>
  </si>
  <si>
    <t>1/gmol</t>
  </si>
  <si>
    <t>mass%</t>
  </si>
  <si>
    <t>CO2 fac.</t>
  </si>
  <si>
    <t>CO2 EF (kg/kg)</t>
  </si>
  <si>
    <t>C3H6</t>
  </si>
  <si>
    <t>C3H8</t>
  </si>
  <si>
    <t>iC4H8</t>
  </si>
  <si>
    <t>iC4H10</t>
  </si>
  <si>
    <t>nC4H10</t>
  </si>
  <si>
    <t>iC5H12</t>
  </si>
  <si>
    <t>nC5H12</t>
  </si>
  <si>
    <t>nC22*</t>
  </si>
  <si>
    <t>He</t>
  </si>
  <si>
    <t>H2S</t>
  </si>
  <si>
    <t>O2</t>
  </si>
  <si>
    <t>N2</t>
  </si>
  <si>
    <t>NO2</t>
  </si>
  <si>
    <t>H2O</t>
  </si>
  <si>
    <t>Totals</t>
  </si>
  <si>
    <t>Density kg/m3 (15C)</t>
  </si>
  <si>
    <t>min</t>
  </si>
  <si>
    <t>max</t>
  </si>
  <si>
    <t>av</t>
  </si>
  <si>
    <t>HHV (15C)</t>
  </si>
  <si>
    <t>KWh/kg</t>
  </si>
  <si>
    <t>LHV (15C)</t>
  </si>
  <si>
    <t>Effluents</t>
  </si>
  <si>
    <t>EWC WASTE   CODE</t>
  </si>
  <si>
    <t>Units</t>
  </si>
  <si>
    <t>Wash Water</t>
  </si>
  <si>
    <t>Seawater</t>
  </si>
  <si>
    <r>
      <t>m</t>
    </r>
    <r>
      <rPr>
        <vertAlign val="superscript"/>
        <sz val="10"/>
        <rFont val="Calibri"/>
        <family val="2"/>
        <scheme val="minor"/>
      </rPr>
      <t>3</t>
    </r>
  </si>
  <si>
    <t>No treatment.</t>
  </si>
  <si>
    <t>Hydraulic Discharge</t>
  </si>
  <si>
    <t>Hydraulic Fluid</t>
  </si>
  <si>
    <t>n/a</t>
  </si>
  <si>
    <t>Discharge to Sea During Comissionning associates to valve movements from commissioning activities for the XTs per ND-D-OP-10-CG-REIS-0001-0001. 
Assumes - PMV – 10 cycles, PWV – 10 cycles, FIV – 10 cycles, ASV – 6 cycles, AMV – 6 cycles, AWV – 6 cycles
CV – 4 cycles, CIV-01 – 6 cycles, CIV-02 – 6 cycles, CIV-03 – 6 cycles, CIV-04 – 6 cycles, CIV-05 – 6 cycles, CIV-06 – 6 cycles, CIV-07 – 6 cycles, CIV-08 – 6 cycles. 
Total of 0.10204m3 per XT - 10 wells - 1.02m3.</t>
  </si>
  <si>
    <t>Produced Water</t>
  </si>
  <si>
    <t>Oily-Water</t>
  </si>
  <si>
    <t>Sea - Anoxic Zone</t>
  </si>
  <si>
    <t>Early life rate including TEG, CI, SI, Antifoam and Sand. 
The Domino wells will be left underbalanced prior to start-up. The liquids will be 'brine' but some surfactant maybe expected. It is estimated that the completion fluids will total 500m3.
Up to c.40m3/day of condensed water + 0m3/day condensed water assumed early field life (prior to pw breakthrough). 
Aqueous stream routed to the Open Drains for 3 months during start-up of field(s).</t>
  </si>
  <si>
    <t>Produced Fluids (Drilling &amp; Completion) at start-up</t>
  </si>
  <si>
    <t>To be taken onshore for treatment and disposal</t>
  </si>
  <si>
    <t>50 m3 for each Domino well (x6) and 25 m3 for each Pelican well (x4). Assumes Domino liquid filled and Pelican Displace to N2.</t>
  </si>
  <si>
    <t>Cooling Water including Sodium Hypochlorite</t>
  </si>
  <si>
    <t>Water with chemicals</t>
  </si>
  <si>
    <t>Sea - mixed with produced water</t>
  </si>
  <si>
    <t>22 litres/day of Sodium Hypochlorite in the water. Based on 10,080m3 day over 7 days.</t>
  </si>
  <si>
    <t>Testing of DIFF Systems</t>
  </si>
  <si>
    <t>Based on 4m3 water and 120 litres (3%) AFFF.</t>
  </si>
  <si>
    <t>Open Drains Discharge</t>
  </si>
  <si>
    <t>Rain Water</t>
  </si>
  <si>
    <t>Rainwater collected only from Upper Deck plated areas with drain boxes
Cumulative rainfall during summer months taken from Project BoD is 141mm. Assumed plated area on upper deck taken as 750m2.
Total cumulative rainwater rounded up to 130m3 to assume a bit of margin. Periodic pump out as and when Open Drains tank fills</t>
  </si>
  <si>
    <t>Sewage from Vessels</t>
  </si>
  <si>
    <t>Black water</t>
  </si>
  <si>
    <t>20 03 06</t>
  </si>
  <si>
    <t>MARPOL</t>
  </si>
  <si>
    <t>Based on 450 POB generating 200 L/d/person [Ref 2] over 240 days.</t>
  </si>
  <si>
    <t>Hydrotest Water (water with chemicals)</t>
  </si>
  <si>
    <t>Treated seawater</t>
  </si>
  <si>
    <t>Total Discharge / Collected per field (m3) is 4,794 m3 (Domino), 97 m3 (Pelican) &amp; 68,261 m3 (Export).</t>
  </si>
  <si>
    <t>Ballast Water</t>
  </si>
  <si>
    <t>Assume required - no information available, judgement made on capacity. HLV S7000 = 75k m3; 2 x HTV = 25k m3; Allow 2 barges 10k m3 ea.</t>
  </si>
  <si>
    <t>Produced water from Tunnelling Process</t>
  </si>
  <si>
    <t>Water/Barite Mix</t>
  </si>
  <si>
    <t>01 05 07</t>
  </si>
  <si>
    <t>Treatment prior to discharge to sea</t>
  </si>
  <si>
    <r>
      <rPr>
        <sz val="10"/>
        <color rgb="FFFF0000"/>
        <rFont val="Calibri"/>
        <family val="2"/>
        <scheme val="minor"/>
      </rPr>
      <t>Assumed to undergo treatment prior to discharge to sea.</t>
    </r>
    <r>
      <rPr>
        <sz val="10"/>
        <rFont val="Calibri"/>
        <family val="2"/>
        <scheme val="minor"/>
      </rPr>
      <t xml:space="preserve"> 1,740 drilling fluid system, 1,400 from cleaning process.</t>
    </r>
  </si>
  <si>
    <t>Produced water from Shaft Construction</t>
  </si>
  <si>
    <t>Assumed to undergo treatment prior to discharge to sea.</t>
  </si>
  <si>
    <t>Wheel Wash Wastewater</t>
  </si>
  <si>
    <t>Contaminated Water</t>
  </si>
  <si>
    <t>13 05 07*</t>
  </si>
  <si>
    <t>m3/day</t>
  </si>
  <si>
    <r>
      <rPr>
        <sz val="10"/>
        <rFont val="Calibri"/>
        <family val="2"/>
      </rPr>
      <t xml:space="preserve">5 m3/day for wheel washing. </t>
    </r>
    <r>
      <rPr>
        <sz val="10"/>
        <color rgb="FFFF0000"/>
        <rFont val="Calibri"/>
        <family val="2"/>
      </rPr>
      <t>This may be a higher or lower quantity based on activities on site.</t>
    </r>
  </si>
  <si>
    <t>Displaced Tunnel Water from Backfilling</t>
  </si>
  <si>
    <r>
      <rPr>
        <sz val="10"/>
        <color rgb="FFFF0000"/>
        <rFont val="Calibri"/>
        <family val="2"/>
        <scheme val="minor"/>
      </rPr>
      <t>Assumed to undergo treatment prior to discharge to sea.</t>
    </r>
    <r>
      <rPr>
        <sz val="10"/>
        <rFont val="Calibri"/>
        <family val="2"/>
        <scheme val="minor"/>
      </rPr>
      <t xml:space="preserve"> Pumped and stored prior to discharge to sea.</t>
    </r>
  </si>
  <si>
    <t>Hydrotest Water (associated with the onshore components)</t>
  </si>
  <si>
    <t>Subsea Anoxic Layer of Sea</t>
  </si>
  <si>
    <t>Assumed to undergo treatment prior to discharge to the sea. Pumped and stored prior to discharge to sea.</t>
  </si>
  <si>
    <t>Hydrotest Fluids for NGMS Pipework</t>
  </si>
  <si>
    <t>Chemically Treated Water</t>
  </si>
  <si>
    <t>Treated and disposed onshore.</t>
  </si>
  <si>
    <t>Treated and disposed onshore following hydrotesting.</t>
  </si>
  <si>
    <t>Stormwater Runoff</t>
  </si>
  <si>
    <t>Collected in drainage ditches and discharged safely to fields nearby.</t>
  </si>
  <si>
    <t>Collected in Buffer tank and routed via oil seperator before disposal to ditches. Average rainfall in the area: 450mm/year/m2. Total onshore concrete and buildings area (rain water that is collected): 8700m2, resulting in an yearly average of 4000m3 of rain water.</t>
  </si>
  <si>
    <r>
      <t xml:space="preserve">Sewage from </t>
    </r>
    <r>
      <rPr>
        <sz val="10"/>
        <color rgb="FFFF0000"/>
        <rFont val="Calibri"/>
        <family val="2"/>
        <scheme val="minor"/>
      </rPr>
      <t>personnel working on</t>
    </r>
    <r>
      <rPr>
        <sz val="10"/>
        <rFont val="Calibri"/>
        <family val="2"/>
        <scheme val="minor"/>
      </rPr>
      <t xml:space="preserve"> Tunnel and Shore Crossing</t>
    </r>
  </si>
  <si>
    <t>Collected and disposed to third party</t>
  </si>
  <si>
    <r>
      <t xml:space="preserve">Based on 40 POB generating 40 L/d/person over 120 days. </t>
    </r>
    <r>
      <rPr>
        <sz val="10"/>
        <color rgb="FFFF0000"/>
        <rFont val="Calibri"/>
        <family val="2"/>
        <scheme val="minor"/>
      </rPr>
      <t>Temporary until connection with RAJA.</t>
    </r>
  </si>
  <si>
    <r>
      <t xml:space="preserve">Sewage from </t>
    </r>
    <r>
      <rPr>
        <sz val="10"/>
        <color rgb="FFFF0000"/>
        <rFont val="Calibri"/>
        <family val="2"/>
        <scheme val="minor"/>
      </rPr>
      <t>personnel working on</t>
    </r>
    <r>
      <rPr>
        <sz val="10"/>
        <rFont val="Calibri"/>
        <family val="2"/>
        <scheme val="minor"/>
      </rPr>
      <t xml:space="preserve"> Construction Site</t>
    </r>
  </si>
  <si>
    <t>Based on 70 POB generating 40 L/d/person over 500 days. Temp until connection made to RAJA black water system.</t>
  </si>
  <si>
    <t>Water Based Fluids for Top Hole Drilling</t>
  </si>
  <si>
    <t>WBDF</t>
  </si>
  <si>
    <t>01 05 04</t>
  </si>
  <si>
    <t>bbl/well</t>
  </si>
  <si>
    <t>Assumes 15,000 bbl per well for 10 wells.</t>
  </si>
  <si>
    <t>MEG Injection for BOP</t>
  </si>
  <si>
    <t>MEG</t>
  </si>
  <si>
    <t>Allowance of 50m3 per well.</t>
  </si>
  <si>
    <t>BOP Hydraulic Control Fluid</t>
  </si>
  <si>
    <t>Koomey Control Fluid (90% seawater, 10% additives)</t>
  </si>
  <si>
    <t>16 01 15</t>
  </si>
  <si>
    <t>Based on 650gal test fluid including BOP functions actuated outside API statutory tests (1 function test per week) for tubing and casing pressure tests; WH actuations and testing of disconnect systems etc. 
actual chemical discharge (0.25m3 per well 2.5m3 for the campaign). 100% contingecy allowed</t>
  </si>
  <si>
    <t>Water Based Drill Cuttings</t>
  </si>
  <si>
    <t>Drill Cuttings</t>
  </si>
  <si>
    <t>Discharged to seafloor</t>
  </si>
  <si>
    <t>36in and 26in hole section per well with 1 respud allowed. 3 x 12.1/4in pilot hole.
Added 50% contignency over theroetical volumes to account for washout etc.</t>
  </si>
  <si>
    <t>Sewage</t>
  </si>
  <si>
    <t>Based on 194 POB generating 200 L/d/person over 800 days.</t>
  </si>
  <si>
    <t>Potable Water</t>
  </si>
  <si>
    <t>15PPM OIW limit before over boarding</t>
  </si>
  <si>
    <t xml:space="preserve">Assumed that 50m3 of wash water is pumped back to FSV for onshore disposal, Prior to wash water activities open drains tanks to be pumped out via PW Caisson route to minimise volumes pumped back to FSV following wash down. </t>
  </si>
  <si>
    <t>Water Wash for GTGs</t>
  </si>
  <si>
    <t>Pumped out and routed to FSV for onshore disposal.</t>
  </si>
  <si>
    <t>Twice per year assumed for wash down of GTGs with 9m3 per event.</t>
  </si>
  <si>
    <t>Subsea Actuator Fluid</t>
  </si>
  <si>
    <t>Each PSD start up and shutdown of an XT will equate to 8.52L of discharge. Each ESD start Up and Shutdown of an XT will equate to 19.7 L per full shutdown.
Assume 20 well single shutdowns and restarts for the first 2 years, 12 single well shutdown and re-starts for 18 years, conservative assumption is that move all valves in each XT with 2 cycles. (PSD Shutdown) - 256 Total = 2181L.
1 ESD Trp per year = 10 wells - 100 XT operations - 1970L.
PSD 6 Shutdowns and re-starts per year - 10 wells operated per PSD - 10,224L.
6 ESD events occuring in early field life Initial Plant Stability and Surveillance - 1182L.
Total for Life of Field - 15.557ltrs - yearly average of 0.78m3.</t>
  </si>
  <si>
    <t>Produced Water (over life of field)</t>
  </si>
  <si>
    <t>Assuming 50m3 per day for first 10 years then 1400m3 per day for next 10 years.</t>
  </si>
  <si>
    <t>Produced Water (per year over first 10 years)</t>
  </si>
  <si>
    <t>50m3 per day for first 10 years.</t>
  </si>
  <si>
    <t>Produced Water (per year over next 10 years)</t>
  </si>
  <si>
    <t>1400m3 per day for next 10 years.</t>
  </si>
  <si>
    <t>Cooling Water including Sodium Hypochlorite (for first year)</t>
  </si>
  <si>
    <t>m3/hr</t>
  </si>
  <si>
    <t>22 litres/day of Sodium Hypochloite in the water. 1 year at rated demand. 
1 seawater lift pump at 420m3/hr and dosed at max 2 ppm 23 hours and 1 hour at 6ppm means 22 litres of Sodium Hypochlorite. Refer  ND-D-IO-50-ME-STDS-0008-0001. 
Assume that this operation will take place at rated demand i.e 420m3/hr for 1 yearSeawater demand is not a confirmed operation over field life.</t>
  </si>
  <si>
    <t>Cooling Water including Sodium Hypochlorite (for next 5 years)</t>
  </si>
  <si>
    <t>5 litres/day of Sodium Hypochlorite for 5 years. 
Assume that this operation will take place at rated demand i.e 100m3/hr for 5 years. Seawater demand is not a confirmed operation over field life.</t>
  </si>
  <si>
    <t>Subsea Leak from Subsea DCV over field life</t>
  </si>
  <si>
    <t>SCM DCV leak rate based on information from SPS Team.
In relation to quiescent leakage 24 valves @ 3ml / hr equates to 72ml per hour per SCM. Project has 10 0ff SCM’s 720ml per /hr, and 6.3072 cubic meters per annum.</t>
  </si>
  <si>
    <t>Open Drains Water</t>
  </si>
  <si>
    <t>To sea via PW Caisson</t>
  </si>
  <si>
    <t>Pumped out 4 times per year and discharged via produced water caisson.</t>
  </si>
  <si>
    <t>Sewage from O&amp;M Campaigns</t>
  </si>
  <si>
    <t>Based on 40 POB (including 20 vessel crew members) generating 200 L/d/person [Ref 2] over 60 days. 
Four O&amp;M campaigns per year.</t>
  </si>
  <si>
    <t>Domino Subsea Pigging</t>
  </si>
  <si>
    <t>TEG Water</t>
  </si>
  <si>
    <t>No significant discharge is expected to happed due to pigging. However, when replacing the cartridge, some treated water (TEG?) will be released. the volume expected to be below 1cu.m. assuming pigging every two years (which is excessive) will result to a total or 20cu.m max during the life of field.</t>
  </si>
  <si>
    <t>Methanol for startup, re-start - Normal Restart</t>
  </si>
  <si>
    <t>Volume for PSD re-start for 10 off XTs - 6 off PSD assumed per year = 159m3 per PSD.</t>
  </si>
  <si>
    <t>Methanol for shutdown and re-start of single well</t>
  </si>
  <si>
    <t>Assume that there are 20 well single shutdowns and restarts for the first 2 years, 12 single well shutdown and re-starts for 18 years. 
MEOH volume based on single well jumper displacement volume plus,- 5.2m3 volume to displace jumper. Yearly Average of 13 single well shut-down and restarts per year - 12.4m3 per well shut-down and restart.</t>
  </si>
  <si>
    <t>Methanol for startup, re-start - TAR Planned Shutdown</t>
  </si>
  <si>
    <t>m3/TAR</t>
  </si>
  <si>
    <t>Full Shutdown TARs 5 planned TARs.</t>
  </si>
  <si>
    <t>Methanol for startup, re-start - ESD Trip</t>
  </si>
  <si>
    <t>Aligned with start up and volume required with number of re-starts - Assume 1 per Year - Assumes short ESD with no bull heading.</t>
  </si>
  <si>
    <t>Slops Tank for Equipment Drainage</t>
  </si>
  <si>
    <t>Third party</t>
  </si>
  <si>
    <t>Assumes tank (10m3) will be emptied twice per year.</t>
  </si>
  <si>
    <t>Collected in Buffer tank and routed via oil seperator before disposal to ditches</t>
  </si>
  <si>
    <t>Average rainfall in the area: 450mm/year/m2. Total onshore concrete and buildings area (rain water that is collected): 8700m2, resulting in an yearly average of 4000m3 of rain water.</t>
  </si>
  <si>
    <t>Connected to RAJA</t>
  </si>
  <si>
    <r>
      <t xml:space="preserve">Average of 6 personnel working assuming a sewage generation rate of 75L per person per day </t>
    </r>
    <r>
      <rPr>
        <sz val="10"/>
        <color rgb="FFFF0000"/>
        <rFont val="Calibri"/>
        <family val="2"/>
        <scheme val="minor"/>
      </rPr>
      <t>over 365 days.</t>
    </r>
  </si>
  <si>
    <t>Well Start-up - Methanol</t>
  </si>
  <si>
    <t>Sea- mixed with produced water</t>
  </si>
  <si>
    <t>Assuming high level ESD trips to occur 6 times during early field life due to initial plant stability issues and surveillance activities. Full SWP blowdown and cold re-start (Pelican – 48h flaring) required.</t>
  </si>
  <si>
    <t>Crude Emission factors</t>
  </si>
  <si>
    <t>lb/ 1000gal</t>
  </si>
  <si>
    <t xml:space="preserve">HHV </t>
  </si>
  <si>
    <t>MMBTU/1000gal</t>
  </si>
  <si>
    <t>From</t>
  </si>
  <si>
    <t>To</t>
  </si>
  <si>
    <t>Multiply by</t>
  </si>
  <si>
    <t>Nox</t>
  </si>
  <si>
    <t>lb/MMBTU</t>
  </si>
  <si>
    <r>
      <t>lb/10</t>
    </r>
    <r>
      <rPr>
        <vertAlign val="superscript"/>
        <sz val="8"/>
        <rFont val="Arial"/>
        <family val="2"/>
      </rPr>
      <t>6</t>
    </r>
    <r>
      <rPr>
        <sz val="8"/>
        <rFont val="Arial"/>
        <family val="2"/>
      </rPr>
      <t xml:space="preserve"> scf</t>
    </r>
  </si>
  <si>
    <r>
      <t>Sm</t>
    </r>
    <r>
      <rPr>
        <vertAlign val="superscript"/>
        <sz val="8"/>
        <rFont val="Arial"/>
        <family val="2"/>
      </rPr>
      <t>3</t>
    </r>
  </si>
  <si>
    <r>
      <t>kg/10</t>
    </r>
    <r>
      <rPr>
        <vertAlign val="superscript"/>
        <sz val="8"/>
        <rFont val="Arial"/>
        <family val="2"/>
      </rPr>
      <t>6</t>
    </r>
    <r>
      <rPr>
        <sz val="8"/>
        <rFont val="Arial"/>
        <family val="2"/>
      </rPr>
      <t xml:space="preserve"> Sm</t>
    </r>
    <r>
      <rPr>
        <vertAlign val="superscript"/>
        <sz val="8"/>
        <rFont val="Arial"/>
        <family val="2"/>
      </rPr>
      <t>3</t>
    </r>
  </si>
  <si>
    <t>Diesel Generator - Essential Services</t>
  </si>
  <si>
    <t>No.6</t>
  </si>
  <si>
    <t>MMBTU/1000 gallons</t>
  </si>
  <si>
    <t>EQUIPMENT:</t>
  </si>
  <si>
    <t>Diesel Generator</t>
  </si>
  <si>
    <t>Emissions Factors:</t>
  </si>
  <si>
    <t>MW</t>
  </si>
  <si>
    <t>Density</t>
  </si>
  <si>
    <t>LHV</t>
  </si>
  <si>
    <t xml:space="preserve">NOx </t>
  </si>
  <si>
    <t>g/mol</t>
  </si>
  <si>
    <t>kg/Sm³</t>
  </si>
  <si>
    <t>MJ/kg</t>
  </si>
  <si>
    <t>MJ/Sm³</t>
  </si>
  <si>
    <r>
      <t>kg/10</t>
    </r>
    <r>
      <rPr>
        <vertAlign val="superscript"/>
        <sz val="9"/>
        <rFont val="Arial"/>
        <family val="2"/>
      </rPr>
      <t>6</t>
    </r>
    <r>
      <rPr>
        <sz val="9"/>
        <rFont val="Arial"/>
        <family val="2"/>
      </rPr>
      <t xml:space="preserve"> Sm³</t>
    </r>
  </si>
  <si>
    <t>kg/kg fuel</t>
  </si>
  <si>
    <t>Btu/scf</t>
  </si>
  <si>
    <r>
      <t>MJ/Sm</t>
    </r>
    <r>
      <rPr>
        <vertAlign val="superscript"/>
        <sz val="8"/>
        <rFont val="Arial"/>
        <family val="2"/>
      </rPr>
      <t>3</t>
    </r>
  </si>
  <si>
    <t>kg/MJ</t>
  </si>
  <si>
    <t>Reference Gas</t>
  </si>
  <si>
    <t xml:space="preserve"> </t>
  </si>
  <si>
    <t>Average Natural Gas</t>
  </si>
  <si>
    <t>EPA Std Temp =</t>
  </si>
  <si>
    <t>°F</t>
  </si>
  <si>
    <t>=</t>
  </si>
  <si>
    <t>°C</t>
  </si>
  <si>
    <t>EFs from EPA-42 Table 3.4-1</t>
  </si>
  <si>
    <t>Project Std. Temp. =</t>
  </si>
  <si>
    <t>Furnace Duty:</t>
  </si>
  <si>
    <t>Fuel Consumption:</t>
  </si>
  <si>
    <t>Duty Requirement</t>
  </si>
  <si>
    <t>Furnace Efficiency</t>
  </si>
  <si>
    <t>%</t>
  </si>
  <si>
    <t>kg/h</t>
  </si>
  <si>
    <t>kmol/h</t>
  </si>
  <si>
    <t>Fired Duty</t>
  </si>
  <si>
    <t>Compositions</t>
  </si>
  <si>
    <t>Total Feed</t>
  </si>
  <si>
    <t>Combustion Products</t>
  </si>
  <si>
    <t>hrs pa</t>
  </si>
  <si>
    <t>Comb</t>
  </si>
  <si>
    <t>XS</t>
  </si>
  <si>
    <t>MWhr pa</t>
  </si>
  <si>
    <t>REACTANT</t>
  </si>
  <si>
    <t>REQ. COMBUSTION AIR</t>
  </si>
  <si>
    <t>PRODUCTS</t>
  </si>
  <si>
    <t>Component</t>
  </si>
  <si>
    <t>Mol Frac</t>
  </si>
  <si>
    <t>GJ pa</t>
  </si>
  <si>
    <t>C</t>
  </si>
  <si>
    <t>H</t>
  </si>
  <si>
    <t>O</t>
  </si>
  <si>
    <t>N</t>
  </si>
  <si>
    <t>S</t>
  </si>
  <si>
    <t>H2</t>
  </si>
  <si>
    <t>Nitrogen</t>
  </si>
  <si>
    <t>Assumed 4hr run test every 2 weeks at 1MW.
26 x a year for 4 hours.</t>
  </si>
  <si>
    <t>C2H4</t>
  </si>
  <si>
    <t>Methane</t>
  </si>
  <si>
    <t>C2H6</t>
  </si>
  <si>
    <t>Ethane</t>
  </si>
  <si>
    <t>Propane</t>
  </si>
  <si>
    <t>i-Butane</t>
  </si>
  <si>
    <t>n-Butane</t>
  </si>
  <si>
    <t>i-Pentane</t>
  </si>
  <si>
    <t>22-Mpropane</t>
  </si>
  <si>
    <t>n-Pentane</t>
  </si>
  <si>
    <t>Benzene</t>
  </si>
  <si>
    <t>Toluene</t>
  </si>
  <si>
    <t>E-Benzene</t>
  </si>
  <si>
    <t>m-Xylene</t>
  </si>
  <si>
    <t>o-Xylene</t>
  </si>
  <si>
    <t>C6*</t>
  </si>
  <si>
    <t>C7-10*</t>
  </si>
  <si>
    <t>C11-15*</t>
  </si>
  <si>
    <t>C16-20*</t>
  </si>
  <si>
    <t>C21-25*</t>
  </si>
  <si>
    <t>C26-29*</t>
  </si>
  <si>
    <t>C30-35*</t>
  </si>
  <si>
    <t>Total</t>
  </si>
  <si>
    <t>C36+*</t>
  </si>
  <si>
    <t>Emissions rates</t>
  </si>
  <si>
    <t>g/s</t>
  </si>
  <si>
    <t>C6_1*</t>
  </si>
  <si>
    <t>NOx Emission rate estimate as:</t>
  </si>
  <si>
    <t>C7-10_1*</t>
  </si>
  <si>
    <t xml:space="preserve">CO Emission rate estimate as: </t>
  </si>
  <si>
    <t>PM Emission rate estimated as:</t>
  </si>
  <si>
    <t>CH4 Emissions estimate rate:</t>
  </si>
  <si>
    <t>VOC Emission rate estimated as:</t>
  </si>
  <si>
    <t>C11-15_1*</t>
  </si>
  <si>
    <t>SO2 Emissions estimate rate:</t>
  </si>
  <si>
    <t>N2O Emission rate estimated as:</t>
  </si>
  <si>
    <t>CO2 Emission rate estimated as:</t>
  </si>
  <si>
    <t>Notes:</t>
  </si>
  <si>
    <t>C16-20_1*</t>
  </si>
  <si>
    <t>Emission factors have been taken from Section 1.3 in EPA AP42 based on No 4 oil [Ref 3].</t>
  </si>
  <si>
    <t>C21-25_1*</t>
  </si>
  <si>
    <t xml:space="preserve">2. </t>
  </si>
  <si>
    <t>Diesel composition taken as typical for no. 4 grade.</t>
  </si>
  <si>
    <t>C26-29_1*</t>
  </si>
  <si>
    <t>Diesel fuel consumption rate taken from [Ref 2] and based on testing of engine at a capacity of 1 MW.</t>
  </si>
  <si>
    <t>C30-35_1*</t>
  </si>
  <si>
    <t>Pump assumed to run for 4 hours every 2 weeks.</t>
  </si>
  <si>
    <t>C36+_1*</t>
  </si>
  <si>
    <t>Average diesel density taken from [Ref 7] where minimum is 820 and maximum is 845. Average taken as 832.5 kg/m3. LHV = 11.83 KWh/kg and HHV = 12.67 KWh/kg.</t>
  </si>
  <si>
    <t>C6_2*</t>
  </si>
  <si>
    <t>C7-10_2*</t>
  </si>
  <si>
    <t>C11-15_2*</t>
  </si>
  <si>
    <t>C16-20_2*</t>
  </si>
  <si>
    <t>C21-25_3*</t>
  </si>
  <si>
    <t>C26-29_2*</t>
  </si>
  <si>
    <t>C30-35_2*</t>
  </si>
  <si>
    <t>C36+_2*</t>
  </si>
  <si>
    <t>Diesel Generators - Black Start Generator</t>
  </si>
  <si>
    <t>Proj Std Temp. =</t>
  </si>
  <si>
    <t>Assumed 4hr run test every 2 weeks at 800 kW.
26 x a year for 4 hours each time</t>
  </si>
  <si>
    <t>Diesel fuel consumption rate taken from [Ref 2] and based on testing of engine at a capacity of 800 kW.</t>
  </si>
  <si>
    <t xml:space="preserve">Heater Duty (MW) </t>
  </si>
  <si>
    <t xml:space="preserve">Efficiency of the heater </t>
  </si>
  <si>
    <t>Heat released by the heater</t>
  </si>
  <si>
    <r>
      <t>kg/10</t>
    </r>
    <r>
      <rPr>
        <vertAlign val="superscript"/>
        <sz val="8"/>
        <rFont val="Calibri"/>
        <family val="2"/>
        <scheme val="minor"/>
      </rPr>
      <t>6</t>
    </r>
    <r>
      <rPr>
        <sz val="8"/>
        <rFont val="Calibri"/>
        <family val="2"/>
        <scheme val="minor"/>
      </rPr>
      <t xml:space="preserve"> Sm</t>
    </r>
    <r>
      <rPr>
        <vertAlign val="superscript"/>
        <sz val="8"/>
        <rFont val="Calibri"/>
        <family val="2"/>
        <scheme val="minor"/>
      </rPr>
      <t>3</t>
    </r>
  </si>
  <si>
    <t xml:space="preserve">Fuel required </t>
  </si>
  <si>
    <t>Heat Absorbed MWh</t>
  </si>
  <si>
    <t>LHV of fuel, BTU/lb</t>
  </si>
  <si>
    <t>Sm3</t>
  </si>
  <si>
    <t>L</t>
  </si>
  <si>
    <t>AP-42</t>
  </si>
  <si>
    <t>Gas Turbine</t>
  </si>
  <si>
    <r>
      <t>MJ/Sm</t>
    </r>
    <r>
      <rPr>
        <vertAlign val="superscript"/>
        <sz val="10"/>
        <rFont val="Calibri"/>
        <family val="2"/>
        <scheme val="minor"/>
      </rPr>
      <t>3</t>
    </r>
  </si>
  <si>
    <r>
      <t>lb/10</t>
    </r>
    <r>
      <rPr>
        <vertAlign val="superscript"/>
        <sz val="10"/>
        <rFont val="Calibri"/>
        <family val="2"/>
        <scheme val="minor"/>
      </rPr>
      <t>6</t>
    </r>
    <r>
      <rPr>
        <sz val="10"/>
        <rFont val="Calibri"/>
        <family val="2"/>
        <scheme val="minor"/>
      </rPr>
      <t xml:space="preserve"> scf</t>
    </r>
  </si>
  <si>
    <r>
      <t>kg/10</t>
    </r>
    <r>
      <rPr>
        <vertAlign val="superscript"/>
        <sz val="10"/>
        <rFont val="Calibri"/>
        <family val="2"/>
        <scheme val="minor"/>
      </rPr>
      <t>6</t>
    </r>
    <r>
      <rPr>
        <sz val="10"/>
        <rFont val="Calibri"/>
        <family val="2"/>
        <scheme val="minor"/>
      </rPr>
      <t xml:space="preserve"> Sm</t>
    </r>
    <r>
      <rPr>
        <vertAlign val="superscript"/>
        <sz val="10"/>
        <rFont val="Calibri"/>
        <family val="2"/>
        <scheme val="minor"/>
      </rPr>
      <t>3</t>
    </r>
  </si>
  <si>
    <t>N20</t>
  </si>
  <si>
    <t>TOC</t>
  </si>
  <si>
    <t>Fuel Gas:</t>
  </si>
  <si>
    <t>Assumed gas turbine generators operate for 24 hours per day with 2 units in operation and fuel flowrate of 2,251 kg/h as documented in the H&amp;MB.</t>
  </si>
  <si>
    <t>Stream 11 Fuel Gas System</t>
  </si>
  <si>
    <t>nC6H14</t>
  </si>
  <si>
    <t>Emission factors have been taken from Table 3.1-1 and Table 3.1-2a in EPA AP42 [Ref 3].</t>
  </si>
  <si>
    <t>Properties obtained from HMB stream 11 Max Flow 790 End Case [Ref 1].</t>
  </si>
  <si>
    <t>Required heat duty of fuel taken from [Ref 11].</t>
  </si>
  <si>
    <t>LHV, HHV based on typical Heating Values for a methane rich stream for normal operation [Ref 12].</t>
  </si>
  <si>
    <t>Flowrate taken from ESIA Emissions Assumptions List [Ref 2].</t>
  </si>
  <si>
    <t>Diesel Engine</t>
  </si>
  <si>
    <t>EFs from EPA-42 Table 3.3-1</t>
  </si>
  <si>
    <r>
      <t>lb/10</t>
    </r>
    <r>
      <rPr>
        <vertAlign val="superscript"/>
        <sz val="8"/>
        <rFont val="Calbri"/>
        <scheme val="major"/>
      </rPr>
      <t>6</t>
    </r>
    <r>
      <rPr>
        <sz val="8"/>
        <rFont val="Calbri"/>
        <scheme val="major"/>
      </rPr>
      <t xml:space="preserve"> scf</t>
    </r>
  </si>
  <si>
    <r>
      <t>Sm</t>
    </r>
    <r>
      <rPr>
        <vertAlign val="superscript"/>
        <sz val="8"/>
        <rFont val="Calbri"/>
        <scheme val="major"/>
      </rPr>
      <t>3</t>
    </r>
  </si>
  <si>
    <r>
      <t>kg/10</t>
    </r>
    <r>
      <rPr>
        <vertAlign val="superscript"/>
        <sz val="8"/>
        <rFont val="Calbri"/>
        <scheme val="major"/>
      </rPr>
      <t>6</t>
    </r>
    <r>
      <rPr>
        <sz val="8"/>
        <rFont val="Calbri"/>
        <scheme val="major"/>
      </rPr>
      <t xml:space="preserve"> Sm</t>
    </r>
    <r>
      <rPr>
        <vertAlign val="superscript"/>
        <sz val="8"/>
        <rFont val="Calbri"/>
        <scheme val="major"/>
      </rPr>
      <t>3</t>
    </r>
  </si>
  <si>
    <t>MMBTU</t>
  </si>
  <si>
    <t>Purge gas and pilot lights</t>
  </si>
  <si>
    <r>
      <t>kg/10</t>
    </r>
    <r>
      <rPr>
        <vertAlign val="superscript"/>
        <sz val="9"/>
        <rFont val="Calbri"/>
        <scheme val="major"/>
      </rPr>
      <t>6</t>
    </r>
    <r>
      <rPr>
        <sz val="9"/>
        <rFont val="Calbri"/>
        <scheme val="major"/>
      </rPr>
      <t xml:space="preserve"> Sm³</t>
    </r>
  </si>
  <si>
    <t>AP 42 Std Gas</t>
  </si>
  <si>
    <t>Flare - Fuel Gas</t>
  </si>
  <si>
    <t>ug/L</t>
  </si>
  <si>
    <t>kg/Sm3</t>
  </si>
  <si>
    <t>LLP and LP Header purge gas required on continuous basis - 0.6 tonnes/day.
Based on GBA Flare Tip, 1.2kg/hr per pilot, 3 off pilots - 0.09 tonnes/day.</t>
  </si>
  <si>
    <t>Reactant</t>
  </si>
  <si>
    <t>Combustion Air</t>
  </si>
  <si>
    <t>Products</t>
  </si>
  <si>
    <t>Acid Gas</t>
  </si>
  <si>
    <t>te/y</t>
  </si>
  <si>
    <t>days</t>
  </si>
  <si>
    <t>te/d</t>
  </si>
  <si>
    <t>includes purge and pilot</t>
  </si>
  <si>
    <t>PM10 Emission rate estimated as:</t>
  </si>
  <si>
    <t>NOTES:</t>
  </si>
  <si>
    <t>Emission factors have been taken from Table 13.5.1 in AP42  Emission Factors for Flare operations [Ref 3].</t>
  </si>
  <si>
    <t>Properties obtained from HMB stream 9 [Ref 1].</t>
  </si>
  <si>
    <t xml:space="preserve">3. </t>
  </si>
  <si>
    <t>Purge rate and pilot fuel rate from [Ref 2].</t>
  </si>
  <si>
    <t>HP Flare - Purge and Pilots</t>
  </si>
  <si>
    <t>HP Header purge gas required on continuous basis - 0.7 tonnes/day.
Based on GBA Flare Tip, 1.2kg/hr per pilot, 3 off pilots - 0.09 tonnes/day.</t>
  </si>
  <si>
    <t>HP Flare - TAR (Inspection and Maintenance)</t>
  </si>
  <si>
    <t>Flare Blowdown</t>
  </si>
  <si>
    <t>5 TARs over field life, one every 4 years and lasts 2 days.
4,000 te per TAR event.</t>
  </si>
  <si>
    <t>HP Flare - Pigging Blowdown</t>
  </si>
  <si>
    <t>SWP Pig Receiver/Launcher blowdown to occur annually for the first two years and from then to be aligned with the SWP TAR. Hence, two additional inspections to the TAR over field life = 0.72 te per event = 1.44te over 2 years, over 27s assuming a max flare rate of 120 MMScfd.</t>
  </si>
  <si>
    <t xml:space="preserve">Stream 9 HP Flare &amp; LP Flare </t>
  </si>
  <si>
    <t>s</t>
  </si>
  <si>
    <t>h</t>
  </si>
  <si>
    <t>for 120MMscfd limit</t>
  </si>
  <si>
    <t>Re-supply of full storgae tank inventories on a quarterly basis:
Methanol 400 x 4m3, TEG 200 x 4m3
Total (outbreathing) 2400m3. Low pressure so assume density of 1kg/m3. Assume additional 20% valve leakage over the course of the year = 2.9 te/year.</t>
  </si>
  <si>
    <t>Leakage occuring across valve seats of PSV's and PCV's. The PSV's are expected to be 'leak tight' as they will be tested and replaced in service if lifted to confirm reseating. PCV leakage due to operational wear and tear. Based on Leakage Class - V</t>
  </si>
  <si>
    <t>To be confirmed during EPC phase. 
1 x 16" PCV (Primary Separator), 1 x 6" PCV (TEG Contactor
1 x 12" PSV (Primary Separator), 1 x 4" PSV (TEG Contactor)
PCV sizes assumed as yet to be sized. Total installed area will be less than PCV's as set pressure is double the PCV operating pressures. Emissions on an Annual basis (100% margin on preliminary estimate as Class V is liquid based testing, not gas emission based) = 1.2 te/year = 0.13689 kg/h.</t>
  </si>
  <si>
    <t>cont</t>
  </si>
  <si>
    <t>LP Flare - Continuous Venting from TEG Regen and PW Degasser plus Header Purge (Continuous)</t>
  </si>
  <si>
    <t>LP continuous venting from TEG Regeneration and Produced Water Degasser. From H&amp;MB Case 3 (Max water), combine total of 0.253 MMscfd (assume all hydrocarbon, CH4). Header purges are additional and on a continuous basis (26.1 kg/hr) estimate (extra line) = 4.9 tonnes/day = 1,789.725 te per year.</t>
  </si>
  <si>
    <t xml:space="preserve">Stream 13 LP Flare PW Degasser </t>
  </si>
  <si>
    <t>Operations</t>
  </si>
  <si>
    <t>EFs from [Ref 14]</t>
  </si>
  <si>
    <t>MGO Users</t>
  </si>
  <si>
    <t>te/te</t>
  </si>
  <si>
    <t>Emissions:</t>
  </si>
  <si>
    <t>Field Service Vessel</t>
  </si>
  <si>
    <t>FSV - Subsea IRM, Domino Pigging</t>
  </si>
  <si>
    <t>No. of Days</t>
  </si>
  <si>
    <t>Fuel Consumption</t>
  </si>
  <si>
    <t>te/day</t>
  </si>
  <si>
    <t>Density of Fuel =</t>
  </si>
  <si>
    <t>kg/m3</t>
  </si>
  <si>
    <t>[Ref 13]</t>
  </si>
  <si>
    <t>Emission factors taken from Table 0-2 [Ref 15].</t>
  </si>
  <si>
    <t>The density of MGO taken as 860 kg/m3 (at 15°C). [Ref 13].</t>
  </si>
  <si>
    <t xml:space="preserve">4. </t>
  </si>
  <si>
    <t>CO2 EF taken from [Ref 18].</t>
  </si>
  <si>
    <t>Fugitive Emissions</t>
  </si>
  <si>
    <t>The current estimate of flanges is c.750. Each flange has an acceptable leak rate of &lt;1.4m3/yr. The number of flanges at the final count may increase.
Fugitive emissions from flange leakage are not contained within the SWP Flare systems and therefore will not be combusted upon release. These emissions should be treated as uncombusted CH4 and the relevant Greenhouse Gas factor applied in relation to CO2 emissions = 1 te/year = 0.114 kg/h.</t>
  </si>
  <si>
    <t>Mole Fraction</t>
  </si>
  <si>
    <t>Mass Fraction</t>
  </si>
  <si>
    <t>Compositional Vent Products</t>
  </si>
  <si>
    <t>gmol</t>
  </si>
  <si>
    <t>kg/kg</t>
  </si>
  <si>
    <t>Details of the analysers have yet to be recieved as this will be carried out during the EPC phase. 
The primary sample of interest is the Wet Gas Dewpoint analyser. This is expected to be a 'grab' type with sequenced analysis. The volumes of grab and emission will be very small. Quoted volume is prelim and to be confirmed during EPC = 0.0024 te/day = 0.8766 te/year = 0.1 kg/h.</t>
  </si>
  <si>
    <t>Based on Full Flow Relief (950MMscfd equivalent) for 5 mins.
Then reduced flaring at 100MMscfd for 2 hours.
Assumed to occur 6 times a year with 225 te per event = 1350 te/year. Peak load is 950 MMScfd flared for 5 mins = 64 te + 100MMScfd flared for 2 h = 161 te for 1 PCV release = 763,792 kg/h + 80,417 kg/h. CO2 emissions rate = 3685.5 tpa for 6 PCV releases per year.</t>
  </si>
  <si>
    <t>Note peak load see above text</t>
  </si>
  <si>
    <t>Flare</t>
  </si>
  <si>
    <t xml:space="preserve">Flare - Blowdown </t>
  </si>
  <si>
    <t xml:space="preserve">HP Flare - Blowdown </t>
  </si>
  <si>
    <t>SWP PSD – shutdown up to 24h (no blowdown required). Warm re-start required as wells will have only slightly cooled. Assuming full well bean-up to be achieved on each well within 1 day. Assuming to start-up Pelican first which is less effective due to Pelican EH limitations. Assuming SWP sufficient operating temperature to be achieved within 24 hours. Assuming SWP PSDs to occur 6 times per year (2000 te per event) = 12000 te.</t>
  </si>
  <si>
    <t>per event</t>
  </si>
  <si>
    <t>Emission factors have been taken from Table 13.5-1 in AP42: Emission Factors for Flare operations [Ref 3].</t>
  </si>
  <si>
    <t>Assume incomplete combustion so 98% conversion of CH4 in stream to CO2.</t>
  </si>
  <si>
    <t>ESD – confirmed F&amp;G requires full SWP blowdown and investigation time up to 7 days. Cold re-start required as wells will have cooled significantly. Assuming full well bean-up to be achieved on each well within 2 days and to start-up Pelican first which is less effective due to Pelican EH limitations. Assuming SWP sufficient operating temperature to be achieved within 48 hours. Assuming high level ESD trips to occur once a year = 4000 te/year. 2 days of flaring.</t>
  </si>
  <si>
    <t>Assuming high level ESD trips to occur 6 times during early field life due to initial plant stability issues and surveillance activities. Full SWP blowdown and cold re-start (Pelican – 48h flaring) required.
= 4000 te per event = 24,000 te/yr.</t>
  </si>
  <si>
    <t xml:space="preserve">Early field life - Max Pressure - Partial Blowdown. SWP Trip (320barg) on high high pressure - Restart requiring blowdown from SITHP to Restart Pressure (assumed to 100bara). Assumed one per year event (18 te); expected to be less frequent as ICSS would be configured to avoid SITHP conditions in Domino Flowline. Volume of 1.5km tie back and 140m riser section (+10% margin on volume to cover manifolds etc). Total Volume for ESIA assumed 106m3. 96,500 kg/h (11min flaring of total 18te, assuming a max flare rate of 120MMScfd). </t>
  </si>
  <si>
    <t>Early field life - Max Pressure - Partial Blowdown
SWP Trip (320barg) on high high pressure - Restart requiring blowdown from SITHP to Restart Pressure (assumed to 100bara). Assumed one per year event (605 te); expected to be less frequent as ICSS would be configured to avoid SITHP conditions in Domino Flowline. Volume of 26km tie back to DC1 and further 10km tieback to DC2 Total Volume for ESIA assumed 3,600m3. Peak = 96,500 kg/h (6.3h flaring of total 605te, assuming a max flare rate of 120MMScfd).</t>
  </si>
  <si>
    <t>EFs from [Ref 15]</t>
  </si>
  <si>
    <t>Helicopter</t>
  </si>
  <si>
    <t>Distance travelled =</t>
  </si>
  <si>
    <t>km/year</t>
  </si>
  <si>
    <t>Fuel Mileage =</t>
  </si>
  <si>
    <t>km/tonne</t>
  </si>
  <si>
    <t>Emission factors taken from Table 3.3 [Ref 15].</t>
  </si>
  <si>
    <t>Trip distance to SWP based on approximate distance to SWP [Ref 2].</t>
  </si>
  <si>
    <t>Distance to SWP and back is 160km(*2=320km). Used value of 5.5km/L divided by aviation fuel density of 762 kg/m3 [Ref 16].</t>
  </si>
  <si>
    <t xml:space="preserve">5. </t>
  </si>
  <si>
    <t>CO2 EF taken from [Ref 17].</t>
  </si>
  <si>
    <t>Abnormal Ops</t>
  </si>
  <si>
    <t>Supply Boat for SWP</t>
  </si>
  <si>
    <t>Subsea Intervention</t>
  </si>
  <si>
    <t>4 Supply boats for SWP [Ref 2].</t>
  </si>
  <si>
    <t>250 litres per hour, 24 hours a day for 120 days = 0.208125 te/hr = 208.125 kg/h.
1 MW Power Generation.</t>
  </si>
  <si>
    <t>kg/hr</t>
  </si>
  <si>
    <t>Diesel Generators - Black Start Generator for Commissioning and Start-up</t>
  </si>
  <si>
    <t>Diesel fuel consumption rate taken from [Ref 2] and based on engine at a capacity of 800 kW.</t>
  </si>
  <si>
    <t>Diesel Generator - Essential Services for Commissioning and Start-up</t>
  </si>
  <si>
    <t>Diesel fuel consumption rate taken from [Ref 2] and based on engine at a capacity of 1.4 MW.</t>
  </si>
  <si>
    <t xml:space="preserve">Duration for Pelican pre-com over 7 days temp spread based on offshore construction vessel diesel driven units. Assumption based on engagement with pre-com contractor lt/hr is based on diesel consumption. Total activity basis is 7 days.
Filling - 24hrs, Filling Pump - x1 @ 80lt/hr, Service Air Compressor x 1  @ 80lt/hr and Power Generator x 1  @ 45lt/hr = 205l/h = 170.6625 kg/h
</t>
  </si>
  <si>
    <t>Diesel fuel consumption rate taken from [Ref 2].</t>
  </si>
  <si>
    <t xml:space="preserve">Duration for Pelican pre-com over 7 days temp spread based on offshore construction vessel diesel driven units. Assumption based on engagement with pre-com contractor lt/hr is based on diesel consumption. Total activity basis is 7 days.
Hydrotest  - 4 days, Service Air Compressor x 1  @ 45lt/hr, Power Generator x 1  @ 25lt/hr = 70 l/h = 58.275 kg/h.
</t>
  </si>
  <si>
    <t>Duration for Pelican pre-com over 7 days temp spread based on offshore construction vessel diesel driven units. Assumption based on engagement with pre-com contractor lt/hr is based on diesel consumption. Total activity basis is 7 days.
De-Watering and Packing - 2 days, Primary Compressor x 12  @ 140lt/hr, Generator for NPU x 2  @ 50lt/hr, Booster x 3  @ 155lt/hr 
Displacement Pump x 2  @ 100lt/hr, Power Generator x 1  @ 25lt/hr =  2470 l/h = 2056.275 kg/h</t>
  </si>
  <si>
    <t xml:space="preserve">Duration for GPP pre-com Offshore over 15 days temp spread based on offshore construction vessel diesel driven units. Assumption based on engagement with pre-com contractor lt/hr is based on diesel consumption. Total activity basis is 15 days
Filling - 4 days, Lift Pump - x1  @ 160lt/hr, Flooding Pump - x1 @ 80lt/hr, Power Generator x 1  @ 45lt/hr, Service Air Compressor x 1  @ 80lt/hr = 365 l/h = 30.386 kg/h
</t>
  </si>
  <si>
    <t>Duration for GPP pre-com Offshore over 15 days temp spread based on offshore construction vessel diesel driven units. Assumption based on engagement with pre-com contractor lt/hr is based on diesel consumption. Total activity basis is 15 days
Hydrotest  - 5 days, Lift Pump - x1  @ 77lt/hr, HP Pump - x2 @ 70lt/hr 
Power Generator x 1  @ 25lt/hr, Service Air Compressor x 1  @ 45lt/hr = 287 l/h = 23.893 kg/h</t>
  </si>
  <si>
    <t xml:space="preserve">Duration for GPP pre-com Offshore over 15 days temp spread based on offshore construction vessel diesel driven units. Assumption based on engagement with pre-com contractor lt/hr is based on diesel consumption. Total activity basis is 15 days
De-Watering and Packing - 6 days, Primary Compressor x 12  @ 140lt/hr, Generator for NPU x 2  @ 50lt/hr, Booster x 3  @ 155lt/hr 
Displacement Pump x 2  @ 100lt/hr, Power Generator x 1  @ 13lt/hr = 2458 l/h = 2046.285 kg/h </t>
  </si>
  <si>
    <t>Duration for Domino pre-com over 7.5 days temp spread based on offshore construction vessel diesel driven units. Assumption based on engagement with pre-com contractor lt/hr is based on diesel consumption. Total activity basis is 7.5 days.
Filling - 6 days, Lift Pump - x3  @ 160lt/hr, Flooding Pump - x2 @ 80lt/hr, Power Generator x 1  @ 45lt/hr, Service Air Compressor x 1  @ 80lt/hr = 765 l/h = 63.686 kg/h.</t>
  </si>
  <si>
    <t>Duration for Domino pre-com over 7.5 days temp spread based on offshore construction vessel diesel driven units. Assumption based on engagement with pre-com contractor lt/hr is based on diesel consumption. Total activity basis is 7.5 days.
Leak Test  - 1.5 days, Power Generator x 1  @ 25lt/hr, Service Air Compressor x 1  @ 45lt/hr = 70 l/h = 58.275 kg/h</t>
  </si>
  <si>
    <t>LP Flare only used during this phase when transitioning from Commissioning to Operations. The LP Flare will be lit when the first of the SPS's commences forward gas (expected to be Pelican). Expected to be a combined LP and HP Flare, so assumption that pilot gas is included in the HP Flare allowance = 0.09 te/day = 32.8725 te/year.</t>
  </si>
  <si>
    <t>Assumes a combined LP &amp; HP Flare tip with 3 pilots. Pilots to be lit during GPP N2/ backgassing process. Assumes 2 day process, noting that the pilots cannot be lit until natural gas is present in the vent gas as N2 will snuff the pilots. bottled propane gas to be provided = 0.09 te/day = 32.8725 te/year.</t>
  </si>
  <si>
    <t>HP Flare - Initial Cold Start (Pelican Well Ramp Up)</t>
  </si>
  <si>
    <t xml:space="preserve">See Nicole's Email. </t>
  </si>
  <si>
    <t xml:space="preserve">Based on Pelican system being brought online first. Slow ramp up rate 3 days per well, incremental bean up steps. Minimum required gas temperature of 10degC used, to allow circulation of Lean TEG. Calculation assumes 2 days, but 5 days allowed for. Cumulative gas to HP Flare estimated at 15000Te for this 'one off' case. Faster re-starts expected once well performances have been monitored and understood (HP Flare - Re-Start).
Bottled Propane required for HP Flare Pilot during inital Pelican system start-up. Presence of N2 in subsurface wells has the potential to cause pilot flame snuffing (GPP back gas needs confirming). Peak load: 201,250 kg/h (equal to 250MMScfd flared for 24h = 4830te) + 161,000 kg/h (equal to 200MMScfd flared for 24h = 3864te) + 120,750 kg/h (equal to 150MMScfd flared for 24h = 2898te) + 80,500 kg/h (equal to 100MMScfd flared for 24h = 1932te) + 40,250 kg/h (equal to 50MMScfd flared for 24h = 966te).
</t>
  </si>
  <si>
    <t>Domino flowline initially filled with N2; System to be assumed to be left at 95 bara. Slow Domino well bean-up while Pelican is producing at stable conditions (250MMscfd). Pelican production being flared while N2 system purge (24h – slow well ramp up)
Assuming mixing zone of 50% of total Domino flowline volume – worst case 100% CH4 in mixing zone to be flared = 5,000 te. with 2.16 days of flaring of total 5000te, assuming a max flare rate of 120MMScfd.</t>
  </si>
  <si>
    <t>Duration for GPP pre-com Onshore over 15 days temp spread based on offshore construction vessel diesel driven units. Assumption based on engagement with pre-com contractor lt/hr is based on diesel consumption. Total activity basis is 15 days.
Assumed 12 hour day.
Filling - 6 days, Power Generator x 1  @ 25lt/hr, Service Air Compressor x 1  @ 45lt/hr = 70 l/h = 58.275 kg/h</t>
  </si>
  <si>
    <t>Duration for GPP pre-com Onshore over 15 days temp spread based on offshore construction vessel diesel driven units. Assumption based on engagement with pre-com contractor lt/hr is based on diesel consumption. Total activity basis is 15 days.
Assumed 12 hour day.
Hydrotest  - 5 days, Transfer Pump - x1  @ 80lt/hr, HP Pump - x4 @ 120lt/hr, Power Generator x 1  @ 25lt/hr, Service Air Compressor x 1  @ 45lt/hr = 630 l/h = 524.475 kg/h.</t>
  </si>
  <si>
    <t>Duration for GPP pre-com Onshore over 15 days temp spread based on offshore construction vessel diesel driven units. Assumption based on engagement with pre-com contractor lt/hr is based on diesel consumption. Total activity basis is 15 days.
Assumed 12 hour day.
De-Watering and Packing - 32 days, Primary Compressor x 10  @ 140lt/hr, Generator for NPU x 5  @ 50lt/hr, Booster x 2  @ 155lt/hr 
Displacement Pump x 1  @ 100lt/hr, Power Generator x 1  @ 13lt/hr = 2073 l/h =  1725.7725 kg/h</t>
  </si>
  <si>
    <t>Assume 24 hrs per day 2 number forklifts and 1 off crawler crane
Assumes 3L per hour forklift
Assumes 8l per hour crawler crane
Assume 350 ltrs per day = 8400 l/hr = 6993 kg/h</t>
  </si>
  <si>
    <t>Peak = 96,500 kg/h (41min VENTING of total 66te, assuming a max vent rate of 120MMScfd).</t>
  </si>
  <si>
    <t>GPP: Assume no PIG train barrier during back gas operation.
Relatively plug flow assumed, but some mixing will take place. Assumption is that a mixing zone of 10% of GPP is required, or c16km
N2 at 14bara assumed in GPP. 
Estimated mass of Methane vented prior to ingnition of HP Flare: 65Te (assume 100% Ch4 in mixing zone)
Pelican: 1.5km tie back + manifolds. Assume system left at 14bara N2 full system sweep *1.5 before HP Pilot is lit. Assume the *0.5 is the CH4 cold vent prior to HP Flare Pilot ignition: 1Te
Domino: 26 +10km tie back. System assumed to be left at 95bara N2.
Slow ramp up and mixing so if 'venting' is required this will be practical via a lit HP Flare as Pelican assumed to be running whilst N2 purge of Domino is taking place = 66 te.</t>
  </si>
  <si>
    <t>Trip distance based on approximate distance to SWP [Ref 2].</t>
  </si>
  <si>
    <t xml:space="preserve">4 Helicopters per day over 90 days assumed to cover winter period - CTV also available for non weather sensitive periods. </t>
  </si>
  <si>
    <t>Distance to SWP and back is 160km(*2=320km). During construction, 4 helicopter trips per day. Used value of 5.5km/L divided by aviation fuel density of 762 kg/m3 [Ref 16].</t>
  </si>
  <si>
    <t>Pipeline Installation Vessel</t>
  </si>
  <si>
    <t>Supply Vessel</t>
  </si>
  <si>
    <t>Heavy Lift Vessel</t>
  </si>
  <si>
    <t>Heavy Transportation Vessel</t>
  </si>
  <si>
    <t>Flexlay Installation Vessel</t>
  </si>
  <si>
    <t>Subsea Construction Vessel (Heavy)</t>
  </si>
  <si>
    <t>Subsea Construction Vessel (Light)</t>
  </si>
  <si>
    <t>Survey Vessel</t>
  </si>
  <si>
    <t>Cargo Barge</t>
  </si>
  <si>
    <t>Flotel</t>
  </si>
  <si>
    <t>CTV</t>
  </si>
  <si>
    <t>ERRV</t>
  </si>
  <si>
    <t>Dredger</t>
  </si>
  <si>
    <t>Rock Dumper</t>
  </si>
  <si>
    <t>not tpa</t>
  </si>
  <si>
    <t>31.5 MW @ 50 te/day for 24 hours a day for 800 days.
Assumed 24 hours of operation per day.
8 Diesel Generators (42 MW) assuming 75% utilisation in normal operations(drilling package, DP thrusters, utilities) for 24 hours of operation per day. Assuming diesel flow rate of 50 tonnes per day = 18,262.5 te/year.</t>
  </si>
  <si>
    <t>RMR use 12m3/ day 80 days = 500L/hr
WL - 5 days 1m3 / day / well = 458.37L/hr
GP pump skids - 2 days/ well 1m3 / day = 458.37L/hr
allow for 10 wells + 1 redrill = 1416.74L/hr = 1179.436 kg/h</t>
  </si>
  <si>
    <t>Assumed cranes operate for an average of 12 hrs/day and for a total of 800 days with 2.5 L/hr fuel consumption rate = 2.08125 kg/h.</t>
  </si>
  <si>
    <t>During 800-day drilling campaign, one helicopter trip per day and another every second day (800 + 400).</t>
  </si>
  <si>
    <t>Distance from NGMS to Pelican and to Domino is approximately 218 km and 238 km, respectively. A fuel consumption rate of 5.5 km/L assumed for the calculation divided by aviation fuel density of 762 kg/m3 [Ref 16].</t>
  </si>
  <si>
    <t xml:space="preserve">6. </t>
  </si>
  <si>
    <t>4 wells at Pelican and 6 at Domino therefore 1200 prorated with 720 trips to Domino (with a distance of 476km per trip) and 480 trips to Pelican (distance of 436km per trip).</t>
  </si>
  <si>
    <t>AHT Vessel</t>
  </si>
  <si>
    <t>Standby Vessel</t>
  </si>
  <si>
    <t>MSV</t>
  </si>
  <si>
    <t>2 Supply Vessels for campaign, 2-3 standby vessels on continuous rotation (rig/transit/port) [Ref 2].</t>
  </si>
  <si>
    <t>Anchor Handler for Pelican - 1 month to lay and 1 month de-mob.</t>
  </si>
  <si>
    <t xml:space="preserve">7. </t>
  </si>
  <si>
    <t>Assumed for one hour of operation per week. For the majority of the time, the NGMS and CCR is powered from the Romanian electricity grid. 305 KVA unit assumed with a 70lhr fuel consumption rate at full load = 58.275 kg/hr.</t>
  </si>
  <si>
    <t>Cranes</t>
  </si>
  <si>
    <t>Excavators</t>
  </si>
  <si>
    <t>Trucks &amp; Transportation</t>
  </si>
  <si>
    <t>Loaders</t>
  </si>
  <si>
    <t>Concrete Trucks</t>
  </si>
  <si>
    <t>Compactors</t>
  </si>
  <si>
    <t>Cherry Pickers</t>
  </si>
  <si>
    <t>Welding Plant Generators</t>
  </si>
  <si>
    <t>Air Compressor</t>
  </si>
  <si>
    <t>Number of Hours</t>
  </si>
  <si>
    <t>L/hr</t>
  </si>
  <si>
    <t>Table 8.2 - Default Emission Factors for Diesel Consumption Plant Operations</t>
  </si>
  <si>
    <t>Source: EEMS Atmospheric Emissions Calculations as used by UKOOA</t>
  </si>
  <si>
    <t>Emission Gas</t>
  </si>
  <si>
    <t>Turbine</t>
  </si>
  <si>
    <t>Heater</t>
  </si>
  <si>
    <t>For duration of construction period onshore.</t>
  </si>
  <si>
    <t>E(CO2)</t>
  </si>
  <si>
    <t>E(NOx)</t>
  </si>
  <si>
    <t>E(N2O)</t>
  </si>
  <si>
    <t>E(SO2)</t>
  </si>
  <si>
    <t>E(CO)</t>
  </si>
  <si>
    <t>E(CH4)</t>
  </si>
  <si>
    <t>E(VOC)</t>
  </si>
  <si>
    <t>Diesel fuel consumption rates taken from [Ref 20].</t>
  </si>
  <si>
    <t>Operational hours and equipment taken from [Ref 2].</t>
  </si>
  <si>
    <t>Occurs twice per year over a period of 20 mins to change out filters and drain separator.
40 times over field life in total 48te.
1.2 te per year.</t>
  </si>
  <si>
    <t xml:space="preserve">for </t>
  </si>
  <si>
    <t>peak load is 14855.6 kg/h</t>
  </si>
  <si>
    <t>times a year</t>
  </si>
  <si>
    <t>Occurs Annualy for the first two years and once every 4 years after that based on RBI (together with TAR) over a 20 minute duration.
2 times at early field life in total 0.38te and 0.19 te per event.</t>
  </si>
  <si>
    <t>peak load is 885.3 kg/h</t>
  </si>
  <si>
    <t>Entire onshore facility physical volume is 170m3 (in between inlet and outlet SDVs) - assumed depresurisation volume and pressure at 55 Bar - per ND-D-IO-90-PR-BPHY-0001-0001. Every 4 years aligned with SWP TAR.
5 times over field life in total 40te - 8 te per event. Relief in 40 mins.</t>
  </si>
  <si>
    <t>Leakage occuring across valve seats of PSV's
The PSV's are expected to be 'leak tight' as they will be tested and replaced in service if lifted to confirm reseating
Based on Leakage Class - V. To be confirmed during EPC phase
For simplicity PSV's also assumed to be Class V
3 x 40E50 PSV (Heaters), 
2 x 80J100 PSV (Filter Separator - one in operation and one isolated, in stand-by)  - only the live one is considered in the calculation
 PSV's assumed for this exercise as yet to be sized. 
Emissions on an Annual basis (100% margin on preliinary estimate as Class V is liquid based testing, not gas emission based) = 0.11 te/year.</t>
  </si>
  <si>
    <t>The current estimate of flanges is c.200. Each flange has an acceptable leak rate of &lt;1.4m3/yr
The number of flanges at the final count may increase.
Fugitive emissions from flange leakage are not contained within the SWP Flare systems and therefore will not be combusted upon release. These emissions should be treated as uncombusted CH4 and the relevant Greenhouse Gas factor applied in relation to CO2 emissions = 0.25 te/year.</t>
  </si>
  <si>
    <t>Combined hot exhaust and cold start emission factors, by vehicle type (for VOCs, the factor also includes evaporative emissions) Table 3</t>
  </si>
  <si>
    <t>Rigid HGVs</t>
  </si>
  <si>
    <t>Diesel cars</t>
  </si>
  <si>
    <t>Petrol cars</t>
  </si>
  <si>
    <t>Petrol LGV</t>
  </si>
  <si>
    <t>Diesel LGV</t>
  </si>
  <si>
    <t>Acrtic HGV</t>
  </si>
  <si>
    <t>Buses</t>
  </si>
  <si>
    <t>g/km</t>
  </si>
  <si>
    <t>PM10</t>
  </si>
  <si>
    <t>PM2.5</t>
  </si>
  <si>
    <t>NH3</t>
  </si>
  <si>
    <t>C6H6</t>
  </si>
  <si>
    <t>laden</t>
  </si>
  <si>
    <t>Petrol Cars</t>
  </si>
  <si>
    <t>km per year</t>
  </si>
  <si>
    <t>km/yr</t>
  </si>
  <si>
    <t>km per day</t>
  </si>
  <si>
    <t>km/day</t>
  </si>
  <si>
    <t>Emission factors combined cold start / exhaust taken from Table 3 [Ref 4].</t>
  </si>
  <si>
    <t>Crew car travels 60km per day for 365 days per year [Ref 2].</t>
  </si>
  <si>
    <t>Assuming 50% of crew cars in Romania use diesel and 50% use petrol.</t>
  </si>
  <si>
    <t>EMISSION FACTORS WORKSHEET for Max Flow 790 End Case</t>
  </si>
  <si>
    <t>INPUT</t>
  </si>
  <si>
    <t>Fuel Gas System</t>
  </si>
  <si>
    <t>HP Flare &amp; LP Flare</t>
  </si>
  <si>
    <t>LP Flare PW Degasser</t>
  </si>
  <si>
    <t>RESULTS</t>
  </si>
  <si>
    <t>TEG Regen</t>
  </si>
  <si>
    <t>EMISSION FACTORS - BASED ON FUEL GAS COMPOSITION</t>
  </si>
  <si>
    <t>Stream Number</t>
  </si>
  <si>
    <t>Stream 11</t>
  </si>
  <si>
    <t>Stream 9</t>
  </si>
  <si>
    <t>Stream 13</t>
  </si>
  <si>
    <t>Fuel gas</t>
  </si>
  <si>
    <t>mol %</t>
  </si>
  <si>
    <t>Stream Name</t>
  </si>
  <si>
    <t>Dry Gas to NGMS</t>
  </si>
  <si>
    <t>TEG Contactor Gas Outlet</t>
  </si>
  <si>
    <t>Gas Outlet from PW Degasser</t>
  </si>
  <si>
    <t xml:space="preserve">Hydrogen                                           </t>
  </si>
  <si>
    <t>Vapour Fraction</t>
  </si>
  <si>
    <t xml:space="preserve">Nitrogen                                                </t>
  </si>
  <si>
    <r>
      <t xml:space="preserve">Temperature </t>
    </r>
    <r>
      <rPr>
        <vertAlign val="superscript"/>
        <sz val="10"/>
        <rFont val="Calibri"/>
        <family val="2"/>
        <scheme val="minor"/>
      </rPr>
      <t>o</t>
    </r>
    <r>
      <rPr>
        <sz val="10"/>
        <rFont val="Calibri"/>
        <family val="2"/>
        <scheme val="minor"/>
      </rPr>
      <t>C</t>
    </r>
  </si>
  <si>
    <t xml:space="preserve">Oxygen                                                   </t>
  </si>
  <si>
    <t>Pressure Barg</t>
  </si>
  <si>
    <t xml:space="preserve">Water                                               </t>
  </si>
  <si>
    <t>Molar Flow</t>
  </si>
  <si>
    <t xml:space="preserve">Carbon monoxide                              </t>
  </si>
  <si>
    <t>Mass Flow</t>
  </si>
  <si>
    <t xml:space="preserve">Carbon dioxide                    </t>
  </si>
  <si>
    <t>Molar Enthalpy</t>
  </si>
  <si>
    <t xml:space="preserve">Hydrogen sulfide                </t>
  </si>
  <si>
    <t>******* Vapour ********</t>
  </si>
  <si>
    <t xml:space="preserve">Sulfur dioxide                   </t>
  </si>
  <si>
    <t>Std Mass Density</t>
  </si>
  <si>
    <t>From Hysys</t>
  </si>
  <si>
    <t xml:space="preserve">Ammonia                      </t>
  </si>
  <si>
    <t xml:space="preserve">Methane                             </t>
  </si>
  <si>
    <t>C1</t>
  </si>
  <si>
    <t>Std Gas Flow</t>
  </si>
  <si>
    <t xml:space="preserve">Ethane                        </t>
  </si>
  <si>
    <t>C2</t>
  </si>
  <si>
    <t>Actual Volume Flow</t>
  </si>
  <si>
    <t xml:space="preserve">Propane                          </t>
  </si>
  <si>
    <t>C3</t>
  </si>
  <si>
    <t>Molecular Weight</t>
  </si>
  <si>
    <t xml:space="preserve">n-Butane                 </t>
  </si>
  <si>
    <t>nC4</t>
  </si>
  <si>
    <t>Mass Heat Capacity</t>
  </si>
  <si>
    <t xml:space="preserve">2-Methylpropane       </t>
  </si>
  <si>
    <t>iC4</t>
  </si>
  <si>
    <r>
      <t>Mass Density kg/m</t>
    </r>
    <r>
      <rPr>
        <vertAlign val="superscript"/>
        <sz val="10"/>
        <rFont val="Calibri"/>
        <family val="2"/>
        <scheme val="minor"/>
      </rPr>
      <t>3</t>
    </r>
  </si>
  <si>
    <t xml:space="preserve">n-Pentane                 </t>
  </si>
  <si>
    <t>nC5</t>
  </si>
  <si>
    <t>LHV (MJ/kg)</t>
  </si>
  <si>
    <t xml:space="preserve">2-Methylbutane               </t>
  </si>
  <si>
    <t>iC5</t>
  </si>
  <si>
    <t>Thermal Conductivity</t>
  </si>
  <si>
    <t xml:space="preserve">22-Dimethylpropane           </t>
  </si>
  <si>
    <t>neoC5</t>
  </si>
  <si>
    <t>HHV (MJ/Sm3)</t>
  </si>
  <si>
    <t xml:space="preserve">n-Hexane                                         </t>
  </si>
  <si>
    <t>nC6</t>
  </si>
  <si>
    <t>Viscosity</t>
  </si>
  <si>
    <t xml:space="preserve">2-Methylpentane     </t>
  </si>
  <si>
    <t>iC6</t>
  </si>
  <si>
    <t>Component (Note 1)</t>
  </si>
  <si>
    <t xml:space="preserve"> Molar Fraction</t>
  </si>
  <si>
    <t>Mol%</t>
  </si>
  <si>
    <t>Cyclohexane</t>
  </si>
  <si>
    <t xml:space="preserve">n-Heptane                           </t>
  </si>
  <si>
    <t>nC7</t>
  </si>
  <si>
    <t>n-Nonane</t>
  </si>
  <si>
    <t>nC9</t>
  </si>
  <si>
    <t>n-C14</t>
  </si>
  <si>
    <t>nC14</t>
  </si>
  <si>
    <t>Ave. mwt</t>
  </si>
  <si>
    <t>CO2 Factor-Fuel</t>
  </si>
  <si>
    <t>RMM</t>
  </si>
  <si>
    <r>
      <t>Density t/m</t>
    </r>
    <r>
      <rPr>
        <vertAlign val="superscript"/>
        <sz val="9"/>
        <rFont val="Arial"/>
        <family val="2"/>
      </rPr>
      <t>3</t>
    </r>
    <r>
      <rPr>
        <sz val="9"/>
        <rFont val="Arial"/>
        <family val="2"/>
      </rPr>
      <t xml:space="preserve"> (STP, 22.414 dm</t>
    </r>
    <r>
      <rPr>
        <vertAlign val="superscript"/>
        <sz val="9"/>
        <rFont val="Arial"/>
        <family val="2"/>
      </rPr>
      <t>3</t>
    </r>
    <r>
      <rPr>
        <sz val="9"/>
        <rFont val="Arial"/>
        <family val="2"/>
      </rPr>
      <t>)</t>
    </r>
  </si>
  <si>
    <t>EMISSION FACTORS - BASED ON HP FLARE GAS COMPOSITION</t>
  </si>
  <si>
    <t>HP Flare gas</t>
  </si>
  <si>
    <t>p-Xylene</t>
  </si>
  <si>
    <t>C6-8</t>
  </si>
  <si>
    <t>C9-10</t>
  </si>
  <si>
    <t>C14-15</t>
  </si>
  <si>
    <t>C16-18</t>
  </si>
  <si>
    <t>C19-21</t>
  </si>
  <si>
    <t>C22-24</t>
  </si>
  <si>
    <t>C25-28</t>
  </si>
  <si>
    <t>C29+</t>
  </si>
  <si>
    <t>TOTAL</t>
  </si>
  <si>
    <t xml:space="preserve">3-Methylpentane       </t>
  </si>
  <si>
    <t xml:space="preserve">22-Dimethylbutane               </t>
  </si>
  <si>
    <t xml:space="preserve">23-Dimethylbutane               </t>
  </si>
  <si>
    <t>CO2 Factor-Flare</t>
  </si>
  <si>
    <t>EMISSION FACTORS - BASED ON LP FLARE GAS COMPOSITION</t>
  </si>
  <si>
    <t>LP Flare gas</t>
  </si>
  <si>
    <t>EMISSION FACTORS - Diesel</t>
  </si>
  <si>
    <t>kg CO2 / kg fuel</t>
  </si>
  <si>
    <t>https://www.engineeringtoolbox.com/co2-emission-fuels-d_1085.html</t>
  </si>
  <si>
    <t>Fugitive Emissions - Facilities Level Average Calc</t>
  </si>
  <si>
    <t>Typical Heating Values</t>
  </si>
  <si>
    <t>From Hysis Stream 9 and 11 identical.</t>
  </si>
  <si>
    <t>Volume Basis</t>
  </si>
  <si>
    <t>Mass Basis</t>
  </si>
  <si>
    <t>Stream 13 Composition - no flow - assume all methane.</t>
  </si>
  <si>
    <t>Stream 50</t>
  </si>
  <si>
    <t>Stream 39</t>
  </si>
  <si>
    <t>Actual Flow</t>
  </si>
  <si>
    <r>
      <t>m</t>
    </r>
    <r>
      <rPr>
        <vertAlign val="superscript"/>
        <sz val="10"/>
        <rFont val="Tahoma"/>
        <family val="2"/>
      </rPr>
      <t>3</t>
    </r>
  </si>
  <si>
    <t>Pressure</t>
  </si>
  <si>
    <t>bar a</t>
  </si>
  <si>
    <t>Temperature</t>
  </si>
  <si>
    <t>oC</t>
  </si>
  <si>
    <t>Z</t>
  </si>
  <si>
    <t>Standard Flow</t>
  </si>
  <si>
    <t xml:space="preserve">Density = </t>
  </si>
  <si>
    <t xml:space="preserve">Standard Density = </t>
  </si>
  <si>
    <r>
      <t>kg/Sm</t>
    </r>
    <r>
      <rPr>
        <b/>
        <vertAlign val="superscript"/>
        <sz val="10"/>
        <color theme="1"/>
        <rFont val="Arial"/>
        <family val="2"/>
      </rPr>
      <t>3</t>
    </r>
  </si>
  <si>
    <t xml:space="preserve">Oil Production = </t>
  </si>
  <si>
    <t>sbpd</t>
  </si>
  <si>
    <t>Stream 28</t>
  </si>
  <si>
    <t>m3/h</t>
  </si>
  <si>
    <t>m3/y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</si>
</sst>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43" formatCode="_-* #,##0.00_-;\-* #,##0.00_-;_-* &quot;-&quot;??_-;_-@_-"/>
    <numFmt numFmtId="164" formatCode="&quot;$&quot;#,##0_);[Red]\(&quot;$&quot;#,##0\)"/>
    <numFmt numFmtId="165" formatCode="&quot;$&quot;#,##0.00_);[Red]\(&quot;$&quot;#,##0.00\)"/>
    <numFmt numFmtId="166" formatCode="&quot;£&quot;#,##0;\-&quot;£&quot;#,##0"/>
    <numFmt numFmtId="167" formatCode="General_)"/>
    <numFmt numFmtId="168" formatCode="0.000"/>
    <numFmt numFmtId="169" formatCode="0.0"/>
    <numFmt numFmtId="170" formatCode="0.000E+0"/>
    <numFmt numFmtId="171" formatCode="0.0E+0"/>
    <numFmt numFmtId="172" formatCode="0.000%"/>
    <numFmt numFmtId="173" formatCode="0.0000"/>
    <numFmt numFmtId="174" formatCode="0.00000"/>
    <numFmt numFmtId="175" formatCode="0.000000"/>
    <numFmt numFmtId="176" formatCode="_-* #,##0.00000_-;\-* #,##0.00000_-;_-* &quot;-&quot;??????_-;_-@_-"/>
    <numFmt numFmtId="177" formatCode="_-* #,##0.00000_-;\-* #,##0.00000_-;_-* &quot;-&quot;?????_-;_-@_-"/>
    <numFmt numFmtId="178" formatCode="0.00_)"/>
    <numFmt numFmtId="179" formatCode="_-* #,##0.00_-;\-* #,##0.00_-;_-* &quot;-&quot;?????_-;_-@_-"/>
    <numFmt numFmtId="180" formatCode="_-* #,##0.00_-;\-* #,##0.00_-;_-* &quot;-&quot;??????_-;_-@_-"/>
    <numFmt numFmtId="181" formatCode="_-* #,##0_-;\-* #,##0_-;_-* &quot;-&quot;??????_-;_-@_-"/>
    <numFmt numFmtId="182" formatCode="0E+00"/>
    <numFmt numFmtId="183" formatCode="0.00%_);\-0.00%_);&quot;-  &quot;;&quot; &quot;@&quot; &quot;"/>
    <numFmt numFmtId="184" formatCode="#,##0_);\(#,##0\);&quot;-  &quot;;&quot; &quot;@&quot; &quot;"/>
    <numFmt numFmtId="185" formatCode="dd\ mmm\ yyyy_);\(###0\);&quot;-  &quot;;&quot; &quot;@&quot; &quot;"/>
    <numFmt numFmtId="186" formatCode="dd\ mmm\ yy_);\(###0\);&quot;-  &quot;;&quot; &quot;@&quot; &quot;"/>
    <numFmt numFmtId="187" formatCode="#,##0_);\(#,##0\);&quot;-  &quot;;&quot; &quot;@"/>
    <numFmt numFmtId="188" formatCode="0.000_)"/>
    <numFmt numFmtId="189" formatCode="_-[$€]* #,##0.00_-;\-[$€]* #,##0.00_-;_-[$€]* &quot;-&quot;??_-;_-@_-"/>
    <numFmt numFmtId="190" formatCode="_-* #,##0.00000_-;\-* #,##0.00000_-;_-* &quot;-&quot;????_-;_-@_-"/>
    <numFmt numFmtId="191" formatCode="_-* #,##0.000000_-;\-* #,##0.000000_-;_-* &quot;-&quot;??????_-;_-@_-"/>
    <numFmt numFmtId="192" formatCode="_-* #,##0.0_-;\-* #,##0.0_-;_-* &quot;-&quot;??_-;_-@_-"/>
    <numFmt numFmtId="193" formatCode="_-* #,##0_-;\-* #,##0_-;_-* &quot;-&quot;??_-;_-@_-"/>
    <numFmt numFmtId="194" formatCode="_-* #,##0.0000000_-;\-* #,##0.0000000_-;_-* &quot;-&quot;???????_-;_-@_-"/>
    <numFmt numFmtId="195" formatCode="#,##0.0000_ ;\-#,##0.0000\ "/>
    <numFmt numFmtId="196" formatCode="#,##0.00_ ;\-#,##0.00\ "/>
    <numFmt numFmtId="197" formatCode="#,##0.0_ ;\-#,##0.0\ "/>
    <numFmt numFmtId="198" formatCode="#,##0_ ;\-#,##0\ "/>
    <numFmt numFmtId="199" formatCode="0.0000000"/>
    <numFmt numFmtId="200" formatCode="0.00000000"/>
    <numFmt numFmtId="201" formatCode="#,##0.0"/>
    <numFmt numFmtId="202" formatCode="#,##0.0000"/>
    <numFmt numFmtId="203" formatCode="_-* #,##0.0000000_-;\-* #,##0.0000000_-;_-* &quot;-&quot;??????_-;_-@_-"/>
    <numFmt numFmtId="204" formatCode="_-* #,##0.0000_-;\-* #,##0.0000_-;_-* &quot;-&quot;??????_-;_-@_-"/>
    <numFmt numFmtId="205" formatCode="_-* #,##0.000_-;\-* #,##0.000_-;_-* &quot;-&quot;??????_-;_-@_-"/>
    <numFmt numFmtId="206" formatCode="_-* #,##0.00000000_-;\-* #,##0.00000000_-;_-* &quot;-&quot;??????_-;_-@_-"/>
    <numFmt numFmtId="207" formatCode="_-* #,##0.0000_-;\-* #,##0.0000_-;_-* &quot;-&quot;????_-;_-@_-"/>
    <numFmt numFmtId="208" formatCode="_-* #,##0.000000_-;\-* #,##0.000000_-;_-* &quot;-&quot;???????_-;_-@_-"/>
    <numFmt numFmtId="209" formatCode="0.000000000"/>
    <numFmt numFmtId="210" formatCode="_-* #,##0.0_-;\-* #,##0.0_-;_-* &quot;-&quot;??????_-;_-@_-"/>
    <numFmt numFmtId="211" formatCode="_-* #,##0.000_-;\-* #,##0.000_-;_-* &quot;-&quot;???????_-;_-@_-"/>
    <numFmt numFmtId="212" formatCode="_-* #,##0.0000_-;\-* #,##0.0000_-;_-* &quot;-&quot;??_-;_-@_-"/>
    <numFmt numFmtId="213" formatCode="#,##0.000"/>
    <numFmt numFmtId="214" formatCode="_-* #,##0.000_-;\-* #,##0.000_-;_-* &quot;-&quot;??_-;_-@_-"/>
  </numFmts>
  <fonts count="116">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Calibri"/>
      <family val="2"/>
      <scheme val="minor"/>
    </font>
    <font>
      <b/>
      <sz val="10"/>
      <name val="Calibri"/>
      <family val="2"/>
      <scheme val="minor"/>
    </font>
    <font>
      <sz val="10"/>
      <color theme="1"/>
      <name val="Calibri"/>
      <family val="2"/>
      <scheme val="minor"/>
    </font>
    <font>
      <sz val="10"/>
      <name val="Calibri"/>
      <family val="2"/>
      <scheme val="minor"/>
    </font>
    <font>
      <b/>
      <sz val="14"/>
      <name val="Calibri"/>
      <family val="2"/>
      <scheme val="minor"/>
    </font>
    <font>
      <sz val="11"/>
      <name val="Calibri"/>
      <family val="2"/>
      <scheme val="minor"/>
    </font>
    <font>
      <b/>
      <sz val="8"/>
      <name val="Calibri"/>
      <family val="2"/>
      <scheme val="minor"/>
    </font>
    <font>
      <sz val="8"/>
      <name val="Calibri"/>
      <family val="2"/>
      <scheme val="minor"/>
    </font>
    <font>
      <vertAlign val="superscript"/>
      <sz val="10"/>
      <name val="Calibri"/>
      <family val="2"/>
      <scheme val="minor"/>
    </font>
    <font>
      <vertAlign val="superscript"/>
      <sz val="8"/>
      <name val="Calibri"/>
      <family val="2"/>
      <scheme val="minor"/>
    </font>
    <font>
      <sz val="9"/>
      <name val="Calibri"/>
      <family val="2"/>
      <scheme val="minor"/>
    </font>
    <font>
      <sz val="12"/>
      <name val="Calibri"/>
      <family val="2"/>
      <scheme val="minor"/>
    </font>
    <font>
      <sz val="8"/>
      <name val="Calbri"/>
      <scheme val="major"/>
    </font>
    <font>
      <b/>
      <sz val="14"/>
      <name val="Calbri"/>
      <scheme val="major"/>
    </font>
    <font>
      <sz val="10"/>
      <name val="Calbri"/>
      <scheme val="major"/>
    </font>
    <font>
      <sz val="11"/>
      <name val="Calbri"/>
      <scheme val="major"/>
    </font>
    <font>
      <vertAlign val="superscript"/>
      <sz val="8"/>
      <name val="Calbri"/>
      <scheme val="major"/>
    </font>
    <font>
      <sz val="9"/>
      <name val="Calbri"/>
      <scheme val="major"/>
    </font>
    <font>
      <sz val="12"/>
      <name val="Calbri"/>
      <scheme val="major"/>
    </font>
    <font>
      <u/>
      <sz val="10"/>
      <color theme="10"/>
      <name val="Arial"/>
      <family val="2"/>
    </font>
    <font>
      <sz val="8"/>
      <color theme="1"/>
      <name val="Calibri"/>
      <family val="2"/>
      <scheme val="minor"/>
    </font>
    <font>
      <sz val="12"/>
      <name val="Helv"/>
    </font>
    <font>
      <u/>
      <sz val="11"/>
      <color theme="10"/>
      <name val="Calibri"/>
      <family val="2"/>
      <scheme val="minor"/>
    </font>
    <font>
      <sz val="10"/>
      <name val="Arial"/>
      <family val="2"/>
    </font>
    <font>
      <sz val="12"/>
      <name val="Arial"/>
      <family val="2"/>
    </font>
    <font>
      <b/>
      <sz val="9"/>
      <color indexed="12"/>
      <name val="Arial"/>
      <family val="2"/>
    </font>
    <font>
      <sz val="9"/>
      <name val="Arial"/>
      <family val="2"/>
    </font>
    <font>
      <b/>
      <sz val="9"/>
      <name val="Times New Roman"/>
      <family val="1"/>
    </font>
    <font>
      <b/>
      <sz val="9"/>
      <color indexed="18"/>
      <name val="Arial"/>
      <family val="2"/>
    </font>
    <font>
      <sz val="10"/>
      <name val="Arial"/>
      <family val="2"/>
    </font>
    <font>
      <sz val="9"/>
      <color indexed="8"/>
      <name val="Arial"/>
      <family val="2"/>
    </font>
    <font>
      <b/>
      <sz val="9"/>
      <name val="Arial"/>
      <family val="2"/>
    </font>
    <font>
      <i/>
      <sz val="9"/>
      <name val="Arial"/>
      <family val="2"/>
    </font>
    <font>
      <vertAlign val="superscript"/>
      <sz val="9"/>
      <name val="Arial"/>
      <family val="2"/>
    </font>
    <font>
      <b/>
      <sz val="10"/>
      <color theme="1"/>
      <name val="Calibri"/>
      <family val="2"/>
      <scheme val="minor"/>
    </font>
    <font>
      <sz val="11"/>
      <name val="Arial Narrow"/>
      <family val="2"/>
    </font>
    <font>
      <sz val="10"/>
      <name val="Arial Narrow"/>
      <family val="2"/>
    </font>
    <font>
      <sz val="8"/>
      <color theme="0" tint="-0.34998626667073579"/>
      <name val="Calibri"/>
      <family val="2"/>
      <scheme val="minor"/>
    </font>
    <font>
      <b/>
      <sz val="20"/>
      <name val="Arial"/>
      <family val="2"/>
    </font>
    <font>
      <sz val="10"/>
      <name val="Arial"/>
      <family val="2"/>
    </font>
    <font>
      <b/>
      <sz val="10"/>
      <name val="Arial"/>
      <family val="2"/>
    </font>
    <font>
      <sz val="8"/>
      <name val="Arial"/>
      <family val="2"/>
    </font>
    <font>
      <b/>
      <sz val="8"/>
      <name val="Arial"/>
      <family val="2"/>
    </font>
    <font>
      <b/>
      <sz val="9"/>
      <name val="Calbri"/>
      <scheme val="major"/>
    </font>
    <font>
      <vertAlign val="superscript"/>
      <sz val="9"/>
      <name val="Calbri"/>
      <scheme val="major"/>
    </font>
    <font>
      <sz val="9"/>
      <color theme="0" tint="-0.14999847407452621"/>
      <name val="Calbri"/>
      <scheme val="major"/>
    </font>
    <font>
      <sz val="9"/>
      <color theme="0" tint="-0.14999847407452621"/>
      <name val="Calibri"/>
      <family val="2"/>
      <scheme val="minor"/>
    </font>
    <font>
      <b/>
      <sz val="14"/>
      <name val="Arial"/>
      <family val="2"/>
    </font>
    <font>
      <vertAlign val="superscript"/>
      <sz val="8"/>
      <name val="Arial"/>
      <family val="2"/>
    </font>
    <font>
      <b/>
      <sz val="9"/>
      <name val="Calibri"/>
      <family val="2"/>
      <scheme val="minor"/>
    </font>
    <font>
      <sz val="9"/>
      <color theme="0" tint="-0.14999847407452621"/>
      <name val="Arial"/>
      <family val="2"/>
    </font>
    <font>
      <sz val="9"/>
      <color theme="1"/>
      <name val="Arial"/>
      <family val="2"/>
    </font>
    <font>
      <sz val="9"/>
      <color theme="0" tint="-0.34998626667073579"/>
      <name val="Arial"/>
      <family val="2"/>
    </font>
    <font>
      <b/>
      <sz val="9"/>
      <color theme="0" tint="-0.34998626667073579"/>
      <name val="Arial"/>
      <family val="2"/>
    </font>
    <font>
      <u/>
      <sz val="9"/>
      <color theme="10"/>
      <name val="Arial"/>
      <family val="2"/>
    </font>
    <font>
      <u/>
      <sz val="10"/>
      <color theme="10"/>
      <name val="Calibri"/>
      <family val="2"/>
      <scheme val="minor"/>
    </font>
    <font>
      <u/>
      <sz val="11"/>
      <color theme="1"/>
      <name val="Calibri"/>
      <family val="2"/>
      <scheme val="minor"/>
    </font>
    <font>
      <b/>
      <sz val="11"/>
      <color indexed="8"/>
      <name val="Calibri"/>
      <family val="2"/>
      <scheme val="minor"/>
    </font>
    <font>
      <b/>
      <sz val="12"/>
      <color theme="1"/>
      <name val="Calibri"/>
      <family val="2"/>
      <scheme val="minor"/>
    </font>
    <font>
      <sz val="10"/>
      <color indexed="8"/>
      <name val="Calibri"/>
      <family val="2"/>
      <scheme val="minor"/>
    </font>
    <font>
      <sz val="10"/>
      <color rgb="FF3D3D3D"/>
      <name val="Arial"/>
      <family val="2"/>
    </font>
    <font>
      <b/>
      <sz val="10"/>
      <color theme="1"/>
      <name val="Arial"/>
      <family val="2"/>
    </font>
    <font>
      <sz val="10"/>
      <color rgb="FFFF0000"/>
      <name val="Calibri"/>
      <family val="2"/>
      <scheme val="minor"/>
    </font>
    <font>
      <sz val="10"/>
      <name val="Tahoma"/>
      <family val="2"/>
    </font>
    <font>
      <vertAlign val="superscript"/>
      <sz val="10"/>
      <name val="Tahoma"/>
      <family val="2"/>
    </font>
    <font>
      <b/>
      <sz val="10"/>
      <color indexed="12"/>
      <name val="Tahoma"/>
      <family val="2"/>
    </font>
    <font>
      <b/>
      <vertAlign val="superscript"/>
      <sz val="10"/>
      <color theme="1"/>
      <name val="Arial"/>
      <family val="2"/>
    </font>
    <font>
      <sz val="10"/>
      <color rgb="FF0000FF"/>
      <name val="Arial"/>
      <family val="2"/>
    </font>
    <font>
      <b/>
      <sz val="10"/>
      <color rgb="FF0000FF"/>
      <name val="Arial"/>
      <family val="2"/>
    </font>
    <font>
      <sz val="10"/>
      <color rgb="FFFF0000"/>
      <name val="Arial"/>
      <family val="2"/>
    </font>
    <font>
      <b/>
      <sz val="10"/>
      <color rgb="FFFF0000"/>
      <name val="Arial"/>
      <family val="2"/>
    </font>
    <font>
      <sz val="11"/>
      <name val="Tms Rmn"/>
    </font>
    <font>
      <sz val="10"/>
      <color indexed="12"/>
      <name val="Rockwell MT Light"/>
      <family val="1"/>
    </font>
    <font>
      <b/>
      <i/>
      <sz val="16"/>
      <name val="Helv"/>
    </font>
    <font>
      <sz val="10"/>
      <name val="MS Sans Serif"/>
      <family val="2"/>
    </font>
    <font>
      <sz val="10"/>
      <color indexed="12"/>
      <name val="Arial"/>
      <family val="2"/>
    </font>
    <font>
      <sz val="11"/>
      <name val="Arial"/>
      <family val="2"/>
    </font>
    <font>
      <sz val="10"/>
      <color indexed="10"/>
      <name val="Arial"/>
      <family val="2"/>
    </font>
    <font>
      <sz val="11"/>
      <color indexed="8"/>
      <name val="Calibri"/>
      <family val="2"/>
    </font>
    <font>
      <i/>
      <sz val="10"/>
      <color indexed="39"/>
      <name val="Times New Roman"/>
      <family val="1"/>
    </font>
    <font>
      <sz val="14"/>
      <color indexed="27"/>
      <name val="Arial"/>
      <family val="2"/>
    </font>
    <font>
      <sz val="10"/>
      <name val="Univers (WN)"/>
    </font>
    <font>
      <sz val="10"/>
      <color rgb="FF0000FF"/>
      <name val="Calibri"/>
      <family val="2"/>
      <scheme val="minor"/>
    </font>
    <font>
      <sz val="9"/>
      <color theme="0"/>
      <name val="Arial"/>
      <family val="2"/>
    </font>
    <font>
      <sz val="9"/>
      <color theme="0"/>
      <name val="Calbri"/>
      <scheme val="major"/>
    </font>
    <font>
      <b/>
      <i/>
      <sz val="10"/>
      <color theme="1"/>
      <name val="Calibri"/>
      <family val="2"/>
      <scheme val="minor"/>
    </font>
    <font>
      <b/>
      <i/>
      <sz val="10"/>
      <color theme="10"/>
      <name val="Arial"/>
      <family val="2"/>
    </font>
    <font>
      <sz val="10"/>
      <color theme="1"/>
      <name val="Arial"/>
      <family val="2"/>
    </font>
    <font>
      <b/>
      <sz val="9"/>
      <color theme="1"/>
      <name val="Arial"/>
      <family val="2"/>
    </font>
    <font>
      <sz val="10"/>
      <color theme="10"/>
      <name val="Arial"/>
      <family val="2"/>
    </font>
    <font>
      <sz val="10"/>
      <name val="Calibri"/>
      <family val="2"/>
    </font>
    <font>
      <b/>
      <sz val="11"/>
      <name val="Calibri"/>
      <family val="2"/>
      <scheme val="minor"/>
    </font>
    <font>
      <sz val="11"/>
      <color theme="1"/>
      <name val="Arial"/>
      <family val="2"/>
    </font>
    <font>
      <b/>
      <sz val="8"/>
      <color rgb="FF0000FF"/>
      <name val="Arial"/>
      <family val="2"/>
    </font>
    <font>
      <sz val="9"/>
      <color rgb="FF0000FF"/>
      <name val="Arial"/>
      <family val="2"/>
    </font>
    <font>
      <sz val="9"/>
      <color theme="4"/>
      <name val="Calbri"/>
      <scheme val="major"/>
    </font>
    <font>
      <sz val="9"/>
      <color rgb="FF0000FF"/>
      <name val="Calbri"/>
      <scheme val="major"/>
    </font>
    <font>
      <b/>
      <sz val="8"/>
      <name val="Calbri"/>
      <scheme val="major"/>
    </font>
    <font>
      <b/>
      <sz val="11"/>
      <color theme="1"/>
      <name val="Calibri"/>
      <family val="2"/>
      <scheme val="minor"/>
    </font>
    <font>
      <vertAlign val="superscript"/>
      <sz val="10"/>
      <color theme="1"/>
      <name val="Arial"/>
      <family val="2"/>
    </font>
    <font>
      <sz val="8"/>
      <color theme="1"/>
      <name val="Arial"/>
      <family val="2"/>
    </font>
    <font>
      <sz val="9"/>
      <color theme="1"/>
      <name val="Calibri"/>
      <family val="2"/>
    </font>
    <font>
      <sz val="10"/>
      <color rgb="FFFF0000"/>
      <name val="Calibri"/>
      <family val="2"/>
    </font>
    <font>
      <b/>
      <sz val="11"/>
      <color rgb="FFFF0000"/>
      <name val="Calibri"/>
      <family val="2"/>
      <scheme val="minor"/>
    </font>
  </fonts>
  <fills count="18">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indexed="42"/>
        <bgColor indexed="64"/>
      </patternFill>
    </fill>
    <fill>
      <patternFill patternType="solid">
        <fgColor indexed="9"/>
        <bgColor indexed="8"/>
      </patternFill>
    </fill>
    <fill>
      <patternFill patternType="mediumGray">
        <fgColor indexed="8"/>
        <bgColor indexed="37"/>
      </patternFill>
    </fill>
    <fill>
      <patternFill patternType="solid">
        <fgColor rgb="FF0000FF"/>
        <bgColor indexed="64"/>
      </patternFill>
    </fill>
    <fill>
      <patternFill patternType="solid">
        <fgColor rgb="FF00B05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9"/>
        <bgColor indexed="64"/>
      </patternFill>
    </fill>
    <fill>
      <patternFill patternType="solid">
        <fgColor theme="0" tint="-4.9989318521683403E-2"/>
        <bgColor indexed="64"/>
      </patternFill>
    </fill>
    <fill>
      <patternFill patternType="solid">
        <fgColor theme="2"/>
        <bgColor indexed="64"/>
      </patternFill>
    </fill>
    <fill>
      <patternFill patternType="solid">
        <fgColor rgb="FFFFC000"/>
        <bgColor indexed="64"/>
      </patternFill>
    </fill>
  </fills>
  <borders count="5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theme="0" tint="-4.9989318521683403E-2"/>
      </bottom>
      <diagonal/>
    </border>
    <border>
      <left/>
      <right/>
      <top style="thin">
        <color indexed="64"/>
      </top>
      <bottom style="thin">
        <color theme="0" tint="-4.9989318521683403E-2"/>
      </bottom>
      <diagonal/>
    </border>
    <border>
      <left/>
      <right style="thin">
        <color indexed="64"/>
      </right>
      <top style="thin">
        <color indexed="64"/>
      </top>
      <bottom style="thin">
        <color theme="0" tint="-4.9989318521683403E-2"/>
      </bottom>
      <diagonal/>
    </border>
    <border>
      <left style="thin">
        <color indexed="64"/>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indexed="64"/>
      </right>
      <top style="thin">
        <color theme="0" tint="-4.9989318521683403E-2"/>
      </top>
      <bottom style="thin">
        <color theme="0" tint="-4.9989318521683403E-2"/>
      </bottom>
      <diagonal/>
    </border>
    <border>
      <left/>
      <right/>
      <top/>
      <bottom style="thin">
        <color theme="0" tint="-4.9989318521683403E-2"/>
      </bottom>
      <diagonal/>
    </border>
    <border>
      <left/>
      <right style="thin">
        <color indexed="64"/>
      </right>
      <top/>
      <bottom style="thin">
        <color theme="0" tint="-4.9989318521683403E-2"/>
      </bottom>
      <diagonal/>
    </border>
    <border>
      <left style="thin">
        <color indexed="64"/>
      </left>
      <right/>
      <top/>
      <bottom style="thin">
        <color theme="0" tint="-4.9989318521683403E-2"/>
      </bottom>
      <diagonal/>
    </border>
    <border>
      <left/>
      <right/>
      <top style="thin">
        <color theme="0" tint="-4.9989318521683403E-2"/>
      </top>
      <bottom style="thin">
        <color indexed="64"/>
      </bottom>
      <diagonal/>
    </border>
    <border>
      <left style="thin">
        <color indexed="64"/>
      </left>
      <right style="thin">
        <color indexed="64"/>
      </right>
      <top style="thin">
        <color indexed="64"/>
      </top>
      <bottom/>
      <diagonal/>
    </border>
    <border>
      <left style="thin">
        <color indexed="64"/>
      </left>
      <right/>
      <top style="thin">
        <color theme="0" tint="-4.9989318521683403E-2"/>
      </top>
      <bottom/>
      <diagonal/>
    </border>
    <border>
      <left/>
      <right/>
      <top style="thin">
        <color theme="0" tint="-4.9989318521683403E-2"/>
      </top>
      <bottom/>
      <diagonal/>
    </border>
    <border>
      <left/>
      <right style="thin">
        <color indexed="64"/>
      </right>
      <top style="thin">
        <color theme="0" tint="-4.9989318521683403E-2"/>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thin">
        <color theme="0" tint="-4.9989318521683403E-2"/>
      </top>
      <bottom style="thin">
        <color indexed="64"/>
      </bottom>
      <diagonal/>
    </border>
    <border>
      <left/>
      <right style="thin">
        <color indexed="64"/>
      </right>
      <top style="thin">
        <color theme="0" tint="-4.9989318521683403E-2"/>
      </top>
      <bottom style="thin">
        <color indexed="64"/>
      </bottom>
      <diagonal/>
    </border>
    <border>
      <left style="thin">
        <color indexed="64"/>
      </left>
      <right style="thin">
        <color indexed="64"/>
      </right>
      <top style="thin">
        <color theme="0" tint="-4.9989318521683403E-2"/>
      </top>
      <bottom style="thin">
        <color theme="0" tint="-4.9989318521683403E-2"/>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2899">
    <xf numFmtId="0" fontId="0" fillId="0" borderId="0"/>
    <xf numFmtId="0" fontId="11" fillId="0" borderId="0"/>
    <xf numFmtId="0" fontId="11" fillId="0" borderId="0"/>
    <xf numFmtId="0" fontId="11" fillId="0" borderId="0"/>
    <xf numFmtId="0" fontId="31" fillId="0" borderId="0" applyNumberFormat="0" applyFill="0" applyBorder="0" applyAlignment="0" applyProtection="0"/>
    <xf numFmtId="0" fontId="10" fillId="0" borderId="0"/>
    <xf numFmtId="0" fontId="10" fillId="0" borderId="0"/>
    <xf numFmtId="178" fontId="33" fillId="0" borderId="0"/>
    <xf numFmtId="0" fontId="34" fillId="0" borderId="0" applyNumberForma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36" fillId="0" borderId="0"/>
    <xf numFmtId="0" fontId="35" fillId="0" borderId="0"/>
    <xf numFmtId="0" fontId="41" fillId="0" borderId="0"/>
    <xf numFmtId="0" fontId="47" fillId="0" borderId="0"/>
    <xf numFmtId="183" fontId="35" fillId="0" borderId="0" applyFont="0" applyFill="0" applyBorder="0" applyProtection="0">
      <alignment vertical="top"/>
    </xf>
    <xf numFmtId="184" fontId="51" fillId="0" borderId="0" applyFont="0" applyFill="0" applyBorder="0" applyProtection="0">
      <alignment vertical="top"/>
    </xf>
    <xf numFmtId="0" fontId="8" fillId="0" borderId="0"/>
    <xf numFmtId="185" fontId="35" fillId="0" borderId="0" applyFont="0" applyFill="0" applyBorder="0" applyProtection="0">
      <alignment vertical="top"/>
    </xf>
    <xf numFmtId="186" fontId="35" fillId="0" borderId="0" applyFont="0" applyFill="0" applyBorder="0" applyProtection="0">
      <alignment vertical="top"/>
    </xf>
    <xf numFmtId="187" fontId="35" fillId="0" borderId="0" applyFont="0" applyFill="0" applyBorder="0" applyProtection="0">
      <alignment vertical="top"/>
    </xf>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35" fillId="0" borderId="0"/>
    <xf numFmtId="0" fontId="7"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184" fontId="35" fillId="0" borderId="0" applyFont="0" applyFill="0" applyBorder="0" applyProtection="0">
      <alignment vertical="top"/>
    </xf>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184" fontId="35" fillId="0" borderId="0" applyFont="0" applyFill="0" applyBorder="0" applyProtection="0">
      <alignment vertical="top"/>
    </xf>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5" fillId="0" borderId="0"/>
    <xf numFmtId="9" fontId="5" fillId="0" borderId="0" applyFont="0" applyFill="0" applyBorder="0" applyAlignment="0" applyProtection="0"/>
    <xf numFmtId="0" fontId="35" fillId="0" borderId="0"/>
    <xf numFmtId="188" fontId="83" fillId="0" borderId="0"/>
    <xf numFmtId="188" fontId="83" fillId="0" borderId="0"/>
    <xf numFmtId="188" fontId="83" fillId="0" borderId="0"/>
    <xf numFmtId="188" fontId="83" fillId="0" borderId="0"/>
    <xf numFmtId="188" fontId="83" fillId="0" borderId="0"/>
    <xf numFmtId="188" fontId="83" fillId="0" borderId="0"/>
    <xf numFmtId="188" fontId="83" fillId="0" borderId="0"/>
    <xf numFmtId="188" fontId="83" fillId="0" borderId="0"/>
    <xf numFmtId="1" fontId="84" fillId="0" borderId="0" applyNumberFormat="0">
      <alignment horizontal="center"/>
    </xf>
    <xf numFmtId="178" fontId="85" fillId="0" borderId="0"/>
    <xf numFmtId="0" fontId="86" fillId="0" borderId="0"/>
    <xf numFmtId="0" fontId="35" fillId="0" borderId="0" applyBorder="0"/>
    <xf numFmtId="0" fontId="35" fillId="0" borderId="0"/>
    <xf numFmtId="169" fontId="87" fillId="0" borderId="0">
      <alignment horizontal="center"/>
    </xf>
    <xf numFmtId="43" fontId="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4" fontId="35" fillId="0" borderId="0" applyFont="0" applyFill="0" applyBorder="0" applyAlignment="0" applyProtection="0"/>
    <xf numFmtId="14" fontId="35" fillId="0" borderId="0" applyFont="0" applyFill="0" applyBorder="0" applyAlignment="0" applyProtection="0"/>
    <xf numFmtId="14" fontId="35" fillId="0" borderId="0" applyFont="0" applyFill="0" applyBorder="0" applyAlignment="0" applyProtection="0"/>
    <xf numFmtId="0" fontId="89" fillId="8" borderId="0" applyNumberFormat="0" applyFont="0" applyFill="0" applyBorder="0" applyAlignment="0" applyProtection="0"/>
    <xf numFmtId="2" fontId="35" fillId="0" borderId="0" applyFont="0" applyFill="0" applyBorder="0" applyAlignment="0" applyProtection="0"/>
    <xf numFmtId="2" fontId="35" fillId="0" borderId="0" applyFont="0" applyFill="0" applyBorder="0" applyAlignment="0" applyProtection="0"/>
    <xf numFmtId="2"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8" fillId="0" borderId="0"/>
    <xf numFmtId="167"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alignment vertical="top"/>
    </xf>
    <xf numFmtId="0" fontId="35" fillId="0" borderId="0">
      <alignment vertical="top"/>
    </xf>
    <xf numFmtId="0" fontId="3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5" fillId="0" borderId="0"/>
    <xf numFmtId="0" fontId="5" fillId="0" borderId="0"/>
    <xf numFmtId="0" fontId="5" fillId="0" borderId="0"/>
    <xf numFmtId="0" fontId="5"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5" fillId="0" borderId="0"/>
    <xf numFmtId="0" fontId="35" fillId="0" borderId="0">
      <alignment vertical="top"/>
    </xf>
    <xf numFmtId="0" fontId="5"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5" fillId="0" borderId="0"/>
    <xf numFmtId="0" fontId="5" fillId="0" borderId="0"/>
    <xf numFmtId="0" fontId="5" fillId="0" borderId="0"/>
    <xf numFmtId="0" fontId="3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3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35" fillId="0" borderId="0"/>
    <xf numFmtId="0" fontId="35"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5"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88" fillId="0" borderId="0"/>
    <xf numFmtId="0" fontId="35" fillId="0" borderId="0">
      <alignment vertical="top"/>
    </xf>
    <xf numFmtId="0" fontId="88" fillId="0" borderId="0"/>
    <xf numFmtId="0" fontId="88" fillId="0" borderId="0"/>
    <xf numFmtId="0" fontId="88" fillId="0" borderId="0"/>
    <xf numFmtId="0" fontId="88" fillId="0" borderId="0"/>
    <xf numFmtId="0" fontId="8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67" fontId="3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67" fontId="3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67" fontId="3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0" fontId="91" fillId="0" borderId="0" applyNumberFormat="0" applyFont="0" applyFill="0" applyAlignment="0">
      <protection locked="0"/>
    </xf>
    <xf numFmtId="0" fontId="5" fillId="0" borderId="0"/>
    <xf numFmtId="0" fontId="92" fillId="9" borderId="0" applyNumberFormat="0" applyFont="0" applyBorder="0" applyAlignment="0" applyProtection="0">
      <alignment horizontal="left"/>
    </xf>
    <xf numFmtId="165" fontId="86" fillId="0" borderId="0" applyFont="0" applyFill="0" applyBorder="0" applyAlignment="0" applyProtection="0"/>
    <xf numFmtId="189" fontId="93" fillId="0" borderId="0" applyFont="0" applyFill="0" applyBorder="0" applyAlignment="0" applyProtection="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3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 fillId="0" borderId="0"/>
    <xf numFmtId="0" fontId="88" fillId="0" borderId="0"/>
    <xf numFmtId="0" fontId="5" fillId="0" borderId="0"/>
    <xf numFmtId="0" fontId="5" fillId="0" borderId="0"/>
    <xf numFmtId="0" fontId="8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8" fillId="0" borderId="0"/>
    <xf numFmtId="0" fontId="90" fillId="0" borderId="0"/>
    <xf numFmtId="16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164" fontId="3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99" fillId="0" borderId="0" applyFont="0" applyFill="0" applyBorder="0" applyAlignment="0" applyProtection="0"/>
    <xf numFmtId="0" fontId="2" fillId="0" borderId="0"/>
    <xf numFmtId="9" fontId="2" fillId="0" borderId="0" applyFont="0" applyFill="0" applyBorder="0" applyAlignment="0" applyProtection="0"/>
  </cellStyleXfs>
  <cellXfs count="1696">
    <xf numFmtId="0" fontId="0" fillId="0" borderId="0" xfId="0"/>
    <xf numFmtId="0" fontId="73" fillId="0" borderId="0" xfId="0" applyFont="1" applyProtection="1"/>
    <xf numFmtId="0" fontId="0" fillId="0" borderId="0" xfId="0" applyProtection="1"/>
    <xf numFmtId="0" fontId="75" fillId="0" borderId="0" xfId="36" applyFont="1" applyProtection="1"/>
    <xf numFmtId="2" fontId="77" fillId="0" borderId="0" xfId="36" applyNumberFormat="1" applyFont="1" applyProtection="1"/>
    <xf numFmtId="0" fontId="77" fillId="0" borderId="0" xfId="36" applyFont="1" applyProtection="1"/>
    <xf numFmtId="0" fontId="35" fillId="0" borderId="0" xfId="36" applyProtection="1"/>
    <xf numFmtId="168" fontId="81" fillId="5" borderId="0" xfId="0" applyNumberFormat="1" applyFont="1" applyFill="1" applyProtection="1"/>
    <xf numFmtId="168" fontId="0" fillId="0" borderId="0" xfId="0" applyNumberFormat="1" applyProtection="1"/>
    <xf numFmtId="0" fontId="80" fillId="0" borderId="0" xfId="0" applyFont="1" applyProtection="1"/>
    <xf numFmtId="168" fontId="82" fillId="5" borderId="0" xfId="0" applyNumberFormat="1" applyFont="1" applyFill="1" applyProtection="1"/>
    <xf numFmtId="0" fontId="79" fillId="0" borderId="0" xfId="0" applyFont="1" applyProtection="1"/>
    <xf numFmtId="169" fontId="0" fillId="0" borderId="0" xfId="0" applyNumberFormat="1" applyProtection="1"/>
    <xf numFmtId="2" fontId="0" fillId="0" borderId="0" xfId="0" applyNumberFormat="1" applyProtection="1"/>
    <xf numFmtId="0" fontId="73" fillId="0" borderId="4" xfId="0" applyFont="1" applyBorder="1" applyProtection="1"/>
    <xf numFmtId="0" fontId="0" fillId="0" borderId="5" xfId="0" applyBorder="1" applyProtection="1"/>
    <xf numFmtId="0" fontId="0" fillId="0" borderId="6" xfId="0" applyBorder="1" applyProtection="1"/>
    <xf numFmtId="0" fontId="0" fillId="0" borderId="7" xfId="0" applyBorder="1" applyProtection="1"/>
    <xf numFmtId="0" fontId="0" fillId="0" borderId="8" xfId="0" applyBorder="1" applyProtection="1"/>
    <xf numFmtId="0" fontId="73" fillId="0" borderId="7" xfId="0" applyFont="1" applyBorder="1" applyProtection="1"/>
    <xf numFmtId="0" fontId="0" fillId="0" borderId="9" xfId="0" applyBorder="1" applyProtection="1"/>
    <xf numFmtId="0" fontId="0" fillId="0" borderId="10" xfId="0" applyBorder="1" applyProtection="1"/>
    <xf numFmtId="0" fontId="0" fillId="0" borderId="11" xfId="0" applyBorder="1" applyProtection="1"/>
    <xf numFmtId="0" fontId="53" fillId="0" borderId="0" xfId="0" applyFont="1" applyAlignment="1" applyProtection="1">
      <alignment vertical="center"/>
    </xf>
    <xf numFmtId="0" fontId="53" fillId="0" borderId="0" xfId="0" applyFont="1" applyAlignment="1" applyProtection="1">
      <alignment horizontal="right" vertical="center"/>
    </xf>
    <xf numFmtId="0" fontId="53" fillId="0" borderId="0" xfId="0" applyFont="1" applyAlignment="1" applyProtection="1">
      <alignment horizontal="center"/>
    </xf>
    <xf numFmtId="173" fontId="53" fillId="0" borderId="0" xfId="0" applyNumberFormat="1" applyFont="1" applyAlignment="1" applyProtection="1">
      <alignment vertical="center"/>
    </xf>
    <xf numFmtId="0" fontId="38" fillId="0" borderId="5" xfId="0" applyFont="1" applyBorder="1" applyAlignment="1" applyProtection="1">
      <alignment vertical="center"/>
    </xf>
    <xf numFmtId="0" fontId="53" fillId="0" borderId="0" xfId="0" applyFont="1" applyProtection="1"/>
    <xf numFmtId="0" fontId="53" fillId="0" borderId="0" xfId="0" applyFont="1" applyAlignment="1" applyProtection="1">
      <alignment horizontal="center" vertical="center"/>
    </xf>
    <xf numFmtId="0" fontId="29" fillId="0" borderId="0" xfId="0" applyFont="1" applyAlignment="1" applyProtection="1">
      <alignment vertical="center"/>
    </xf>
    <xf numFmtId="0" fontId="38" fillId="0" borderId="0" xfId="0" applyFont="1" applyAlignment="1" applyProtection="1">
      <alignment vertical="center"/>
    </xf>
    <xf numFmtId="0" fontId="38" fillId="0" borderId="8" xfId="0" applyFont="1" applyBorder="1" applyAlignment="1" applyProtection="1">
      <alignment vertical="center"/>
    </xf>
    <xf numFmtId="173" fontId="53" fillId="0" borderId="0" xfId="0" applyNumberFormat="1" applyFont="1" applyAlignment="1" applyProtection="1">
      <alignment horizontal="center" vertical="center"/>
    </xf>
    <xf numFmtId="169" fontId="53" fillId="0" borderId="0" xfId="0" applyNumberFormat="1" applyFont="1" applyAlignment="1" applyProtection="1">
      <alignment horizontal="center" vertical="center"/>
    </xf>
    <xf numFmtId="0" fontId="53" fillId="0" borderId="0" xfId="0" applyFont="1" applyAlignment="1" applyProtection="1">
      <alignment horizontal="left" vertical="center"/>
    </xf>
    <xf numFmtId="0" fontId="0" fillId="4" borderId="7" xfId="0" applyFill="1" applyBorder="1" applyProtection="1"/>
    <xf numFmtId="0" fontId="0" fillId="4" borderId="0" xfId="0" applyFill="1" applyProtection="1"/>
    <xf numFmtId="0" fontId="0" fillId="4" borderId="5" xfId="0" applyFill="1" applyBorder="1" applyProtection="1"/>
    <xf numFmtId="0" fontId="0" fillId="4" borderId="8" xfId="0" applyFill="1" applyBorder="1" applyProtection="1"/>
    <xf numFmtId="0" fontId="98" fillId="4" borderId="0" xfId="4" applyFont="1" applyFill="1" applyBorder="1" applyProtection="1"/>
    <xf numFmtId="0" fontId="0" fillId="4" borderId="9" xfId="0" applyFill="1" applyBorder="1" applyProtection="1"/>
    <xf numFmtId="0" fontId="0" fillId="4" borderId="10" xfId="0" applyFill="1" applyBorder="1" applyProtection="1"/>
    <xf numFmtId="0" fontId="0" fillId="4" borderId="11" xfId="0" applyFill="1" applyBorder="1" applyProtection="1"/>
    <xf numFmtId="0" fontId="37" fillId="0" borderId="0" xfId="15" applyFont="1" applyProtection="1"/>
    <xf numFmtId="0" fontId="38" fillId="0" borderId="0" xfId="15" applyFont="1" applyProtection="1"/>
    <xf numFmtId="0" fontId="39" fillId="6" borderId="0" xfId="15" applyFont="1" applyFill="1" applyProtection="1"/>
    <xf numFmtId="0" fontId="38" fillId="6" borderId="0" xfId="15" applyFont="1" applyFill="1" applyProtection="1"/>
    <xf numFmtId="0" fontId="40" fillId="3" borderId="29" xfId="16" applyFont="1" applyFill="1" applyBorder="1" applyProtection="1"/>
    <xf numFmtId="0" fontId="38" fillId="6" borderId="0" xfId="16" applyFont="1" applyFill="1" applyProtection="1"/>
    <xf numFmtId="0" fontId="14" fillId="0" borderId="0" xfId="0" applyFont="1" applyAlignment="1" applyProtection="1">
      <alignment horizontal="left"/>
    </xf>
    <xf numFmtId="1" fontId="42" fillId="7" borderId="12" xfId="16" applyNumberFormat="1" applyFont="1" applyFill="1" applyBorder="1" applyProtection="1"/>
    <xf numFmtId="14" fontId="38" fillId="6" borderId="0" xfId="16" applyNumberFormat="1" applyFont="1" applyFill="1" applyAlignment="1" applyProtection="1">
      <alignment horizontal="left"/>
    </xf>
    <xf numFmtId="0" fontId="15" fillId="0" borderId="0" xfId="0" applyFont="1" applyAlignment="1" applyProtection="1">
      <alignment horizontal="center"/>
    </xf>
    <xf numFmtId="0" fontId="15" fillId="0" borderId="12" xfId="0" applyFont="1" applyBorder="1" applyAlignment="1" applyProtection="1">
      <alignment horizontal="left"/>
    </xf>
    <xf numFmtId="2" fontId="14" fillId="0" borderId="0" xfId="0" applyNumberFormat="1" applyFont="1" applyAlignment="1" applyProtection="1">
      <alignment horizontal="left"/>
    </xf>
    <xf numFmtId="0" fontId="19" fillId="2" borderId="0" xfId="0" applyFont="1" applyFill="1" applyAlignment="1" applyProtection="1">
      <alignment vertical="center"/>
    </xf>
    <xf numFmtId="0" fontId="43" fillId="6" borderId="12" xfId="15" applyFont="1" applyFill="1" applyBorder="1" applyAlignment="1" applyProtection="1">
      <alignment horizontal="center"/>
    </xf>
    <xf numFmtId="0" fontId="38" fillId="0" borderId="12" xfId="15" applyFont="1" applyBorder="1" applyProtection="1"/>
    <xf numFmtId="2" fontId="43" fillId="6" borderId="12" xfId="15" applyNumberFormat="1" applyFont="1" applyFill="1" applyBorder="1" applyAlignment="1" applyProtection="1">
      <alignment horizontal="center"/>
    </xf>
    <xf numFmtId="0" fontId="15" fillId="0" borderId="12" xfId="0" applyFont="1" applyBorder="1" applyAlignment="1" applyProtection="1">
      <alignment horizontal="left" vertical="top"/>
    </xf>
    <xf numFmtId="0" fontId="38" fillId="6" borderId="25" xfId="15" applyFont="1" applyFill="1" applyBorder="1" applyProtection="1"/>
    <xf numFmtId="0" fontId="38" fillId="0" borderId="25" xfId="15" applyFont="1" applyBorder="1" applyAlignment="1" applyProtection="1">
      <alignment horizontal="center"/>
    </xf>
    <xf numFmtId="0" fontId="38" fillId="3" borderId="0" xfId="15" applyFont="1" applyFill="1" applyProtection="1"/>
    <xf numFmtId="43" fontId="38" fillId="0" borderId="25" xfId="16" applyNumberFormat="1" applyFont="1" applyBorder="1" applyAlignment="1" applyProtection="1">
      <alignment horizontal="center"/>
    </xf>
    <xf numFmtId="43" fontId="38" fillId="6" borderId="25" xfId="15" applyNumberFormat="1" applyFont="1" applyFill="1" applyBorder="1" applyAlignment="1" applyProtection="1">
      <alignment horizontal="center"/>
    </xf>
    <xf numFmtId="10" fontId="38" fillId="6" borderId="25" xfId="15" applyNumberFormat="1" applyFont="1" applyFill="1" applyBorder="1" applyAlignment="1" applyProtection="1">
      <alignment horizontal="center"/>
    </xf>
    <xf numFmtId="0" fontId="38" fillId="6" borderId="13" xfId="15" applyFont="1" applyFill="1" applyBorder="1" applyProtection="1"/>
    <xf numFmtId="0" fontId="38" fillId="0" borderId="13" xfId="15" applyFont="1" applyBorder="1" applyAlignment="1" applyProtection="1">
      <alignment horizontal="center"/>
    </xf>
    <xf numFmtId="173" fontId="38" fillId="3" borderId="0" xfId="15" applyNumberFormat="1" applyFont="1" applyFill="1" applyProtection="1"/>
    <xf numFmtId="43" fontId="38" fillId="0" borderId="13" xfId="16" applyNumberFormat="1" applyFont="1" applyBorder="1" applyAlignment="1" applyProtection="1">
      <alignment horizontal="center"/>
    </xf>
    <xf numFmtId="43" fontId="38" fillId="6" borderId="13" xfId="15" applyNumberFormat="1" applyFont="1" applyFill="1" applyBorder="1" applyAlignment="1" applyProtection="1">
      <alignment horizontal="center"/>
    </xf>
    <xf numFmtId="10" fontId="38" fillId="6" borderId="13" xfId="15" applyNumberFormat="1" applyFont="1" applyFill="1" applyBorder="1" applyAlignment="1" applyProtection="1">
      <alignment horizontal="center"/>
    </xf>
    <xf numFmtId="0" fontId="38" fillId="0" borderId="13" xfId="16" applyFont="1" applyBorder="1" applyAlignment="1" applyProtection="1">
      <alignment horizontal="center"/>
    </xf>
    <xf numFmtId="2" fontId="41" fillId="0" borderId="0" xfId="17" applyNumberFormat="1" applyAlignment="1" applyProtection="1">
      <alignment horizontal="center"/>
    </xf>
    <xf numFmtId="169" fontId="15" fillId="0" borderId="12" xfId="0" applyNumberFormat="1" applyFont="1" applyBorder="1" applyAlignment="1" applyProtection="1">
      <alignment horizontal="left"/>
    </xf>
    <xf numFmtId="10" fontId="38" fillId="0" borderId="0" xfId="15" applyNumberFormat="1" applyFont="1" applyProtection="1"/>
    <xf numFmtId="2" fontId="15" fillId="0" borderId="12" xfId="0" applyNumberFormat="1" applyFont="1" applyBorder="1" applyAlignment="1" applyProtection="1">
      <alignment horizontal="left"/>
    </xf>
    <xf numFmtId="168" fontId="15" fillId="0" borderId="12" xfId="0" applyNumberFormat="1" applyFont="1" applyBorder="1" applyAlignment="1" applyProtection="1">
      <alignment horizontal="left"/>
    </xf>
    <xf numFmtId="0" fontId="13" fillId="0" borderId="12" xfId="0" applyFont="1" applyBorder="1" applyAlignment="1" applyProtection="1">
      <alignment horizontal="left"/>
    </xf>
    <xf numFmtId="175" fontId="13" fillId="0" borderId="12" xfId="0" applyNumberFormat="1" applyFont="1" applyBorder="1" applyAlignment="1" applyProtection="1">
      <alignment horizontal="center"/>
    </xf>
    <xf numFmtId="0" fontId="46" fillId="0" borderId="0" xfId="0" applyFont="1" applyAlignment="1" applyProtection="1">
      <alignment horizontal="left"/>
    </xf>
    <xf numFmtId="173" fontId="15" fillId="0" borderId="12" xfId="0" applyNumberFormat="1" applyFont="1" applyBorder="1" applyAlignment="1" applyProtection="1">
      <alignment horizontal="left"/>
    </xf>
    <xf numFmtId="173" fontId="74" fillId="4" borderId="12" xfId="0" applyNumberFormat="1" applyFont="1" applyFill="1" applyBorder="1" applyAlignment="1" applyProtection="1">
      <alignment horizontal="center"/>
    </xf>
    <xf numFmtId="173" fontId="15" fillId="0" borderId="12" xfId="0" applyNumberFormat="1" applyFont="1" applyBorder="1" applyAlignment="1" applyProtection="1">
      <alignment horizontal="center"/>
    </xf>
    <xf numFmtId="0" fontId="38" fillId="6" borderId="14" xfId="15" applyFont="1" applyFill="1" applyBorder="1" applyProtection="1"/>
    <xf numFmtId="0" fontId="38" fillId="0" borderId="14" xfId="16" applyFont="1" applyBorder="1" applyAlignment="1" applyProtection="1">
      <alignment horizontal="center"/>
    </xf>
    <xf numFmtId="43" fontId="38" fillId="0" borderId="14" xfId="16" applyNumberFormat="1" applyFont="1" applyBorder="1" applyAlignment="1" applyProtection="1">
      <alignment horizontal="center"/>
    </xf>
    <xf numFmtId="43" fontId="38" fillId="6" borderId="14" xfId="15" applyNumberFormat="1" applyFont="1" applyFill="1" applyBorder="1" applyAlignment="1" applyProtection="1">
      <alignment horizontal="center"/>
    </xf>
    <xf numFmtId="10" fontId="38" fillId="6" borderId="14" xfId="15" applyNumberFormat="1" applyFont="1" applyFill="1" applyBorder="1" applyAlignment="1" applyProtection="1">
      <alignment horizontal="center"/>
    </xf>
    <xf numFmtId="0" fontId="43" fillId="6" borderId="1" xfId="15" applyFont="1" applyFill="1" applyBorder="1" applyAlignment="1" applyProtection="1">
      <alignment horizontal="left" indent="4"/>
    </xf>
    <xf numFmtId="0" fontId="38" fillId="6" borderId="3" xfId="15" applyFont="1" applyFill="1" applyBorder="1" applyAlignment="1" applyProtection="1">
      <alignment horizontal="center"/>
    </xf>
    <xf numFmtId="169" fontId="43" fillId="6" borderId="12" xfId="15" applyNumberFormat="1" applyFont="1" applyFill="1" applyBorder="1" applyAlignment="1" applyProtection="1">
      <alignment horizontal="right"/>
    </xf>
    <xf numFmtId="0" fontId="43" fillId="6" borderId="14" xfId="15" applyFont="1" applyFill="1" applyBorder="1" applyProtection="1"/>
    <xf numFmtId="2" fontId="43" fillId="7" borderId="14" xfId="15" applyNumberFormat="1" applyFont="1" applyFill="1" applyBorder="1" applyProtection="1"/>
    <xf numFmtId="2" fontId="43" fillId="6" borderId="12" xfId="15" applyNumberFormat="1" applyFont="1" applyFill="1" applyBorder="1" applyProtection="1"/>
    <xf numFmtId="2" fontId="43" fillId="7" borderId="12" xfId="15" applyNumberFormat="1" applyFont="1" applyFill="1" applyBorder="1" applyProtection="1"/>
    <xf numFmtId="0" fontId="43" fillId="6" borderId="0" xfId="15" applyFont="1" applyFill="1" applyAlignment="1" applyProtection="1">
      <alignment horizontal="left"/>
    </xf>
    <xf numFmtId="0" fontId="38" fillId="6" borderId="1" xfId="15" applyFont="1" applyFill="1" applyBorder="1" applyAlignment="1" applyProtection="1">
      <alignment horizontal="left" indent="4"/>
    </xf>
    <xf numFmtId="0" fontId="38" fillId="6" borderId="2" xfId="15" applyFont="1" applyFill="1" applyBorder="1" applyAlignment="1" applyProtection="1">
      <alignment horizontal="center"/>
    </xf>
    <xf numFmtId="2" fontId="44" fillId="6" borderId="12" xfId="15" applyNumberFormat="1" applyFont="1" applyFill="1" applyBorder="1" applyAlignment="1" applyProtection="1">
      <alignment horizontal="right"/>
    </xf>
    <xf numFmtId="2" fontId="38" fillId="0" borderId="0" xfId="15" applyNumberFormat="1" applyFont="1" applyProtection="1"/>
    <xf numFmtId="0" fontId="38" fillId="6" borderId="9" xfId="15" applyFont="1" applyFill="1" applyBorder="1" applyAlignment="1" applyProtection="1">
      <alignment horizontal="left" indent="4"/>
    </xf>
    <xf numFmtId="0" fontId="38" fillId="6" borderId="10" xfId="15" applyFont="1" applyFill="1" applyBorder="1" applyAlignment="1" applyProtection="1">
      <alignment horizontal="center"/>
    </xf>
    <xf numFmtId="174" fontId="38" fillId="6" borderId="14" xfId="15" applyNumberFormat="1" applyFont="1" applyFill="1" applyBorder="1" applyProtection="1"/>
    <xf numFmtId="0" fontId="19" fillId="2" borderId="0" xfId="0" applyFont="1" applyFill="1" applyProtection="1"/>
    <xf numFmtId="0" fontId="38" fillId="6" borderId="0" xfId="15" applyFont="1" applyFill="1" applyAlignment="1" applyProtection="1">
      <alignment horizontal="center"/>
    </xf>
    <xf numFmtId="169" fontId="44" fillId="6" borderId="0" xfId="15" applyNumberFormat="1" applyFont="1" applyFill="1" applyAlignment="1" applyProtection="1">
      <alignment horizontal="right"/>
    </xf>
    <xf numFmtId="173" fontId="13" fillId="0" borderId="12" xfId="0" applyNumberFormat="1" applyFont="1" applyBorder="1" applyAlignment="1" applyProtection="1">
      <alignment horizontal="left"/>
    </xf>
    <xf numFmtId="173" fontId="15" fillId="4" borderId="12" xfId="0" applyNumberFormat="1" applyFont="1" applyFill="1" applyBorder="1" applyAlignment="1" applyProtection="1">
      <alignment horizontal="center"/>
    </xf>
    <xf numFmtId="2" fontId="13" fillId="0" borderId="12" xfId="0" applyNumberFormat="1" applyFont="1" applyBorder="1" applyAlignment="1" applyProtection="1">
      <alignment horizontal="center"/>
    </xf>
    <xf numFmtId="169" fontId="13" fillId="0" borderId="12" xfId="0" applyNumberFormat="1" applyFont="1" applyBorder="1" applyAlignment="1" applyProtection="1">
      <alignment horizontal="center"/>
    </xf>
    <xf numFmtId="173" fontId="13" fillId="4" borderId="12" xfId="0" applyNumberFormat="1" applyFont="1" applyFill="1" applyBorder="1" applyAlignment="1" applyProtection="1">
      <alignment horizontal="center"/>
    </xf>
    <xf numFmtId="173" fontId="13" fillId="0" borderId="12" xfId="0" applyNumberFormat="1" applyFont="1" applyBorder="1" applyAlignment="1" applyProtection="1">
      <alignment horizontal="center"/>
    </xf>
    <xf numFmtId="0" fontId="43" fillId="6" borderId="12" xfId="15" applyFont="1" applyFill="1" applyBorder="1" applyProtection="1"/>
    <xf numFmtId="0" fontId="43" fillId="6" borderId="0" xfId="15" applyFont="1" applyFill="1" applyProtection="1"/>
    <xf numFmtId="0" fontId="38" fillId="6" borderId="10" xfId="15" applyFont="1" applyFill="1" applyBorder="1" applyAlignment="1" applyProtection="1">
      <alignment horizontal="right"/>
    </xf>
    <xf numFmtId="2" fontId="43" fillId="6" borderId="0" xfId="15" applyNumberFormat="1" applyFont="1" applyFill="1" applyProtection="1"/>
    <xf numFmtId="0" fontId="15" fillId="0" borderId="0" xfId="0" applyFont="1" applyAlignment="1" applyProtection="1">
      <alignment horizontal="left"/>
    </xf>
    <xf numFmtId="173" fontId="15" fillId="0" borderId="0" xfId="0" applyNumberFormat="1" applyFont="1" applyAlignment="1" applyProtection="1">
      <alignment horizontal="center"/>
    </xf>
    <xf numFmtId="169" fontId="15" fillId="0" borderId="0" xfId="0" applyNumberFormat="1" applyFont="1" applyAlignment="1" applyProtection="1">
      <alignment horizontal="left"/>
    </xf>
    <xf numFmtId="169" fontId="12" fillId="0" borderId="0" xfId="0" applyNumberFormat="1" applyFont="1" applyAlignment="1" applyProtection="1">
      <alignment horizontal="center"/>
    </xf>
    <xf numFmtId="175" fontId="12" fillId="0" borderId="0" xfId="0" applyNumberFormat="1" applyFont="1" applyAlignment="1" applyProtection="1">
      <alignment horizontal="center"/>
    </xf>
    <xf numFmtId="0" fontId="44" fillId="0" borderId="0" xfId="15" applyFont="1" applyProtection="1"/>
    <xf numFmtId="0" fontId="38" fillId="6" borderId="0" xfId="15" quotePrefix="1" applyFont="1" applyFill="1" applyAlignment="1" applyProtection="1">
      <alignment horizontal="left" indent="1"/>
    </xf>
    <xf numFmtId="0" fontId="72" fillId="0" borderId="0" xfId="0" applyFont="1" applyProtection="1"/>
    <xf numFmtId="0" fontId="31" fillId="0" borderId="0" xfId="4" applyProtection="1"/>
    <xf numFmtId="0" fontId="18" fillId="0" borderId="0" xfId="0" applyFont="1" applyAlignment="1" applyProtection="1">
      <alignment vertical="center"/>
    </xf>
    <xf numFmtId="0" fontId="18" fillId="0" borderId="0" xfId="0" applyFont="1" applyAlignment="1" applyProtection="1">
      <alignment horizontal="left" vertical="center"/>
    </xf>
    <xf numFmtId="0" fontId="19" fillId="0" borderId="0" xfId="0" applyFont="1" applyAlignment="1" applyProtection="1">
      <alignment vertical="center"/>
    </xf>
    <xf numFmtId="0" fontId="19" fillId="0" borderId="5" xfId="0" applyFont="1" applyBorder="1" applyAlignment="1" applyProtection="1">
      <alignment vertical="top"/>
    </xf>
    <xf numFmtId="0" fontId="43" fillId="0" borderId="5" xfId="0" applyFont="1" applyBorder="1" applyAlignment="1" applyProtection="1">
      <alignment vertical="center" wrapText="1"/>
    </xf>
    <xf numFmtId="0" fontId="29" fillId="0" borderId="5" xfId="0" applyFont="1" applyBorder="1" applyAlignment="1" applyProtection="1">
      <alignment vertical="center"/>
    </xf>
    <xf numFmtId="0" fontId="29" fillId="0" borderId="7" xfId="0" applyFont="1" applyBorder="1" applyAlignment="1" applyProtection="1">
      <alignment vertical="center"/>
    </xf>
    <xf numFmtId="0" fontId="19" fillId="0" borderId="0" xfId="0" applyFont="1" applyAlignment="1" applyProtection="1">
      <alignment horizontal="left" vertical="top"/>
    </xf>
    <xf numFmtId="0" fontId="18" fillId="0" borderId="0" xfId="0" applyFont="1" applyAlignment="1" applyProtection="1">
      <alignment vertical="center" wrapText="1"/>
    </xf>
    <xf numFmtId="0" fontId="19" fillId="0" borderId="0" xfId="0" applyFont="1" applyProtection="1"/>
    <xf numFmtId="0" fontId="19" fillId="0" borderId="0" xfId="0" applyFont="1" applyAlignment="1" applyProtection="1">
      <alignment vertical="top"/>
    </xf>
    <xf numFmtId="0" fontId="43" fillId="0" borderId="0" xfId="0" applyFont="1" applyAlignment="1" applyProtection="1">
      <alignment vertical="center" wrapText="1"/>
    </xf>
    <xf numFmtId="0" fontId="43" fillId="0" borderId="0" xfId="0" applyFont="1" applyAlignment="1" applyProtection="1">
      <alignment vertical="center"/>
    </xf>
    <xf numFmtId="0" fontId="38" fillId="0" borderId="0" xfId="0" applyFont="1" applyAlignment="1" applyProtection="1">
      <alignment vertical="top" wrapText="1"/>
    </xf>
    <xf numFmtId="0" fontId="38" fillId="0" borderId="8" xfId="0" applyFont="1" applyBorder="1" applyAlignment="1" applyProtection="1">
      <alignment vertical="top" wrapText="1"/>
    </xf>
    <xf numFmtId="0" fontId="19" fillId="0" borderId="0" xfId="0" applyFont="1" applyAlignment="1" applyProtection="1">
      <alignment vertical="top" wrapText="1"/>
    </xf>
    <xf numFmtId="0" fontId="43" fillId="0" borderId="7" xfId="0" applyFont="1" applyBorder="1" applyAlignment="1" applyProtection="1">
      <alignment vertical="top" wrapText="1"/>
    </xf>
    <xf numFmtId="0" fontId="43" fillId="0" borderId="0" xfId="0" applyFont="1" applyAlignment="1" applyProtection="1">
      <alignment vertical="top" wrapText="1"/>
    </xf>
    <xf numFmtId="0" fontId="43" fillId="0" borderId="9" xfId="0" applyFont="1" applyBorder="1" applyAlignment="1" applyProtection="1">
      <alignment vertical="center"/>
    </xf>
    <xf numFmtId="0" fontId="43" fillId="0" borderId="10" xfId="0" applyFont="1" applyBorder="1" applyAlignment="1" applyProtection="1">
      <alignment vertical="center" wrapText="1"/>
    </xf>
    <xf numFmtId="0" fontId="38" fillId="0" borderId="10" xfId="0" applyFont="1" applyBorder="1" applyAlignment="1" applyProtection="1">
      <alignment vertical="center"/>
    </xf>
    <xf numFmtId="0" fontId="19" fillId="0" borderId="10" xfId="0" applyFont="1" applyBorder="1" applyAlignment="1" applyProtection="1">
      <alignment vertical="center"/>
    </xf>
    <xf numFmtId="0" fontId="38" fillId="0" borderId="11" xfId="0" applyFont="1" applyBorder="1" applyAlignment="1" applyProtection="1">
      <alignment vertical="center"/>
    </xf>
    <xf numFmtId="0" fontId="19" fillId="0" borderId="0" xfId="0" applyFont="1" applyAlignment="1" applyProtection="1">
      <alignment horizontal="left" vertical="center"/>
    </xf>
    <xf numFmtId="0" fontId="43" fillId="0" borderId="5" xfId="0" applyFont="1" applyBorder="1" applyAlignment="1" applyProtection="1">
      <alignment horizontal="center" vertical="center"/>
    </xf>
    <xf numFmtId="0" fontId="43" fillId="0" borderId="6" xfId="0" applyFont="1" applyBorder="1" applyAlignment="1" applyProtection="1">
      <alignment vertical="center"/>
    </xf>
    <xf numFmtId="0" fontId="43" fillId="0" borderId="10" xfId="0" applyFont="1" applyBorder="1" applyAlignment="1" applyProtection="1">
      <alignment horizontal="center" vertical="center"/>
    </xf>
    <xf numFmtId="0" fontId="43" fillId="0" borderId="11" xfId="0" applyFont="1" applyBorder="1" applyAlignment="1" applyProtection="1">
      <alignment vertical="center"/>
    </xf>
    <xf numFmtId="0" fontId="43" fillId="0" borderId="7" xfId="0" applyFont="1" applyBorder="1" applyAlignment="1" applyProtection="1">
      <alignment horizontal="center" vertical="center"/>
    </xf>
    <xf numFmtId="0" fontId="43" fillId="0" borderId="0" xfId="0" applyFont="1" applyAlignment="1" applyProtection="1">
      <alignment horizontal="center" vertical="center"/>
    </xf>
    <xf numFmtId="0" fontId="43" fillId="0" borderId="8" xfId="0" applyFont="1" applyBorder="1" applyAlignment="1" applyProtection="1">
      <alignment vertical="center"/>
    </xf>
    <xf numFmtId="168" fontId="38" fillId="4" borderId="1" xfId="0" applyNumberFormat="1" applyFont="1" applyFill="1" applyBorder="1" applyAlignment="1" applyProtection="1">
      <alignment horizontal="center" vertical="center" wrapText="1"/>
    </xf>
    <xf numFmtId="168" fontId="38" fillId="4" borderId="2" xfId="0" applyNumberFormat="1" applyFont="1" applyFill="1" applyBorder="1" applyAlignment="1" applyProtection="1">
      <alignment horizontal="center" vertical="center" wrapText="1"/>
    </xf>
    <xf numFmtId="168" fontId="38" fillId="4" borderId="7" xfId="0" applyNumberFormat="1" applyFont="1" applyFill="1" applyBorder="1" applyAlignment="1" applyProtection="1">
      <alignment horizontal="center" vertical="center" wrapText="1"/>
    </xf>
    <xf numFmtId="168" fontId="38" fillId="4" borderId="1" xfId="0" applyNumberFormat="1" applyFont="1" applyFill="1" applyBorder="1" applyAlignment="1" applyProtection="1">
      <alignment horizontal="center"/>
    </xf>
    <xf numFmtId="168" fontId="38" fillId="4" borderId="2" xfId="0" applyNumberFormat="1" applyFont="1" applyFill="1" applyBorder="1" applyAlignment="1" applyProtection="1">
      <alignment horizontal="center"/>
    </xf>
    <xf numFmtId="168" fontId="38" fillId="4" borderId="7" xfId="0" applyNumberFormat="1" applyFont="1" applyFill="1" applyBorder="1" applyAlignment="1" applyProtection="1">
      <alignment horizontal="center"/>
    </xf>
    <xf numFmtId="0" fontId="100" fillId="0" borderId="0" xfId="0" applyFont="1" applyAlignment="1" applyProtection="1">
      <alignment vertical="center"/>
    </xf>
    <xf numFmtId="0" fontId="63" fillId="0" borderId="0" xfId="0" applyFont="1" applyAlignment="1" applyProtection="1">
      <alignment vertical="center"/>
    </xf>
    <xf numFmtId="0" fontId="43" fillId="0" borderId="0" xfId="15" applyFont="1" applyAlignment="1" applyProtection="1">
      <alignment vertical="center"/>
    </xf>
    <xf numFmtId="0" fontId="43" fillId="0" borderId="0" xfId="16" applyFont="1" applyAlignment="1" applyProtection="1">
      <alignment vertical="center"/>
    </xf>
    <xf numFmtId="0" fontId="38" fillId="4" borderId="1" xfId="0" applyFont="1" applyFill="1" applyBorder="1" applyAlignment="1" applyProtection="1">
      <alignment horizontal="left" vertical="center"/>
    </xf>
    <xf numFmtId="0" fontId="38" fillId="4" borderId="2" xfId="0" applyFont="1" applyFill="1" applyBorder="1" applyAlignment="1" applyProtection="1">
      <alignment horizontal="left" vertical="center"/>
    </xf>
    <xf numFmtId="0" fontId="63" fillId="13" borderId="0" xfId="0" applyFont="1" applyFill="1" applyAlignment="1" applyProtection="1">
      <alignment vertical="center"/>
    </xf>
    <xf numFmtId="168" fontId="38" fillId="4" borderId="12" xfId="0" applyNumberFormat="1" applyFont="1" applyFill="1" applyBorder="1" applyAlignment="1" applyProtection="1">
      <alignment horizontal="center"/>
    </xf>
    <xf numFmtId="182" fontId="38" fillId="4" borderId="2" xfId="0" applyNumberFormat="1" applyFont="1" applyFill="1" applyBorder="1" applyAlignment="1" applyProtection="1">
      <alignment horizontal="center"/>
    </xf>
    <xf numFmtId="0" fontId="19" fillId="0" borderId="12" xfId="0" applyFont="1" applyBorder="1" applyAlignment="1" applyProtection="1">
      <alignment vertical="center"/>
    </xf>
    <xf numFmtId="169" fontId="38" fillId="4" borderId="1" xfId="0" applyNumberFormat="1" applyFont="1" applyFill="1" applyBorder="1" applyAlignment="1" applyProtection="1">
      <alignment horizontal="center"/>
    </xf>
    <xf numFmtId="0" fontId="38" fillId="4" borderId="7" xfId="0" applyFont="1" applyFill="1" applyBorder="1" applyAlignment="1" applyProtection="1">
      <alignment horizontal="left" vertical="center"/>
    </xf>
    <xf numFmtId="0" fontId="38" fillId="4" borderId="0" xfId="0" applyFont="1" applyFill="1" applyAlignment="1" applyProtection="1">
      <alignment horizontal="left" vertical="center"/>
    </xf>
    <xf numFmtId="0" fontId="38" fillId="4" borderId="0" xfId="0" applyFont="1" applyFill="1" applyAlignment="1" applyProtection="1">
      <alignment horizontal="center" vertical="center"/>
    </xf>
    <xf numFmtId="169" fontId="38" fillId="4" borderId="0" xfId="0" applyNumberFormat="1" applyFont="1" applyFill="1" applyAlignment="1" applyProtection="1">
      <alignment horizontal="right"/>
    </xf>
    <xf numFmtId="168" fontId="38" fillId="4" borderId="0" xfId="0" applyNumberFormat="1" applyFont="1" applyFill="1" applyAlignment="1" applyProtection="1">
      <alignment horizontal="right"/>
    </xf>
    <xf numFmtId="182" fontId="38" fillId="4" borderId="0" xfId="0" applyNumberFormat="1" applyFont="1" applyFill="1" applyAlignment="1" applyProtection="1">
      <alignment horizontal="right"/>
    </xf>
    <xf numFmtId="0" fontId="38" fillId="4" borderId="2" xfId="0" applyFont="1" applyFill="1" applyBorder="1" applyAlignment="1" applyProtection="1">
      <alignment horizontal="center" vertical="center"/>
    </xf>
    <xf numFmtId="0" fontId="43" fillId="4" borderId="12" xfId="0" applyFont="1" applyFill="1" applyBorder="1" applyAlignment="1" applyProtection="1">
      <alignment horizontal="center" vertical="center"/>
    </xf>
    <xf numFmtId="0" fontId="43" fillId="4" borderId="12" xfId="0" applyFont="1" applyFill="1" applyBorder="1" applyAlignment="1" applyProtection="1">
      <alignment horizontal="center" vertical="center" wrapText="1"/>
    </xf>
    <xf numFmtId="0" fontId="43" fillId="4" borderId="12" xfId="0" applyFont="1" applyFill="1" applyBorder="1" applyAlignment="1" applyProtection="1">
      <alignment horizontal="right" vertical="center"/>
    </xf>
    <xf numFmtId="0" fontId="43" fillId="4" borderId="8" xfId="0" applyFont="1" applyFill="1" applyBorder="1" applyAlignment="1" applyProtection="1">
      <alignment horizontal="right" vertical="center"/>
    </xf>
    <xf numFmtId="0" fontId="18" fillId="4" borderId="0" xfId="0" applyFont="1" applyFill="1" applyAlignment="1" applyProtection="1">
      <alignment horizontal="right" vertical="center"/>
    </xf>
    <xf numFmtId="0" fontId="38" fillId="4" borderId="2" xfId="0" applyFont="1" applyFill="1" applyBorder="1" applyAlignment="1" applyProtection="1">
      <alignment horizontal="right" vertical="center"/>
    </xf>
    <xf numFmtId="2" fontId="63" fillId="0" borderId="12" xfId="0" applyNumberFormat="1" applyFont="1" applyBorder="1" applyAlignment="1" applyProtection="1">
      <alignment horizontal="center" vertical="center"/>
    </xf>
    <xf numFmtId="0" fontId="63" fillId="4" borderId="12" xfId="0" applyFont="1" applyFill="1" applyBorder="1" applyAlignment="1" applyProtection="1">
      <alignment horizontal="center" vertical="center"/>
    </xf>
    <xf numFmtId="0" fontId="38" fillId="4" borderId="12" xfId="0" applyFont="1" applyFill="1" applyBorder="1" applyAlignment="1" applyProtection="1">
      <alignment horizontal="right" vertical="center"/>
    </xf>
    <xf numFmtId="0" fontId="38" fillId="4" borderId="12" xfId="0" applyFont="1" applyFill="1" applyBorder="1" applyAlignment="1" applyProtection="1">
      <alignment horizontal="center" vertical="center"/>
    </xf>
    <xf numFmtId="0" fontId="38" fillId="4" borderId="8" xfId="0" applyFont="1" applyFill="1" applyBorder="1" applyAlignment="1" applyProtection="1">
      <alignment horizontal="right" vertical="center"/>
    </xf>
    <xf numFmtId="0" fontId="19" fillId="4" borderId="0" xfId="0" applyFont="1" applyFill="1" applyAlignment="1" applyProtection="1">
      <alignment horizontal="right" vertical="center"/>
    </xf>
    <xf numFmtId="0" fontId="95" fillId="10" borderId="2" xfId="0" applyFont="1" applyFill="1" applyBorder="1" applyAlignment="1" applyProtection="1">
      <alignment horizontal="right" vertical="center"/>
    </xf>
    <xf numFmtId="0" fontId="95" fillId="10" borderId="12" xfId="0" applyFont="1" applyFill="1" applyBorder="1" applyAlignment="1" applyProtection="1">
      <alignment horizontal="center" vertical="center"/>
    </xf>
    <xf numFmtId="168" fontId="63" fillId="0" borderId="12" xfId="0" applyNumberFormat="1" applyFont="1" applyBorder="1" applyAlignment="1" applyProtection="1">
      <alignment horizontal="center" vertical="center"/>
    </xf>
    <xf numFmtId="1" fontId="38" fillId="4" borderId="12" xfId="0" applyNumberFormat="1" applyFont="1" applyFill="1" applyBorder="1" applyAlignment="1" applyProtection="1">
      <alignment horizontal="right" vertical="center"/>
    </xf>
    <xf numFmtId="1" fontId="38" fillId="4" borderId="12" xfId="0" applyNumberFormat="1" applyFont="1" applyFill="1" applyBorder="1" applyAlignment="1" applyProtection="1">
      <alignment horizontal="center" vertical="center"/>
    </xf>
    <xf numFmtId="1" fontId="38" fillId="4" borderId="8" xfId="0" applyNumberFormat="1" applyFont="1" applyFill="1" applyBorder="1" applyAlignment="1" applyProtection="1">
      <alignment horizontal="right" vertical="center"/>
    </xf>
    <xf numFmtId="1" fontId="19" fillId="4" borderId="0" xfId="0" applyNumberFormat="1" applyFont="1" applyFill="1" applyAlignment="1" applyProtection="1">
      <alignment horizontal="right" vertical="center"/>
    </xf>
    <xf numFmtId="9" fontId="38" fillId="4" borderId="2" xfId="0" applyNumberFormat="1" applyFont="1" applyFill="1" applyBorder="1" applyAlignment="1" applyProtection="1">
      <alignment horizontal="center" vertical="center"/>
    </xf>
    <xf numFmtId="173" fontId="38" fillId="4" borderId="12" xfId="0" applyNumberFormat="1" applyFont="1" applyFill="1" applyBorder="1" applyAlignment="1" applyProtection="1">
      <alignment horizontal="center" vertical="center"/>
    </xf>
    <xf numFmtId="1" fontId="38" fillId="4" borderId="12" xfId="0" applyNumberFormat="1" applyFont="1" applyFill="1" applyBorder="1" applyAlignment="1" applyProtection="1">
      <alignment vertical="center"/>
    </xf>
    <xf numFmtId="1" fontId="38" fillId="4" borderId="8" xfId="0" applyNumberFormat="1" applyFont="1" applyFill="1" applyBorder="1" applyAlignment="1" applyProtection="1">
      <alignment vertical="center"/>
    </xf>
    <xf numFmtId="1" fontId="19" fillId="4" borderId="0" xfId="0" applyNumberFormat="1" applyFont="1" applyFill="1" applyAlignment="1" applyProtection="1">
      <alignment vertical="center"/>
    </xf>
    <xf numFmtId="174" fontId="38" fillId="4" borderId="12" xfId="0" applyNumberFormat="1" applyFont="1" applyFill="1" applyBorder="1" applyAlignment="1" applyProtection="1">
      <alignment horizontal="center" vertical="center"/>
    </xf>
    <xf numFmtId="2" fontId="38" fillId="4" borderId="12" xfId="0" applyNumberFormat="1" applyFont="1" applyFill="1" applyBorder="1" applyAlignment="1" applyProtection="1">
      <alignment vertical="center"/>
    </xf>
    <xf numFmtId="2" fontId="38" fillId="4" borderId="8" xfId="0" applyNumberFormat="1" applyFont="1" applyFill="1" applyBorder="1" applyAlignment="1" applyProtection="1">
      <alignment vertical="center"/>
    </xf>
    <xf numFmtId="2" fontId="19" fillId="4" borderId="0" xfId="0" applyNumberFormat="1" applyFont="1" applyFill="1" applyAlignment="1" applyProtection="1">
      <alignment vertical="center"/>
    </xf>
    <xf numFmtId="9" fontId="38" fillId="4" borderId="12" xfId="0" quotePrefix="1" applyNumberFormat="1" applyFont="1" applyFill="1" applyBorder="1" applyAlignment="1" applyProtection="1">
      <alignment horizontal="center" vertical="center"/>
    </xf>
    <xf numFmtId="174" fontId="38" fillId="4" borderId="12" xfId="0" quotePrefix="1" applyNumberFormat="1" applyFont="1" applyFill="1" applyBorder="1" applyAlignment="1" applyProtection="1">
      <alignment horizontal="center" vertical="center"/>
    </xf>
    <xf numFmtId="2" fontId="38" fillId="4" borderId="12" xfId="0" applyNumberFormat="1" applyFont="1" applyFill="1" applyBorder="1" applyAlignment="1" applyProtection="1">
      <alignment horizontal="center" vertical="center"/>
    </xf>
    <xf numFmtId="9" fontId="64" fillId="4" borderId="0" xfId="0" applyNumberFormat="1" applyFont="1" applyFill="1" applyAlignment="1" applyProtection="1">
      <alignment horizontal="center" vertical="center"/>
    </xf>
    <xf numFmtId="2" fontId="64" fillId="4" borderId="0" xfId="0" applyNumberFormat="1" applyFont="1" applyFill="1" applyAlignment="1" applyProtection="1">
      <alignment vertical="center"/>
    </xf>
    <xf numFmtId="2" fontId="64" fillId="4" borderId="8" xfId="0" applyNumberFormat="1" applyFont="1" applyFill="1" applyBorder="1" applyAlignment="1" applyProtection="1">
      <alignment vertical="center"/>
    </xf>
    <xf numFmtId="2" fontId="49" fillId="4" borderId="0" xfId="0" applyNumberFormat="1" applyFont="1" applyFill="1" applyAlignment="1" applyProtection="1">
      <alignment vertical="center"/>
    </xf>
    <xf numFmtId="0" fontId="64" fillId="4" borderId="7" xfId="0" applyFont="1" applyFill="1" applyBorder="1" applyAlignment="1" applyProtection="1">
      <alignment horizontal="left" vertical="center"/>
    </xf>
    <xf numFmtId="0" fontId="64" fillId="4" borderId="0" xfId="0" applyFont="1" applyFill="1" applyAlignment="1" applyProtection="1">
      <alignment horizontal="left" vertical="center"/>
    </xf>
    <xf numFmtId="0" fontId="65" fillId="0" borderId="7" xfId="0" applyFont="1" applyBorder="1" applyAlignment="1" applyProtection="1">
      <alignment vertical="center"/>
    </xf>
    <xf numFmtId="1" fontId="19" fillId="0" borderId="0" xfId="0" applyNumberFormat="1" applyFont="1" applyAlignment="1" applyProtection="1">
      <alignment horizontal="right" vertical="center"/>
    </xf>
    <xf numFmtId="0" fontId="66" fillId="0" borderId="7" xfId="4" applyFont="1" applyBorder="1" applyProtection="1"/>
    <xf numFmtId="2" fontId="38" fillId="0" borderId="0" xfId="0" applyNumberFormat="1" applyFont="1" applyAlignment="1" applyProtection="1">
      <alignment horizontal="right" vertical="center"/>
    </xf>
    <xf numFmtId="43" fontId="38" fillId="4" borderId="9" xfId="18" applyNumberFormat="1" applyFont="1" applyFill="1" applyBorder="1" applyAlignment="1" applyProtection="1">
      <alignment horizontal="center"/>
    </xf>
    <xf numFmtId="0" fontId="43" fillId="0" borderId="4" xfId="0" applyFont="1" applyBorder="1" applyAlignment="1" applyProtection="1">
      <alignment vertical="center"/>
    </xf>
    <xf numFmtId="2" fontId="38" fillId="0" borderId="5" xfId="0" applyNumberFormat="1" applyFont="1" applyBorder="1" applyAlignment="1" applyProtection="1">
      <alignment horizontal="right" vertical="center"/>
    </xf>
    <xf numFmtId="0" fontId="38" fillId="0" borderId="6" xfId="0" applyFont="1" applyBorder="1" applyAlignment="1" applyProtection="1">
      <alignment vertical="center"/>
    </xf>
    <xf numFmtId="0" fontId="38" fillId="0" borderId="7" xfId="0" quotePrefix="1" applyFont="1" applyBorder="1" applyAlignment="1" applyProtection="1">
      <alignment horizontal="center" vertical="center"/>
    </xf>
    <xf numFmtId="169" fontId="19" fillId="0" borderId="0" xfId="0" applyNumberFormat="1" applyFont="1" applyAlignment="1" applyProtection="1">
      <alignment horizontal="right" vertical="center"/>
    </xf>
    <xf numFmtId="0" fontId="63" fillId="0" borderId="0" xfId="0" applyFont="1" applyProtection="1"/>
    <xf numFmtId="0" fontId="38" fillId="0" borderId="0" xfId="0" applyFont="1" applyAlignment="1" applyProtection="1">
      <alignment horizontal="left" vertical="center" wrapText="1"/>
    </xf>
    <xf numFmtId="0" fontId="38" fillId="0" borderId="8" xfId="0" applyFont="1" applyBorder="1" applyAlignment="1" applyProtection="1">
      <alignment horizontal="left" vertical="center" wrapText="1"/>
    </xf>
    <xf numFmtId="0" fontId="38" fillId="0" borderId="9" xfId="0" quotePrefix="1" applyFont="1" applyBorder="1" applyAlignment="1" applyProtection="1">
      <alignment vertical="center"/>
    </xf>
    <xf numFmtId="0" fontId="38" fillId="0" borderId="10" xfId="0" applyFont="1" applyBorder="1" applyProtection="1"/>
    <xf numFmtId="0" fontId="38" fillId="0" borderId="11" xfId="0" applyFont="1" applyBorder="1" applyProtection="1"/>
    <xf numFmtId="0" fontId="19" fillId="0" borderId="0" xfId="0" applyFont="1" applyAlignment="1" applyProtection="1">
      <alignment horizontal="left"/>
    </xf>
    <xf numFmtId="0" fontId="19" fillId="2" borderId="0" xfId="0" applyFont="1" applyFill="1" applyAlignment="1" applyProtection="1">
      <alignment vertical="top"/>
    </xf>
    <xf numFmtId="0" fontId="19" fillId="2" borderId="0" xfId="0" applyFont="1" applyFill="1" applyAlignment="1" applyProtection="1">
      <alignment horizontal="left" vertical="top"/>
    </xf>
    <xf numFmtId="0" fontId="27" fillId="2" borderId="0" xfId="0" applyFont="1" applyFill="1" applyAlignment="1" applyProtection="1">
      <alignment vertical="center"/>
    </xf>
    <xf numFmtId="0" fontId="29" fillId="2" borderId="0" xfId="0" applyFont="1" applyFill="1" applyAlignment="1" applyProtection="1">
      <alignment vertical="center"/>
    </xf>
    <xf numFmtId="0" fontId="27" fillId="0" borderId="0" xfId="0" applyFont="1" applyAlignment="1" applyProtection="1">
      <alignment vertical="center"/>
    </xf>
    <xf numFmtId="0" fontId="24" fillId="2" borderId="0" xfId="0" applyFont="1" applyFill="1" applyAlignment="1" applyProtection="1">
      <alignment vertical="center"/>
    </xf>
    <xf numFmtId="0" fontId="24" fillId="2" borderId="0" xfId="0" applyFont="1" applyFill="1" applyAlignment="1" applyProtection="1">
      <alignment horizontal="center"/>
    </xf>
    <xf numFmtId="0" fontId="27" fillId="2" borderId="0" xfId="0" applyFont="1" applyFill="1" applyProtection="1"/>
    <xf numFmtId="0" fontId="24" fillId="2" borderId="0" xfId="0" applyFont="1" applyFill="1" applyProtection="1"/>
    <xf numFmtId="0" fontId="24" fillId="2" borderId="0" xfId="0" applyFont="1" applyFill="1" applyAlignment="1" applyProtection="1">
      <alignment horizontal="center" vertical="center"/>
    </xf>
    <xf numFmtId="0" fontId="29" fillId="2" borderId="0" xfId="0" applyFont="1" applyFill="1" applyProtection="1"/>
    <xf numFmtId="0" fontId="27" fillId="0" borderId="0" xfId="0" applyFont="1" applyProtection="1"/>
    <xf numFmtId="173" fontId="24" fillId="2" borderId="0" xfId="0" applyNumberFormat="1" applyFont="1" applyFill="1" applyAlignment="1" applyProtection="1">
      <alignment horizontal="center" vertical="center"/>
    </xf>
    <xf numFmtId="169" fontId="24" fillId="2" borderId="0" xfId="0" applyNumberFormat="1" applyFont="1" applyFill="1" applyAlignment="1" applyProtection="1">
      <alignment horizontal="center" vertical="center"/>
    </xf>
    <xf numFmtId="0" fontId="29" fillId="0" borderId="9" xfId="0" applyFont="1" applyBorder="1" applyAlignment="1" applyProtection="1">
      <alignment vertical="center"/>
    </xf>
    <xf numFmtId="0" fontId="29" fillId="0" borderId="10" xfId="0" applyFont="1" applyBorder="1" applyAlignment="1" applyProtection="1">
      <alignment vertical="center"/>
    </xf>
    <xf numFmtId="0" fontId="29" fillId="0" borderId="10" xfId="0" applyFont="1" applyBorder="1" applyAlignment="1" applyProtection="1">
      <alignment horizontal="centerContinuous" vertical="center"/>
    </xf>
    <xf numFmtId="0" fontId="29" fillId="0" borderId="8" xfId="0" applyFont="1" applyBorder="1" applyAlignment="1" applyProtection="1">
      <alignment vertical="center"/>
    </xf>
    <xf numFmtId="170" fontId="24" fillId="2" borderId="0" xfId="0" applyNumberFormat="1" applyFont="1" applyFill="1" applyAlignment="1" applyProtection="1">
      <alignment vertical="center"/>
    </xf>
    <xf numFmtId="0" fontId="26" fillId="2" borderId="0" xfId="0" applyFont="1" applyFill="1" applyAlignment="1" applyProtection="1">
      <alignment vertical="center"/>
    </xf>
    <xf numFmtId="0" fontId="55" fillId="0" borderId="7" xfId="0" applyFont="1" applyBorder="1" applyAlignment="1" applyProtection="1">
      <alignment vertical="center"/>
    </xf>
    <xf numFmtId="0" fontId="29" fillId="0" borderId="0" xfId="0" applyFont="1" applyAlignment="1" applyProtection="1">
      <alignment vertical="center" wrapText="1"/>
    </xf>
    <xf numFmtId="0" fontId="29" fillId="2" borderId="0" xfId="0" applyFont="1" applyFill="1" applyAlignment="1" applyProtection="1">
      <alignment horizontal="center" vertical="center"/>
    </xf>
    <xf numFmtId="0" fontId="29" fillId="2" borderId="0" xfId="0" applyFont="1" applyFill="1" applyAlignment="1" applyProtection="1">
      <alignment horizontal="center"/>
    </xf>
    <xf numFmtId="0" fontId="29" fillId="0" borderId="15" xfId="0" applyFont="1" applyBorder="1" applyAlignment="1" applyProtection="1">
      <alignment horizontal="left" vertical="center" indent="1"/>
    </xf>
    <xf numFmtId="0" fontId="29" fillId="0" borderId="16" xfId="0" applyFont="1" applyBorder="1" applyAlignment="1" applyProtection="1">
      <alignment horizontal="left" vertical="center" indent="1"/>
    </xf>
    <xf numFmtId="0" fontId="29" fillId="0" borderId="17" xfId="0" applyFont="1" applyBorder="1" applyAlignment="1" applyProtection="1">
      <alignment horizontal="left" vertical="center" indent="1"/>
    </xf>
    <xf numFmtId="169" fontId="29" fillId="0" borderId="0" xfId="0" applyNumberFormat="1" applyFont="1" applyAlignment="1" applyProtection="1">
      <alignment vertical="center"/>
    </xf>
    <xf numFmtId="169" fontId="29" fillId="0" borderId="8" xfId="0" applyNumberFormat="1" applyFont="1" applyBorder="1" applyAlignment="1" applyProtection="1">
      <alignment vertical="center"/>
    </xf>
    <xf numFmtId="2" fontId="29" fillId="2" borderId="0" xfId="0" applyNumberFormat="1" applyFont="1" applyFill="1" applyAlignment="1" applyProtection="1">
      <alignment horizontal="center"/>
    </xf>
    <xf numFmtId="169" fontId="29" fillId="2" borderId="0" xfId="0" applyNumberFormat="1" applyFont="1" applyFill="1" applyAlignment="1" applyProtection="1">
      <alignment horizontal="center"/>
    </xf>
    <xf numFmtId="0" fontId="29" fillId="0" borderId="18" xfId="0" applyFont="1" applyBorder="1" applyAlignment="1" applyProtection="1">
      <alignment horizontal="left" vertical="center" indent="1"/>
    </xf>
    <xf numFmtId="0" fontId="29" fillId="0" borderId="19" xfId="0" applyFont="1" applyBorder="1" applyAlignment="1" applyProtection="1">
      <alignment horizontal="left" vertical="center" indent="1"/>
    </xf>
    <xf numFmtId="0" fontId="29" fillId="0" borderId="20" xfId="0" applyFont="1" applyBorder="1" applyAlignment="1" applyProtection="1">
      <alignment horizontal="left" vertical="center" indent="1"/>
    </xf>
    <xf numFmtId="169" fontId="38" fillId="0" borderId="0" xfId="0" applyNumberFormat="1" applyFont="1" applyAlignment="1" applyProtection="1">
      <alignment vertical="center"/>
    </xf>
    <xf numFmtId="168" fontId="38" fillId="0" borderId="0" xfId="0" applyNumberFormat="1" applyFont="1" applyAlignment="1" applyProtection="1">
      <alignment vertical="center"/>
    </xf>
    <xf numFmtId="1" fontId="38" fillId="0" borderId="0" xfId="0" applyNumberFormat="1" applyFont="1" applyAlignment="1" applyProtection="1">
      <alignment vertical="center"/>
    </xf>
    <xf numFmtId="0" fontId="29" fillId="0" borderId="7" xfId="0" applyFont="1" applyBorder="1" applyAlignment="1" applyProtection="1">
      <alignment horizontal="left" vertical="center" indent="1"/>
    </xf>
    <xf numFmtId="0" fontId="29" fillId="0" borderId="0" xfId="0" applyFont="1" applyAlignment="1" applyProtection="1">
      <alignment horizontal="left" vertical="center" indent="1"/>
    </xf>
    <xf numFmtId="168" fontId="29" fillId="0" borderId="0" xfId="0" applyNumberFormat="1" applyFont="1" applyAlignment="1" applyProtection="1">
      <alignment vertical="center"/>
    </xf>
    <xf numFmtId="1" fontId="29" fillId="0" borderId="0" xfId="0" applyNumberFormat="1" applyFont="1" applyAlignment="1" applyProtection="1">
      <alignment vertical="center"/>
    </xf>
    <xf numFmtId="2" fontId="29" fillId="0" borderId="0" xfId="0" applyNumberFormat="1" applyFont="1" applyAlignment="1" applyProtection="1">
      <alignment vertical="center"/>
    </xf>
    <xf numFmtId="2" fontId="29" fillId="0" borderId="8" xfId="0" applyNumberFormat="1" applyFont="1" applyBorder="1" applyAlignment="1" applyProtection="1">
      <alignment vertical="center"/>
    </xf>
    <xf numFmtId="0" fontId="55" fillId="0" borderId="4" xfId="0" applyFont="1" applyBorder="1" applyAlignment="1" applyProtection="1">
      <alignment vertical="center"/>
    </xf>
    <xf numFmtId="0" fontId="29" fillId="0" borderId="6" xfId="0" applyFont="1" applyBorder="1" applyAlignment="1" applyProtection="1">
      <alignment vertical="center"/>
    </xf>
    <xf numFmtId="11" fontId="27" fillId="2" borderId="0" xfId="0" applyNumberFormat="1" applyFont="1" applyFill="1" applyAlignment="1" applyProtection="1">
      <alignment vertical="center"/>
    </xf>
    <xf numFmtId="0" fontId="29" fillId="0" borderId="7" xfId="0" quotePrefix="1" applyFont="1" applyBorder="1" applyAlignment="1" applyProtection="1">
      <alignment vertical="center"/>
    </xf>
    <xf numFmtId="0" fontId="29" fillId="0" borderId="0" xfId="0" applyFont="1" applyAlignment="1" applyProtection="1">
      <alignment horizontal="centerContinuous" vertical="center"/>
    </xf>
    <xf numFmtId="0" fontId="29" fillId="4" borderId="0" xfId="0" applyFont="1" applyFill="1" applyAlignment="1" applyProtection="1">
      <alignment vertical="center"/>
    </xf>
    <xf numFmtId="0" fontId="29" fillId="0" borderId="0" xfId="0" applyFont="1" applyProtection="1"/>
    <xf numFmtId="0" fontId="29" fillId="0" borderId="8" xfId="0" applyFont="1" applyBorder="1" applyAlignment="1" applyProtection="1">
      <alignment horizontal="right"/>
    </xf>
    <xf numFmtId="0" fontId="29" fillId="4" borderId="0" xfId="0" applyFont="1" applyFill="1" applyProtection="1"/>
    <xf numFmtId="0" fontId="30" fillId="2" borderId="0" xfId="0" applyFont="1" applyFill="1" applyAlignment="1" applyProtection="1">
      <alignment vertical="top"/>
    </xf>
    <xf numFmtId="0" fontId="30" fillId="2" borderId="0" xfId="0" applyFont="1" applyFill="1" applyProtection="1"/>
    <xf numFmtId="0" fontId="30" fillId="0" borderId="0" xfId="0" applyFont="1" applyAlignment="1" applyProtection="1">
      <alignment vertical="top"/>
    </xf>
    <xf numFmtId="0" fontId="43" fillId="0" borderId="5" xfId="0" applyFont="1" applyBorder="1" applyAlignment="1" applyProtection="1">
      <alignment vertical="center"/>
    </xf>
    <xf numFmtId="0" fontId="38" fillId="0" borderId="9" xfId="0" applyFont="1" applyBorder="1" applyAlignment="1" applyProtection="1">
      <alignment vertical="center"/>
    </xf>
    <xf numFmtId="0" fontId="38" fillId="0" borderId="15" xfId="0" applyFont="1" applyBorder="1" applyAlignment="1" applyProtection="1">
      <alignment vertical="center"/>
    </xf>
    <xf numFmtId="0" fontId="38" fillId="0" borderId="16" xfId="0" applyFont="1" applyBorder="1" applyAlignment="1" applyProtection="1">
      <alignment vertical="center"/>
    </xf>
    <xf numFmtId="0" fontId="38" fillId="0" borderId="17" xfId="0" applyFont="1" applyBorder="1" applyAlignment="1" applyProtection="1">
      <alignment vertical="center"/>
    </xf>
    <xf numFmtId="0" fontId="38" fillId="0" borderId="18" xfId="0" applyFont="1" applyBorder="1" applyAlignment="1" applyProtection="1">
      <alignment vertical="center"/>
    </xf>
    <xf numFmtId="0" fontId="38" fillId="0" borderId="19" xfId="0" applyFont="1" applyBorder="1" applyAlignment="1" applyProtection="1">
      <alignment vertical="center"/>
    </xf>
    <xf numFmtId="0" fontId="38" fillId="0" borderId="20" xfId="0" applyFont="1" applyBorder="1" applyAlignment="1" applyProtection="1">
      <alignment vertical="center"/>
    </xf>
    <xf numFmtId="0" fontId="38" fillId="0" borderId="7" xfId="0" applyFont="1" applyBorder="1" applyAlignment="1" applyProtection="1">
      <alignment vertical="center"/>
    </xf>
    <xf numFmtId="0" fontId="38" fillId="0" borderId="0" xfId="0" applyFont="1" applyAlignment="1" applyProtection="1">
      <alignment horizontal="center" vertical="center"/>
    </xf>
    <xf numFmtId="169" fontId="38" fillId="0" borderId="0" xfId="0" applyNumberFormat="1" applyFont="1" applyAlignment="1" applyProtection="1">
      <alignment horizontal="centerContinuous" vertical="center"/>
    </xf>
    <xf numFmtId="0" fontId="38" fillId="0" borderId="0" xfId="0" applyFont="1" applyAlignment="1" applyProtection="1">
      <alignment horizontal="centerContinuous" vertical="center"/>
    </xf>
    <xf numFmtId="0" fontId="53" fillId="2" borderId="0" xfId="0" applyFont="1" applyFill="1" applyAlignment="1" applyProtection="1">
      <alignment vertical="center"/>
    </xf>
    <xf numFmtId="0" fontId="19" fillId="0" borderId="0" xfId="0" applyFont="1" applyAlignment="1" applyProtection="1">
      <alignment horizontal="left" vertical="top" wrapText="1"/>
    </xf>
    <xf numFmtId="0" fontId="54" fillId="4" borderId="2" xfId="0" applyFont="1" applyFill="1" applyBorder="1" applyAlignment="1" applyProtection="1">
      <alignment horizontal="center" vertical="center" wrapText="1"/>
    </xf>
    <xf numFmtId="0" fontId="18" fillId="4" borderId="0" xfId="0" applyFont="1" applyFill="1" applyAlignment="1" applyProtection="1">
      <alignment horizontal="left" vertical="center"/>
    </xf>
    <xf numFmtId="0" fontId="43" fillId="4" borderId="3" xfId="0" applyFont="1" applyFill="1" applyBorder="1" applyAlignment="1" applyProtection="1">
      <alignment horizontal="center" vertical="center"/>
    </xf>
    <xf numFmtId="0" fontId="43" fillId="4" borderId="1" xfId="0" applyFont="1" applyFill="1" applyBorder="1" applyAlignment="1" applyProtection="1">
      <alignment horizontal="left" vertical="center"/>
    </xf>
    <xf numFmtId="0" fontId="0" fillId="0" borderId="2" xfId="0" applyBorder="1" applyAlignment="1" applyProtection="1">
      <alignment horizontal="left" vertical="center"/>
    </xf>
    <xf numFmtId="0" fontId="0" fillId="0" borderId="2" xfId="0" applyBorder="1" applyAlignment="1" applyProtection="1">
      <alignment horizontal="right" vertical="center"/>
    </xf>
    <xf numFmtId="0" fontId="0" fillId="0" borderId="3" xfId="0" applyBorder="1" applyAlignment="1" applyProtection="1">
      <alignment horizontal="right" vertical="center"/>
    </xf>
    <xf numFmtId="175" fontId="38" fillId="4" borderId="2" xfId="0" applyNumberFormat="1" applyFont="1" applyFill="1" applyBorder="1" applyAlignment="1" applyProtection="1">
      <alignment horizontal="center" vertical="center"/>
    </xf>
    <xf numFmtId="174" fontId="38" fillId="4" borderId="2" xfId="0" applyNumberFormat="1" applyFont="1" applyFill="1" applyBorder="1" applyAlignment="1" applyProtection="1">
      <alignment horizontal="center" vertical="center"/>
    </xf>
    <xf numFmtId="0" fontId="38" fillId="12" borderId="1" xfId="0" applyFont="1" applyFill="1" applyBorder="1" applyAlignment="1" applyProtection="1">
      <alignment horizontal="left" vertical="center"/>
    </xf>
    <xf numFmtId="0" fontId="38" fillId="12" borderId="2" xfId="0" applyFont="1" applyFill="1" applyBorder="1" applyAlignment="1" applyProtection="1">
      <alignment horizontal="left" vertical="center"/>
    </xf>
    <xf numFmtId="175" fontId="38" fillId="12" borderId="2" xfId="0" applyNumberFormat="1" applyFont="1" applyFill="1" applyBorder="1" applyAlignment="1" applyProtection="1">
      <alignment horizontal="center" vertical="center"/>
    </xf>
    <xf numFmtId="173" fontId="38" fillId="12" borderId="12" xfId="0" applyNumberFormat="1" applyFont="1" applyFill="1" applyBorder="1" applyAlignment="1" applyProtection="1">
      <alignment horizontal="center" vertical="center"/>
    </xf>
    <xf numFmtId="2" fontId="38" fillId="12" borderId="8" xfId="0" applyNumberFormat="1" applyFont="1" applyFill="1" applyBorder="1" applyAlignment="1" applyProtection="1">
      <alignment vertical="center"/>
    </xf>
    <xf numFmtId="2" fontId="19" fillId="12" borderId="0" xfId="0" applyNumberFormat="1" applyFont="1" applyFill="1" applyAlignment="1" applyProtection="1">
      <alignment vertical="center"/>
    </xf>
    <xf numFmtId="2" fontId="49" fillId="12" borderId="0" xfId="0" applyNumberFormat="1" applyFont="1" applyFill="1" applyAlignment="1" applyProtection="1">
      <alignment vertical="center"/>
    </xf>
    <xf numFmtId="0" fontId="53" fillId="12" borderId="0" xfId="0" applyFont="1" applyFill="1" applyAlignment="1" applyProtection="1">
      <alignment vertical="center"/>
    </xf>
    <xf numFmtId="0" fontId="0" fillId="12" borderId="0" xfId="0" applyFill="1" applyProtection="1"/>
    <xf numFmtId="0" fontId="19" fillId="12" borderId="0" xfId="0" applyFont="1" applyFill="1" applyAlignment="1" applyProtection="1">
      <alignment vertical="top" wrapText="1"/>
    </xf>
    <xf numFmtId="0" fontId="19" fillId="12" borderId="0" xfId="0" applyFont="1" applyFill="1" applyAlignment="1" applyProtection="1">
      <alignment vertical="center"/>
    </xf>
    <xf numFmtId="175" fontId="38" fillId="4" borderId="12" xfId="0" applyNumberFormat="1" applyFont="1" applyFill="1" applyBorder="1" applyAlignment="1" applyProtection="1">
      <alignment horizontal="center" vertical="center"/>
    </xf>
    <xf numFmtId="173" fontId="38" fillId="4" borderId="2" xfId="0" applyNumberFormat="1" applyFont="1" applyFill="1" applyBorder="1" applyAlignment="1" applyProtection="1">
      <alignment horizontal="center" vertical="center"/>
    </xf>
    <xf numFmtId="168" fontId="38" fillId="4" borderId="12" xfId="0" applyNumberFormat="1" applyFont="1" applyFill="1" applyBorder="1" applyAlignment="1" applyProtection="1">
      <alignment horizontal="center" vertical="center"/>
    </xf>
    <xf numFmtId="0" fontId="73" fillId="0" borderId="12" xfId="0" applyFont="1" applyBorder="1" applyAlignment="1" applyProtection="1">
      <alignment horizontal="center"/>
    </xf>
    <xf numFmtId="0" fontId="38" fillId="5" borderId="0" xfId="0" applyFont="1" applyFill="1" applyAlignment="1" applyProtection="1">
      <alignment vertical="center"/>
    </xf>
    <xf numFmtId="0" fontId="64" fillId="5" borderId="0" xfId="0" applyFont="1" applyFill="1" applyAlignment="1" applyProtection="1">
      <alignment horizontal="left" vertical="center"/>
    </xf>
    <xf numFmtId="0" fontId="64" fillId="5" borderId="0" xfId="0" applyFont="1" applyFill="1" applyAlignment="1" applyProtection="1">
      <alignment vertical="center"/>
    </xf>
    <xf numFmtId="0" fontId="73" fillId="0" borderId="12" xfId="0" applyFont="1" applyBorder="1" applyProtection="1"/>
    <xf numFmtId="0" fontId="0" fillId="0" borderId="12" xfId="0" applyBorder="1" applyAlignment="1" applyProtection="1">
      <alignment horizontal="center"/>
    </xf>
    <xf numFmtId="0" fontId="64" fillId="4" borderId="0" xfId="0" applyFont="1" applyFill="1" applyAlignment="1" applyProtection="1">
      <alignment vertical="center"/>
    </xf>
    <xf numFmtId="169" fontId="38" fillId="0" borderId="0" xfId="0" applyNumberFormat="1" applyFont="1" applyAlignment="1" applyProtection="1">
      <alignment vertical="top" wrapText="1"/>
    </xf>
    <xf numFmtId="0" fontId="53" fillId="2" borderId="0" xfId="0" applyFont="1" applyFill="1" applyAlignment="1" applyProtection="1">
      <alignment horizontal="right" vertical="center"/>
    </xf>
    <xf numFmtId="0" fontId="53" fillId="2" borderId="0" xfId="0" applyFont="1" applyFill="1" applyAlignment="1" applyProtection="1">
      <alignment horizontal="center"/>
    </xf>
    <xf numFmtId="173" fontId="53" fillId="2" borderId="0" xfId="0" applyNumberFormat="1" applyFont="1" applyFill="1" applyAlignment="1" applyProtection="1">
      <alignment vertical="center"/>
    </xf>
    <xf numFmtId="0" fontId="53" fillId="2" borderId="0" xfId="0" applyFont="1" applyFill="1" applyProtection="1"/>
    <xf numFmtId="0" fontId="53" fillId="2" borderId="0" xfId="0" applyFont="1" applyFill="1" applyAlignment="1" applyProtection="1">
      <alignment horizontal="center" vertical="center"/>
    </xf>
    <xf numFmtId="173" fontId="53" fillId="2" borderId="0" xfId="0" applyNumberFormat="1" applyFont="1" applyFill="1" applyAlignment="1" applyProtection="1">
      <alignment horizontal="center" vertical="center"/>
    </xf>
    <xf numFmtId="169" fontId="53" fillId="2" borderId="0" xfId="0" applyNumberFormat="1" applyFont="1" applyFill="1" applyAlignment="1" applyProtection="1">
      <alignment horizontal="center" vertical="center"/>
    </xf>
    <xf numFmtId="0" fontId="53" fillId="2" borderId="0" xfId="0" applyFont="1" applyFill="1" applyAlignment="1" applyProtection="1">
      <alignment horizontal="left" vertical="center"/>
    </xf>
    <xf numFmtId="0" fontId="53" fillId="2" borderId="10" xfId="0" applyFont="1" applyFill="1" applyBorder="1" applyAlignment="1" applyProtection="1">
      <alignment vertical="center"/>
    </xf>
    <xf numFmtId="0" fontId="53" fillId="2" borderId="4" xfId="0" applyFont="1" applyFill="1" applyBorder="1" applyAlignment="1" applyProtection="1">
      <alignment horizontal="centerContinuous" vertical="center"/>
    </xf>
    <xf numFmtId="0" fontId="53" fillId="2" borderId="11" xfId="0" applyFont="1" applyFill="1" applyBorder="1" applyAlignment="1" applyProtection="1">
      <alignment horizontal="centerContinuous" vertical="center"/>
    </xf>
    <xf numFmtId="0" fontId="53" fillId="2" borderId="5" xfId="0" applyFont="1" applyFill="1" applyBorder="1" applyAlignment="1" applyProtection="1">
      <alignment horizontal="centerContinuous" vertical="center"/>
    </xf>
    <xf numFmtId="0" fontId="53" fillId="2" borderId="6" xfId="0" applyFont="1" applyFill="1" applyBorder="1" applyAlignment="1" applyProtection="1">
      <alignment horizontal="centerContinuous" vertical="center"/>
    </xf>
    <xf numFmtId="0" fontId="53" fillId="2" borderId="12" xfId="0" applyFont="1" applyFill="1" applyBorder="1" applyAlignment="1" applyProtection="1">
      <alignment horizontal="center" vertical="center"/>
    </xf>
    <xf numFmtId="0" fontId="53" fillId="2" borderId="3"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2" fontId="53" fillId="2" borderId="14" xfId="0" applyNumberFormat="1"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11" fontId="53" fillId="2" borderId="11" xfId="0" applyNumberFormat="1" applyFont="1" applyFill="1" applyBorder="1" applyAlignment="1" applyProtection="1">
      <alignment horizontal="center" vertical="center"/>
    </xf>
    <xf numFmtId="1" fontId="53" fillId="2" borderId="11" xfId="0" applyNumberFormat="1" applyFont="1" applyFill="1" applyBorder="1" applyAlignment="1" applyProtection="1">
      <alignment horizontal="center" vertical="center"/>
    </xf>
    <xf numFmtId="11" fontId="53" fillId="2" borderId="14" xfId="0" applyNumberFormat="1" applyFont="1" applyFill="1" applyBorder="1" applyAlignment="1" applyProtection="1">
      <alignment horizontal="center" vertical="center"/>
    </xf>
    <xf numFmtId="169" fontId="53" fillId="0" borderId="0" xfId="0" applyNumberFormat="1" applyFont="1" applyAlignment="1" applyProtection="1">
      <alignment horizontal="right" vertical="center"/>
    </xf>
    <xf numFmtId="0" fontId="106" fillId="0" borderId="0" xfId="0" applyFont="1" applyAlignment="1" applyProtection="1">
      <alignment vertical="center"/>
    </xf>
    <xf numFmtId="0" fontId="53" fillId="2" borderId="11" xfId="0" applyFont="1" applyFill="1" applyBorder="1" applyAlignment="1" applyProtection="1">
      <alignment horizontal="center" vertical="center"/>
    </xf>
    <xf numFmtId="169" fontId="95" fillId="10" borderId="0" xfId="0" applyNumberFormat="1" applyFont="1" applyFill="1" applyAlignment="1" applyProtection="1">
      <alignment horizontal="centerContinuous" vertical="center"/>
    </xf>
    <xf numFmtId="0" fontId="38" fillId="0" borderId="21" xfId="0" applyFont="1" applyBorder="1" applyAlignment="1" applyProtection="1">
      <alignment vertical="center"/>
    </xf>
    <xf numFmtId="0" fontId="38" fillId="0" borderId="22" xfId="0" applyFont="1" applyBorder="1" applyAlignment="1" applyProtection="1">
      <alignment vertical="center"/>
    </xf>
    <xf numFmtId="170" fontId="53" fillId="2" borderId="0" xfId="0" applyNumberFormat="1" applyFont="1" applyFill="1" applyAlignment="1" applyProtection="1">
      <alignment vertical="center"/>
    </xf>
    <xf numFmtId="0" fontId="38" fillId="0" borderId="10" xfId="0" applyFont="1" applyBorder="1" applyAlignment="1" applyProtection="1">
      <alignment horizontal="centerContinuous" vertical="center"/>
    </xf>
    <xf numFmtId="0" fontId="43" fillId="0" borderId="7" xfId="0" applyFont="1" applyBorder="1" applyAlignment="1" applyProtection="1">
      <alignment vertical="center"/>
    </xf>
    <xf numFmtId="0" fontId="53" fillId="2" borderId="1" xfId="0" applyFont="1" applyFill="1" applyBorder="1" applyAlignment="1" applyProtection="1">
      <alignment horizontal="centerContinuous"/>
    </xf>
    <xf numFmtId="0" fontId="53" fillId="2" borderId="2" xfId="0" applyFont="1" applyFill="1" applyBorder="1" applyAlignment="1" applyProtection="1">
      <alignment horizontal="centerContinuous"/>
    </xf>
    <xf numFmtId="0" fontId="53" fillId="2" borderId="3" xfId="0" applyFont="1" applyFill="1" applyBorder="1" applyAlignment="1" applyProtection="1">
      <alignment horizontal="centerContinuous"/>
    </xf>
    <xf numFmtId="0" fontId="53" fillId="2" borderId="12" xfId="0" applyFont="1" applyFill="1" applyBorder="1" applyAlignment="1" applyProtection="1">
      <alignment horizontal="center"/>
    </xf>
    <xf numFmtId="0" fontId="38" fillId="0" borderId="15" xfId="0" applyFont="1" applyBorder="1" applyAlignment="1" applyProtection="1">
      <alignment horizontal="left" vertical="center" indent="1"/>
    </xf>
    <xf numFmtId="0" fontId="38" fillId="0" borderId="16" xfId="0" applyFont="1" applyBorder="1" applyAlignment="1" applyProtection="1">
      <alignment horizontal="left" vertical="center" indent="1"/>
    </xf>
    <xf numFmtId="0" fontId="38" fillId="0" borderId="17" xfId="0" applyFont="1" applyBorder="1" applyAlignment="1" applyProtection="1">
      <alignment horizontal="left" vertical="center" indent="1"/>
    </xf>
    <xf numFmtId="0" fontId="53" fillId="2" borderId="13" xfId="0" applyFont="1" applyFill="1" applyBorder="1" applyAlignment="1" applyProtection="1">
      <alignment horizontal="center"/>
    </xf>
    <xf numFmtId="2" fontId="53" fillId="2" borderId="13" xfId="0" applyNumberFormat="1" applyFont="1" applyFill="1" applyBorder="1" applyAlignment="1" applyProtection="1">
      <alignment horizontal="center"/>
    </xf>
    <xf numFmtId="0" fontId="38" fillId="0" borderId="18" xfId="0" applyFont="1" applyBorder="1" applyAlignment="1" applyProtection="1">
      <alignment horizontal="left" vertical="center" indent="1"/>
    </xf>
    <xf numFmtId="0" fontId="38" fillId="0" borderId="19" xfId="0" applyFont="1" applyBorder="1" applyAlignment="1" applyProtection="1">
      <alignment horizontal="left" vertical="center" indent="1"/>
    </xf>
    <xf numFmtId="0" fontId="38" fillId="0" borderId="20" xfId="0" applyFont="1" applyBorder="1" applyAlignment="1" applyProtection="1">
      <alignment horizontal="left" vertical="center" indent="1"/>
    </xf>
    <xf numFmtId="169" fontId="38" fillId="0" borderId="8" xfId="0" applyNumberFormat="1" applyFont="1" applyBorder="1" applyAlignment="1" applyProtection="1">
      <alignment vertical="center"/>
    </xf>
    <xf numFmtId="167" fontId="38" fillId="0" borderId="0" xfId="0" applyNumberFormat="1" applyFont="1" applyAlignment="1" applyProtection="1">
      <alignment vertical="center"/>
    </xf>
    <xf numFmtId="2" fontId="38" fillId="0" borderId="0" xfId="0" applyNumberFormat="1" applyFont="1" applyAlignment="1" applyProtection="1">
      <alignment vertical="center"/>
    </xf>
    <xf numFmtId="2" fontId="38" fillId="0" borderId="8" xfId="0" applyNumberFormat="1" applyFont="1" applyBorder="1" applyAlignment="1" applyProtection="1">
      <alignment vertical="center"/>
    </xf>
    <xf numFmtId="171" fontId="38" fillId="0" borderId="0" xfId="0" applyNumberFormat="1" applyFont="1" applyAlignment="1" applyProtection="1">
      <alignment vertical="center"/>
    </xf>
    <xf numFmtId="0" fontId="53" fillId="2" borderId="13" xfId="0" applyFont="1" applyFill="1" applyBorder="1" applyAlignment="1" applyProtection="1">
      <alignment horizontal="center" vertical="center"/>
    </xf>
    <xf numFmtId="2" fontId="53" fillId="2" borderId="13" xfId="0" applyNumberFormat="1" applyFont="1" applyFill="1" applyBorder="1" applyAlignment="1" applyProtection="1">
      <alignment horizontal="center" vertical="center"/>
    </xf>
    <xf numFmtId="0" fontId="38" fillId="0" borderId="7" xfId="0" applyFont="1" applyBorder="1" applyAlignment="1" applyProtection="1">
      <alignment horizontal="left" vertical="center" indent="1"/>
    </xf>
    <xf numFmtId="0" fontId="38" fillId="0" borderId="0" xfId="0" applyFont="1" applyAlignment="1" applyProtection="1">
      <alignment horizontal="left" vertical="center" indent="1"/>
    </xf>
    <xf numFmtId="2" fontId="53" fillId="2" borderId="14" xfId="0" applyNumberFormat="1" applyFont="1" applyFill="1" applyBorder="1" applyAlignment="1" applyProtection="1">
      <alignment horizontal="center"/>
    </xf>
    <xf numFmtId="0" fontId="53" fillId="2" borderId="14" xfId="0" applyFont="1" applyFill="1" applyBorder="1" applyAlignment="1" applyProtection="1">
      <alignment horizontal="center"/>
    </xf>
    <xf numFmtId="0" fontId="43" fillId="0" borderId="5" xfId="0" applyFont="1" applyBorder="1" applyAlignment="1" applyProtection="1">
      <alignment horizontal="centerContinuous" vertical="center"/>
    </xf>
    <xf numFmtId="0" fontId="43" fillId="0" borderId="0" xfId="0" applyFont="1" applyAlignment="1" applyProtection="1">
      <alignment horizontal="centerContinuous" vertical="center"/>
    </xf>
    <xf numFmtId="0" fontId="38" fillId="0" borderId="0" xfId="0" applyFont="1" applyAlignment="1" applyProtection="1">
      <alignment horizontal="left" vertical="center"/>
    </xf>
    <xf numFmtId="1" fontId="38" fillId="0" borderId="0" xfId="0" applyNumberFormat="1" applyFont="1" applyAlignment="1" applyProtection="1">
      <alignment horizontal="right" vertical="center"/>
    </xf>
    <xf numFmtId="169" fontId="38" fillId="0" borderId="0" xfId="0" applyNumberFormat="1" applyFont="1" applyAlignment="1" applyProtection="1">
      <alignment horizontal="right" vertical="center"/>
    </xf>
    <xf numFmtId="181" fontId="38" fillId="4" borderId="0" xfId="0" applyNumberFormat="1" applyFont="1" applyFill="1" applyAlignment="1" applyProtection="1">
      <alignment vertical="center"/>
    </xf>
    <xf numFmtId="0" fontId="38" fillId="4" borderId="0" xfId="0" applyFont="1" applyFill="1" applyAlignment="1" applyProtection="1">
      <alignment vertical="center"/>
    </xf>
    <xf numFmtId="0" fontId="38" fillId="0" borderId="7" xfId="0" quotePrefix="1" applyFont="1" applyBorder="1" applyAlignment="1" applyProtection="1">
      <alignment vertical="center"/>
    </xf>
    <xf numFmtId="0" fontId="38" fillId="0" borderId="7" xfId="0" quotePrefix="1" applyFont="1" applyBorder="1" applyProtection="1"/>
    <xf numFmtId="0" fontId="38" fillId="0" borderId="0" xfId="0" applyFont="1" applyProtection="1"/>
    <xf numFmtId="0" fontId="38" fillId="0" borderId="8" xfId="0" applyFont="1" applyBorder="1" applyAlignment="1" applyProtection="1">
      <alignment horizontal="right"/>
    </xf>
    <xf numFmtId="0" fontId="53" fillId="0" borderId="8" xfId="0" applyFont="1" applyBorder="1" applyAlignment="1" applyProtection="1">
      <alignment horizontal="right"/>
    </xf>
    <xf numFmtId="0" fontId="53" fillId="0" borderId="10" xfId="0" applyFont="1" applyBorder="1" applyAlignment="1" applyProtection="1">
      <alignment vertical="top"/>
    </xf>
    <xf numFmtId="0" fontId="53" fillId="0" borderId="11" xfId="0" applyFont="1" applyBorder="1" applyAlignment="1" applyProtection="1">
      <alignment vertical="top"/>
    </xf>
    <xf numFmtId="0" fontId="53" fillId="2" borderId="0" xfId="0" applyFont="1" applyFill="1" applyAlignment="1" applyProtection="1">
      <alignment vertical="top"/>
    </xf>
    <xf numFmtId="0" fontId="53" fillId="0" borderId="0" xfId="0" applyFont="1" applyAlignment="1" applyProtection="1">
      <alignment vertical="top"/>
    </xf>
    <xf numFmtId="0" fontId="0" fillId="0" borderId="2" xfId="0" applyBorder="1" applyAlignment="1" applyProtection="1">
      <alignment horizontal="center" vertical="center" wrapText="1"/>
    </xf>
    <xf numFmtId="173" fontId="38" fillId="4" borderId="1" xfId="0" applyNumberFormat="1" applyFont="1" applyFill="1" applyBorder="1" applyAlignment="1" applyProtection="1">
      <alignment horizontal="center"/>
    </xf>
    <xf numFmtId="174" fontId="38" fillId="4" borderId="1" xfId="0" applyNumberFormat="1" applyFont="1" applyFill="1" applyBorder="1" applyAlignment="1" applyProtection="1">
      <alignment horizontal="center"/>
    </xf>
    <xf numFmtId="0" fontId="54" fillId="4" borderId="12" xfId="0" applyFont="1" applyFill="1" applyBorder="1" applyAlignment="1" applyProtection="1">
      <alignment horizontal="center" vertical="center" wrapText="1"/>
    </xf>
    <xf numFmtId="0" fontId="43" fillId="4" borderId="2" xfId="0" applyFont="1" applyFill="1" applyBorder="1" applyAlignment="1" applyProtection="1">
      <alignment horizontal="center" vertical="center"/>
    </xf>
    <xf numFmtId="0" fontId="0" fillId="0" borderId="0" xfId="0" applyAlignment="1" applyProtection="1">
      <alignment vertical="top" wrapText="1"/>
    </xf>
    <xf numFmtId="0" fontId="38" fillId="4" borderId="3" xfId="0" applyFont="1" applyFill="1" applyBorder="1" applyAlignment="1" applyProtection="1">
      <alignment horizontal="right" vertical="center"/>
    </xf>
    <xf numFmtId="2" fontId="49" fillId="4" borderId="0" xfId="0" applyNumberFormat="1" applyFont="1" applyFill="1" applyAlignment="1" applyProtection="1">
      <alignment horizontal="left" vertical="center"/>
    </xf>
    <xf numFmtId="2" fontId="19" fillId="4" borderId="0" xfId="0" applyNumberFormat="1" applyFont="1" applyFill="1" applyAlignment="1" applyProtection="1">
      <alignment horizontal="left" vertical="center"/>
    </xf>
    <xf numFmtId="195" fontId="38" fillId="4" borderId="0" xfId="0" applyNumberFormat="1" applyFont="1" applyFill="1" applyAlignment="1" applyProtection="1">
      <alignment vertical="center"/>
    </xf>
    <xf numFmtId="0" fontId="38" fillId="0" borderId="0" xfId="0" quotePrefix="1" applyFont="1" applyAlignment="1" applyProtection="1">
      <alignment vertical="center"/>
    </xf>
    <xf numFmtId="198" fontId="38" fillId="4" borderId="0" xfId="0" applyNumberFormat="1" applyFont="1" applyFill="1" applyAlignment="1" applyProtection="1">
      <alignment vertical="center"/>
    </xf>
    <xf numFmtId="0" fontId="43" fillId="0" borderId="7" xfId="0" applyFont="1" applyBorder="1" applyAlignment="1" applyProtection="1">
      <alignment horizontal="center" vertical="center" wrapText="1"/>
    </xf>
    <xf numFmtId="0" fontId="43" fillId="0" borderId="0" xfId="0" applyFont="1" applyAlignment="1" applyProtection="1">
      <alignment horizontal="center" vertical="center" wrapText="1"/>
    </xf>
    <xf numFmtId="168" fontId="38" fillId="4" borderId="0" xfId="0" applyNumberFormat="1" applyFont="1" applyFill="1" applyAlignment="1" applyProtection="1">
      <alignment horizontal="center" vertical="center" wrapText="1"/>
    </xf>
    <xf numFmtId="168" fontId="38" fillId="4" borderId="0" xfId="0" applyNumberFormat="1" applyFont="1" applyFill="1" applyAlignment="1" applyProtection="1">
      <alignment horizontal="center"/>
    </xf>
    <xf numFmtId="0" fontId="0" fillId="0" borderId="12" xfId="0" applyBorder="1" applyAlignment="1" applyProtection="1">
      <alignment horizontal="center" vertical="center" wrapText="1"/>
    </xf>
    <xf numFmtId="0" fontId="16" fillId="0" borderId="0" xfId="0" applyFont="1" applyAlignment="1" applyProtection="1">
      <alignment horizontal="center" vertical="center"/>
    </xf>
    <xf numFmtId="0" fontId="43" fillId="4" borderId="0" xfId="0" applyFont="1" applyFill="1" applyAlignment="1" applyProtection="1">
      <alignment horizontal="right" vertical="center"/>
    </xf>
    <xf numFmtId="1" fontId="38" fillId="4" borderId="0" xfId="0" applyNumberFormat="1" applyFont="1" applyFill="1" applyAlignment="1" applyProtection="1">
      <alignment vertical="center"/>
    </xf>
    <xf numFmtId="2" fontId="38" fillId="4" borderId="0" xfId="0" applyNumberFormat="1" applyFont="1" applyFill="1" applyAlignment="1" applyProtection="1">
      <alignment vertical="center"/>
    </xf>
    <xf numFmtId="169" fontId="38" fillId="5" borderId="0" xfId="0" applyNumberFormat="1" applyFont="1" applyFill="1" applyAlignment="1" applyProtection="1">
      <alignment vertical="center"/>
    </xf>
    <xf numFmtId="197" fontId="38" fillId="4" borderId="0" xfId="0" applyNumberFormat="1" applyFont="1" applyFill="1" applyAlignment="1" applyProtection="1">
      <alignment vertical="center"/>
    </xf>
    <xf numFmtId="196" fontId="38" fillId="4" borderId="0" xfId="0" applyNumberFormat="1" applyFont="1" applyFill="1" applyAlignment="1" applyProtection="1">
      <alignment vertical="center"/>
    </xf>
    <xf numFmtId="0" fontId="55" fillId="0" borderId="5" xfId="0" applyFont="1" applyBorder="1" applyAlignment="1" applyProtection="1">
      <alignment vertical="center"/>
    </xf>
    <xf numFmtId="0" fontId="24" fillId="2" borderId="10" xfId="0" applyFont="1" applyFill="1" applyBorder="1" applyAlignment="1" applyProtection="1">
      <alignment vertical="center"/>
    </xf>
    <xf numFmtId="0" fontId="24" fillId="2" borderId="4" xfId="0" applyFont="1" applyFill="1" applyBorder="1" applyAlignment="1" applyProtection="1">
      <alignment horizontal="centerContinuous" vertical="center"/>
    </xf>
    <xf numFmtId="0" fontId="24" fillId="2" borderId="5" xfId="0" applyFont="1" applyFill="1" applyBorder="1" applyAlignment="1" applyProtection="1">
      <alignment horizontal="centerContinuous" vertical="center"/>
    </xf>
    <xf numFmtId="0" fontId="24" fillId="2" borderId="6" xfId="0" applyFont="1" applyFill="1" applyBorder="1" applyAlignment="1" applyProtection="1">
      <alignment horizontal="centerContinuous" vertical="center"/>
    </xf>
    <xf numFmtId="0" fontId="29" fillId="0" borderId="15" xfId="0" applyFont="1" applyBorder="1" applyAlignment="1" applyProtection="1">
      <alignment vertical="center"/>
    </xf>
    <xf numFmtId="0" fontId="29" fillId="0" borderId="16" xfId="0" applyFont="1" applyBorder="1" applyAlignment="1" applyProtection="1">
      <alignment vertical="center"/>
    </xf>
    <xf numFmtId="0" fontId="29" fillId="0" borderId="17" xfId="0" applyFont="1" applyBorder="1" applyAlignment="1" applyProtection="1">
      <alignment vertical="center"/>
    </xf>
    <xf numFmtId="0" fontId="24" fillId="2" borderId="12" xfId="0" applyFont="1" applyFill="1" applyBorder="1" applyAlignment="1" applyProtection="1">
      <alignment horizontal="center" vertical="center"/>
    </xf>
    <xf numFmtId="0" fontId="29" fillId="0" borderId="18" xfId="0" applyFont="1" applyBorder="1" applyAlignment="1" applyProtection="1">
      <alignment vertical="center"/>
    </xf>
    <xf numFmtId="0" fontId="29" fillId="0" borderId="19" xfId="0" applyFont="1" applyBorder="1" applyAlignment="1" applyProtection="1">
      <alignment vertical="center"/>
    </xf>
    <xf numFmtId="0" fontId="29" fillId="0" borderId="20" xfId="0" applyFont="1" applyBorder="1" applyAlignment="1" applyProtection="1">
      <alignment vertical="center"/>
    </xf>
    <xf numFmtId="0" fontId="24" fillId="2" borderId="0" xfId="0" applyFont="1" applyFill="1" applyAlignment="1" applyProtection="1">
      <alignment horizontal="right" vertical="center"/>
    </xf>
    <xf numFmtId="168" fontId="24" fillId="2" borderId="14" xfId="0" applyNumberFormat="1" applyFont="1" applyFill="1" applyBorder="1" applyAlignment="1" applyProtection="1">
      <alignment horizontal="center" vertical="center"/>
    </xf>
    <xf numFmtId="2" fontId="24" fillId="2" borderId="11"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169" fontId="24" fillId="2" borderId="11" xfId="0" applyNumberFormat="1" applyFont="1" applyFill="1" applyBorder="1" applyAlignment="1" applyProtection="1">
      <alignment horizontal="center" vertical="center"/>
    </xf>
    <xf numFmtId="1" fontId="24" fillId="2" borderId="11" xfId="0" applyNumberFormat="1" applyFont="1" applyFill="1" applyBorder="1" applyAlignment="1" applyProtection="1">
      <alignment horizontal="center" vertical="center"/>
    </xf>
    <xf numFmtId="169" fontId="24" fillId="2" borderId="0" xfId="0" applyNumberFormat="1" applyFont="1" applyFill="1" applyAlignment="1" applyProtection="1">
      <alignment vertical="center"/>
    </xf>
    <xf numFmtId="174" fontId="24" fillId="2" borderId="11" xfId="0" applyNumberFormat="1" applyFont="1" applyFill="1" applyBorder="1" applyAlignment="1" applyProtection="1">
      <alignment horizontal="center" vertical="center"/>
    </xf>
    <xf numFmtId="0" fontId="55" fillId="0" borderId="6" xfId="0" applyFont="1" applyBorder="1" applyAlignment="1" applyProtection="1">
      <alignment vertical="center"/>
    </xf>
    <xf numFmtId="0" fontId="29" fillId="0" borderId="11" xfId="0" applyFont="1" applyBorder="1" applyAlignment="1" applyProtection="1">
      <alignment vertical="center"/>
    </xf>
    <xf numFmtId="0" fontId="24" fillId="2" borderId="3" xfId="0" applyFont="1" applyFill="1" applyBorder="1" applyAlignment="1" applyProtection="1">
      <alignment horizontal="center" vertical="center"/>
    </xf>
    <xf numFmtId="0" fontId="24" fillId="2" borderId="11" xfId="0" applyFont="1" applyFill="1" applyBorder="1" applyAlignment="1" applyProtection="1">
      <alignment horizontal="center" vertical="center"/>
    </xf>
    <xf numFmtId="173" fontId="24" fillId="2" borderId="0" xfId="0" applyNumberFormat="1" applyFont="1" applyFill="1" applyAlignment="1" applyProtection="1">
      <alignment vertical="center"/>
    </xf>
    <xf numFmtId="174" fontId="24" fillId="2" borderId="0" xfId="0" applyNumberFormat="1" applyFont="1" applyFill="1" applyAlignment="1" applyProtection="1">
      <alignment horizontal="center" vertical="center"/>
    </xf>
    <xf numFmtId="1" fontId="24" fillId="2" borderId="0" xfId="0" applyNumberFormat="1" applyFont="1" applyFill="1" applyAlignment="1" applyProtection="1">
      <alignment horizontal="center" vertical="center"/>
    </xf>
    <xf numFmtId="0" fontId="55" fillId="15" borderId="4" xfId="0" applyFont="1" applyFill="1" applyBorder="1" applyAlignment="1" applyProtection="1">
      <alignment vertical="center"/>
    </xf>
    <xf numFmtId="0" fontId="29" fillId="15" borderId="5" xfId="0" applyFont="1" applyFill="1" applyBorder="1" applyAlignment="1" applyProtection="1">
      <alignment vertical="center"/>
    </xf>
    <xf numFmtId="0" fontId="29" fillId="15" borderId="6" xfId="0" applyFont="1" applyFill="1" applyBorder="1" applyAlignment="1" applyProtection="1">
      <alignment vertical="center"/>
    </xf>
    <xf numFmtId="0" fontId="55" fillId="15" borderId="15" xfId="0" applyFont="1" applyFill="1" applyBorder="1" applyAlignment="1" applyProtection="1">
      <alignment vertical="center"/>
    </xf>
    <xf numFmtId="0" fontId="29" fillId="15" borderId="16" xfId="0" applyFont="1" applyFill="1" applyBorder="1" applyAlignment="1" applyProtection="1">
      <alignment vertical="center"/>
    </xf>
    <xf numFmtId="0" fontId="29" fillId="15" borderId="17" xfId="0" applyFont="1" applyFill="1" applyBorder="1" applyAlignment="1" applyProtection="1">
      <alignment vertical="center"/>
    </xf>
    <xf numFmtId="0" fontId="29" fillId="15" borderId="7" xfId="0" applyFont="1" applyFill="1" applyBorder="1" applyAlignment="1" applyProtection="1">
      <alignment vertical="center"/>
    </xf>
    <xf numFmtId="0" fontId="29" fillId="15" borderId="0" xfId="0" applyFont="1" applyFill="1" applyAlignment="1" applyProtection="1">
      <alignment vertical="center"/>
    </xf>
    <xf numFmtId="1" fontId="29" fillId="15" borderId="0" xfId="0" applyNumberFormat="1" applyFont="1" applyFill="1" applyAlignment="1" applyProtection="1">
      <alignment horizontal="centerContinuous" vertical="center"/>
    </xf>
    <xf numFmtId="0" fontId="29" fillId="15" borderId="8" xfId="0" applyFont="1" applyFill="1" applyBorder="1" applyAlignment="1" applyProtection="1">
      <alignment vertical="center"/>
    </xf>
    <xf numFmtId="0" fontId="29" fillId="15" borderId="21" xfId="0" applyFont="1" applyFill="1" applyBorder="1" applyAlignment="1" applyProtection="1">
      <alignment vertical="center"/>
    </xf>
    <xf numFmtId="0" fontId="29" fillId="15" borderId="22" xfId="0" applyFont="1" applyFill="1" applyBorder="1" applyAlignment="1" applyProtection="1">
      <alignment vertical="center"/>
    </xf>
    <xf numFmtId="0" fontId="29" fillId="15" borderId="9" xfId="0" applyFont="1" applyFill="1" applyBorder="1" applyAlignment="1" applyProtection="1">
      <alignment vertical="center"/>
    </xf>
    <xf numFmtId="0" fontId="29" fillId="15" borderId="10" xfId="0" applyFont="1" applyFill="1" applyBorder="1" applyAlignment="1" applyProtection="1">
      <alignment vertical="center"/>
    </xf>
    <xf numFmtId="0" fontId="29" fillId="15" borderId="10" xfId="0" applyFont="1" applyFill="1" applyBorder="1" applyAlignment="1" applyProtection="1">
      <alignment horizontal="centerContinuous" vertical="center"/>
    </xf>
    <xf numFmtId="0" fontId="29" fillId="15" borderId="11" xfId="0" applyFont="1" applyFill="1" applyBorder="1" applyAlignment="1" applyProtection="1">
      <alignment vertical="center"/>
    </xf>
    <xf numFmtId="0" fontId="29" fillId="0" borderId="10" xfId="0" applyFont="1" applyBorder="1" applyAlignment="1" applyProtection="1">
      <alignment horizontal="left" vertical="center"/>
    </xf>
    <xf numFmtId="0" fontId="29" fillId="0" borderId="0" xfId="0" applyFont="1" applyAlignment="1" applyProtection="1">
      <alignment horizontal="left" vertical="center"/>
    </xf>
    <xf numFmtId="1" fontId="29" fillId="0" borderId="0" xfId="0" applyNumberFormat="1" applyFont="1" applyAlignment="1" applyProtection="1">
      <alignment horizontal="right" vertical="center"/>
    </xf>
    <xf numFmtId="0" fontId="55" fillId="0" borderId="15" xfId="0" applyFont="1" applyBorder="1" applyAlignment="1" applyProtection="1">
      <alignment horizontal="left" vertical="center"/>
    </xf>
    <xf numFmtId="0" fontId="55" fillId="0" borderId="16" xfId="0" applyFont="1" applyBorder="1" applyAlignment="1" applyProtection="1">
      <alignment vertical="center"/>
    </xf>
    <xf numFmtId="0" fontId="55" fillId="0" borderId="16" xfId="0" applyFont="1" applyBorder="1" applyAlignment="1" applyProtection="1">
      <alignment horizontal="center" vertical="center"/>
    </xf>
    <xf numFmtId="0" fontId="55" fillId="0" borderId="0" xfId="0" applyFont="1" applyAlignment="1" applyProtection="1">
      <alignment vertical="center"/>
    </xf>
    <xf numFmtId="0" fontId="29" fillId="0" borderId="21" xfId="0" applyFont="1" applyBorder="1" applyAlignment="1" applyProtection="1">
      <alignment vertical="center"/>
    </xf>
    <xf numFmtId="0" fontId="29" fillId="0" borderId="22" xfId="0" applyFont="1" applyBorder="1" applyAlignment="1" applyProtection="1">
      <alignment vertical="center"/>
    </xf>
    <xf numFmtId="172" fontId="27" fillId="2" borderId="0" xfId="0" applyNumberFormat="1" applyFont="1" applyFill="1" applyAlignment="1" applyProtection="1">
      <alignment vertical="center"/>
    </xf>
    <xf numFmtId="167" fontId="27" fillId="2" borderId="0" xfId="0" applyNumberFormat="1" applyFont="1" applyFill="1" applyAlignment="1" applyProtection="1">
      <alignment vertical="center"/>
    </xf>
    <xf numFmtId="0" fontId="29" fillId="0" borderId="26" xfId="0" applyFont="1" applyBorder="1" applyAlignment="1" applyProtection="1">
      <alignment horizontal="left" vertical="center" indent="1"/>
    </xf>
    <xf numFmtId="0" fontId="29" fillId="0" borderId="27" xfId="0" applyFont="1" applyBorder="1" applyAlignment="1" applyProtection="1">
      <alignment vertical="center"/>
    </xf>
    <xf numFmtId="0" fontId="29" fillId="0" borderId="27" xfId="0" applyFont="1" applyBorder="1" applyAlignment="1" applyProtection="1">
      <alignment horizontal="centerContinuous" vertical="center"/>
    </xf>
    <xf numFmtId="0" fontId="29" fillId="0" borderId="28" xfId="0" applyFont="1" applyBorder="1" applyAlignment="1" applyProtection="1">
      <alignment vertical="center"/>
    </xf>
    <xf numFmtId="0" fontId="30" fillId="0" borderId="10" xfId="0" applyFont="1" applyBorder="1" applyAlignment="1" applyProtection="1">
      <alignment vertical="top"/>
    </xf>
    <xf numFmtId="0" fontId="30" fillId="0" borderId="11" xfId="0" applyFont="1" applyBorder="1" applyAlignment="1" applyProtection="1">
      <alignment vertical="top"/>
    </xf>
    <xf numFmtId="0" fontId="24" fillId="12" borderId="0" xfId="0" applyFont="1" applyFill="1" applyAlignment="1" applyProtection="1">
      <alignment vertical="center"/>
    </xf>
    <xf numFmtId="169" fontId="95" fillId="10" borderId="0" xfId="0" applyNumberFormat="1" applyFont="1" applyFill="1" applyAlignment="1" applyProtection="1">
      <alignment horizontal="center" vertical="center"/>
    </xf>
    <xf numFmtId="0" fontId="15" fillId="4" borderId="0" xfId="0" applyFont="1" applyFill="1" applyAlignment="1" applyProtection="1">
      <alignment vertical="center"/>
    </xf>
    <xf numFmtId="0" fontId="15" fillId="2" borderId="0" xfId="0" applyFont="1" applyFill="1" applyAlignment="1" applyProtection="1">
      <alignment vertical="center"/>
    </xf>
    <xf numFmtId="0" fontId="17" fillId="2" borderId="0" xfId="0" applyFont="1" applyFill="1" applyAlignment="1" applyProtection="1">
      <alignment vertical="center"/>
    </xf>
    <xf numFmtId="0" fontId="17" fillId="0" borderId="0" xfId="0" applyFont="1" applyAlignment="1" applyProtection="1">
      <alignment vertical="center"/>
    </xf>
    <xf numFmtId="0" fontId="19" fillId="2" borderId="0" xfId="0" applyFont="1" applyFill="1" applyAlignment="1" applyProtection="1">
      <alignment horizontal="center"/>
    </xf>
    <xf numFmtId="0" fontId="19" fillId="0" borderId="0" xfId="0" applyFont="1" applyAlignment="1" applyProtection="1">
      <alignment horizontal="right"/>
    </xf>
    <xf numFmtId="169" fontId="19" fillId="0" borderId="0" xfId="0" applyNumberFormat="1" applyFont="1" applyAlignment="1" applyProtection="1">
      <alignment horizontal="center"/>
    </xf>
    <xf numFmtId="0" fontId="48" fillId="0" borderId="0" xfId="0" applyFont="1" applyProtection="1"/>
    <xf numFmtId="2" fontId="48" fillId="0" borderId="0" xfId="0" applyNumberFormat="1" applyFont="1" applyProtection="1"/>
    <xf numFmtId="0" fontId="15" fillId="4" borderId="0" xfId="0" applyFont="1" applyFill="1" applyProtection="1"/>
    <xf numFmtId="0" fontId="15" fillId="2" borderId="0" xfId="0" applyFont="1" applyFill="1" applyProtection="1"/>
    <xf numFmtId="0" fontId="19" fillId="2" borderId="0" xfId="0" applyFont="1" applyFill="1" applyAlignment="1" applyProtection="1">
      <alignment horizontal="center" vertical="center"/>
    </xf>
    <xf numFmtId="0" fontId="19" fillId="0" borderId="0" xfId="0" quotePrefix="1" applyFont="1" applyAlignment="1" applyProtection="1">
      <alignment horizontal="right"/>
    </xf>
    <xf numFmtId="9" fontId="19" fillId="0" borderId="0" xfId="0" applyNumberFormat="1" applyFont="1" applyAlignment="1" applyProtection="1">
      <alignment horizontal="center"/>
    </xf>
    <xf numFmtId="0" fontId="19" fillId="0" borderId="0" xfId="0" quotePrefix="1" applyFont="1" applyAlignment="1" applyProtection="1">
      <alignment horizontal="center"/>
    </xf>
    <xf numFmtId="0" fontId="19" fillId="0" borderId="0" xfId="0" applyFont="1" applyAlignment="1" applyProtection="1">
      <alignment horizontal="center" vertical="center"/>
    </xf>
    <xf numFmtId="0" fontId="17" fillId="2" borderId="0" xfId="0" applyFont="1" applyFill="1" applyProtection="1"/>
    <xf numFmtId="0" fontId="17" fillId="0" borderId="0" xfId="0" applyFont="1" applyProtection="1"/>
    <xf numFmtId="0" fontId="15" fillId="2" borderId="0" xfId="0" applyFont="1" applyFill="1" applyAlignment="1" applyProtection="1">
      <alignment horizontal="center"/>
    </xf>
    <xf numFmtId="0" fontId="19" fillId="0" borderId="10" xfId="0" applyFont="1" applyBorder="1" applyAlignment="1" applyProtection="1">
      <alignment horizontal="center"/>
    </xf>
    <xf numFmtId="2" fontId="19" fillId="0" borderId="0" xfId="0" applyNumberFormat="1" applyFont="1" applyAlignment="1" applyProtection="1">
      <alignment horizontal="center" vertical="center"/>
    </xf>
    <xf numFmtId="173" fontId="19" fillId="2" borderId="0" xfId="0" applyNumberFormat="1" applyFont="1" applyFill="1" applyAlignment="1" applyProtection="1">
      <alignment horizontal="center" vertical="center"/>
    </xf>
    <xf numFmtId="0" fontId="19" fillId="0" borderId="0" xfId="0" applyFont="1" applyAlignment="1" applyProtection="1">
      <alignment horizontal="center"/>
    </xf>
    <xf numFmtId="169" fontId="19" fillId="2" borderId="0" xfId="0" applyNumberFormat="1" applyFont="1" applyFill="1" applyAlignment="1" applyProtection="1">
      <alignment horizontal="center" vertical="center"/>
    </xf>
    <xf numFmtId="0" fontId="19" fillId="0" borderId="10" xfId="0" applyFont="1" applyBorder="1" applyProtection="1"/>
    <xf numFmtId="11" fontId="19" fillId="0" borderId="10" xfId="0" applyNumberFormat="1" applyFont="1" applyBorder="1" applyAlignment="1" applyProtection="1">
      <alignment horizontal="center" vertical="center"/>
    </xf>
    <xf numFmtId="0" fontId="19" fillId="0" borderId="0" xfId="0" quotePrefix="1" applyFont="1" applyProtection="1"/>
    <xf numFmtId="0" fontId="19" fillId="0" borderId="5" xfId="0" quotePrefix="1" applyFont="1" applyBorder="1" applyProtection="1"/>
    <xf numFmtId="2" fontId="19" fillId="0" borderId="5" xfId="0" applyNumberFormat="1" applyFont="1" applyBorder="1" applyAlignment="1" applyProtection="1">
      <alignment horizontal="center"/>
    </xf>
    <xf numFmtId="0" fontId="15" fillId="2" borderId="0" xfId="0" applyFont="1" applyFill="1" applyAlignment="1" applyProtection="1">
      <alignment horizontal="center" vertical="center"/>
    </xf>
    <xf numFmtId="0" fontId="19" fillId="0" borderId="0" xfId="0" quotePrefix="1" applyFont="1" applyAlignment="1" applyProtection="1">
      <alignment horizontal="center" vertical="center"/>
    </xf>
    <xf numFmtId="0" fontId="48" fillId="0" borderId="0" xfId="0" quotePrefix="1" applyFont="1" applyAlignment="1" applyProtection="1">
      <alignment horizontal="center"/>
    </xf>
    <xf numFmtId="0" fontId="48" fillId="0" borderId="0" xfId="0" applyFont="1" applyAlignment="1" applyProtection="1">
      <alignment horizontal="center"/>
    </xf>
    <xf numFmtId="0" fontId="15" fillId="2" borderId="10" xfId="0" applyFont="1" applyFill="1" applyBorder="1" applyAlignment="1" applyProtection="1">
      <alignment vertical="center"/>
    </xf>
    <xf numFmtId="0" fontId="15" fillId="2" borderId="4" xfId="0" applyFont="1" applyFill="1" applyBorder="1" applyAlignment="1" applyProtection="1">
      <alignment horizontal="centerContinuous" vertical="center"/>
    </xf>
    <xf numFmtId="0" fontId="15" fillId="2" borderId="11" xfId="0" applyFont="1" applyFill="1" applyBorder="1" applyAlignment="1" applyProtection="1">
      <alignment horizontal="centerContinuous" vertical="center"/>
    </xf>
    <xf numFmtId="0" fontId="15" fillId="2" borderId="5" xfId="0" applyFont="1" applyFill="1" applyBorder="1" applyAlignment="1" applyProtection="1">
      <alignment horizontal="centerContinuous" vertical="center"/>
    </xf>
    <xf numFmtId="0" fontId="15" fillId="2" borderId="6" xfId="0" applyFont="1" applyFill="1" applyBorder="1" applyAlignment="1" applyProtection="1">
      <alignment horizontal="centerContinuous" vertical="center"/>
    </xf>
    <xf numFmtId="0" fontId="15" fillId="2" borderId="12" xfId="0" applyFont="1" applyFill="1" applyBorder="1" applyAlignment="1" applyProtection="1">
      <alignment horizontal="center" vertical="center"/>
    </xf>
    <xf numFmtId="0" fontId="15" fillId="2" borderId="3" xfId="0" applyFont="1" applyFill="1" applyBorder="1" applyAlignment="1" applyProtection="1">
      <alignment horizontal="center" vertical="center"/>
    </xf>
    <xf numFmtId="0" fontId="15" fillId="2" borderId="14" xfId="0" applyFont="1" applyFill="1" applyBorder="1" applyAlignment="1" applyProtection="1">
      <alignment horizontal="center" vertical="center"/>
    </xf>
    <xf numFmtId="2" fontId="15" fillId="2" borderId="14" xfId="0" applyNumberFormat="1" applyFont="1" applyFill="1" applyBorder="1" applyAlignment="1" applyProtection="1">
      <alignment horizontal="center" vertical="center"/>
    </xf>
    <xf numFmtId="0" fontId="15" fillId="2" borderId="11" xfId="0" applyFont="1" applyFill="1" applyBorder="1" applyAlignment="1" applyProtection="1">
      <alignment horizontal="center" vertical="center"/>
    </xf>
    <xf numFmtId="1" fontId="15" fillId="2" borderId="11" xfId="0" applyNumberFormat="1" applyFont="1" applyFill="1" applyBorder="1" applyAlignment="1" applyProtection="1">
      <alignment horizontal="center" vertical="center"/>
    </xf>
    <xf numFmtId="0" fontId="19" fillId="0" borderId="0" xfId="0" applyFont="1" applyAlignment="1" applyProtection="1">
      <alignment horizontal="right" vertical="center"/>
    </xf>
    <xf numFmtId="0" fontId="15" fillId="2" borderId="0" xfId="0" applyFont="1" applyFill="1" applyAlignment="1" applyProtection="1">
      <alignment horizontal="right" vertical="center"/>
    </xf>
    <xf numFmtId="0" fontId="38" fillId="0" borderId="5" xfId="0" applyFont="1" applyBorder="1" applyAlignment="1" applyProtection="1">
      <alignment horizontal="right" vertical="center"/>
    </xf>
    <xf numFmtId="1" fontId="38" fillId="0" borderId="0" xfId="0" applyNumberFormat="1" applyFont="1" applyAlignment="1" applyProtection="1">
      <alignment horizontal="centerContinuous" vertical="center"/>
    </xf>
    <xf numFmtId="0" fontId="95" fillId="10" borderId="0" xfId="0" applyFont="1" applyFill="1" applyAlignment="1" applyProtection="1">
      <alignment horizontal="center" vertical="center"/>
    </xf>
    <xf numFmtId="170" fontId="15" fillId="2" borderId="0" xfId="0" applyNumberFormat="1" applyFont="1" applyFill="1" applyAlignment="1" applyProtection="1">
      <alignment vertical="center"/>
    </xf>
    <xf numFmtId="11" fontId="15" fillId="2" borderId="14" xfId="0" applyNumberFormat="1" applyFont="1" applyFill="1" applyBorder="1" applyAlignment="1" applyProtection="1">
      <alignment horizontal="center" vertical="center"/>
    </xf>
    <xf numFmtId="169" fontId="95" fillId="10" borderId="10" xfId="0" applyNumberFormat="1" applyFont="1" applyFill="1" applyBorder="1" applyAlignment="1" applyProtection="1">
      <alignment horizontal="center" vertical="center"/>
    </xf>
    <xf numFmtId="0" fontId="22" fillId="4" borderId="0" xfId="0" applyFont="1" applyFill="1" applyAlignment="1" applyProtection="1">
      <alignment horizontal="center" vertical="center"/>
    </xf>
    <xf numFmtId="0" fontId="22" fillId="2" borderId="1" xfId="0" applyFont="1" applyFill="1" applyBorder="1" applyAlignment="1" applyProtection="1">
      <alignment horizontal="centerContinuous"/>
    </xf>
    <xf numFmtId="0" fontId="22" fillId="2" borderId="2" xfId="0" applyFont="1" applyFill="1" applyBorder="1" applyAlignment="1" applyProtection="1">
      <alignment horizontal="centerContinuous"/>
    </xf>
    <xf numFmtId="0" fontId="22" fillId="2" borderId="3" xfId="0" applyFont="1" applyFill="1" applyBorder="1" applyAlignment="1" applyProtection="1">
      <alignment horizontal="centerContinuous"/>
    </xf>
    <xf numFmtId="0" fontId="22" fillId="2" borderId="0" xfId="0" applyFont="1" applyFill="1" applyAlignment="1" applyProtection="1">
      <alignment horizontal="center" vertical="center"/>
    </xf>
    <xf numFmtId="0" fontId="22" fillId="2" borderId="12" xfId="0" applyFont="1" applyFill="1" applyBorder="1" applyAlignment="1" applyProtection="1">
      <alignment horizontal="center"/>
    </xf>
    <xf numFmtId="0" fontId="22" fillId="2" borderId="13" xfId="0" applyFont="1" applyFill="1" applyBorder="1" applyAlignment="1" applyProtection="1">
      <alignment horizontal="center"/>
    </xf>
    <xf numFmtId="2" fontId="22" fillId="2" borderId="13" xfId="0" applyNumberFormat="1" applyFont="1" applyFill="1" applyBorder="1" applyAlignment="1" applyProtection="1">
      <alignment horizontal="center"/>
    </xf>
    <xf numFmtId="169" fontId="38" fillId="0" borderId="7" xfId="0" applyNumberFormat="1" applyFont="1" applyBorder="1" applyAlignment="1" applyProtection="1">
      <alignment vertical="center"/>
    </xf>
    <xf numFmtId="0" fontId="22" fillId="2" borderId="13" xfId="0" applyFont="1" applyFill="1" applyBorder="1" applyAlignment="1" applyProtection="1">
      <alignment horizontal="center" vertical="center"/>
    </xf>
    <xf numFmtId="2" fontId="22" fillId="2" borderId="13"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2" fontId="22" fillId="2" borderId="14" xfId="0" applyNumberFormat="1" applyFont="1" applyFill="1" applyBorder="1" applyAlignment="1" applyProtection="1">
      <alignment horizontal="center"/>
    </xf>
    <xf numFmtId="2" fontId="22" fillId="2" borderId="14" xfId="0" applyNumberFormat="1" applyFont="1" applyFill="1" applyBorder="1" applyAlignment="1" applyProtection="1">
      <alignment horizontal="center" vertical="center"/>
    </xf>
    <xf numFmtId="2" fontId="22" fillId="2" borderId="0" xfId="0" applyNumberFormat="1" applyFont="1" applyFill="1" applyAlignment="1" applyProtection="1">
      <alignment horizontal="center"/>
    </xf>
    <xf numFmtId="2" fontId="22" fillId="2" borderId="0" xfId="0" applyNumberFormat="1" applyFont="1" applyFill="1" applyAlignment="1" applyProtection="1">
      <alignment horizontal="center" vertical="center"/>
    </xf>
    <xf numFmtId="0" fontId="43" fillId="0" borderId="15" xfId="0" applyFont="1" applyBorder="1" applyAlignment="1" applyProtection="1">
      <alignment horizontal="left" vertical="center"/>
    </xf>
    <xf numFmtId="169" fontId="43" fillId="0" borderId="0" xfId="0" applyNumberFormat="1" applyFont="1" applyAlignment="1" applyProtection="1">
      <alignment horizontal="centerContinuous" vertical="center"/>
    </xf>
    <xf numFmtId="169" fontId="43" fillId="0" borderId="8" xfId="0" applyNumberFormat="1" applyFont="1" applyBorder="1" applyAlignment="1" applyProtection="1">
      <alignment horizontal="right" vertical="center"/>
    </xf>
    <xf numFmtId="0" fontId="19" fillId="2" borderId="0" xfId="0" applyFont="1" applyFill="1" applyAlignment="1" applyProtection="1">
      <alignment horizontal="right" vertical="center"/>
    </xf>
    <xf numFmtId="2" fontId="32" fillId="0" borderId="0" xfId="0" applyNumberFormat="1" applyFont="1" applyAlignment="1" applyProtection="1">
      <alignment horizontal="center"/>
    </xf>
    <xf numFmtId="0" fontId="38" fillId="0" borderId="7" xfId="0" applyFont="1" applyBorder="1" applyAlignment="1" applyProtection="1">
      <alignment horizontal="left" vertical="center"/>
    </xf>
    <xf numFmtId="0" fontId="62" fillId="0" borderId="0" xfId="0" applyFont="1" applyAlignment="1" applyProtection="1">
      <alignment vertical="center"/>
    </xf>
    <xf numFmtId="0" fontId="38" fillId="0" borderId="27" xfId="0" applyFont="1" applyBorder="1" applyAlignment="1" applyProtection="1">
      <alignment vertical="center"/>
    </xf>
    <xf numFmtId="0" fontId="62" fillId="4" borderId="0" xfId="0" applyFont="1" applyFill="1" applyAlignment="1" applyProtection="1">
      <alignment vertical="center"/>
    </xf>
    <xf numFmtId="169" fontId="38" fillId="0" borderId="8" xfId="0" applyNumberFormat="1" applyFont="1" applyBorder="1" applyAlignment="1" applyProtection="1">
      <alignment horizontal="right" vertical="center"/>
    </xf>
    <xf numFmtId="0" fontId="32" fillId="4" borderId="0" xfId="0" applyFont="1" applyFill="1" applyAlignment="1" applyProtection="1">
      <alignment horizontal="right"/>
    </xf>
    <xf numFmtId="2" fontId="32" fillId="3" borderId="0" xfId="0" applyNumberFormat="1" applyFont="1" applyFill="1" applyAlignment="1" applyProtection="1">
      <alignment horizontal="right"/>
    </xf>
    <xf numFmtId="169" fontId="38" fillId="0" borderId="0" xfId="0" applyNumberFormat="1" applyFont="1" applyAlignment="1" applyProtection="1">
      <alignment horizontal="left" vertical="center"/>
    </xf>
    <xf numFmtId="169" fontId="19" fillId="2" borderId="0" xfId="0" applyNumberFormat="1" applyFont="1" applyFill="1" applyAlignment="1" applyProtection="1">
      <alignment horizontal="right" vertical="center"/>
    </xf>
    <xf numFmtId="169" fontId="19" fillId="2" borderId="0" xfId="0" applyNumberFormat="1" applyFont="1" applyFill="1" applyAlignment="1" applyProtection="1">
      <alignment vertical="center"/>
    </xf>
    <xf numFmtId="169" fontId="38" fillId="0" borderId="5" xfId="0" applyNumberFormat="1" applyFont="1" applyBorder="1" applyAlignment="1" applyProtection="1">
      <alignment vertical="center"/>
    </xf>
    <xf numFmtId="169" fontId="38" fillId="0" borderId="6" xfId="0" applyNumberFormat="1" applyFont="1" applyBorder="1" applyAlignment="1" applyProtection="1">
      <alignment vertical="center"/>
    </xf>
    <xf numFmtId="0" fontId="17" fillId="4" borderId="0" xfId="0" applyFont="1" applyFill="1" applyProtection="1"/>
    <xf numFmtId="0" fontId="27" fillId="4" borderId="0" xfId="0" applyFont="1" applyFill="1" applyProtection="1"/>
    <xf numFmtId="169" fontId="38" fillId="0" borderId="0" xfId="0" applyNumberFormat="1" applyFont="1" applyProtection="1"/>
    <xf numFmtId="169" fontId="38" fillId="0" borderId="8" xfId="0" applyNumberFormat="1" applyFont="1" applyBorder="1" applyAlignment="1" applyProtection="1">
      <alignment horizontal="right"/>
    </xf>
    <xf numFmtId="0" fontId="23" fillId="0" borderId="10" xfId="0" applyFont="1" applyBorder="1" applyAlignment="1" applyProtection="1">
      <alignment vertical="top"/>
    </xf>
    <xf numFmtId="0" fontId="23" fillId="0" borderId="11" xfId="0" applyFont="1" applyBorder="1" applyProtection="1"/>
    <xf numFmtId="0" fontId="23" fillId="4" borderId="0" xfId="0" applyFont="1" applyFill="1" applyProtection="1"/>
    <xf numFmtId="0" fontId="23" fillId="2" borderId="0" xfId="0" applyFont="1" applyFill="1" applyProtection="1"/>
    <xf numFmtId="0" fontId="23" fillId="2" borderId="0" xfId="0" applyFont="1" applyFill="1" applyAlignment="1" applyProtection="1">
      <alignment vertical="top"/>
    </xf>
    <xf numFmtId="0" fontId="23" fillId="0" borderId="0" xfId="0" applyFont="1" applyAlignment="1" applyProtection="1">
      <alignment vertical="top"/>
    </xf>
    <xf numFmtId="0" fontId="109" fillId="2" borderId="0" xfId="0" applyFont="1" applyFill="1" applyAlignment="1" applyProtection="1">
      <alignment vertical="center"/>
    </xf>
    <xf numFmtId="0" fontId="55" fillId="0" borderId="15" xfId="0" applyFont="1" applyBorder="1" applyAlignment="1" applyProtection="1">
      <alignment vertical="center"/>
    </xf>
    <xf numFmtId="1" fontId="29" fillId="0" borderId="0" xfId="0" applyNumberFormat="1" applyFont="1" applyAlignment="1" applyProtection="1">
      <alignment horizontal="centerContinuous" vertical="center"/>
    </xf>
    <xf numFmtId="169" fontId="29" fillId="17" borderId="0" xfId="0" applyNumberFormat="1" applyFont="1" applyFill="1" applyAlignment="1" applyProtection="1">
      <alignment vertical="center"/>
    </xf>
    <xf numFmtId="168" fontId="29" fillId="17" borderId="0" xfId="0" applyNumberFormat="1" applyFont="1" applyFill="1" applyAlignment="1" applyProtection="1">
      <alignment vertical="center"/>
    </xf>
    <xf numFmtId="0" fontId="57" fillId="4" borderId="0" xfId="0" applyFont="1" applyFill="1" applyAlignment="1" applyProtection="1">
      <alignment vertical="center"/>
    </xf>
    <xf numFmtId="0" fontId="58" fillId="4" borderId="0" xfId="0" applyFont="1" applyFill="1" applyAlignment="1" applyProtection="1">
      <alignment vertical="center"/>
    </xf>
    <xf numFmtId="179" fontId="29" fillId="4" borderId="0" xfId="0" applyNumberFormat="1" applyFont="1" applyFill="1" applyAlignment="1" applyProtection="1">
      <alignment vertical="center"/>
    </xf>
    <xf numFmtId="179" fontId="29" fillId="0" borderId="0" xfId="0" applyNumberFormat="1" applyFont="1" applyAlignment="1" applyProtection="1">
      <alignment vertical="center"/>
    </xf>
    <xf numFmtId="173" fontId="38" fillId="0" borderId="0" xfId="0" applyNumberFormat="1" applyFont="1" applyAlignment="1" applyProtection="1">
      <alignment vertical="center"/>
    </xf>
    <xf numFmtId="0" fontId="108" fillId="0" borderId="15" xfId="0" applyFont="1" applyBorder="1" applyAlignment="1" applyProtection="1">
      <alignment vertical="center"/>
    </xf>
    <xf numFmtId="0" fontId="108" fillId="0" borderId="16" xfId="0" applyFont="1" applyBorder="1" applyAlignment="1" applyProtection="1">
      <alignment vertical="center"/>
    </xf>
    <xf numFmtId="0" fontId="108" fillId="0" borderId="17" xfId="0" applyFont="1" applyBorder="1" applyAlignment="1" applyProtection="1">
      <alignment vertical="center"/>
    </xf>
    <xf numFmtId="2" fontId="29" fillId="17" borderId="0" xfId="0" applyNumberFormat="1" applyFont="1" applyFill="1" applyAlignment="1" applyProtection="1">
      <alignment vertical="center"/>
    </xf>
    <xf numFmtId="174" fontId="29" fillId="0" borderId="27" xfId="0" applyNumberFormat="1" applyFont="1" applyBorder="1" applyAlignment="1" applyProtection="1">
      <alignment vertical="center"/>
    </xf>
    <xf numFmtId="43" fontId="29" fillId="0" borderId="27" xfId="0" applyNumberFormat="1" applyFont="1" applyBorder="1" applyAlignment="1" applyProtection="1">
      <alignment vertical="center"/>
    </xf>
    <xf numFmtId="43" fontId="29" fillId="0" borderId="0" xfId="0" applyNumberFormat="1" applyFont="1" applyAlignment="1" applyProtection="1">
      <alignment vertical="center"/>
    </xf>
    <xf numFmtId="198" fontId="29" fillId="4" borderId="0" xfId="0" applyNumberFormat="1" applyFont="1" applyFill="1" applyAlignment="1" applyProtection="1">
      <alignment vertical="center"/>
    </xf>
    <xf numFmtId="197" fontId="29" fillId="4" borderId="0" xfId="0" applyNumberFormat="1" applyFont="1" applyFill="1" applyAlignment="1" applyProtection="1">
      <alignment vertical="center"/>
    </xf>
    <xf numFmtId="0" fontId="55" fillId="0" borderId="8" xfId="0" applyFont="1" applyBorder="1" applyAlignment="1" applyProtection="1">
      <alignment vertical="center"/>
    </xf>
    <xf numFmtId="0" fontId="55" fillId="2" borderId="0" xfId="0" applyFont="1" applyFill="1" applyAlignment="1" applyProtection="1">
      <alignment vertical="center"/>
    </xf>
    <xf numFmtId="0" fontId="29" fillId="0" borderId="9" xfId="0" applyFont="1" applyBorder="1" applyAlignment="1" applyProtection="1">
      <alignment horizontal="left" vertical="center" indent="1"/>
    </xf>
    <xf numFmtId="0" fontId="27" fillId="0" borderId="10" xfId="0" applyFont="1" applyBorder="1" applyAlignment="1" applyProtection="1">
      <alignment vertical="center"/>
    </xf>
    <xf numFmtId="0" fontId="55" fillId="0" borderId="10" xfId="0" applyFont="1" applyBorder="1" applyAlignment="1" applyProtection="1">
      <alignment vertical="center"/>
    </xf>
    <xf numFmtId="0" fontId="55" fillId="0" borderId="11" xfId="0" applyFont="1" applyBorder="1" applyAlignment="1" applyProtection="1">
      <alignment vertical="center"/>
    </xf>
    <xf numFmtId="1" fontId="29" fillId="17" borderId="0" xfId="0" applyNumberFormat="1" applyFont="1" applyFill="1" applyAlignment="1" applyProtection="1">
      <alignment vertical="center"/>
    </xf>
    <xf numFmtId="0" fontId="27" fillId="0" borderId="8" xfId="0" applyFont="1" applyBorder="1" applyAlignment="1" applyProtection="1">
      <alignment vertical="center"/>
    </xf>
    <xf numFmtId="0" fontId="27" fillId="0" borderId="11" xfId="0" applyFont="1" applyBorder="1" applyAlignment="1" applyProtection="1">
      <alignment vertical="center"/>
    </xf>
    <xf numFmtId="0" fontId="55" fillId="0" borderId="21" xfId="0" applyFont="1" applyBorder="1" applyAlignment="1" applyProtection="1">
      <alignment horizontal="center" vertical="center"/>
    </xf>
    <xf numFmtId="0" fontId="55" fillId="0" borderId="21" xfId="0" applyFont="1" applyBorder="1" applyAlignment="1" applyProtection="1">
      <alignment vertical="center"/>
    </xf>
    <xf numFmtId="0" fontId="29" fillId="0" borderId="27" xfId="0" applyFont="1" applyBorder="1" applyAlignment="1" applyProtection="1">
      <alignment horizontal="left" vertical="center"/>
    </xf>
    <xf numFmtId="0" fontId="38" fillId="0" borderId="2" xfId="0" applyFont="1" applyBorder="1" applyAlignment="1" applyProtection="1">
      <alignment vertical="center"/>
    </xf>
    <xf numFmtId="169" fontId="95" fillId="0" borderId="2" xfId="0" applyNumberFormat="1" applyFont="1" applyBorder="1" applyAlignment="1" applyProtection="1">
      <alignment horizontal="center" vertical="center"/>
    </xf>
    <xf numFmtId="0" fontId="38" fillId="0" borderId="2" xfId="0" applyFont="1" applyBorder="1" applyAlignment="1" applyProtection="1">
      <alignment horizontal="centerContinuous" vertical="center"/>
    </xf>
    <xf numFmtId="0" fontId="38" fillId="0" borderId="2" xfId="0" applyFont="1" applyBorder="1" applyAlignment="1" applyProtection="1">
      <alignment horizontal="left" vertical="center"/>
    </xf>
    <xf numFmtId="0" fontId="38" fillId="0" borderId="5" xfId="0" applyFont="1" applyBorder="1" applyAlignment="1" applyProtection="1">
      <alignment horizontal="left" vertical="center"/>
    </xf>
    <xf numFmtId="1" fontId="38" fillId="0" borderId="5" xfId="0" applyNumberFormat="1" applyFont="1" applyBorder="1" applyAlignment="1" applyProtection="1">
      <alignment horizontal="right" vertical="center"/>
    </xf>
    <xf numFmtId="0" fontId="23" fillId="0" borderId="0" xfId="0" applyFont="1" applyProtection="1"/>
    <xf numFmtId="0" fontId="14" fillId="0" borderId="0" xfId="0" applyFont="1" applyProtection="1"/>
    <xf numFmtId="191" fontId="14" fillId="0" borderId="10" xfId="0" applyNumberFormat="1" applyFont="1" applyBorder="1" applyAlignment="1" applyProtection="1">
      <alignment horizontal="right"/>
    </xf>
    <xf numFmtId="0" fontId="14" fillId="0" borderId="10" xfId="0" applyFont="1" applyBorder="1" applyProtection="1"/>
    <xf numFmtId="0" fontId="61" fillId="0" borderId="4" xfId="0" applyFont="1" applyBorder="1" applyAlignment="1" applyProtection="1">
      <alignment vertical="center" wrapText="1"/>
    </xf>
    <xf numFmtId="0" fontId="22" fillId="0" borderId="5" xfId="0" applyFont="1" applyBorder="1" applyAlignment="1" applyProtection="1">
      <alignment vertical="center"/>
    </xf>
    <xf numFmtId="191" fontId="14" fillId="0" borderId="5" xfId="0" applyNumberFormat="1" applyFont="1" applyBorder="1" applyAlignment="1" applyProtection="1">
      <alignment horizontal="right"/>
    </xf>
    <xf numFmtId="0" fontId="14" fillId="0" borderId="5" xfId="0" applyFont="1" applyBorder="1" applyProtection="1"/>
    <xf numFmtId="191" fontId="61" fillId="0" borderId="5" xfId="0" applyNumberFormat="1" applyFont="1" applyBorder="1" applyAlignment="1" applyProtection="1">
      <alignment horizontal="right" vertical="center" wrapText="1"/>
    </xf>
    <xf numFmtId="0" fontId="61" fillId="0" borderId="6" xfId="0" applyFont="1" applyBorder="1" applyAlignment="1" applyProtection="1">
      <alignment vertical="center" wrapText="1"/>
    </xf>
    <xf numFmtId="0" fontId="61" fillId="0" borderId="7" xfId="0" applyFont="1" applyBorder="1" applyAlignment="1" applyProtection="1">
      <alignment vertical="center" wrapText="1"/>
    </xf>
    <xf numFmtId="0" fontId="22" fillId="0" borderId="0" xfId="0" applyFont="1" applyAlignment="1" applyProtection="1">
      <alignment vertical="center"/>
    </xf>
    <xf numFmtId="191" fontId="14" fillId="0" borderId="0" xfId="0" applyNumberFormat="1" applyFont="1" applyAlignment="1" applyProtection="1">
      <alignment horizontal="right"/>
    </xf>
    <xf numFmtId="191" fontId="61" fillId="0" borderId="0" xfId="0" applyNumberFormat="1" applyFont="1" applyAlignment="1" applyProtection="1">
      <alignment horizontal="right" vertical="center" wrapText="1"/>
    </xf>
    <xf numFmtId="0" fontId="61" fillId="0" borderId="8" xfId="0" applyFont="1" applyBorder="1" applyAlignment="1" applyProtection="1">
      <alignment vertical="center" wrapText="1"/>
    </xf>
    <xf numFmtId="0" fontId="22" fillId="0" borderId="8" xfId="0" applyFont="1" applyBorder="1" applyAlignment="1" applyProtection="1">
      <alignment vertical="center"/>
    </xf>
    <xf numFmtId="0" fontId="61" fillId="0" borderId="7" xfId="0" applyFont="1" applyBorder="1" applyAlignment="1" applyProtection="1">
      <alignment vertical="top" wrapText="1"/>
    </xf>
    <xf numFmtId="0" fontId="22" fillId="0" borderId="0" xfId="0" applyFont="1" applyAlignment="1" applyProtection="1">
      <alignment vertical="top" wrapText="1"/>
    </xf>
    <xf numFmtId="191" fontId="22" fillId="0" borderId="0" xfId="0" applyNumberFormat="1" applyFont="1" applyAlignment="1" applyProtection="1">
      <alignment horizontal="right" vertical="top" wrapText="1"/>
    </xf>
    <xf numFmtId="0" fontId="22" fillId="0" borderId="8" xfId="0" applyFont="1" applyBorder="1" applyAlignment="1" applyProtection="1">
      <alignment vertical="top" wrapText="1"/>
    </xf>
    <xf numFmtId="0" fontId="61" fillId="0" borderId="9" xfId="0" applyFont="1" applyBorder="1" applyAlignment="1" applyProtection="1">
      <alignment vertical="center" wrapText="1"/>
    </xf>
    <xf numFmtId="0" fontId="61" fillId="0" borderId="10" xfId="0" applyFont="1" applyBorder="1" applyAlignment="1" applyProtection="1">
      <alignment vertical="center" wrapText="1"/>
    </xf>
    <xf numFmtId="191" fontId="61" fillId="0" borderId="10" xfId="0" applyNumberFormat="1" applyFont="1" applyBorder="1" applyAlignment="1" applyProtection="1">
      <alignment horizontal="right" vertical="center" wrapText="1"/>
    </xf>
    <xf numFmtId="0" fontId="22" fillId="0" borderId="11" xfId="0" applyFont="1" applyBorder="1" applyAlignment="1" applyProtection="1">
      <alignment vertical="center"/>
    </xf>
    <xf numFmtId="0" fontId="15" fillId="4" borderId="34" xfId="0" applyFont="1" applyFill="1" applyBorder="1" applyAlignment="1" applyProtection="1">
      <alignment horizontal="center" vertical="center" wrapText="1"/>
    </xf>
    <xf numFmtId="0" fontId="15" fillId="0" borderId="34" xfId="0" applyFont="1" applyBorder="1" applyAlignment="1" applyProtection="1">
      <alignment horizontal="center" vertical="center" wrapText="1"/>
    </xf>
    <xf numFmtId="3" fontId="15" fillId="0" borderId="34" xfId="0" applyNumberFormat="1" applyFont="1" applyBorder="1" applyAlignment="1" applyProtection="1">
      <alignment horizontal="center" vertical="center" wrapText="1"/>
    </xf>
    <xf numFmtId="193" fontId="15" fillId="4" borderId="34" xfId="2896" applyNumberFormat="1" applyFont="1" applyFill="1" applyBorder="1" applyAlignment="1" applyProtection="1">
      <alignment horizontal="center" vertical="center" wrapText="1"/>
    </xf>
    <xf numFmtId="0" fontId="15" fillId="4" borderId="34" xfId="0" applyFont="1" applyFill="1" applyBorder="1" applyAlignment="1" applyProtection="1">
      <alignment horizontal="left" vertical="center" wrapText="1"/>
    </xf>
    <xf numFmtId="0" fontId="74" fillId="4" borderId="34" xfId="0" applyFont="1" applyFill="1" applyBorder="1" applyAlignment="1" applyProtection="1">
      <alignment horizontal="center" vertical="center" wrapText="1"/>
    </xf>
    <xf numFmtId="43" fontId="15" fillId="4" borderId="34" xfId="2896" applyFont="1" applyFill="1" applyBorder="1" applyAlignment="1" applyProtection="1">
      <alignment horizontal="center" vertical="center" wrapText="1"/>
    </xf>
    <xf numFmtId="0" fontId="74" fillId="0" borderId="34" xfId="0" applyFont="1" applyBorder="1" applyAlignment="1" applyProtection="1">
      <alignment horizontal="center" vertical="center" wrapText="1"/>
    </xf>
    <xf numFmtId="0" fontId="114" fillId="0" borderId="34" xfId="0" applyFont="1" applyBorder="1" applyAlignment="1" applyProtection="1">
      <alignment horizontal="center" vertical="center" wrapText="1"/>
    </xf>
    <xf numFmtId="0" fontId="114" fillId="4" borderId="34" xfId="0" applyFont="1" applyFill="1" applyBorder="1" applyAlignment="1" applyProtection="1">
      <alignment horizontal="left" vertical="center" wrapText="1"/>
    </xf>
    <xf numFmtId="193" fontId="74" fillId="4" borderId="34" xfId="2896" applyNumberFormat="1" applyFont="1" applyFill="1" applyBorder="1" applyAlignment="1" applyProtection="1">
      <alignment horizontal="center" vertical="center" wrapText="1"/>
    </xf>
    <xf numFmtId="3" fontId="114" fillId="0" borderId="34" xfId="0" applyNumberFormat="1" applyFont="1" applyBorder="1" applyAlignment="1" applyProtection="1">
      <alignment horizontal="center" vertical="center" wrapText="1"/>
    </xf>
    <xf numFmtId="193" fontId="114" fillId="4" borderId="34" xfId="2896" applyNumberFormat="1" applyFont="1" applyFill="1" applyBorder="1" applyAlignment="1" applyProtection="1">
      <alignment horizontal="center" vertical="center" wrapText="1"/>
    </xf>
    <xf numFmtId="0" fontId="15" fillId="0" borderId="34" xfId="0" applyFont="1" applyBorder="1" applyAlignment="1" applyProtection="1">
      <alignment horizontal="left" vertical="center" wrapText="1"/>
    </xf>
    <xf numFmtId="202" fontId="15" fillId="0" borderId="34" xfId="0" applyNumberFormat="1" applyFont="1" applyBorder="1" applyAlignment="1" applyProtection="1">
      <alignment horizontal="center" vertical="center" wrapText="1"/>
    </xf>
    <xf numFmtId="3" fontId="74" fillId="0" borderId="34" xfId="0" applyNumberFormat="1" applyFont="1" applyBorder="1" applyAlignment="1" applyProtection="1">
      <alignment horizontal="center" vertical="center" wrapText="1"/>
    </xf>
    <xf numFmtId="43" fontId="74" fillId="4" borderId="34" xfId="2896" applyFont="1" applyFill="1" applyBorder="1" applyAlignment="1" applyProtection="1">
      <alignment horizontal="center" vertical="center" wrapText="1"/>
    </xf>
    <xf numFmtId="0" fontId="0" fillId="0" borderId="12" xfId="0" applyBorder="1" applyProtection="1"/>
    <xf numFmtId="0" fontId="38" fillId="0" borderId="0" xfId="16" applyFont="1" applyAlignment="1" applyProtection="1">
      <alignment horizontal="center"/>
    </xf>
    <xf numFmtId="43" fontId="38" fillId="0" borderId="0" xfId="16" applyNumberFormat="1" applyFont="1" applyAlignment="1" applyProtection="1">
      <alignment horizontal="center"/>
    </xf>
    <xf numFmtId="43" fontId="38" fillId="0" borderId="12" xfId="15" applyNumberFormat="1" applyFont="1" applyBorder="1" applyAlignment="1" applyProtection="1">
      <alignment horizontal="center"/>
    </xf>
    <xf numFmtId="43" fontId="38" fillId="0" borderId="0" xfId="15" applyNumberFormat="1" applyFont="1" applyAlignment="1" applyProtection="1">
      <alignment horizontal="center"/>
    </xf>
    <xf numFmtId="10" fontId="38" fillId="0" borderId="0" xfId="15" applyNumberFormat="1" applyFont="1" applyAlignment="1" applyProtection="1">
      <alignment horizontal="center"/>
    </xf>
    <xf numFmtId="0" fontId="110" fillId="0" borderId="0" xfId="0" applyFont="1" applyProtection="1"/>
    <xf numFmtId="173" fontId="35" fillId="0" borderId="0" xfId="0" applyNumberFormat="1" applyFont="1" applyAlignment="1" applyProtection="1">
      <alignment horizontal="center"/>
    </xf>
    <xf numFmtId="174" fontId="35" fillId="0" borderId="0" xfId="0" applyNumberFormat="1" applyFont="1" applyAlignment="1" applyProtection="1">
      <alignment horizontal="center"/>
    </xf>
    <xf numFmtId="168" fontId="99" fillId="0" borderId="0" xfId="0" applyNumberFormat="1" applyFont="1" applyAlignment="1" applyProtection="1">
      <alignment horizontal="center"/>
    </xf>
    <xf numFmtId="2" fontId="99" fillId="0" borderId="0" xfId="0" applyNumberFormat="1" applyFont="1" applyAlignment="1" applyProtection="1">
      <alignment horizontal="center"/>
    </xf>
    <xf numFmtId="174" fontId="99" fillId="0" borderId="0" xfId="0" applyNumberFormat="1" applyFont="1" applyAlignment="1" applyProtection="1">
      <alignment horizontal="center"/>
    </xf>
    <xf numFmtId="0" fontId="43" fillId="6" borderId="25" xfId="15" applyFont="1" applyFill="1" applyBorder="1" applyAlignment="1" applyProtection="1">
      <alignment horizontal="center"/>
    </xf>
    <xf numFmtId="2" fontId="43" fillId="6" borderId="25" xfId="15" applyNumberFormat="1" applyFont="1" applyFill="1" applyBorder="1" applyAlignment="1" applyProtection="1">
      <alignment horizontal="center"/>
    </xf>
    <xf numFmtId="2" fontId="54" fillId="6" borderId="25" xfId="15" applyNumberFormat="1" applyFont="1" applyFill="1" applyBorder="1" applyAlignment="1" applyProtection="1">
      <alignment horizontal="center"/>
    </xf>
    <xf numFmtId="43" fontId="38" fillId="0" borderId="4" xfId="16" applyNumberFormat="1" applyFont="1" applyBorder="1" applyAlignment="1" applyProtection="1">
      <alignment horizontal="center"/>
    </xf>
    <xf numFmtId="43" fontId="38" fillId="6" borderId="7" xfId="15" applyNumberFormat="1" applyFont="1" applyFill="1" applyBorder="1" applyAlignment="1" applyProtection="1">
      <alignment horizontal="center"/>
    </xf>
    <xf numFmtId="10" fontId="38" fillId="6" borderId="4" xfId="15" applyNumberFormat="1" applyFont="1" applyFill="1" applyBorder="1" applyAlignment="1" applyProtection="1">
      <alignment horizontal="center"/>
    </xf>
    <xf numFmtId="43" fontId="38" fillId="6" borderId="4" xfId="15" applyNumberFormat="1" applyFont="1" applyFill="1" applyBorder="1" applyAlignment="1" applyProtection="1">
      <alignment horizontal="center"/>
    </xf>
    <xf numFmtId="207" fontId="38" fillId="6" borderId="25" xfId="15" applyNumberFormat="1" applyFont="1" applyFill="1" applyBorder="1" applyAlignment="1" applyProtection="1">
      <alignment horizontal="center"/>
    </xf>
    <xf numFmtId="43" fontId="38" fillId="0" borderId="7" xfId="16" applyNumberFormat="1" applyFont="1" applyBorder="1" applyAlignment="1" applyProtection="1">
      <alignment horizontal="center"/>
    </xf>
    <xf numFmtId="0" fontId="38" fillId="0" borderId="43" xfId="0" applyFont="1" applyBorder="1" applyAlignment="1" applyProtection="1">
      <alignment horizontal="left" vertical="center" indent="1"/>
    </xf>
    <xf numFmtId="0" fontId="38" fillId="0" borderId="7" xfId="16" applyFont="1" applyBorder="1" applyAlignment="1" applyProtection="1">
      <alignment horizontal="center"/>
    </xf>
    <xf numFmtId="0" fontId="38" fillId="3" borderId="7" xfId="15" applyFont="1" applyFill="1" applyBorder="1" applyProtection="1"/>
    <xf numFmtId="0" fontId="38" fillId="5" borderId="7" xfId="16" applyFont="1" applyFill="1" applyBorder="1" applyAlignment="1" applyProtection="1">
      <alignment horizontal="center"/>
    </xf>
    <xf numFmtId="0" fontId="38" fillId="6" borderId="7" xfId="15" applyFont="1" applyFill="1" applyBorder="1" applyAlignment="1" applyProtection="1">
      <alignment horizontal="center"/>
    </xf>
    <xf numFmtId="0" fontId="38" fillId="0" borderId="14" xfId="0" applyFont="1" applyBorder="1" applyAlignment="1" applyProtection="1">
      <alignment horizontal="left" vertical="center" indent="1"/>
    </xf>
    <xf numFmtId="0" fontId="38" fillId="6" borderId="9" xfId="15" applyFont="1" applyFill="1" applyBorder="1" applyAlignment="1" applyProtection="1">
      <alignment horizontal="center"/>
    </xf>
    <xf numFmtId="0" fontId="38" fillId="3" borderId="9" xfId="15" applyFont="1" applyFill="1" applyBorder="1" applyProtection="1"/>
    <xf numFmtId="43" fontId="38" fillId="0" borderId="9" xfId="16" applyNumberFormat="1" applyFont="1" applyBorder="1" applyAlignment="1" applyProtection="1">
      <alignment horizontal="center"/>
    </xf>
    <xf numFmtId="43" fontId="38" fillId="6" borderId="9" xfId="15" applyNumberFormat="1" applyFont="1" applyFill="1" applyBorder="1" applyAlignment="1" applyProtection="1">
      <alignment horizontal="center"/>
    </xf>
    <xf numFmtId="0" fontId="43" fillId="0" borderId="12" xfId="0" applyFont="1" applyBorder="1" applyAlignment="1" applyProtection="1">
      <alignment horizontal="left" vertical="center" indent="1"/>
    </xf>
    <xf numFmtId="0" fontId="110" fillId="0" borderId="2" xfId="0" applyFont="1" applyBorder="1" applyProtection="1"/>
    <xf numFmtId="0" fontId="110" fillId="0" borderId="12" xfId="0" applyFont="1" applyBorder="1" applyProtection="1"/>
    <xf numFmtId="207" fontId="110" fillId="0" borderId="12" xfId="0" applyNumberFormat="1" applyFont="1" applyBorder="1" applyProtection="1"/>
    <xf numFmtId="0" fontId="38" fillId="0" borderId="0" xfId="15" applyFont="1" applyAlignment="1" applyProtection="1">
      <alignment horizontal="center"/>
    </xf>
    <xf numFmtId="207" fontId="38" fillId="0" borderId="0" xfId="15" applyNumberFormat="1" applyFont="1" applyAlignment="1" applyProtection="1">
      <alignment horizontal="center"/>
    </xf>
    <xf numFmtId="0" fontId="35" fillId="0" borderId="0" xfId="0" applyFont="1" applyProtection="1"/>
    <xf numFmtId="0" fontId="61" fillId="0" borderId="0" xfId="0" applyFont="1" applyAlignment="1" applyProtection="1">
      <alignment horizontal="left" vertical="center" wrapText="1"/>
    </xf>
    <xf numFmtId="0" fontId="70" fillId="0" borderId="7" xfId="0" applyFont="1" applyBorder="1" applyAlignment="1" applyProtection="1">
      <alignment horizontal="left" vertical="center"/>
    </xf>
    <xf numFmtId="0" fontId="14" fillId="0" borderId="0" xfId="0" applyFont="1" applyAlignment="1" applyProtection="1">
      <alignment horizontal="center" vertical="center"/>
    </xf>
    <xf numFmtId="191" fontId="14" fillId="0" borderId="0" xfId="0" applyNumberFormat="1" applyFont="1" applyAlignment="1" applyProtection="1">
      <alignment horizontal="right" vertical="center"/>
    </xf>
    <xf numFmtId="0" fontId="14" fillId="0" borderId="8" xfId="0" applyFont="1" applyBorder="1" applyAlignment="1" applyProtection="1">
      <alignment horizontal="left" vertical="center"/>
    </xf>
    <xf numFmtId="0" fontId="68" fillId="0" borderId="7" xfId="0" applyFont="1" applyBorder="1" applyAlignment="1" applyProtection="1">
      <alignment horizontal="left" vertical="center"/>
    </xf>
    <xf numFmtId="0" fontId="14" fillId="0" borderId="14" xfId="0" applyFont="1" applyBorder="1" applyAlignment="1" applyProtection="1">
      <alignment horizontal="center" vertical="center" wrapText="1"/>
    </xf>
    <xf numFmtId="191" fontId="71" fillId="0" borderId="14" xfId="0" applyNumberFormat="1" applyFont="1" applyBorder="1" applyAlignment="1" applyProtection="1">
      <alignment horizontal="right" vertical="center" wrapText="1"/>
    </xf>
    <xf numFmtId="0" fontId="14" fillId="0" borderId="12" xfId="0" applyFont="1" applyBorder="1" applyAlignment="1" applyProtection="1">
      <alignment horizontal="center" vertical="center" wrapText="1"/>
    </xf>
    <xf numFmtId="0" fontId="14" fillId="0" borderId="12" xfId="0" applyFont="1" applyBorder="1" applyAlignment="1" applyProtection="1">
      <alignment horizontal="center"/>
    </xf>
    <xf numFmtId="43" fontId="71" fillId="0" borderId="12" xfId="0" applyNumberFormat="1" applyFont="1" applyBorder="1" applyAlignment="1" applyProtection="1">
      <alignment vertical="center" wrapText="1"/>
    </xf>
    <xf numFmtId="43" fontId="14" fillId="0" borderId="12" xfId="0" applyNumberFormat="1" applyFont="1" applyBorder="1" applyProtection="1"/>
    <xf numFmtId="212" fontId="14" fillId="0" borderId="12" xfId="0" applyNumberFormat="1" applyFont="1" applyBorder="1" applyAlignment="1" applyProtection="1">
      <alignment horizontal="left" indent="2"/>
    </xf>
    <xf numFmtId="0" fontId="14" fillId="0" borderId="31" xfId="0" applyFont="1" applyBorder="1" applyAlignment="1" applyProtection="1">
      <alignment horizontal="center" vertical="center" wrapText="1"/>
    </xf>
    <xf numFmtId="204" fontId="71" fillId="0" borderId="31" xfId="0" applyNumberFormat="1" applyFont="1" applyBorder="1" applyAlignment="1" applyProtection="1">
      <alignment horizontal="right" vertical="center" wrapText="1"/>
    </xf>
    <xf numFmtId="191" fontId="14" fillId="0" borderId="14" xfId="0" applyNumberFormat="1" applyFont="1" applyBorder="1" applyAlignment="1" applyProtection="1">
      <alignment horizontal="right" vertical="center" wrapText="1"/>
    </xf>
    <xf numFmtId="203" fontId="14" fillId="0" borderId="14" xfId="0" applyNumberFormat="1" applyFont="1" applyBorder="1" applyAlignment="1" applyProtection="1">
      <alignment horizontal="right" vertical="center" wrapText="1"/>
    </xf>
    <xf numFmtId="180" fontId="14" fillId="0" borderId="31" xfId="0" applyNumberFormat="1" applyFont="1" applyBorder="1" applyAlignment="1" applyProtection="1">
      <alignment horizontal="right" vertical="center" wrapText="1"/>
    </xf>
    <xf numFmtId="0" fontId="14" fillId="0" borderId="30" xfId="0" applyFont="1" applyBorder="1" applyAlignment="1" applyProtection="1">
      <alignment horizontal="center" vertical="center" wrapText="1"/>
    </xf>
    <xf numFmtId="191" fontId="15" fillId="0" borderId="30" xfId="0" applyNumberFormat="1" applyFont="1" applyBorder="1" applyAlignment="1" applyProtection="1">
      <alignment horizontal="right" vertical="center" wrapText="1"/>
    </xf>
    <xf numFmtId="191" fontId="15" fillId="0" borderId="12" xfId="0" applyNumberFormat="1" applyFont="1" applyBorder="1" applyAlignment="1" applyProtection="1">
      <alignment horizontal="right" vertical="center" wrapText="1"/>
    </xf>
    <xf numFmtId="191" fontId="15" fillId="0" borderId="31" xfId="0" applyNumberFormat="1" applyFont="1" applyBorder="1" applyAlignment="1" applyProtection="1">
      <alignment horizontal="right" vertical="center" wrapText="1"/>
    </xf>
    <xf numFmtId="0" fontId="14" fillId="0" borderId="25" xfId="0" applyFont="1" applyBorder="1" applyAlignment="1" applyProtection="1">
      <alignment horizontal="center" vertical="center" wrapText="1"/>
    </xf>
    <xf numFmtId="191" fontId="15" fillId="0" borderId="25" xfId="0" applyNumberFormat="1" applyFont="1" applyBorder="1" applyAlignment="1" applyProtection="1">
      <alignment horizontal="right" vertical="center" wrapText="1"/>
    </xf>
    <xf numFmtId="191" fontId="14" fillId="0" borderId="30" xfId="0" applyNumberFormat="1" applyFont="1" applyBorder="1" applyAlignment="1" applyProtection="1">
      <alignment horizontal="right" vertical="center" wrapText="1"/>
    </xf>
    <xf numFmtId="191" fontId="14" fillId="0" borderId="12" xfId="0" applyNumberFormat="1" applyFont="1" applyBorder="1" applyAlignment="1" applyProtection="1">
      <alignment horizontal="right" vertical="center" wrapText="1"/>
    </xf>
    <xf numFmtId="191" fontId="14" fillId="0" borderId="31" xfId="0" applyNumberFormat="1" applyFont="1" applyBorder="1" applyAlignment="1" applyProtection="1">
      <alignment horizontal="right" vertical="center" wrapText="1"/>
    </xf>
    <xf numFmtId="191" fontId="14" fillId="0" borderId="25" xfId="0" applyNumberFormat="1" applyFont="1" applyBorder="1" applyAlignment="1" applyProtection="1">
      <alignment horizontal="right" vertical="center" wrapText="1"/>
    </xf>
    <xf numFmtId="204" fontId="14" fillId="0" borderId="30" xfId="0" applyNumberFormat="1" applyFont="1" applyBorder="1" applyAlignment="1" applyProtection="1">
      <alignment horizontal="right" vertical="center" wrapText="1"/>
    </xf>
    <xf numFmtId="176" fontId="14" fillId="0" borderId="12" xfId="0" applyNumberFormat="1" applyFont="1" applyBorder="1" applyAlignment="1" applyProtection="1">
      <alignment horizontal="right" vertical="center" wrapText="1"/>
    </xf>
    <xf numFmtId="204" fontId="14" fillId="0" borderId="12" xfId="0" applyNumberFormat="1" applyFont="1" applyBorder="1" applyAlignment="1" applyProtection="1">
      <alignment horizontal="right" vertical="center" wrapText="1"/>
    </xf>
    <xf numFmtId="205" fontId="14" fillId="0" borderId="31" xfId="0" applyNumberFormat="1" applyFont="1" applyBorder="1" applyAlignment="1" applyProtection="1">
      <alignment horizontal="right" vertical="center" wrapText="1"/>
    </xf>
    <xf numFmtId="0" fontId="94" fillId="5" borderId="34" xfId="0" applyFont="1" applyFill="1" applyBorder="1" applyAlignment="1" applyProtection="1">
      <alignment horizontal="center" vertical="center"/>
    </xf>
    <xf numFmtId="0" fontId="94" fillId="5" borderId="34" xfId="0" applyFont="1" applyFill="1" applyBorder="1" applyAlignment="1" applyProtection="1">
      <alignment horizontal="center" vertical="center" wrapText="1"/>
    </xf>
    <xf numFmtId="191" fontId="94" fillId="5" borderId="34" xfId="0" applyNumberFormat="1" applyFont="1" applyFill="1" applyBorder="1" applyAlignment="1" applyProtection="1">
      <alignment horizontal="right" vertical="center"/>
    </xf>
    <xf numFmtId="0" fontId="94" fillId="5" borderId="34" xfId="0" applyFont="1" applyFill="1" applyBorder="1" applyAlignment="1" applyProtection="1">
      <alignment vertical="center" wrapText="1"/>
    </xf>
    <xf numFmtId="0" fontId="14" fillId="0" borderId="0" xfId="0" applyFont="1" applyAlignment="1" applyProtection="1">
      <alignment wrapText="1"/>
    </xf>
    <xf numFmtId="0" fontId="0" fillId="0" borderId="0" xfId="0" applyAlignment="1" applyProtection="1">
      <alignment wrapText="1"/>
    </xf>
    <xf numFmtId="0" fontId="15" fillId="0" borderId="0" xfId="0" applyFont="1" applyProtection="1"/>
    <xf numFmtId="204" fontId="71" fillId="0" borderId="14" xfId="0" applyNumberFormat="1" applyFont="1" applyBorder="1" applyAlignment="1" applyProtection="1">
      <alignment horizontal="right" vertical="center" wrapText="1"/>
    </xf>
    <xf numFmtId="180" fontId="71" fillId="0" borderId="31" xfId="0" applyNumberFormat="1" applyFont="1" applyBorder="1" applyAlignment="1" applyProtection="1">
      <alignment horizontal="right" vertical="center" wrapText="1"/>
    </xf>
    <xf numFmtId="205" fontId="15" fillId="0" borderId="30" xfId="0" applyNumberFormat="1" applyFont="1" applyBorder="1" applyAlignment="1" applyProtection="1">
      <alignment horizontal="right" vertical="center" wrapText="1"/>
    </xf>
    <xf numFmtId="205" fontId="15" fillId="0" borderId="12" xfId="0" applyNumberFormat="1" applyFont="1" applyBorder="1" applyAlignment="1" applyProtection="1">
      <alignment horizontal="right" vertical="center" wrapText="1"/>
    </xf>
    <xf numFmtId="203" fontId="15" fillId="0" borderId="12" xfId="0" applyNumberFormat="1" applyFont="1" applyBorder="1" applyAlignment="1" applyProtection="1">
      <alignment horizontal="right" vertical="center" wrapText="1"/>
    </xf>
    <xf numFmtId="180" fontId="15" fillId="0" borderId="25" xfId="0" applyNumberFormat="1" applyFont="1" applyBorder="1" applyAlignment="1" applyProtection="1">
      <alignment horizontal="right" vertical="center" wrapText="1"/>
    </xf>
    <xf numFmtId="203" fontId="15" fillId="0" borderId="30" xfId="0" applyNumberFormat="1" applyFont="1" applyBorder="1" applyAlignment="1" applyProtection="1">
      <alignment horizontal="right" vertical="center" wrapText="1"/>
    </xf>
    <xf numFmtId="206" fontId="15" fillId="0" borderId="12" xfId="0" applyNumberFormat="1" applyFont="1" applyBorder="1" applyAlignment="1" applyProtection="1">
      <alignment horizontal="right" vertical="center" wrapText="1"/>
    </xf>
    <xf numFmtId="206" fontId="14" fillId="0" borderId="12" xfId="0" applyNumberFormat="1" applyFont="1" applyBorder="1" applyAlignment="1" applyProtection="1">
      <alignment horizontal="right" vertical="center" wrapText="1"/>
    </xf>
    <xf numFmtId="205" fontId="14" fillId="0" borderId="12" xfId="0" applyNumberFormat="1" applyFont="1" applyBorder="1" applyAlignment="1" applyProtection="1">
      <alignment horizontal="right" vertical="center" wrapText="1"/>
    </xf>
    <xf numFmtId="205" fontId="14" fillId="0" borderId="30" xfId="0" applyNumberFormat="1" applyFont="1" applyBorder="1" applyAlignment="1" applyProtection="1">
      <alignment horizontal="right" vertical="center" wrapText="1"/>
    </xf>
    <xf numFmtId="210" fontId="14" fillId="0" borderId="31" xfId="0" applyNumberFormat="1" applyFont="1" applyBorder="1" applyAlignment="1" applyProtection="1">
      <alignment horizontal="right" vertical="center" wrapText="1"/>
    </xf>
    <xf numFmtId="210" fontId="14" fillId="0" borderId="30" xfId="0" applyNumberFormat="1" applyFont="1" applyBorder="1" applyAlignment="1" applyProtection="1">
      <alignment horizontal="right" vertical="center" wrapText="1"/>
    </xf>
    <xf numFmtId="180" fontId="14" fillId="0" borderId="12" xfId="0" applyNumberFormat="1" applyFont="1" applyBorder="1" applyAlignment="1" applyProtection="1">
      <alignment horizontal="right" vertical="center" wrapText="1"/>
    </xf>
    <xf numFmtId="0" fontId="102" fillId="0" borderId="34" xfId="0" applyFont="1" applyBorder="1" applyAlignment="1" applyProtection="1">
      <alignment horizontal="center" vertical="center" wrapText="1"/>
    </xf>
    <xf numFmtId="201" fontId="102" fillId="0" borderId="34" xfId="0" applyNumberFormat="1" applyFont="1" applyBorder="1" applyAlignment="1" applyProtection="1">
      <alignment horizontal="center" vertical="center" wrapText="1"/>
    </xf>
    <xf numFmtId="43" fontId="102" fillId="4" borderId="34" xfId="2896" applyFont="1" applyFill="1" applyBorder="1" applyAlignment="1" applyProtection="1">
      <alignment horizontal="center" vertical="center" wrapText="1"/>
    </xf>
    <xf numFmtId="0" fontId="102" fillId="4" borderId="34" xfId="0" applyFont="1" applyFill="1" applyBorder="1" applyAlignment="1" applyProtection="1">
      <alignment horizontal="left" vertical="center" wrapText="1"/>
    </xf>
    <xf numFmtId="2" fontId="14" fillId="0" borderId="0" xfId="0" applyNumberFormat="1" applyFont="1" applyProtection="1"/>
    <xf numFmtId="0" fontId="102" fillId="4" borderId="34" xfId="0" applyFont="1" applyFill="1" applyBorder="1" applyAlignment="1" applyProtection="1">
      <alignment horizontal="center" vertical="center" wrapText="1"/>
    </xf>
    <xf numFmtId="3" fontId="102" fillId="0" borderId="34" xfId="0" applyNumberFormat="1" applyFont="1" applyBorder="1" applyAlignment="1" applyProtection="1">
      <alignment horizontal="center" vertical="center" wrapText="1"/>
    </xf>
    <xf numFmtId="4" fontId="114" fillId="0" borderId="34" xfId="0" applyNumberFormat="1" applyFont="1" applyBorder="1" applyAlignment="1" applyProtection="1">
      <alignment horizontal="center" vertical="center" wrapText="1"/>
    </xf>
    <xf numFmtId="0" fontId="114" fillId="4" borderId="34" xfId="0" applyFont="1" applyFill="1" applyBorder="1" applyAlignment="1" applyProtection="1">
      <alignment horizontal="center" vertical="center" wrapText="1"/>
    </xf>
    <xf numFmtId="43" fontId="114" fillId="4" borderId="34" xfId="2896" applyFont="1" applyFill="1" applyBorder="1" applyAlignment="1" applyProtection="1">
      <alignment horizontal="center" vertical="center" wrapText="1"/>
    </xf>
    <xf numFmtId="193" fontId="102" fillId="4" borderId="34" xfId="2896" applyNumberFormat="1" applyFont="1" applyFill="1" applyBorder="1" applyAlignment="1" applyProtection="1">
      <alignment horizontal="center" vertical="center" wrapText="1"/>
    </xf>
    <xf numFmtId="193" fontId="102" fillId="0" borderId="34" xfId="2896" applyNumberFormat="1" applyFont="1" applyFill="1" applyBorder="1" applyAlignment="1" applyProtection="1">
      <alignment horizontal="center" vertical="center"/>
    </xf>
    <xf numFmtId="0" fontId="102" fillId="0" borderId="34" xfId="0" applyFont="1" applyBorder="1" applyAlignment="1" applyProtection="1">
      <alignment horizontal="left" vertical="center" wrapText="1"/>
    </xf>
    <xf numFmtId="192" fontId="102" fillId="4" borderId="34" xfId="2896" applyNumberFormat="1" applyFont="1" applyFill="1" applyBorder="1" applyAlignment="1" applyProtection="1">
      <alignment horizontal="center" vertical="center" wrapText="1"/>
    </xf>
    <xf numFmtId="201" fontId="114" fillId="0" borderId="34" xfId="0" applyNumberFormat="1" applyFont="1" applyBorder="1" applyAlignment="1" applyProtection="1">
      <alignment horizontal="center" vertical="center" wrapText="1"/>
    </xf>
    <xf numFmtId="4" fontId="102" fillId="0" borderId="34" xfId="0" applyNumberFormat="1" applyFont="1" applyBorder="1" applyAlignment="1" applyProtection="1">
      <alignment horizontal="center" vertical="center" wrapText="1"/>
    </xf>
    <xf numFmtId="213" fontId="114" fillId="0" borderId="34" xfId="0" applyNumberFormat="1" applyFont="1" applyBorder="1" applyAlignment="1" applyProtection="1">
      <alignment horizontal="center" vertical="center" wrapText="1"/>
    </xf>
    <xf numFmtId="0" fontId="14" fillId="12" borderId="0" xfId="0" applyFont="1" applyFill="1" applyProtection="1"/>
    <xf numFmtId="191" fontId="71" fillId="12" borderId="14" xfId="0" applyNumberFormat="1" applyFont="1" applyFill="1" applyBorder="1" applyAlignment="1" applyProtection="1">
      <alignment horizontal="right" vertical="center" wrapText="1"/>
    </xf>
    <xf numFmtId="174" fontId="71" fillId="0" borderId="12" xfId="0" applyNumberFormat="1" applyFont="1" applyBorder="1" applyAlignment="1" applyProtection="1">
      <alignment vertical="center" wrapText="1"/>
    </xf>
    <xf numFmtId="174" fontId="14" fillId="0" borderId="12" xfId="0" applyNumberFormat="1" applyFont="1" applyBorder="1" applyProtection="1"/>
    <xf numFmtId="174" fontId="14" fillId="0" borderId="12" xfId="0" applyNumberFormat="1" applyFont="1" applyBorder="1" applyAlignment="1" applyProtection="1">
      <alignment horizontal="left" indent="2"/>
    </xf>
    <xf numFmtId="191" fontId="71" fillId="0" borderId="12" xfId="0" applyNumberFormat="1" applyFont="1" applyBorder="1" applyAlignment="1" applyProtection="1">
      <alignment vertical="center" wrapText="1"/>
    </xf>
    <xf numFmtId="191" fontId="71" fillId="0" borderId="31" xfId="0" applyNumberFormat="1" applyFont="1" applyBorder="1" applyAlignment="1" applyProtection="1">
      <alignment horizontal="right" vertical="center" wrapText="1"/>
    </xf>
    <xf numFmtId="204" fontId="14" fillId="0" borderId="31" xfId="0" applyNumberFormat="1" applyFont="1" applyBorder="1" applyAlignment="1" applyProtection="1">
      <alignment horizontal="right" vertical="center" wrapText="1"/>
    </xf>
    <xf numFmtId="204" fontId="15" fillId="0" borderId="31" xfId="0" applyNumberFormat="1" applyFont="1" applyBorder="1" applyAlignment="1" applyProtection="1">
      <alignment horizontal="right" vertical="center" wrapText="1"/>
    </xf>
    <xf numFmtId="203" fontId="14" fillId="0" borderId="12" xfId="0" applyNumberFormat="1" applyFont="1" applyBorder="1" applyAlignment="1" applyProtection="1">
      <alignment horizontal="right" vertical="center" wrapText="1"/>
    </xf>
    <xf numFmtId="0" fontId="71" fillId="0" borderId="12" xfId="0" applyFont="1" applyBorder="1" applyAlignment="1" applyProtection="1">
      <alignment vertical="center" wrapText="1"/>
    </xf>
    <xf numFmtId="214" fontId="14" fillId="0" borderId="12" xfId="0" applyNumberFormat="1" applyFont="1" applyBorder="1" applyAlignment="1" applyProtection="1">
      <alignment horizontal="left" indent="2"/>
    </xf>
    <xf numFmtId="191" fontId="71" fillId="0" borderId="30" xfId="0" applyNumberFormat="1" applyFont="1" applyBorder="1" applyAlignment="1" applyProtection="1">
      <alignment horizontal="right" vertical="center" wrapText="1"/>
    </xf>
    <xf numFmtId="191" fontId="71" fillId="4" borderId="14" xfId="0" applyNumberFormat="1" applyFont="1" applyFill="1" applyBorder="1" applyAlignment="1" applyProtection="1">
      <alignment horizontal="right" vertical="center" wrapText="1"/>
    </xf>
    <xf numFmtId="191" fontId="71" fillId="4" borderId="31" xfId="0" applyNumberFormat="1" applyFont="1" applyFill="1" applyBorder="1" applyAlignment="1" applyProtection="1">
      <alignment horizontal="right" vertical="center" wrapText="1"/>
    </xf>
    <xf numFmtId="203" fontId="14" fillId="0" borderId="30" xfId="0" applyNumberFormat="1" applyFont="1" applyBorder="1" applyAlignment="1" applyProtection="1">
      <alignment horizontal="right" vertical="center" wrapText="1"/>
    </xf>
    <xf numFmtId="176" fontId="14" fillId="0" borderId="31" xfId="0" applyNumberFormat="1" applyFont="1" applyBorder="1" applyAlignment="1" applyProtection="1">
      <alignment horizontal="right" vertical="center" wrapText="1"/>
    </xf>
    <xf numFmtId="176" fontId="14" fillId="0" borderId="30" xfId="0" applyNumberFormat="1" applyFont="1" applyBorder="1" applyAlignment="1" applyProtection="1">
      <alignment horizontal="right" vertical="center" wrapText="1"/>
    </xf>
    <xf numFmtId="191" fontId="14" fillId="4" borderId="14" xfId="0" applyNumberFormat="1" applyFont="1" applyFill="1" applyBorder="1" applyAlignment="1" applyProtection="1">
      <alignment horizontal="right" vertical="center" wrapText="1"/>
    </xf>
    <xf numFmtId="176" fontId="14" fillId="4" borderId="14" xfId="0" applyNumberFormat="1" applyFont="1" applyFill="1" applyBorder="1" applyAlignment="1" applyProtection="1">
      <alignment horizontal="right" vertical="center" wrapText="1"/>
    </xf>
    <xf numFmtId="191" fontId="14" fillId="4" borderId="31" xfId="0" applyNumberFormat="1" applyFont="1" applyFill="1" applyBorder="1" applyAlignment="1" applyProtection="1">
      <alignment horizontal="right" vertical="center" wrapText="1"/>
    </xf>
    <xf numFmtId="203" fontId="14" fillId="4" borderId="14" xfId="0" applyNumberFormat="1" applyFont="1" applyFill="1" applyBorder="1" applyAlignment="1" applyProtection="1">
      <alignment horizontal="right" vertical="center" wrapText="1"/>
    </xf>
    <xf numFmtId="191" fontId="15" fillId="0" borderId="14" xfId="0" applyNumberFormat="1" applyFont="1" applyBorder="1" applyAlignment="1" applyProtection="1">
      <alignment horizontal="right" vertical="center" wrapText="1"/>
    </xf>
    <xf numFmtId="0" fontId="14" fillId="0" borderId="13" xfId="0" applyFont="1" applyBorder="1" applyAlignment="1" applyProtection="1">
      <alignment horizontal="center" vertical="center" wrapText="1"/>
    </xf>
    <xf numFmtId="191" fontId="15" fillId="0" borderId="13" xfId="0" applyNumberFormat="1" applyFont="1" applyBorder="1" applyAlignment="1" applyProtection="1">
      <alignment horizontal="right" vertical="center" wrapText="1"/>
    </xf>
    <xf numFmtId="0" fontId="14" fillId="5" borderId="32" xfId="0" applyFont="1" applyFill="1" applyBorder="1" applyAlignment="1" applyProtection="1">
      <alignment horizontal="left" vertical="top" wrapText="1"/>
    </xf>
    <xf numFmtId="0" fontId="14" fillId="5" borderId="13" xfId="0" applyFont="1" applyFill="1" applyBorder="1" applyAlignment="1" applyProtection="1">
      <alignment horizontal="center" vertical="center" wrapText="1"/>
    </xf>
    <xf numFmtId="191" fontId="14" fillId="5" borderId="13" xfId="0" applyNumberFormat="1" applyFont="1" applyFill="1" applyBorder="1" applyAlignment="1" applyProtection="1">
      <alignment horizontal="right" vertical="center" wrapText="1"/>
    </xf>
    <xf numFmtId="0" fontId="14" fillId="5" borderId="25" xfId="0" applyFont="1" applyFill="1" applyBorder="1" applyAlignment="1" applyProtection="1">
      <alignment horizontal="left" vertical="center" wrapText="1"/>
    </xf>
    <xf numFmtId="191" fontId="14" fillId="12" borderId="30" xfId="0" applyNumberFormat="1" applyFont="1" applyFill="1" applyBorder="1" applyAlignment="1" applyProtection="1">
      <alignment horizontal="right" vertical="center" wrapText="1"/>
    </xf>
    <xf numFmtId="203" fontId="14" fillId="12" borderId="14" xfId="0" applyNumberFormat="1" applyFont="1" applyFill="1" applyBorder="1" applyAlignment="1" applyProtection="1">
      <alignment horizontal="right" vertical="center" wrapText="1"/>
    </xf>
    <xf numFmtId="191" fontId="14" fillId="12" borderId="14" xfId="0" applyNumberFormat="1" applyFont="1" applyFill="1" applyBorder="1" applyAlignment="1" applyProtection="1">
      <alignment horizontal="right" vertical="center" wrapText="1"/>
    </xf>
    <xf numFmtId="206" fontId="14" fillId="12" borderId="14" xfId="0" applyNumberFormat="1" applyFont="1" applyFill="1" applyBorder="1" applyAlignment="1" applyProtection="1">
      <alignment horizontal="right" vertical="center" wrapText="1"/>
    </xf>
    <xf numFmtId="205" fontId="14" fillId="12" borderId="31" xfId="0" applyNumberFormat="1" applyFont="1" applyFill="1" applyBorder="1" applyAlignment="1" applyProtection="1">
      <alignment horizontal="right" vertical="center" wrapText="1"/>
    </xf>
    <xf numFmtId="205" fontId="14" fillId="12" borderId="13" xfId="0" applyNumberFormat="1" applyFont="1" applyFill="1" applyBorder="1" applyAlignment="1" applyProtection="1">
      <alignment horizontal="right" vertical="center" wrapText="1"/>
    </xf>
    <xf numFmtId="0" fontId="14" fillId="4" borderId="30" xfId="0" applyFont="1" applyFill="1" applyBorder="1" applyAlignment="1" applyProtection="1">
      <alignment horizontal="center" vertical="center" wrapText="1"/>
    </xf>
    <xf numFmtId="176" fontId="14" fillId="12" borderId="30" xfId="0" applyNumberFormat="1" applyFont="1" applyFill="1" applyBorder="1" applyAlignment="1" applyProtection="1">
      <alignment horizontal="right" vertical="center" wrapText="1"/>
    </xf>
    <xf numFmtId="0" fontId="14" fillId="4" borderId="12" xfId="0" applyFont="1" applyFill="1" applyBorder="1" applyAlignment="1" applyProtection="1">
      <alignment horizontal="center" vertical="center" wrapText="1"/>
    </xf>
    <xf numFmtId="0" fontId="14" fillId="4" borderId="31" xfId="0" applyFont="1" applyFill="1" applyBorder="1" applyAlignment="1" applyProtection="1">
      <alignment horizontal="center" vertical="center" wrapText="1"/>
    </xf>
    <xf numFmtId="181" fontId="14" fillId="12" borderId="33" xfId="0" applyNumberFormat="1" applyFont="1" applyFill="1" applyBorder="1" applyAlignment="1" applyProtection="1">
      <alignment horizontal="right" vertical="center" wrapText="1"/>
    </xf>
    <xf numFmtId="0" fontId="14" fillId="4" borderId="14" xfId="0" applyFont="1" applyFill="1" applyBorder="1" applyAlignment="1" applyProtection="1">
      <alignment horizontal="center" vertical="center" wrapText="1"/>
    </xf>
    <xf numFmtId="181" fontId="14" fillId="12" borderId="31" xfId="0" applyNumberFormat="1" applyFont="1" applyFill="1" applyBorder="1" applyAlignment="1" applyProtection="1">
      <alignment horizontal="right" vertical="center" wrapText="1"/>
    </xf>
    <xf numFmtId="0" fontId="94" fillId="5" borderId="34" xfId="0" applyFont="1" applyFill="1" applyBorder="1" applyAlignment="1" applyProtection="1">
      <alignment horizontal="left" vertical="top"/>
    </xf>
    <xf numFmtId="191" fontId="14" fillId="4" borderId="30" xfId="0" applyNumberFormat="1" applyFont="1" applyFill="1" applyBorder="1" applyAlignment="1" applyProtection="1">
      <alignment horizontal="right" vertical="center" wrapText="1"/>
    </xf>
    <xf numFmtId="191" fontId="14" fillId="4" borderId="33" xfId="0" applyNumberFormat="1" applyFont="1" applyFill="1" applyBorder="1" applyAlignment="1" applyProtection="1">
      <alignment horizontal="right" vertical="center" wrapText="1"/>
    </xf>
    <xf numFmtId="0" fontId="55" fillId="0" borderId="5" xfId="0" applyFont="1" applyBorder="1" applyAlignment="1" applyProtection="1">
      <alignment horizontal="left" vertical="center" wrapText="1"/>
    </xf>
    <xf numFmtId="0" fontId="55" fillId="0" borderId="0" xfId="0" applyFont="1" applyAlignment="1" applyProtection="1">
      <alignment horizontal="left" vertical="center" wrapText="1"/>
    </xf>
    <xf numFmtId="0" fontId="55" fillId="0" borderId="0" xfId="0" applyFont="1" applyAlignment="1" applyProtection="1">
      <alignment horizontal="left" vertical="center"/>
    </xf>
    <xf numFmtId="0" fontId="29" fillId="0" borderId="0" xfId="0" applyFont="1" applyAlignment="1" applyProtection="1">
      <alignment vertical="top" wrapText="1"/>
    </xf>
    <xf numFmtId="0" fontId="29" fillId="0" borderId="8" xfId="0" applyFont="1" applyBorder="1" applyAlignment="1" applyProtection="1">
      <alignment vertical="top" wrapText="1"/>
    </xf>
    <xf numFmtId="0" fontId="55" fillId="0" borderId="10" xfId="0" applyFont="1" applyBorder="1" applyAlignment="1" applyProtection="1">
      <alignment horizontal="left" vertical="center" wrapText="1"/>
    </xf>
    <xf numFmtId="0" fontId="29" fillId="0" borderId="10" xfId="0" applyFont="1" applyBorder="1" applyAlignment="1" applyProtection="1">
      <alignment horizontal="right" vertical="center" wrapText="1"/>
    </xf>
    <xf numFmtId="0" fontId="55" fillId="0" borderId="10" xfId="0" applyFont="1" applyBorder="1" applyAlignment="1" applyProtection="1">
      <alignment vertical="center" wrapText="1"/>
    </xf>
    <xf numFmtId="0" fontId="55" fillId="0" borderId="11" xfId="0" applyFont="1" applyBorder="1" applyAlignment="1" applyProtection="1">
      <alignment vertical="center" wrapText="1"/>
    </xf>
    <xf numFmtId="0" fontId="1" fillId="0" borderId="0" xfId="0" quotePrefix="1" applyFont="1" applyAlignment="1" applyProtection="1">
      <alignment horizontal="center"/>
    </xf>
    <xf numFmtId="0" fontId="1" fillId="0" borderId="0" xfId="0" applyFont="1" applyProtection="1"/>
    <xf numFmtId="0" fontId="1" fillId="12" borderId="0" xfId="0" applyFont="1" applyFill="1" applyProtection="1"/>
    <xf numFmtId="0" fontId="67" fillId="0" borderId="0" xfId="4" applyFont="1" applyFill="1" applyBorder="1" applyAlignment="1" applyProtection="1">
      <alignment horizontal="left" vertical="center"/>
    </xf>
    <xf numFmtId="0" fontId="97" fillId="0" borderId="0" xfId="0" applyFont="1" applyProtection="1"/>
    <xf numFmtId="0" fontId="15" fillId="0" borderId="0" xfId="0" applyFont="1" applyAlignment="1" applyProtection="1">
      <alignment vertical="top" wrapText="1"/>
    </xf>
    <xf numFmtId="0" fontId="15" fillId="0" borderId="0" xfId="0" applyFont="1" applyAlignment="1" applyProtection="1">
      <alignment horizontal="left" vertical="top" wrapText="1"/>
    </xf>
    <xf numFmtId="0" fontId="31" fillId="0" borderId="0" xfId="4" applyBorder="1" applyProtection="1"/>
    <xf numFmtId="0" fontId="101" fillId="0" borderId="0" xfId="4" applyFont="1" applyProtection="1"/>
    <xf numFmtId="0" fontId="31" fillId="0" borderId="0" xfId="4" applyFill="1" applyBorder="1" applyProtection="1"/>
    <xf numFmtId="183" fontId="50" fillId="0" borderId="0" xfId="19" applyFont="1" applyProtection="1">
      <alignment vertical="top"/>
    </xf>
    <xf numFmtId="184" fontId="35" fillId="0" borderId="0" xfId="20" applyFont="1" applyProtection="1">
      <alignment vertical="top"/>
    </xf>
    <xf numFmtId="0" fontId="35" fillId="0" borderId="0" xfId="21" applyFont="1" applyProtection="1"/>
    <xf numFmtId="184" fontId="52" fillId="0" borderId="0" xfId="20" applyFont="1" applyProtection="1">
      <alignment vertical="top"/>
    </xf>
    <xf numFmtId="0" fontId="52" fillId="0" borderId="0" xfId="21" applyFont="1" applyAlignment="1" applyProtection="1">
      <alignment vertical="top"/>
    </xf>
    <xf numFmtId="0" fontId="35" fillId="0" borderId="0" xfId="21" applyFont="1" applyAlignment="1" applyProtection="1">
      <alignment vertical="top"/>
    </xf>
    <xf numFmtId="185" fontId="35" fillId="4" borderId="0" xfId="22" applyFont="1" applyFill="1" applyAlignment="1" applyProtection="1">
      <alignment horizontal="left" vertical="top"/>
    </xf>
    <xf numFmtId="184" fontId="35" fillId="0" borderId="0" xfId="20" applyFont="1" applyAlignment="1" applyProtection="1">
      <alignment horizontal="left" vertical="center"/>
    </xf>
    <xf numFmtId="184" fontId="52" fillId="0" borderId="12" xfId="20" applyFont="1" applyBorder="1" applyProtection="1">
      <alignment vertical="top"/>
    </xf>
    <xf numFmtId="0" fontId="52" fillId="0" borderId="12" xfId="21" applyFont="1" applyBorder="1" applyAlignment="1" applyProtection="1">
      <alignment vertical="center" wrapText="1"/>
    </xf>
    <xf numFmtId="184" fontId="35" fillId="0" borderId="12" xfId="20" quotePrefix="1" applyFont="1" applyBorder="1" applyAlignment="1" applyProtection="1">
      <alignment vertical="center"/>
    </xf>
    <xf numFmtId="186" fontId="35" fillId="0" borderId="12" xfId="23" applyFont="1" applyBorder="1" applyAlignment="1" applyProtection="1">
      <alignment horizontal="center" vertical="center"/>
    </xf>
    <xf numFmtId="0" fontId="35" fillId="0" borderId="12" xfId="21" applyFont="1" applyBorder="1" applyAlignment="1" applyProtection="1">
      <alignment horizontal="center" vertical="center" wrapText="1"/>
    </xf>
    <xf numFmtId="0" fontId="35" fillId="0" borderId="12" xfId="21" applyFont="1" applyBorder="1" applyAlignment="1" applyProtection="1">
      <alignment vertical="center" wrapText="1"/>
    </xf>
    <xf numFmtId="15" fontId="35" fillId="0" borderId="12" xfId="21" applyNumberFormat="1" applyFont="1" applyBorder="1" applyAlignment="1" applyProtection="1">
      <alignment vertical="center" wrapText="1"/>
    </xf>
    <xf numFmtId="0" fontId="35" fillId="0" borderId="1" xfId="21" applyFont="1" applyBorder="1" applyAlignment="1" applyProtection="1">
      <alignment vertical="center"/>
    </xf>
    <xf numFmtId="0" fontId="35" fillId="0" borderId="3" xfId="21" applyFont="1" applyBorder="1" applyAlignment="1" applyProtection="1">
      <alignment vertical="center" wrapText="1"/>
    </xf>
    <xf numFmtId="184" fontId="35" fillId="0" borderId="0" xfId="20" applyFont="1" applyAlignment="1" applyProtection="1"/>
    <xf numFmtId="0" fontId="52" fillId="0" borderId="1" xfId="21" applyFont="1" applyBorder="1" applyAlignment="1" applyProtection="1">
      <alignment horizontal="center" vertical="center" wrapText="1"/>
    </xf>
    <xf numFmtId="0" fontId="52" fillId="0" borderId="3" xfId="21" applyFont="1" applyBorder="1" applyAlignment="1" applyProtection="1">
      <alignment horizontal="center" vertical="center" wrapText="1"/>
    </xf>
    <xf numFmtId="0" fontId="35" fillId="0" borderId="1" xfId="21" applyFont="1" applyBorder="1" applyAlignment="1" applyProtection="1">
      <alignment horizontal="center" vertical="center"/>
    </xf>
    <xf numFmtId="0" fontId="35" fillId="0" borderId="3" xfId="21" applyFont="1" applyBorder="1" applyAlignment="1" applyProtection="1">
      <alignment horizontal="center" vertical="center"/>
    </xf>
    <xf numFmtId="0" fontId="55" fillId="0" borderId="9" xfId="0" applyFont="1" applyBorder="1" applyAlignment="1" applyProtection="1">
      <alignment horizontal="left" vertical="center" wrapText="1"/>
    </xf>
    <xf numFmtId="0" fontId="55" fillId="0" borderId="10" xfId="0" applyFont="1" applyBorder="1" applyAlignment="1" applyProtection="1">
      <alignment horizontal="left" vertical="center" wrapText="1"/>
    </xf>
    <xf numFmtId="0" fontId="29" fillId="0" borderId="0" xfId="0" applyFont="1" applyAlignment="1" applyProtection="1">
      <alignment horizontal="left" vertical="center"/>
    </xf>
    <xf numFmtId="0" fontId="29" fillId="0" borderId="8" xfId="0" applyFont="1" applyBorder="1" applyAlignment="1" applyProtection="1">
      <alignment horizontal="left" vertical="center"/>
    </xf>
    <xf numFmtId="0" fontId="55" fillId="0" borderId="7" xfId="0" applyFont="1" applyBorder="1" applyAlignment="1" applyProtection="1">
      <alignment horizontal="left" vertical="center" wrapText="1"/>
    </xf>
    <xf numFmtId="0" fontId="55" fillId="0" borderId="0" xfId="0" applyFont="1" applyAlignment="1" applyProtection="1">
      <alignment horizontal="left" vertical="center" wrapText="1"/>
    </xf>
    <xf numFmtId="0" fontId="55" fillId="0" borderId="7" xfId="0" applyFont="1" applyBorder="1" applyAlignment="1" applyProtection="1">
      <alignment horizontal="left" vertical="top" wrapText="1"/>
    </xf>
    <xf numFmtId="0" fontId="55" fillId="0" borderId="0" xfId="0" applyFont="1" applyAlignment="1" applyProtection="1">
      <alignment horizontal="left" vertical="top" wrapText="1"/>
    </xf>
    <xf numFmtId="0" fontId="25" fillId="0" borderId="4" xfId="0" applyFont="1" applyBorder="1" applyAlignment="1" applyProtection="1">
      <alignment horizontal="center" vertical="center"/>
    </xf>
    <xf numFmtId="0" fontId="25" fillId="0" borderId="5" xfId="0" applyFont="1" applyBorder="1" applyAlignment="1" applyProtection="1">
      <alignment horizontal="center" vertical="center"/>
    </xf>
    <xf numFmtId="0" fontId="25" fillId="0" borderId="6" xfId="0" applyFont="1" applyBorder="1" applyAlignment="1" applyProtection="1">
      <alignment horizontal="center" vertical="center"/>
    </xf>
    <xf numFmtId="0" fontId="25" fillId="0" borderId="7" xfId="0" applyFont="1" applyBorder="1" applyAlignment="1" applyProtection="1">
      <alignment horizontal="center" vertical="center"/>
    </xf>
    <xf numFmtId="0" fontId="25" fillId="0" borderId="0" xfId="0" applyFont="1" applyAlignment="1" applyProtection="1">
      <alignment horizontal="center" vertical="center"/>
    </xf>
    <xf numFmtId="0" fontId="25" fillId="0" borderId="8" xfId="0" applyFont="1" applyBorder="1" applyAlignment="1" applyProtection="1">
      <alignment horizontal="center" vertical="center"/>
    </xf>
    <xf numFmtId="0" fontId="25" fillId="0" borderId="9" xfId="0" applyFont="1" applyBorder="1" applyAlignment="1" applyProtection="1">
      <alignment horizontal="center" vertical="center"/>
    </xf>
    <xf numFmtId="0" fontId="25" fillId="0" borderId="10" xfId="0" applyFont="1" applyBorder="1" applyAlignment="1" applyProtection="1">
      <alignment horizontal="center" vertical="center"/>
    </xf>
    <xf numFmtId="0" fontId="25" fillId="0" borderId="11" xfId="0" applyFont="1" applyBorder="1" applyAlignment="1" applyProtection="1">
      <alignment horizontal="center" vertical="center"/>
    </xf>
    <xf numFmtId="0" fontId="55" fillId="0" borderId="4" xfId="0" applyFont="1" applyBorder="1" applyAlignment="1" applyProtection="1">
      <alignment horizontal="left" vertical="center" wrapText="1"/>
    </xf>
    <xf numFmtId="0" fontId="55" fillId="0" borderId="5" xfId="0" applyFont="1" applyBorder="1" applyAlignment="1" applyProtection="1">
      <alignment horizontal="left" vertical="center" wrapText="1"/>
    </xf>
    <xf numFmtId="0" fontId="29" fillId="0" borderId="5" xfId="0" applyFont="1" applyBorder="1" applyAlignment="1" applyProtection="1">
      <alignment horizontal="left" vertical="center"/>
    </xf>
    <xf numFmtId="0" fontId="29" fillId="0" borderId="6" xfId="0" applyFont="1" applyBorder="1" applyAlignment="1" applyProtection="1">
      <alignment horizontal="left" vertical="center"/>
    </xf>
    <xf numFmtId="0" fontId="110" fillId="0" borderId="25" xfId="0" applyFont="1" applyBorder="1" applyAlignment="1" applyProtection="1">
      <alignment horizontal="center" vertical="center"/>
    </xf>
    <xf numFmtId="0" fontId="110" fillId="0" borderId="13" xfId="0" applyFont="1" applyBorder="1" applyAlignment="1" applyProtection="1">
      <alignment horizontal="center" vertical="center"/>
    </xf>
    <xf numFmtId="0" fontId="110" fillId="0" borderId="14" xfId="0" applyFont="1" applyBorder="1" applyAlignment="1" applyProtection="1">
      <alignment horizontal="center" vertical="center"/>
    </xf>
    <xf numFmtId="191" fontId="69" fillId="0" borderId="12" xfId="0" applyNumberFormat="1" applyFont="1" applyBorder="1" applyAlignment="1" applyProtection="1">
      <alignment horizontal="center" vertical="center" wrapText="1"/>
    </xf>
    <xf numFmtId="0" fontId="71" fillId="4" borderId="14" xfId="0" applyFont="1" applyFill="1" applyBorder="1" applyAlignment="1" applyProtection="1">
      <alignment horizontal="left" vertical="top" wrapText="1"/>
    </xf>
    <xf numFmtId="0" fontId="71" fillId="4" borderId="12" xfId="0" applyFont="1" applyFill="1" applyBorder="1" applyAlignment="1" applyProtection="1">
      <alignment horizontal="left" vertical="top" wrapText="1"/>
    </xf>
    <xf numFmtId="0" fontId="71" fillId="4" borderId="31" xfId="0" applyFont="1" applyFill="1" applyBorder="1" applyAlignment="1" applyProtection="1">
      <alignment horizontal="left" vertical="top" wrapText="1"/>
    </xf>
    <xf numFmtId="0" fontId="14" fillId="0" borderId="13" xfId="0" applyFont="1" applyBorder="1" applyAlignment="1" applyProtection="1">
      <alignment horizontal="center" vertical="center" wrapText="1"/>
    </xf>
    <xf numFmtId="0" fontId="14" fillId="0" borderId="33" xfId="0" applyFont="1" applyBorder="1" applyAlignment="1" applyProtection="1">
      <alignment horizontal="center" vertical="center" wrapText="1"/>
    </xf>
    <xf numFmtId="0" fontId="69" fillId="0" borderId="30" xfId="0" applyFont="1" applyBorder="1" applyAlignment="1" applyProtection="1">
      <alignment horizontal="center" vertical="center" wrapText="1"/>
    </xf>
    <xf numFmtId="0" fontId="69" fillId="0" borderId="12" xfId="0" applyFont="1" applyBorder="1" applyAlignment="1" applyProtection="1">
      <alignment horizontal="center" vertical="center" wrapText="1"/>
    </xf>
    <xf numFmtId="0" fontId="69" fillId="0" borderId="25" xfId="0" applyFont="1" applyBorder="1" applyAlignment="1" applyProtection="1">
      <alignment horizontal="center" vertical="center" wrapText="1"/>
    </xf>
    <xf numFmtId="0" fontId="71" fillId="4" borderId="50" xfId="0" applyFont="1" applyFill="1" applyBorder="1" applyAlignment="1" applyProtection="1">
      <alignment horizontal="left" vertical="top" wrapText="1"/>
    </xf>
    <xf numFmtId="0" fontId="71" fillId="4" borderId="51" xfId="0" applyFont="1" applyFill="1" applyBorder="1" applyAlignment="1" applyProtection="1">
      <alignment horizontal="left" vertical="top" wrapText="1"/>
    </xf>
    <xf numFmtId="0" fontId="71" fillId="4" borderId="52" xfId="0" applyFont="1" applyFill="1" applyBorder="1" applyAlignment="1" applyProtection="1">
      <alignment horizontal="left" vertical="top" wrapText="1"/>
    </xf>
    <xf numFmtId="0" fontId="14" fillId="0" borderId="32" xfId="0" applyFont="1" applyBorder="1" applyAlignment="1" applyProtection="1">
      <alignment horizontal="center" vertical="center" wrapText="1"/>
    </xf>
    <xf numFmtId="0" fontId="15" fillId="4" borderId="45" xfId="0" applyFont="1" applyFill="1" applyBorder="1" applyAlignment="1" applyProtection="1">
      <alignment horizontal="left" vertical="top" wrapText="1"/>
    </xf>
    <xf numFmtId="0" fontId="0" fillId="0" borderId="47" xfId="0" applyBorder="1" applyAlignment="1" applyProtection="1">
      <alignment horizontal="left" vertical="top" wrapText="1"/>
    </xf>
    <xf numFmtId="0" fontId="0" fillId="0" borderId="49" xfId="0" applyBorder="1" applyAlignment="1" applyProtection="1">
      <alignment horizontal="left" vertical="top" wrapText="1"/>
    </xf>
    <xf numFmtId="191" fontId="69" fillId="0" borderId="30" xfId="0" applyNumberFormat="1" applyFont="1" applyBorder="1" applyAlignment="1" applyProtection="1">
      <alignment horizontal="center" vertical="center" wrapText="1"/>
    </xf>
    <xf numFmtId="191" fontId="69" fillId="0" borderId="25" xfId="0" applyNumberFormat="1" applyFont="1" applyBorder="1" applyAlignment="1" applyProtection="1">
      <alignment horizontal="center" vertical="center" wrapText="1"/>
    </xf>
    <xf numFmtId="0" fontId="15" fillId="4" borderId="25" xfId="0" applyFont="1" applyFill="1" applyBorder="1" applyAlignment="1" applyProtection="1">
      <alignment horizontal="left" vertical="top" wrapText="1"/>
    </xf>
    <xf numFmtId="0" fontId="0" fillId="0" borderId="13" xfId="0" applyBorder="1" applyAlignment="1" applyProtection="1">
      <alignment horizontal="left" vertical="top" wrapText="1"/>
    </xf>
    <xf numFmtId="0" fontId="0" fillId="0" borderId="33" xfId="0" applyBorder="1" applyAlignment="1" applyProtection="1">
      <alignment horizontal="left" vertical="top" wrapText="1"/>
    </xf>
    <xf numFmtId="0" fontId="14" fillId="4" borderId="32" xfId="0" applyFont="1" applyFill="1" applyBorder="1" applyAlignment="1" applyProtection="1">
      <alignment horizontal="left" vertical="top" wrapText="1"/>
    </xf>
    <xf numFmtId="0" fontId="14" fillId="4" borderId="13" xfId="0" applyFont="1" applyFill="1" applyBorder="1" applyAlignment="1" applyProtection="1">
      <alignment horizontal="left" vertical="top" wrapText="1"/>
    </xf>
    <xf numFmtId="0" fontId="14" fillId="4" borderId="33" xfId="0" applyFont="1" applyFill="1" applyBorder="1" applyAlignment="1" applyProtection="1">
      <alignment horizontal="left" vertical="top" wrapText="1"/>
    </xf>
    <xf numFmtId="0" fontId="14" fillId="4" borderId="30" xfId="0" applyFont="1" applyFill="1" applyBorder="1" applyAlignment="1" applyProtection="1">
      <alignment horizontal="left" vertical="top" wrapText="1"/>
    </xf>
    <xf numFmtId="0" fontId="14" fillId="4" borderId="12" xfId="0" applyFont="1" applyFill="1" applyBorder="1" applyAlignment="1" applyProtection="1">
      <alignment horizontal="left" vertical="top" wrapText="1"/>
    </xf>
    <xf numFmtId="0" fontId="14" fillId="4" borderId="31" xfId="0" applyFont="1" applyFill="1" applyBorder="1" applyAlignment="1" applyProtection="1">
      <alignment horizontal="left" vertical="top" wrapText="1"/>
    </xf>
    <xf numFmtId="0" fontId="14" fillId="4" borderId="25" xfId="0" applyFont="1" applyFill="1" applyBorder="1" applyAlignment="1" applyProtection="1">
      <alignment horizontal="left" vertical="top" wrapText="1"/>
    </xf>
    <xf numFmtId="0" fontId="14" fillId="12" borderId="50" xfId="0" applyFont="1" applyFill="1" applyBorder="1" applyAlignment="1" applyProtection="1">
      <alignment horizontal="left" vertical="top" wrapText="1"/>
    </xf>
    <xf numFmtId="0" fontId="14" fillId="12" borderId="51" xfId="0" applyFont="1" applyFill="1" applyBorder="1" applyAlignment="1" applyProtection="1">
      <alignment horizontal="left" vertical="top" wrapText="1"/>
    </xf>
    <xf numFmtId="0" fontId="14" fillId="12" borderId="52" xfId="0" applyFont="1" applyFill="1" applyBorder="1" applyAlignment="1" applyProtection="1">
      <alignment horizontal="left" vertical="top" wrapText="1"/>
    </xf>
    <xf numFmtId="0" fontId="14" fillId="0" borderId="3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14" fillId="0" borderId="31" xfId="0" applyFont="1" applyBorder="1" applyAlignment="1" applyProtection="1">
      <alignment horizontal="center" vertical="center" wrapText="1"/>
    </xf>
    <xf numFmtId="0" fontId="14" fillId="0" borderId="14" xfId="0" applyFont="1" applyBorder="1" applyAlignment="1" applyProtection="1">
      <alignment horizontal="left" vertical="top" wrapText="1"/>
    </xf>
    <xf numFmtId="0" fontId="14" fillId="0" borderId="13" xfId="0" applyFont="1" applyBorder="1" applyAlignment="1" applyProtection="1">
      <alignment horizontal="left" vertical="top" wrapText="1"/>
    </xf>
    <xf numFmtId="0" fontId="14" fillId="0" borderId="31" xfId="0" applyFont="1" applyBorder="1" applyAlignment="1" applyProtection="1">
      <alignment horizontal="left" vertical="top" wrapText="1"/>
    </xf>
    <xf numFmtId="0" fontId="14" fillId="0" borderId="32" xfId="0" applyFont="1" applyBorder="1" applyAlignment="1" applyProtection="1">
      <alignment horizontal="left" vertical="center" wrapText="1"/>
    </xf>
    <xf numFmtId="0" fontId="14" fillId="0" borderId="13" xfId="0" applyFont="1" applyBorder="1" applyAlignment="1" applyProtection="1">
      <alignment horizontal="left" vertical="center" wrapText="1"/>
    </xf>
    <xf numFmtId="0" fontId="14" fillId="0" borderId="14" xfId="0" applyFont="1" applyBorder="1" applyAlignment="1" applyProtection="1">
      <alignment horizontal="left" vertical="center" wrapText="1"/>
    </xf>
    <xf numFmtId="0" fontId="14" fillId="4" borderId="32" xfId="0" applyFont="1" applyFill="1" applyBorder="1" applyAlignment="1" applyProtection="1">
      <alignment horizontal="center" vertical="center" wrapText="1"/>
    </xf>
    <xf numFmtId="0" fontId="14" fillId="4" borderId="13" xfId="0" applyFont="1" applyFill="1" applyBorder="1" applyAlignment="1" applyProtection="1">
      <alignment horizontal="center" vertical="center" wrapText="1"/>
    </xf>
    <xf numFmtId="0" fontId="14" fillId="4" borderId="33" xfId="0" applyFont="1" applyFill="1" applyBorder="1" applyAlignment="1" applyProtection="1">
      <alignment horizontal="center" vertical="center" wrapText="1"/>
    </xf>
    <xf numFmtId="0" fontId="15" fillId="12" borderId="45" xfId="0" applyFont="1" applyFill="1" applyBorder="1" applyAlignment="1" applyProtection="1">
      <alignment horizontal="left" vertical="top" wrapText="1"/>
    </xf>
    <xf numFmtId="0" fontId="0" fillId="12" borderId="47" xfId="0" applyFill="1" applyBorder="1" applyAlignment="1" applyProtection="1">
      <alignment horizontal="left" vertical="top" wrapText="1"/>
    </xf>
    <xf numFmtId="0" fontId="0" fillId="12" borderId="49" xfId="0" applyFill="1" applyBorder="1" applyAlignment="1" applyProtection="1">
      <alignment horizontal="left" vertical="top" wrapText="1"/>
    </xf>
    <xf numFmtId="0" fontId="14" fillId="12" borderId="14" xfId="0" applyFont="1" applyFill="1" applyBorder="1" applyAlignment="1" applyProtection="1">
      <alignment horizontal="left" vertical="top" wrapText="1"/>
    </xf>
    <xf numFmtId="0" fontId="14" fillId="12" borderId="12" xfId="0" applyFont="1" applyFill="1" applyBorder="1" applyAlignment="1" applyProtection="1">
      <alignment horizontal="left" vertical="top" wrapText="1"/>
    </xf>
    <xf numFmtId="0" fontId="14" fillId="12" borderId="25" xfId="0" applyFont="1" applyFill="1" applyBorder="1" applyAlignment="1" applyProtection="1">
      <alignment horizontal="left" vertical="top" wrapText="1"/>
    </xf>
    <xf numFmtId="0" fontId="14" fillId="0" borderId="14" xfId="0" applyFont="1" applyBorder="1" applyAlignment="1" applyProtection="1">
      <alignment horizontal="center" vertical="center" wrapText="1"/>
    </xf>
    <xf numFmtId="0" fontId="14" fillId="0" borderId="25" xfId="0" applyFont="1" applyBorder="1" applyAlignment="1" applyProtection="1">
      <alignment horizontal="center" vertical="center" wrapText="1"/>
    </xf>
    <xf numFmtId="0" fontId="15" fillId="4" borderId="13" xfId="0" applyFont="1" applyFill="1" applyBorder="1" applyAlignment="1" applyProtection="1">
      <alignment horizontal="left" vertical="top" wrapText="1"/>
    </xf>
    <xf numFmtId="0" fontId="14" fillId="4" borderId="32" xfId="0" applyFont="1" applyFill="1" applyBorder="1" applyAlignment="1" applyProtection="1">
      <alignment horizontal="center" vertical="center"/>
    </xf>
    <xf numFmtId="0" fontId="14" fillId="4" borderId="13" xfId="0" applyFont="1" applyFill="1" applyBorder="1" applyAlignment="1" applyProtection="1">
      <alignment horizontal="center" vertical="center"/>
    </xf>
    <xf numFmtId="0" fontId="14" fillId="4" borderId="33" xfId="0" applyFont="1" applyFill="1" applyBorder="1" applyAlignment="1" applyProtection="1">
      <alignment horizontal="center" vertical="center"/>
    </xf>
    <xf numFmtId="0" fontId="14" fillId="12" borderId="13" xfId="0" applyFont="1" applyFill="1" applyBorder="1" applyAlignment="1" applyProtection="1">
      <alignment horizontal="left" vertical="top" wrapText="1"/>
    </xf>
    <xf numFmtId="0" fontId="14" fillId="12" borderId="33" xfId="0" applyFont="1" applyFill="1" applyBorder="1" applyAlignment="1" applyProtection="1">
      <alignment horizontal="left" vertical="top" wrapText="1"/>
    </xf>
    <xf numFmtId="0" fontId="14" fillId="4" borderId="44" xfId="0" applyFont="1" applyFill="1" applyBorder="1" applyAlignment="1" applyProtection="1">
      <alignment horizontal="left" vertical="top" wrapText="1"/>
    </xf>
    <xf numFmtId="0" fontId="14" fillId="4" borderId="46" xfId="0" applyFont="1" applyFill="1" applyBorder="1" applyAlignment="1" applyProtection="1">
      <alignment horizontal="left" vertical="top" wrapText="1"/>
    </xf>
    <xf numFmtId="0" fontId="14" fillId="4" borderId="48" xfId="0" applyFont="1" applyFill="1" applyBorder="1" applyAlignment="1" applyProtection="1">
      <alignment horizontal="left" vertical="top" wrapText="1"/>
    </xf>
    <xf numFmtId="0" fontId="15" fillId="4" borderId="13" xfId="0" applyFont="1" applyFill="1" applyBorder="1" applyAlignment="1" applyProtection="1">
      <alignment horizontal="left" vertical="center" wrapText="1"/>
    </xf>
    <xf numFmtId="0" fontId="15" fillId="4" borderId="33" xfId="0" applyFont="1" applyFill="1" applyBorder="1" applyAlignment="1" applyProtection="1">
      <alignment horizontal="left" vertical="center" wrapText="1"/>
    </xf>
    <xf numFmtId="0" fontId="71" fillId="4" borderId="14" xfId="0" applyFont="1" applyFill="1" applyBorder="1" applyAlignment="1" applyProtection="1">
      <alignment horizontal="center" vertical="center" wrapText="1"/>
    </xf>
    <xf numFmtId="0" fontId="71" fillId="4" borderId="12" xfId="0" applyFont="1" applyFill="1" applyBorder="1" applyAlignment="1" applyProtection="1">
      <alignment horizontal="center" vertical="center" wrapText="1"/>
    </xf>
    <xf numFmtId="0" fontId="71" fillId="4" borderId="31" xfId="0" applyFont="1" applyFill="1" applyBorder="1" applyAlignment="1" applyProtection="1">
      <alignment horizontal="center" vertical="center" wrapText="1"/>
    </xf>
    <xf numFmtId="0" fontId="14" fillId="0" borderId="30" xfId="0" applyFont="1" applyBorder="1" applyAlignment="1" applyProtection="1">
      <alignment horizontal="left" vertical="center" wrapText="1"/>
    </xf>
    <xf numFmtId="0" fontId="14" fillId="0" borderId="12" xfId="0" applyFont="1" applyBorder="1" applyAlignment="1" applyProtection="1">
      <alignment horizontal="left" vertical="center" wrapText="1"/>
    </xf>
    <xf numFmtId="0" fontId="14" fillId="0" borderId="31" xfId="0" applyFont="1" applyBorder="1" applyAlignment="1" applyProtection="1">
      <alignment horizontal="left" vertical="center" wrapText="1"/>
    </xf>
    <xf numFmtId="0" fontId="14" fillId="0" borderId="33" xfId="0" applyFont="1" applyBorder="1" applyAlignment="1" applyProtection="1">
      <alignment horizontal="left" vertical="center" wrapText="1"/>
    </xf>
    <xf numFmtId="0" fontId="14" fillId="4" borderId="30" xfId="0" applyFont="1" applyFill="1" applyBorder="1" applyAlignment="1" applyProtection="1">
      <alignment horizontal="center" vertical="center" wrapText="1"/>
    </xf>
    <xf numFmtId="0" fontId="14" fillId="4" borderId="12" xfId="0" applyFont="1" applyFill="1" applyBorder="1" applyAlignment="1" applyProtection="1">
      <alignment horizontal="center" vertical="center" wrapText="1"/>
    </xf>
    <xf numFmtId="0" fontId="14" fillId="4" borderId="31" xfId="0" applyFont="1" applyFill="1" applyBorder="1" applyAlignment="1" applyProtection="1">
      <alignment horizontal="center" vertical="center" wrapText="1"/>
    </xf>
    <xf numFmtId="0" fontId="14" fillId="4" borderId="44" xfId="0" applyFont="1" applyFill="1" applyBorder="1" applyAlignment="1" applyProtection="1">
      <alignment horizontal="center" vertical="center" wrapText="1"/>
    </xf>
    <xf numFmtId="0" fontId="14" fillId="4" borderId="46"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71" fillId="12" borderId="14" xfId="0" applyFont="1" applyFill="1" applyBorder="1" applyAlignment="1" applyProtection="1">
      <alignment horizontal="left" vertical="top" wrapText="1"/>
    </xf>
    <xf numFmtId="0" fontId="71" fillId="12" borderId="12" xfId="0" applyFont="1" applyFill="1" applyBorder="1" applyAlignment="1" applyProtection="1">
      <alignment horizontal="left" vertical="top" wrapText="1"/>
    </xf>
    <xf numFmtId="0" fontId="71" fillId="12" borderId="31" xfId="0" applyFont="1" applyFill="1" applyBorder="1" applyAlignment="1" applyProtection="1">
      <alignment horizontal="left" vertical="top" wrapText="1"/>
    </xf>
    <xf numFmtId="0" fontId="14" fillId="0" borderId="25" xfId="0" applyFont="1" applyBorder="1" applyAlignment="1" applyProtection="1">
      <alignment horizontal="center" vertical="top" wrapText="1"/>
    </xf>
    <xf numFmtId="0" fontId="14" fillId="0" borderId="13" xfId="0" applyFont="1" applyBorder="1" applyAlignment="1" applyProtection="1">
      <alignment horizontal="center" vertical="top" wrapText="1"/>
    </xf>
    <xf numFmtId="0" fontId="14" fillId="0" borderId="33" xfId="0" applyFont="1" applyBorder="1" applyAlignment="1" applyProtection="1">
      <alignment horizontal="center" vertical="top" wrapText="1"/>
    </xf>
    <xf numFmtId="0" fontId="15" fillId="4" borderId="33" xfId="0" applyFont="1" applyFill="1" applyBorder="1" applyAlignment="1" applyProtection="1">
      <alignment horizontal="left" vertical="top" wrapText="1"/>
    </xf>
    <xf numFmtId="0" fontId="15" fillId="0" borderId="14" xfId="0" applyFont="1" applyBorder="1" applyAlignment="1" applyProtection="1">
      <alignment horizontal="left" vertical="center" wrapText="1"/>
    </xf>
    <xf numFmtId="0" fontId="15" fillId="0" borderId="12" xfId="0" applyFont="1" applyBorder="1" applyAlignment="1" applyProtection="1">
      <alignment horizontal="left" vertical="center" wrapText="1"/>
    </xf>
    <xf numFmtId="0" fontId="15" fillId="0" borderId="31" xfId="0" applyFont="1" applyBorder="1" applyAlignment="1" applyProtection="1">
      <alignment horizontal="left" vertical="center" wrapText="1"/>
    </xf>
    <xf numFmtId="0" fontId="15" fillId="0" borderId="45" xfId="0" applyFont="1" applyBorder="1" applyAlignment="1" applyProtection="1">
      <alignment horizontal="left" vertical="center" wrapText="1"/>
    </xf>
    <xf numFmtId="0" fontId="15" fillId="0" borderId="47" xfId="0" applyFont="1" applyBorder="1" applyAlignment="1" applyProtection="1">
      <alignment horizontal="left" vertical="center" wrapText="1"/>
    </xf>
    <xf numFmtId="0" fontId="15" fillId="0" borderId="49" xfId="0" applyFont="1" applyBorder="1" applyAlignment="1" applyProtection="1">
      <alignment horizontal="left" vertical="center" wrapText="1"/>
    </xf>
    <xf numFmtId="0" fontId="15" fillId="4" borderId="45" xfId="0" applyFont="1" applyFill="1" applyBorder="1" applyAlignment="1" applyProtection="1">
      <alignment horizontal="left" vertical="center" wrapText="1"/>
    </xf>
    <xf numFmtId="0" fontId="15" fillId="4" borderId="47" xfId="0" applyFont="1" applyFill="1" applyBorder="1" applyAlignment="1" applyProtection="1">
      <alignment horizontal="left" vertical="center" wrapText="1"/>
    </xf>
    <xf numFmtId="0" fontId="15" fillId="4" borderId="49" xfId="0" applyFont="1" applyFill="1" applyBorder="1" applyAlignment="1" applyProtection="1">
      <alignment horizontal="left" vertical="center" wrapText="1"/>
    </xf>
    <xf numFmtId="0" fontId="14" fillId="4" borderId="14" xfId="0" applyFont="1" applyFill="1" applyBorder="1" applyAlignment="1" applyProtection="1">
      <alignment horizontal="center" vertical="center" wrapText="1"/>
    </xf>
    <xf numFmtId="0" fontId="0" fillId="0" borderId="13" xfId="0" applyBorder="1" applyAlignment="1" applyProtection="1">
      <alignment horizontal="left" vertical="center" wrapText="1"/>
    </xf>
    <xf numFmtId="0" fontId="0" fillId="0" borderId="33" xfId="0" applyBorder="1" applyAlignment="1" applyProtection="1">
      <alignment horizontal="left" vertical="center" wrapText="1"/>
    </xf>
    <xf numFmtId="0" fontId="15" fillId="0" borderId="30" xfId="0" applyFont="1" applyBorder="1" applyAlignment="1" applyProtection="1">
      <alignment horizontal="left" vertical="center" wrapText="1"/>
    </xf>
    <xf numFmtId="191" fontId="69" fillId="0" borderId="32" xfId="0" applyNumberFormat="1"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33" xfId="0" applyBorder="1" applyAlignment="1" applyProtection="1">
      <alignment horizontal="center" vertical="center" wrapText="1"/>
    </xf>
    <xf numFmtId="0" fontId="115" fillId="0" borderId="30" xfId="0" applyFont="1" applyBorder="1" applyAlignment="1" applyProtection="1">
      <alignment horizontal="center" vertical="center" wrapText="1"/>
    </xf>
    <xf numFmtId="0" fontId="115" fillId="0" borderId="12" xfId="0" applyFont="1" applyBorder="1" applyAlignment="1" applyProtection="1">
      <alignment horizontal="center" vertical="center" wrapText="1"/>
    </xf>
    <xf numFmtId="0" fontId="14" fillId="0" borderId="25" xfId="0" applyFont="1" applyBorder="1" applyAlignment="1" applyProtection="1">
      <alignment horizontal="left" vertical="center" wrapText="1"/>
    </xf>
    <xf numFmtId="0" fontId="15" fillId="0" borderId="32" xfId="0" applyFont="1" applyBorder="1" applyAlignment="1" applyProtection="1">
      <alignment horizontal="left" vertical="center" wrapText="1"/>
    </xf>
    <xf numFmtId="0" fontId="15" fillId="0" borderId="13" xfId="0" applyFont="1" applyBorder="1" applyAlignment="1" applyProtection="1">
      <alignment horizontal="left" vertical="center" wrapText="1"/>
    </xf>
    <xf numFmtId="0" fontId="15" fillId="0" borderId="33" xfId="0" applyFont="1" applyBorder="1" applyAlignment="1" applyProtection="1">
      <alignment horizontal="left" vertical="center" wrapText="1"/>
    </xf>
    <xf numFmtId="0" fontId="14" fillId="4" borderId="25" xfId="0" applyFont="1" applyFill="1" applyBorder="1" applyAlignment="1" applyProtection="1">
      <alignment horizontal="center" vertical="center" wrapText="1"/>
    </xf>
    <xf numFmtId="0" fontId="15" fillId="0" borderId="25" xfId="0" applyFont="1" applyBorder="1" applyAlignment="1" applyProtection="1">
      <alignment horizontal="left" vertical="center" wrapText="1"/>
    </xf>
    <xf numFmtId="0" fontId="14" fillId="4" borderId="50" xfId="0" applyFont="1" applyFill="1" applyBorder="1" applyAlignment="1" applyProtection="1">
      <alignment horizontal="center" vertical="center" wrapText="1"/>
    </xf>
    <xf numFmtId="0" fontId="14" fillId="4" borderId="51" xfId="0" applyFont="1" applyFill="1" applyBorder="1" applyAlignment="1" applyProtection="1">
      <alignment horizontal="center" vertical="center" wrapText="1"/>
    </xf>
    <xf numFmtId="0" fontId="14" fillId="4" borderId="52" xfId="0" applyFont="1" applyFill="1" applyBorder="1" applyAlignment="1" applyProtection="1">
      <alignment horizontal="center" vertical="center" wrapText="1"/>
    </xf>
    <xf numFmtId="0" fontId="15" fillId="0" borderId="53" xfId="0" applyFont="1" applyBorder="1" applyAlignment="1" applyProtection="1">
      <alignment horizontal="left" vertical="center" wrapText="1"/>
    </xf>
    <xf numFmtId="0" fontId="15" fillId="0" borderId="54" xfId="0" applyFont="1" applyBorder="1" applyAlignment="1" applyProtection="1">
      <alignment horizontal="left" vertical="center" wrapText="1"/>
    </xf>
    <xf numFmtId="0" fontId="15" fillId="0" borderId="55" xfId="0" applyFont="1" applyBorder="1" applyAlignment="1" applyProtection="1">
      <alignment horizontal="left" vertical="center" wrapText="1"/>
    </xf>
    <xf numFmtId="0" fontId="14" fillId="0" borderId="45" xfId="0" applyFont="1" applyBorder="1" applyAlignment="1" applyProtection="1">
      <alignment horizontal="left" vertical="center" wrapText="1"/>
    </xf>
    <xf numFmtId="0" fontId="0" fillId="0" borderId="47" xfId="0" applyBorder="1" applyAlignment="1" applyProtection="1">
      <alignment horizontal="left" vertical="center" wrapText="1"/>
    </xf>
    <xf numFmtId="0" fontId="0" fillId="0" borderId="49" xfId="0" applyBorder="1" applyAlignment="1" applyProtection="1">
      <alignment horizontal="left" vertical="center" wrapText="1"/>
    </xf>
    <xf numFmtId="0" fontId="0" fillId="0" borderId="1" xfId="0" applyBorder="1" applyAlignment="1" applyProtection="1"/>
    <xf numFmtId="0" fontId="0" fillId="0" borderId="2" xfId="0" applyBorder="1" applyAlignment="1" applyProtection="1"/>
    <xf numFmtId="0" fontId="0" fillId="0" borderId="3" xfId="0" applyBorder="1" applyAlignment="1" applyProtection="1"/>
    <xf numFmtId="0" fontId="35" fillId="0" borderId="5" xfId="0" applyFont="1" applyBorder="1" applyAlignment="1" applyProtection="1">
      <alignment horizontal="center"/>
    </xf>
    <xf numFmtId="0" fontId="103" fillId="0" borderId="38" xfId="0" applyFont="1" applyBorder="1" applyAlignment="1" applyProtection="1">
      <alignment vertical="center" wrapText="1"/>
    </xf>
    <xf numFmtId="0" fontId="104" fillId="0" borderId="39" xfId="0" applyFont="1" applyBorder="1" applyAlignment="1" applyProtection="1"/>
    <xf numFmtId="0" fontId="104" fillId="0" borderId="40" xfId="0" applyFont="1" applyBorder="1" applyAlignment="1" applyProtection="1"/>
    <xf numFmtId="0" fontId="104" fillId="0" borderId="7" xfId="0" applyFont="1" applyBorder="1" applyAlignment="1" applyProtection="1"/>
    <xf numFmtId="0" fontId="104" fillId="0" borderId="0" xfId="0" applyFont="1" applyAlignment="1" applyProtection="1"/>
    <xf numFmtId="0" fontId="104" fillId="0" borderId="8" xfId="0" applyFont="1" applyBorder="1" applyAlignment="1" applyProtection="1"/>
    <xf numFmtId="0" fontId="68" fillId="0" borderId="35" xfId="0" applyFont="1" applyBorder="1" applyAlignment="1" applyProtection="1">
      <alignment horizontal="left" vertical="center"/>
    </xf>
    <xf numFmtId="0" fontId="0" fillId="0" borderId="36" xfId="0" applyBorder="1" applyAlignment="1" applyProtection="1">
      <alignment vertical="center"/>
    </xf>
    <xf numFmtId="0" fontId="0" fillId="0" borderId="37" xfId="0" applyBorder="1" applyAlignment="1" applyProtection="1">
      <alignment vertical="center"/>
    </xf>
    <xf numFmtId="191" fontId="69" fillId="4" borderId="30" xfId="0" applyNumberFormat="1" applyFont="1" applyFill="1" applyBorder="1" applyAlignment="1" applyProtection="1">
      <alignment horizontal="center" vertical="center" wrapText="1"/>
    </xf>
    <xf numFmtId="191" fontId="69" fillId="4" borderId="12" xfId="0" applyNumberFormat="1" applyFont="1" applyFill="1" applyBorder="1" applyAlignment="1" applyProtection="1">
      <alignment horizontal="center" vertical="center" wrapText="1"/>
    </xf>
    <xf numFmtId="191" fontId="69" fillId="4" borderId="32" xfId="0" applyNumberFormat="1" applyFont="1" applyFill="1" applyBorder="1" applyAlignment="1" applyProtection="1">
      <alignment horizontal="center" vertical="center" wrapText="1"/>
    </xf>
    <xf numFmtId="0" fontId="103" fillId="0" borderId="4" xfId="0" applyFont="1" applyBorder="1" applyAlignment="1" applyProtection="1">
      <alignment vertical="center" wrapText="1"/>
    </xf>
    <xf numFmtId="0" fontId="104" fillId="0" borderId="5" xfId="0" applyFont="1" applyBorder="1" applyAlignment="1" applyProtection="1"/>
    <xf numFmtId="0" fontId="104" fillId="0" borderId="6" xfId="0" applyFont="1" applyBorder="1" applyAlignment="1" applyProtection="1"/>
    <xf numFmtId="0" fontId="1" fillId="0" borderId="39" xfId="0" applyFont="1" applyBorder="1" applyAlignment="1" applyProtection="1"/>
    <xf numFmtId="0" fontId="1" fillId="0" borderId="40" xfId="0" applyFont="1" applyBorder="1" applyAlignment="1" applyProtection="1"/>
    <xf numFmtId="0" fontId="1" fillId="0" borderId="7" xfId="0" applyFont="1" applyBorder="1" applyAlignment="1" applyProtection="1"/>
    <xf numFmtId="0" fontId="1" fillId="0" borderId="0" xfId="0" applyFont="1" applyAlignment="1" applyProtection="1"/>
    <xf numFmtId="0" fontId="1" fillId="0" borderId="8" xfId="0" applyFont="1" applyBorder="1" applyAlignment="1" applyProtection="1"/>
    <xf numFmtId="1" fontId="38" fillId="0" borderId="0" xfId="0" applyNumberFormat="1" applyFont="1" applyAlignment="1" applyProtection="1">
      <alignment horizontal="right" vertical="center"/>
    </xf>
    <xf numFmtId="0" fontId="38" fillId="0" borderId="0" xfId="0" applyFont="1" applyAlignment="1" applyProtection="1">
      <alignment horizontal="left" vertical="center"/>
    </xf>
    <xf numFmtId="194" fontId="38" fillId="0" borderId="0" xfId="0" applyNumberFormat="1" applyFont="1" applyAlignment="1" applyProtection="1">
      <alignment horizontal="center" vertical="center"/>
    </xf>
    <xf numFmtId="175" fontId="38" fillId="0" borderId="0" xfId="0" applyNumberFormat="1" applyFont="1" applyAlignment="1" applyProtection="1">
      <alignment horizontal="right" vertical="center"/>
    </xf>
    <xf numFmtId="168" fontId="38" fillId="0" borderId="0" xfId="0" applyNumberFormat="1" applyFont="1" applyAlignment="1" applyProtection="1">
      <alignment horizontal="right" vertical="center"/>
    </xf>
    <xf numFmtId="194" fontId="38" fillId="0" borderId="0" xfId="0" applyNumberFormat="1" applyFont="1" applyAlignment="1" applyProtection="1">
      <alignment horizontal="right" vertical="center"/>
    </xf>
    <xf numFmtId="169" fontId="38" fillId="0" borderId="0" xfId="0" applyNumberFormat="1" applyFont="1" applyAlignment="1" applyProtection="1">
      <alignment horizontal="right" vertical="center"/>
    </xf>
    <xf numFmtId="168" fontId="38" fillId="0" borderId="1" xfId="0" applyNumberFormat="1" applyFont="1" applyBorder="1" applyAlignment="1" applyProtection="1">
      <alignment horizontal="center" vertical="center"/>
    </xf>
    <xf numFmtId="168" fontId="38" fillId="0" borderId="3" xfId="0" applyNumberFormat="1" applyFont="1" applyBorder="1" applyAlignment="1" applyProtection="1">
      <alignment horizontal="center" vertical="center"/>
    </xf>
    <xf numFmtId="1" fontId="38" fillId="0" borderId="1" xfId="0" applyNumberFormat="1" applyFont="1" applyBorder="1" applyAlignment="1" applyProtection="1">
      <alignment horizontal="center" vertical="center"/>
    </xf>
    <xf numFmtId="1" fontId="38" fillId="0" borderId="3" xfId="0" applyNumberFormat="1" applyFont="1" applyBorder="1" applyAlignment="1" applyProtection="1">
      <alignment horizontal="center" vertical="center"/>
    </xf>
    <xf numFmtId="0" fontId="38" fillId="0" borderId="0" xfId="0" applyFont="1" applyAlignment="1" applyProtection="1">
      <alignment horizontal="center" vertical="center"/>
    </xf>
    <xf numFmtId="1" fontId="38" fillId="0" borderId="0" xfId="0" applyNumberFormat="1" applyFont="1" applyAlignment="1" applyProtection="1">
      <alignment horizontal="center" vertical="center"/>
    </xf>
    <xf numFmtId="0" fontId="38" fillId="0" borderId="8" xfId="0" applyFont="1" applyBorder="1" applyAlignment="1" applyProtection="1">
      <alignment horizontal="center" vertical="center"/>
    </xf>
    <xf numFmtId="0" fontId="43" fillId="0" borderId="1" xfId="0" applyFont="1" applyBorder="1" applyAlignment="1" applyProtection="1">
      <alignment horizontal="left" vertical="center"/>
    </xf>
    <xf numFmtId="0" fontId="43" fillId="0" borderId="2" xfId="0" applyFont="1" applyBorder="1" applyAlignment="1" applyProtection="1">
      <alignment horizontal="left" vertical="center"/>
    </xf>
    <xf numFmtId="0" fontId="43" fillId="0" borderId="3" xfId="0" applyFont="1" applyBorder="1" applyAlignment="1" applyProtection="1">
      <alignment horizontal="left" vertical="center"/>
    </xf>
    <xf numFmtId="168" fontId="38" fillId="0" borderId="2" xfId="0" applyNumberFormat="1" applyFont="1" applyBorder="1" applyAlignment="1" applyProtection="1">
      <alignment horizontal="center" vertical="center"/>
    </xf>
    <xf numFmtId="2" fontId="38" fillId="0" borderId="1" xfId="0" applyNumberFormat="1" applyFont="1" applyBorder="1" applyAlignment="1" applyProtection="1">
      <alignment horizontal="center" vertical="center"/>
    </xf>
    <xf numFmtId="2" fontId="38" fillId="0" borderId="3" xfId="0" applyNumberFormat="1" applyFont="1" applyBorder="1" applyAlignment="1" applyProtection="1">
      <alignment horizontal="center" vertical="center"/>
    </xf>
    <xf numFmtId="1" fontId="38" fillId="0" borderId="2" xfId="0" applyNumberFormat="1" applyFont="1" applyBorder="1" applyAlignment="1" applyProtection="1">
      <alignment horizontal="center" vertical="center"/>
    </xf>
    <xf numFmtId="0" fontId="38" fillId="0" borderId="1" xfId="0" applyFont="1" applyBorder="1" applyAlignment="1" applyProtection="1">
      <alignment horizontal="center" vertical="center"/>
    </xf>
    <xf numFmtId="0" fontId="38" fillId="0" borderId="2" xfId="0" applyFont="1" applyBorder="1" applyAlignment="1" applyProtection="1">
      <alignment horizontal="center" vertical="center"/>
    </xf>
    <xf numFmtId="169" fontId="38" fillId="0" borderId="19" xfId="0" applyNumberFormat="1" applyFont="1" applyBorder="1" applyAlignment="1" applyProtection="1">
      <alignment horizontal="center" vertical="center"/>
    </xf>
    <xf numFmtId="1" fontId="38" fillId="0" borderId="7" xfId="0" applyNumberFormat="1" applyFont="1" applyBorder="1" applyAlignment="1" applyProtection="1">
      <alignment horizontal="center" vertical="center"/>
    </xf>
    <xf numFmtId="1" fontId="38" fillId="0" borderId="8" xfId="0" applyNumberFormat="1" applyFont="1" applyBorder="1" applyAlignment="1" applyProtection="1">
      <alignment horizontal="center" vertical="center"/>
    </xf>
    <xf numFmtId="171" fontId="38" fillId="0" borderId="0" xfId="0" applyNumberFormat="1" applyFont="1" applyAlignment="1" applyProtection="1">
      <alignment horizontal="center" vertical="center"/>
    </xf>
    <xf numFmtId="169" fontId="38" fillId="0" borderId="0" xfId="0" applyNumberFormat="1" applyFont="1" applyAlignment="1" applyProtection="1">
      <alignment horizontal="center" vertical="center"/>
    </xf>
    <xf numFmtId="173" fontId="95" fillId="10" borderId="18" xfId="0" applyNumberFormat="1" applyFont="1" applyFill="1" applyBorder="1" applyAlignment="1" applyProtection="1">
      <alignment horizontal="center" vertical="center"/>
    </xf>
    <xf numFmtId="173" fontId="95" fillId="10" borderId="19" xfId="0" applyNumberFormat="1" applyFont="1" applyFill="1" applyBorder="1" applyAlignment="1" applyProtection="1">
      <alignment horizontal="center" vertical="center"/>
    </xf>
    <xf numFmtId="173" fontId="38" fillId="0" borderId="18" xfId="0" applyNumberFormat="1" applyFont="1" applyBorder="1" applyAlignment="1" applyProtection="1">
      <alignment horizontal="center" vertical="center"/>
    </xf>
    <xf numFmtId="173" fontId="38" fillId="0" borderId="20" xfId="0" applyNumberFormat="1" applyFont="1" applyBorder="1" applyAlignment="1" applyProtection="1">
      <alignment horizontal="center" vertical="center"/>
    </xf>
    <xf numFmtId="0" fontId="38" fillId="0" borderId="7" xfId="0" applyFont="1" applyBorder="1" applyAlignment="1" applyProtection="1">
      <alignment horizontal="center" vertical="center"/>
    </xf>
    <xf numFmtId="168" fontId="38" fillId="0" borderId="18" xfId="0" applyNumberFormat="1" applyFont="1" applyBorder="1" applyAlignment="1" applyProtection="1">
      <alignment horizontal="center" vertical="center"/>
    </xf>
    <xf numFmtId="168" fontId="38" fillId="0" borderId="20" xfId="0" applyNumberFormat="1" applyFont="1" applyBorder="1" applyAlignment="1" applyProtection="1">
      <alignment horizontal="center" vertical="center"/>
    </xf>
    <xf numFmtId="168" fontId="38" fillId="0" borderId="9" xfId="0" applyNumberFormat="1" applyFont="1" applyBorder="1" applyAlignment="1" applyProtection="1">
      <alignment horizontal="center" vertical="center"/>
    </xf>
    <xf numFmtId="168" fontId="38" fillId="0" borderId="11" xfId="0" applyNumberFormat="1" applyFont="1" applyBorder="1" applyAlignment="1" applyProtection="1">
      <alignment horizontal="center" vertical="center"/>
    </xf>
    <xf numFmtId="169" fontId="38" fillId="0" borderId="8" xfId="0" applyNumberFormat="1" applyFont="1" applyBorder="1" applyAlignment="1" applyProtection="1">
      <alignment horizontal="center" vertical="center"/>
    </xf>
    <xf numFmtId="0" fontId="38" fillId="0" borderId="19" xfId="0" applyFont="1" applyBorder="1" applyAlignment="1" applyProtection="1">
      <alignment horizontal="center" vertical="center"/>
    </xf>
    <xf numFmtId="0" fontId="38" fillId="0" borderId="18" xfId="0" applyFont="1" applyBorder="1" applyAlignment="1" applyProtection="1">
      <alignment horizontal="center" vertical="center"/>
    </xf>
    <xf numFmtId="171" fontId="38" fillId="0" borderId="18" xfId="0" applyNumberFormat="1" applyFont="1" applyBorder="1" applyAlignment="1" applyProtection="1">
      <alignment horizontal="center" vertical="center"/>
    </xf>
    <xf numFmtId="171" fontId="38" fillId="0" borderId="20" xfId="0" applyNumberFormat="1" applyFont="1" applyBorder="1" applyAlignment="1" applyProtection="1">
      <alignment horizontal="center" vertical="center"/>
    </xf>
    <xf numFmtId="0" fontId="38" fillId="0" borderId="20" xfId="0" applyFont="1" applyBorder="1" applyAlignment="1" applyProtection="1">
      <alignment horizontal="center" vertical="center"/>
    </xf>
    <xf numFmtId="2" fontId="38" fillId="0" borderId="18" xfId="0" applyNumberFormat="1" applyFont="1" applyBorder="1" applyAlignment="1" applyProtection="1">
      <alignment horizontal="center" vertical="center"/>
    </xf>
    <xf numFmtId="2" fontId="38" fillId="0" borderId="20" xfId="0" applyNumberFormat="1" applyFont="1" applyBorder="1" applyAlignment="1" applyProtection="1">
      <alignment horizontal="center" vertical="center"/>
    </xf>
    <xf numFmtId="1" fontId="38" fillId="0" borderId="18" xfId="0" applyNumberFormat="1" applyFont="1" applyBorder="1" applyAlignment="1" applyProtection="1">
      <alignment horizontal="center" vertical="center"/>
    </xf>
    <xf numFmtId="1" fontId="38" fillId="0" borderId="20" xfId="0" applyNumberFormat="1" applyFont="1" applyBorder="1" applyAlignment="1" applyProtection="1">
      <alignment horizontal="center" vertical="center"/>
    </xf>
    <xf numFmtId="167" fontId="38" fillId="0" borderId="19" xfId="0" applyNumberFormat="1" applyFont="1" applyBorder="1" applyAlignment="1" applyProtection="1">
      <alignment horizontal="center" vertical="center"/>
    </xf>
    <xf numFmtId="2" fontId="38" fillId="0" borderId="0" xfId="0" applyNumberFormat="1" applyFont="1" applyAlignment="1" applyProtection="1">
      <alignment horizontal="center" vertical="center"/>
    </xf>
    <xf numFmtId="168" fontId="38" fillId="0" borderId="19" xfId="0" applyNumberFormat="1" applyFont="1" applyBorder="1" applyAlignment="1" applyProtection="1">
      <alignment horizontal="center" vertical="center"/>
    </xf>
    <xf numFmtId="169" fontId="38" fillId="0" borderId="18" xfId="0" applyNumberFormat="1" applyFont="1" applyBorder="1" applyAlignment="1" applyProtection="1">
      <alignment horizontal="center" vertical="center"/>
    </xf>
    <xf numFmtId="169" fontId="38" fillId="0" borderId="20" xfId="0" applyNumberFormat="1" applyFont="1" applyBorder="1" applyAlignment="1" applyProtection="1">
      <alignment horizontal="center" vertical="center"/>
    </xf>
    <xf numFmtId="1" fontId="38" fillId="0" borderId="15" xfId="0" applyNumberFormat="1" applyFont="1" applyBorder="1" applyAlignment="1" applyProtection="1">
      <alignment horizontal="center" vertical="center"/>
    </xf>
    <xf numFmtId="1" fontId="38" fillId="0" borderId="17" xfId="0" applyNumberFormat="1" applyFont="1" applyBorder="1" applyAlignment="1" applyProtection="1">
      <alignment horizontal="center" vertical="center"/>
    </xf>
    <xf numFmtId="0" fontId="38" fillId="0" borderId="16" xfId="0" applyFont="1" applyBorder="1" applyAlignment="1" applyProtection="1">
      <alignment horizontal="center" vertical="center"/>
    </xf>
    <xf numFmtId="0" fontId="38" fillId="0" borderId="15" xfId="0" applyFont="1" applyBorder="1" applyAlignment="1" applyProtection="1">
      <alignment horizontal="center" vertical="center"/>
    </xf>
    <xf numFmtId="0" fontId="38" fillId="0" borderId="17" xfId="0" applyFont="1" applyBorder="1" applyAlignment="1" applyProtection="1">
      <alignment horizontal="center" vertical="center"/>
    </xf>
    <xf numFmtId="0" fontId="38" fillId="0" borderId="12" xfId="0" applyFont="1" applyBorder="1" applyAlignment="1" applyProtection="1">
      <alignment horizontal="left" vertical="center"/>
    </xf>
    <xf numFmtId="0" fontId="38" fillId="0" borderId="12" xfId="0" applyFont="1" applyBorder="1" applyAlignment="1" applyProtection="1">
      <alignment horizontal="center" vertical="center"/>
    </xf>
    <xf numFmtId="0" fontId="38" fillId="0" borderId="3" xfId="0" applyFont="1" applyBorder="1" applyAlignment="1" applyProtection="1">
      <alignment horizontal="center" vertical="center"/>
    </xf>
    <xf numFmtId="0" fontId="43" fillId="0" borderId="12" xfId="0" applyFont="1" applyBorder="1" applyAlignment="1" applyProtection="1">
      <alignment horizontal="left" vertical="center"/>
    </xf>
    <xf numFmtId="0" fontId="38" fillId="0" borderId="12" xfId="0" applyFont="1" applyBorder="1" applyAlignment="1" applyProtection="1">
      <alignment horizontal="center" vertical="center" wrapText="1"/>
    </xf>
    <xf numFmtId="169" fontId="38" fillId="11" borderId="21" xfId="0" applyNumberFormat="1" applyFont="1" applyFill="1" applyBorder="1" applyAlignment="1" applyProtection="1">
      <alignment horizontal="right" vertical="center"/>
    </xf>
    <xf numFmtId="0" fontId="38" fillId="0" borderId="9" xfId="0" applyFont="1" applyBorder="1" applyAlignment="1" applyProtection="1">
      <alignment horizontal="left" vertical="center"/>
    </xf>
    <xf numFmtId="0" fontId="38" fillId="0" borderId="10" xfId="0" applyFont="1" applyBorder="1" applyAlignment="1" applyProtection="1">
      <alignment horizontal="left" vertical="center"/>
    </xf>
    <xf numFmtId="1" fontId="38" fillId="0" borderId="9" xfId="0" applyNumberFormat="1" applyFont="1" applyBorder="1" applyAlignment="1" applyProtection="1">
      <alignment horizontal="center" vertical="center"/>
    </xf>
    <xf numFmtId="1" fontId="38" fillId="0" borderId="10" xfId="0" applyNumberFormat="1" applyFont="1" applyBorder="1" applyAlignment="1" applyProtection="1">
      <alignment horizontal="center" vertical="center"/>
    </xf>
    <xf numFmtId="1" fontId="38" fillId="0" borderId="11" xfId="0" applyNumberFormat="1" applyFont="1" applyBorder="1" applyAlignment="1" applyProtection="1">
      <alignment horizontal="center" vertical="center"/>
    </xf>
    <xf numFmtId="0" fontId="38" fillId="0" borderId="9" xfId="0" applyFont="1" applyBorder="1" applyAlignment="1" applyProtection="1">
      <alignment horizontal="center" vertical="center"/>
    </xf>
    <xf numFmtId="0" fontId="38" fillId="0" borderId="10" xfId="0" applyFont="1" applyBorder="1" applyAlignment="1" applyProtection="1">
      <alignment horizontal="center" vertical="center"/>
    </xf>
    <xf numFmtId="0" fontId="38" fillId="0" borderId="11" xfId="0" applyFont="1" applyBorder="1" applyAlignment="1" applyProtection="1">
      <alignment horizontal="center" vertical="center"/>
    </xf>
    <xf numFmtId="0" fontId="38" fillId="0" borderId="23" xfId="0" applyFont="1" applyBorder="1" applyAlignment="1" applyProtection="1">
      <alignment horizontal="left" vertical="center"/>
    </xf>
    <xf numFmtId="0" fontId="38" fillId="0" borderId="21" xfId="0" applyFont="1" applyBorder="1" applyAlignment="1" applyProtection="1">
      <alignment horizontal="left" vertical="center"/>
    </xf>
    <xf numFmtId="169" fontId="95" fillId="10" borderId="21" xfId="0" applyNumberFormat="1" applyFont="1" applyFill="1" applyBorder="1" applyAlignment="1" applyProtection="1">
      <alignment horizontal="right" vertical="center"/>
    </xf>
    <xf numFmtId="2" fontId="38" fillId="0" borderId="21" xfId="0" applyNumberFormat="1" applyFont="1" applyBorder="1" applyAlignment="1" applyProtection="1">
      <alignment horizontal="right" vertical="center"/>
    </xf>
    <xf numFmtId="170" fontId="38" fillId="0" borderId="9" xfId="0" applyNumberFormat="1" applyFont="1" applyBorder="1" applyAlignment="1" applyProtection="1">
      <alignment horizontal="center" vertical="center"/>
    </xf>
    <xf numFmtId="170" fontId="38" fillId="0" borderId="10" xfId="0" applyNumberFormat="1" applyFont="1" applyBorder="1" applyAlignment="1" applyProtection="1">
      <alignment horizontal="center" vertical="center"/>
    </xf>
    <xf numFmtId="170" fontId="38" fillId="0" borderId="11" xfId="0" applyNumberFormat="1" applyFont="1" applyBorder="1" applyAlignment="1" applyProtection="1">
      <alignment horizontal="center" vertical="center"/>
    </xf>
    <xf numFmtId="169" fontId="38" fillId="0" borderId="7" xfId="0" applyNumberFormat="1" applyFont="1" applyBorder="1" applyAlignment="1" applyProtection="1">
      <alignment horizontal="center" vertical="center"/>
    </xf>
    <xf numFmtId="0" fontId="105" fillId="0" borderId="4" xfId="0" applyFont="1" applyBorder="1" applyAlignment="1" applyProtection="1">
      <alignment horizontal="left" vertical="top" wrapText="1"/>
    </xf>
    <xf numFmtId="0" fontId="105" fillId="0" borderId="5" xfId="0" applyFont="1" applyBorder="1" applyAlignment="1" applyProtection="1">
      <alignment horizontal="left" vertical="top" wrapText="1"/>
    </xf>
    <xf numFmtId="0" fontId="105" fillId="0" borderId="6" xfId="0" applyFont="1" applyBorder="1" applyAlignment="1" applyProtection="1">
      <alignment horizontal="left" vertical="top" wrapText="1"/>
    </xf>
    <xf numFmtId="0" fontId="105" fillId="0" borderId="7" xfId="0" applyFont="1" applyBorder="1" applyAlignment="1" applyProtection="1">
      <alignment horizontal="left" vertical="top" wrapText="1"/>
    </xf>
    <xf numFmtId="0" fontId="105" fillId="0" borderId="0" xfId="0" applyFont="1" applyAlignment="1" applyProtection="1">
      <alignment horizontal="left" vertical="top" wrapText="1"/>
    </xf>
    <xf numFmtId="0" fontId="105" fillId="0" borderId="8" xfId="0" applyFont="1" applyBorder="1" applyAlignment="1" applyProtection="1">
      <alignment horizontal="left" vertical="top" wrapText="1"/>
    </xf>
    <xf numFmtId="0" fontId="105" fillId="0" borderId="9" xfId="0" applyFont="1" applyBorder="1" applyAlignment="1" applyProtection="1">
      <alignment horizontal="left" vertical="top" wrapText="1"/>
    </xf>
    <xf numFmtId="0" fontId="105" fillId="0" borderId="10" xfId="0" applyFont="1" applyBorder="1" applyAlignment="1" applyProtection="1">
      <alignment horizontal="left" vertical="top" wrapText="1"/>
    </xf>
    <xf numFmtId="0" fontId="105" fillId="0" borderId="11" xfId="0" applyFont="1" applyBorder="1" applyAlignment="1" applyProtection="1">
      <alignment horizontal="left" vertical="top" wrapText="1"/>
    </xf>
    <xf numFmtId="1" fontId="38" fillId="0" borderId="16" xfId="0" applyNumberFormat="1" applyFont="1" applyBorder="1" applyAlignment="1" applyProtection="1">
      <alignment horizontal="center" vertical="center"/>
    </xf>
    <xf numFmtId="1" fontId="38" fillId="0" borderId="19" xfId="0" applyNumberFormat="1" applyFont="1" applyBorder="1" applyAlignment="1" applyProtection="1">
      <alignment horizontal="center" vertical="center"/>
    </xf>
    <xf numFmtId="174" fontId="38" fillId="0" borderId="18" xfId="0" applyNumberFormat="1" applyFont="1" applyBorder="1" applyAlignment="1" applyProtection="1">
      <alignment horizontal="center" vertical="center"/>
    </xf>
    <xf numFmtId="174" fontId="38" fillId="0" borderId="19" xfId="0" applyNumberFormat="1" applyFont="1" applyBorder="1" applyAlignment="1" applyProtection="1">
      <alignment horizontal="center" vertical="center"/>
    </xf>
    <xf numFmtId="174" fontId="38" fillId="0" borderId="20" xfId="0" applyNumberFormat="1" applyFont="1" applyBorder="1" applyAlignment="1" applyProtection="1">
      <alignment horizontal="center" vertical="center"/>
    </xf>
    <xf numFmtId="170" fontId="38" fillId="0" borderId="18" xfId="0" applyNumberFormat="1" applyFont="1" applyBorder="1" applyAlignment="1" applyProtection="1">
      <alignment horizontal="center" vertical="center"/>
    </xf>
    <xf numFmtId="170" fontId="38" fillId="0" borderId="19" xfId="0" applyNumberFormat="1" applyFont="1" applyBorder="1" applyAlignment="1" applyProtection="1">
      <alignment horizontal="center" vertical="center"/>
    </xf>
    <xf numFmtId="170" fontId="38" fillId="0" borderId="20" xfId="0" applyNumberFormat="1" applyFont="1" applyBorder="1" applyAlignment="1" applyProtection="1">
      <alignment horizontal="center" vertical="center"/>
    </xf>
    <xf numFmtId="0" fontId="43" fillId="0" borderId="4" xfId="0" applyFont="1" applyBorder="1" applyAlignment="1" applyProtection="1">
      <alignment horizontal="center" vertical="center"/>
    </xf>
    <xf numFmtId="0" fontId="43" fillId="0" borderId="5" xfId="0" applyFont="1" applyBorder="1" applyAlignment="1" applyProtection="1">
      <alignment horizontal="center" vertical="center"/>
    </xf>
    <xf numFmtId="0" fontId="43" fillId="0" borderId="6" xfId="0" applyFont="1" applyBorder="1" applyAlignment="1" applyProtection="1">
      <alignment horizontal="center" vertical="center"/>
    </xf>
    <xf numFmtId="168" fontId="38" fillId="0" borderId="7" xfId="0" applyNumberFormat="1" applyFont="1" applyBorder="1" applyAlignment="1" applyProtection="1">
      <alignment horizontal="center" vertical="center"/>
    </xf>
    <xf numFmtId="168" fontId="38" fillId="0" borderId="0" xfId="0" applyNumberFormat="1" applyFont="1" applyAlignment="1" applyProtection="1">
      <alignment horizontal="center" vertical="center"/>
    </xf>
    <xf numFmtId="168" fontId="38" fillId="0" borderId="8" xfId="0" applyNumberFormat="1" applyFont="1" applyBorder="1" applyAlignment="1" applyProtection="1">
      <alignment horizontal="center" vertical="center"/>
    </xf>
    <xf numFmtId="2" fontId="38" fillId="0" borderId="7" xfId="0" applyNumberFormat="1" applyFont="1" applyBorder="1" applyAlignment="1" applyProtection="1">
      <alignment horizontal="center" vertical="center"/>
    </xf>
    <xf numFmtId="2" fontId="38" fillId="0" borderId="8" xfId="0" applyNumberFormat="1" applyFont="1" applyBorder="1" applyAlignment="1" applyProtection="1">
      <alignment horizontal="center" vertical="center"/>
    </xf>
    <xf numFmtId="2" fontId="38" fillId="0" borderId="9" xfId="0" applyNumberFormat="1" applyFont="1" applyBorder="1" applyAlignment="1" applyProtection="1">
      <alignment horizontal="center" vertical="center"/>
    </xf>
    <xf numFmtId="2" fontId="38" fillId="0" borderId="10" xfId="0" applyNumberFormat="1" applyFont="1" applyBorder="1" applyAlignment="1" applyProtection="1">
      <alignment horizontal="center" vertical="center"/>
    </xf>
    <xf numFmtId="2" fontId="38" fillId="0" borderId="11" xfId="0" applyNumberFormat="1" applyFont="1" applyBorder="1" applyAlignment="1" applyProtection="1">
      <alignment horizontal="center" vertical="center"/>
    </xf>
    <xf numFmtId="169" fontId="38" fillId="0" borderId="9" xfId="0" applyNumberFormat="1" applyFont="1" applyBorder="1" applyAlignment="1" applyProtection="1">
      <alignment horizontal="center" vertical="center"/>
    </xf>
    <xf numFmtId="169" fontId="38" fillId="0" borderId="10" xfId="0" applyNumberFormat="1" applyFont="1" applyBorder="1" applyAlignment="1" applyProtection="1">
      <alignment horizontal="center" vertical="center"/>
    </xf>
    <xf numFmtId="169" fontId="38" fillId="0" borderId="11" xfId="0" applyNumberFormat="1" applyFont="1" applyBorder="1" applyAlignment="1" applyProtection="1">
      <alignment horizontal="center" vertical="center"/>
    </xf>
    <xf numFmtId="0" fontId="95" fillId="10" borderId="18" xfId="0" applyFont="1" applyFill="1" applyBorder="1" applyAlignment="1" applyProtection="1">
      <alignment horizontal="center" vertical="center"/>
    </xf>
    <xf numFmtId="0" fontId="95" fillId="10" borderId="19" xfId="0" applyFont="1" applyFill="1" applyBorder="1" applyAlignment="1" applyProtection="1">
      <alignment horizontal="center" vertical="center"/>
    </xf>
    <xf numFmtId="0" fontId="95" fillId="10" borderId="20" xfId="0" applyFont="1" applyFill="1" applyBorder="1" applyAlignment="1" applyProtection="1">
      <alignment horizontal="center" vertical="center"/>
    </xf>
    <xf numFmtId="169" fontId="95" fillId="10" borderId="18" xfId="0" applyNumberFormat="1" applyFont="1" applyFill="1" applyBorder="1" applyAlignment="1" applyProtection="1">
      <alignment horizontal="center" vertical="center"/>
    </xf>
    <xf numFmtId="169" fontId="95" fillId="10" borderId="19" xfId="0" applyNumberFormat="1" applyFont="1" applyFill="1" applyBorder="1" applyAlignment="1" applyProtection="1">
      <alignment horizontal="center" vertical="center"/>
    </xf>
    <xf numFmtId="169" fontId="95" fillId="10" borderId="20" xfId="0" applyNumberFormat="1" applyFont="1" applyFill="1" applyBorder="1" applyAlignment="1" applyProtection="1">
      <alignment horizontal="center" vertical="center"/>
    </xf>
    <xf numFmtId="2" fontId="95" fillId="10" borderId="18" xfId="0" applyNumberFormat="1" applyFont="1" applyFill="1" applyBorder="1" applyAlignment="1" applyProtection="1">
      <alignment horizontal="center" vertical="center"/>
    </xf>
    <xf numFmtId="2" fontId="95" fillId="10" borderId="19" xfId="0" applyNumberFormat="1" applyFont="1" applyFill="1" applyBorder="1" applyAlignment="1" applyProtection="1">
      <alignment horizontal="center" vertical="center"/>
    </xf>
    <xf numFmtId="2" fontId="95" fillId="10" borderId="20" xfId="0" applyNumberFormat="1" applyFont="1" applyFill="1" applyBorder="1" applyAlignment="1" applyProtection="1">
      <alignment horizontal="center" vertical="center"/>
    </xf>
    <xf numFmtId="168" fontId="38" fillId="0" borderId="15" xfId="0" applyNumberFormat="1" applyFont="1" applyBorder="1" applyAlignment="1" applyProtection="1">
      <alignment horizontal="center" vertical="center"/>
    </xf>
    <xf numFmtId="168" fontId="38" fillId="0" borderId="16" xfId="0" applyNumberFormat="1" applyFont="1" applyBorder="1" applyAlignment="1" applyProtection="1">
      <alignment horizontal="center" vertical="center"/>
    </xf>
    <xf numFmtId="168" fontId="38" fillId="0" borderId="17" xfId="0" applyNumberFormat="1" applyFont="1" applyBorder="1" applyAlignment="1" applyProtection="1">
      <alignment horizontal="center" vertical="center"/>
    </xf>
    <xf numFmtId="2" fontId="38" fillId="0" borderId="15" xfId="0" applyNumberFormat="1" applyFont="1" applyBorder="1" applyAlignment="1" applyProtection="1">
      <alignment horizontal="center" vertical="center"/>
    </xf>
    <xf numFmtId="2" fontId="38" fillId="0" borderId="16" xfId="0" applyNumberFormat="1" applyFont="1" applyBorder="1" applyAlignment="1" applyProtection="1">
      <alignment horizontal="center" vertical="center"/>
    </xf>
    <xf numFmtId="2" fontId="38" fillId="0" borderId="17" xfId="0" applyNumberFormat="1" applyFont="1" applyBorder="1" applyAlignment="1" applyProtection="1">
      <alignment horizontal="center" vertical="center"/>
    </xf>
    <xf numFmtId="169" fontId="38" fillId="0" borderId="15" xfId="0" applyNumberFormat="1" applyFont="1" applyBorder="1" applyAlignment="1" applyProtection="1">
      <alignment horizontal="center" vertical="center"/>
    </xf>
    <xf numFmtId="169" fontId="38" fillId="0" borderId="16" xfId="0" applyNumberFormat="1" applyFont="1" applyBorder="1" applyAlignment="1" applyProtection="1">
      <alignment horizontal="center" vertical="center"/>
    </xf>
    <xf numFmtId="169" fontId="38" fillId="0" borderId="17" xfId="0" applyNumberFormat="1" applyFont="1" applyBorder="1" applyAlignment="1" applyProtection="1">
      <alignment horizontal="center" vertical="center"/>
    </xf>
    <xf numFmtId="0" fontId="43" fillId="0" borderId="9" xfId="0" applyFont="1" applyBorder="1" applyAlignment="1" applyProtection="1">
      <alignment horizontal="center" vertical="center"/>
    </xf>
    <xf numFmtId="0" fontId="43" fillId="0" borderId="10" xfId="0" applyFont="1" applyBorder="1" applyAlignment="1" applyProtection="1">
      <alignment horizontal="center" vertical="center"/>
    </xf>
    <xf numFmtId="0" fontId="43" fillId="0" borderId="11" xfId="0" applyFont="1" applyBorder="1" applyAlignment="1" applyProtection="1">
      <alignment horizontal="center" vertical="center"/>
    </xf>
    <xf numFmtId="0" fontId="43" fillId="0" borderId="1" xfId="0" applyFont="1" applyBorder="1" applyAlignment="1" applyProtection="1">
      <alignment horizontal="left" vertical="center" wrapText="1"/>
    </xf>
    <xf numFmtId="0" fontId="43" fillId="0" borderId="2" xfId="0" applyFont="1" applyBorder="1" applyAlignment="1" applyProtection="1">
      <alignment horizontal="left" vertical="center" wrapText="1"/>
    </xf>
    <xf numFmtId="0" fontId="43" fillId="0" borderId="3" xfId="0" applyFont="1" applyBorder="1" applyAlignment="1" applyProtection="1">
      <alignment horizontal="left" vertical="center" wrapText="1"/>
    </xf>
    <xf numFmtId="0" fontId="38" fillId="0" borderId="4" xfId="0" applyFont="1" applyBorder="1" applyAlignment="1" applyProtection="1">
      <alignment horizontal="left" vertical="center" wrapText="1"/>
    </xf>
    <xf numFmtId="0" fontId="38" fillId="0" borderId="5" xfId="0" applyFont="1" applyBorder="1" applyAlignment="1" applyProtection="1">
      <alignment horizontal="left" vertical="center" wrapText="1"/>
    </xf>
    <xf numFmtId="0" fontId="38" fillId="0" borderId="6" xfId="0" applyFont="1" applyBorder="1" applyAlignment="1" applyProtection="1">
      <alignment horizontal="left" vertical="center" wrapText="1"/>
    </xf>
    <xf numFmtId="0" fontId="59" fillId="0" borderId="4" xfId="0" applyFont="1" applyBorder="1" applyAlignment="1" applyProtection="1">
      <alignment horizontal="center" vertical="center"/>
    </xf>
    <xf numFmtId="0" fontId="59" fillId="0" borderId="5" xfId="0" applyFont="1" applyBorder="1" applyAlignment="1" applyProtection="1">
      <alignment horizontal="center" vertical="center"/>
    </xf>
    <xf numFmtId="0" fontId="59" fillId="0" borderId="6" xfId="0" applyFont="1" applyBorder="1" applyAlignment="1" applyProtection="1">
      <alignment horizontal="center" vertical="center"/>
    </xf>
    <xf numFmtId="0" fontId="59" fillId="0" borderId="7" xfId="0" applyFont="1" applyBorder="1" applyAlignment="1" applyProtection="1">
      <alignment horizontal="center" vertical="center"/>
    </xf>
    <xf numFmtId="0" fontId="59" fillId="0" borderId="0" xfId="0" applyFont="1" applyAlignment="1" applyProtection="1">
      <alignment horizontal="center" vertical="center"/>
    </xf>
    <xf numFmtId="0" fontId="59" fillId="0" borderId="8" xfId="0" applyFont="1" applyBorder="1" applyAlignment="1" applyProtection="1">
      <alignment horizontal="center" vertical="center"/>
    </xf>
    <xf numFmtId="0" fontId="59" fillId="0" borderId="9" xfId="0" applyFont="1" applyBorder="1" applyAlignment="1" applyProtection="1">
      <alignment horizontal="center" vertical="center"/>
    </xf>
    <xf numFmtId="0" fontId="59" fillId="0" borderId="10" xfId="0" applyFont="1" applyBorder="1" applyAlignment="1" applyProtection="1">
      <alignment horizontal="center" vertical="center"/>
    </xf>
    <xf numFmtId="0" fontId="59" fillId="0" borderId="11" xfId="0" applyFont="1" applyBorder="1" applyAlignment="1" applyProtection="1">
      <alignment horizontal="center" vertical="center"/>
    </xf>
    <xf numFmtId="0" fontId="43" fillId="0" borderId="4" xfId="0" applyFont="1" applyBorder="1" applyAlignment="1" applyProtection="1">
      <alignment horizontal="left" vertical="center" wrapText="1"/>
    </xf>
    <xf numFmtId="0" fontId="43" fillId="0" borderId="5" xfId="0" applyFont="1" applyBorder="1" applyAlignment="1" applyProtection="1">
      <alignment horizontal="left" vertical="center" wrapText="1"/>
    </xf>
    <xf numFmtId="0" fontId="38" fillId="0" borderId="5" xfId="0" applyFont="1" applyBorder="1" applyAlignment="1" applyProtection="1">
      <alignment horizontal="left" vertical="center"/>
    </xf>
    <xf numFmtId="0" fontId="38" fillId="0" borderId="6" xfId="0" applyFont="1" applyBorder="1" applyAlignment="1" applyProtection="1">
      <alignment horizontal="left" vertical="center"/>
    </xf>
    <xf numFmtId="0" fontId="43" fillId="0" borderId="7" xfId="0" applyFont="1" applyBorder="1" applyAlignment="1" applyProtection="1">
      <alignment horizontal="left" vertical="center" wrapText="1"/>
    </xf>
    <xf numFmtId="0" fontId="43" fillId="0" borderId="0" xfId="0" applyFont="1" applyAlignment="1" applyProtection="1">
      <alignment horizontal="left" vertical="center" wrapText="1"/>
    </xf>
    <xf numFmtId="0" fontId="38" fillId="0" borderId="8" xfId="0" applyFont="1" applyBorder="1" applyAlignment="1" applyProtection="1">
      <alignment horizontal="left" vertical="center"/>
    </xf>
    <xf numFmtId="0" fontId="43" fillId="0" borderId="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38" fillId="0" borderId="10" xfId="0" applyFont="1" applyBorder="1" applyAlignment="1" applyProtection="1">
      <alignment horizontal="right" vertical="center" wrapText="1"/>
    </xf>
    <xf numFmtId="0" fontId="43" fillId="0" borderId="10" xfId="0" applyFont="1" applyBorder="1" applyAlignment="1" applyProtection="1">
      <alignment horizontal="center" vertical="center" wrapText="1"/>
    </xf>
    <xf numFmtId="0" fontId="38" fillId="0" borderId="11" xfId="0" applyFont="1" applyBorder="1" applyAlignment="1" applyProtection="1">
      <alignment horizontal="left" vertical="center"/>
    </xf>
    <xf numFmtId="0" fontId="43" fillId="0" borderId="7" xfId="0" applyFont="1" applyBorder="1" applyAlignment="1" applyProtection="1">
      <alignment horizontal="left" vertical="top" wrapText="1"/>
    </xf>
    <xf numFmtId="0" fontId="43" fillId="0" borderId="0" xfId="0" applyFont="1" applyAlignment="1" applyProtection="1">
      <alignment horizontal="left" vertical="top" wrapText="1"/>
    </xf>
    <xf numFmtId="0" fontId="38" fillId="0" borderId="0" xfId="0" applyFont="1" applyAlignment="1" applyProtection="1">
      <alignment horizontal="left" vertical="top" wrapText="1"/>
    </xf>
    <xf numFmtId="0" fontId="38" fillId="0" borderId="8" xfId="0" applyFont="1" applyBorder="1" applyAlignment="1" applyProtection="1">
      <alignment horizontal="left" vertical="top" wrapText="1"/>
    </xf>
    <xf numFmtId="1" fontId="38" fillId="0" borderId="0" xfId="0" applyNumberFormat="1" applyFont="1" applyAlignment="1" applyProtection="1">
      <alignment vertical="center" wrapText="1"/>
    </xf>
    <xf numFmtId="0" fontId="0" fillId="0" borderId="0" xfId="0" applyAlignment="1" applyProtection="1">
      <alignment vertical="center" wrapText="1"/>
    </xf>
    <xf numFmtId="174" fontId="38" fillId="0" borderId="0" xfId="0" applyNumberFormat="1" applyFont="1" applyAlignment="1" applyProtection="1">
      <alignment vertical="center"/>
    </xf>
    <xf numFmtId="174" fontId="0" fillId="0" borderId="0" xfId="0" applyNumberFormat="1" applyAlignment="1" applyProtection="1">
      <alignment vertical="center"/>
    </xf>
    <xf numFmtId="43" fontId="38" fillId="0" borderId="0" xfId="0" applyNumberFormat="1" applyFont="1" applyAlignment="1" applyProtection="1">
      <alignment vertical="center"/>
    </xf>
    <xf numFmtId="0" fontId="0" fillId="0" borderId="0" xfId="0" applyAlignment="1" applyProtection="1">
      <alignment vertical="center"/>
    </xf>
    <xf numFmtId="0" fontId="38" fillId="0" borderId="5" xfId="0" applyFont="1" applyBorder="1" applyAlignment="1" applyProtection="1">
      <alignment horizontal="right" vertical="center"/>
    </xf>
    <xf numFmtId="0" fontId="0" fillId="0" borderId="5" xfId="0" applyBorder="1" applyAlignment="1" applyProtection="1">
      <alignment horizontal="right" vertical="center"/>
    </xf>
    <xf numFmtId="190" fontId="38" fillId="0" borderId="0" xfId="0" applyNumberFormat="1" applyFont="1" applyAlignment="1" applyProtection="1">
      <alignment horizontal="center" vertical="center"/>
    </xf>
    <xf numFmtId="190" fontId="38" fillId="0" borderId="0" xfId="0" applyNumberFormat="1" applyFont="1" applyAlignment="1" applyProtection="1">
      <alignment horizontal="right" vertical="center"/>
    </xf>
    <xf numFmtId="173" fontId="95" fillId="10" borderId="7" xfId="0" applyNumberFormat="1" applyFont="1" applyFill="1" applyBorder="1" applyAlignment="1" applyProtection="1">
      <alignment horizontal="center" vertical="center"/>
    </xf>
    <xf numFmtId="173" fontId="95" fillId="10" borderId="0" xfId="0" applyNumberFormat="1" applyFont="1" applyFill="1" applyAlignment="1" applyProtection="1">
      <alignment horizontal="center" vertical="center"/>
    </xf>
    <xf numFmtId="173" fontId="95" fillId="10" borderId="20" xfId="0" applyNumberFormat="1" applyFont="1" applyFill="1" applyBorder="1" applyAlignment="1" applyProtection="1">
      <alignment horizontal="center" vertical="center"/>
    </xf>
    <xf numFmtId="173" fontId="95" fillId="10" borderId="15" xfId="0" applyNumberFormat="1" applyFont="1" applyFill="1" applyBorder="1" applyAlignment="1" applyProtection="1">
      <alignment horizontal="center" vertical="center"/>
    </xf>
    <xf numFmtId="173" fontId="95" fillId="10" borderId="16" xfId="0" applyNumberFormat="1" applyFont="1" applyFill="1" applyBorder="1" applyAlignment="1" applyProtection="1">
      <alignment horizontal="center" vertical="center"/>
    </xf>
    <xf numFmtId="169" fontId="38" fillId="0" borderId="21" xfId="0" applyNumberFormat="1" applyFont="1" applyBorder="1" applyAlignment="1" applyProtection="1">
      <alignment horizontal="right" vertical="center"/>
    </xf>
    <xf numFmtId="1" fontId="38" fillId="0" borderId="41" xfId="0" applyNumberFormat="1" applyFont="1" applyBorder="1" applyAlignment="1" applyProtection="1">
      <alignment horizontal="center" vertical="center"/>
    </xf>
    <xf numFmtId="1" fontId="38" fillId="0" borderId="24" xfId="0" applyNumberFormat="1" applyFont="1" applyBorder="1" applyAlignment="1" applyProtection="1">
      <alignment horizontal="center" vertical="center"/>
    </xf>
    <xf numFmtId="1" fontId="38" fillId="0" borderId="42" xfId="0" applyNumberFormat="1" applyFont="1" applyBorder="1" applyAlignment="1" applyProtection="1">
      <alignment horizontal="center" vertical="center"/>
    </xf>
    <xf numFmtId="0" fontId="38" fillId="0" borderId="41" xfId="0" applyFont="1" applyBorder="1" applyAlignment="1" applyProtection="1">
      <alignment horizontal="center" vertical="center"/>
    </xf>
    <xf numFmtId="0" fontId="38" fillId="0" borderId="24" xfId="0" applyFont="1" applyBorder="1" applyAlignment="1" applyProtection="1">
      <alignment horizontal="center" vertical="center"/>
    </xf>
    <xf numFmtId="0" fontId="38" fillId="0" borderId="42" xfId="0" applyFont="1" applyBorder="1" applyAlignment="1" applyProtection="1">
      <alignment horizontal="center" vertical="center"/>
    </xf>
    <xf numFmtId="170" fontId="38" fillId="0" borderId="41" xfId="0" applyNumberFormat="1" applyFont="1" applyBorder="1" applyAlignment="1" applyProtection="1">
      <alignment horizontal="center" vertical="center"/>
    </xf>
    <xf numFmtId="170" fontId="38" fillId="0" borderId="24" xfId="0" applyNumberFormat="1" applyFont="1" applyBorder="1" applyAlignment="1" applyProtection="1">
      <alignment horizontal="center" vertical="center"/>
    </xf>
    <xf numFmtId="170" fontId="38" fillId="0" borderId="42" xfId="0" applyNumberFormat="1" applyFont="1" applyBorder="1" applyAlignment="1" applyProtection="1">
      <alignment horizontal="center" vertical="center"/>
    </xf>
    <xf numFmtId="169" fontId="38" fillId="0" borderId="26" xfId="0" applyNumberFormat="1" applyFont="1" applyBorder="1" applyAlignment="1" applyProtection="1">
      <alignment horizontal="center" vertical="center"/>
    </xf>
    <xf numFmtId="169" fontId="38" fillId="0" borderId="27" xfId="0" applyNumberFormat="1" applyFont="1" applyBorder="1" applyAlignment="1" applyProtection="1">
      <alignment horizontal="center" vertical="center"/>
    </xf>
    <xf numFmtId="169" fontId="38" fillId="0" borderId="28" xfId="0" applyNumberFormat="1" applyFont="1" applyBorder="1" applyAlignment="1" applyProtection="1">
      <alignment horizontal="center" vertical="center"/>
    </xf>
    <xf numFmtId="170" fontId="38" fillId="0" borderId="7" xfId="0" applyNumberFormat="1" applyFont="1" applyBorder="1" applyAlignment="1" applyProtection="1">
      <alignment horizontal="center" vertical="center"/>
    </xf>
    <xf numFmtId="170" fontId="38" fillId="0" borderId="0" xfId="0" applyNumberFormat="1" applyFont="1" applyAlignment="1" applyProtection="1">
      <alignment horizontal="center" vertical="center"/>
    </xf>
    <xf numFmtId="170" fontId="38" fillId="0" borderId="8" xfId="0" applyNumberFormat="1" applyFont="1" applyBorder="1" applyAlignment="1" applyProtection="1">
      <alignment horizontal="center" vertical="center"/>
    </xf>
    <xf numFmtId="0" fontId="38" fillId="0" borderId="4" xfId="0" applyFont="1" applyBorder="1" applyAlignment="1" applyProtection="1">
      <alignment horizontal="center" vertical="center"/>
    </xf>
    <xf numFmtId="0" fontId="38" fillId="0" borderId="5" xfId="0" applyFont="1" applyBorder="1" applyAlignment="1" applyProtection="1">
      <alignment horizontal="center" vertical="center"/>
    </xf>
    <xf numFmtId="0" fontId="38" fillId="0" borderId="6" xfId="0" applyFont="1" applyBorder="1" applyAlignment="1" applyProtection="1">
      <alignment horizontal="center" vertical="center"/>
    </xf>
    <xf numFmtId="168" fontId="38" fillId="0" borderId="41" xfId="0" applyNumberFormat="1" applyFont="1" applyBorder="1" applyAlignment="1" applyProtection="1">
      <alignment horizontal="center" vertical="center"/>
    </xf>
    <xf numFmtId="168" fontId="38" fillId="0" borderId="24" xfId="0" applyNumberFormat="1" applyFont="1" applyBorder="1" applyAlignment="1" applyProtection="1">
      <alignment horizontal="center" vertical="center"/>
    </xf>
    <xf numFmtId="168" fontId="38" fillId="0" borderId="42" xfId="0" applyNumberFormat="1" applyFont="1" applyBorder="1" applyAlignment="1" applyProtection="1">
      <alignment horizontal="center" vertical="center"/>
    </xf>
    <xf numFmtId="2" fontId="38" fillId="0" borderId="41" xfId="0" applyNumberFormat="1" applyFont="1" applyBorder="1" applyAlignment="1" applyProtection="1">
      <alignment horizontal="center" vertical="center"/>
    </xf>
    <xf numFmtId="2" fontId="38" fillId="0" borderId="24" xfId="0" applyNumberFormat="1" applyFont="1" applyBorder="1" applyAlignment="1" applyProtection="1">
      <alignment horizontal="center" vertical="center"/>
    </xf>
    <xf numFmtId="2" fontId="38" fillId="0" borderId="42" xfId="0" applyNumberFormat="1" applyFont="1" applyBorder="1" applyAlignment="1" applyProtection="1">
      <alignment horizontal="center" vertical="center"/>
    </xf>
    <xf numFmtId="169" fontId="38" fillId="0" borderId="41" xfId="0" applyNumberFormat="1" applyFont="1" applyBorder="1" applyAlignment="1" applyProtection="1">
      <alignment horizontal="center" vertical="center"/>
    </xf>
    <xf numFmtId="169" fontId="38" fillId="0" borderId="24" xfId="0" applyNumberFormat="1" applyFont="1" applyBorder="1" applyAlignment="1" applyProtection="1">
      <alignment horizontal="center" vertical="center"/>
    </xf>
    <xf numFmtId="169" fontId="38" fillId="0" borderId="42" xfId="0" applyNumberFormat="1" applyFont="1" applyBorder="1" applyAlignment="1" applyProtection="1">
      <alignment horizontal="center" vertical="center"/>
    </xf>
    <xf numFmtId="1" fontId="48" fillId="0" borderId="0" xfId="0" applyNumberFormat="1" applyFont="1" applyAlignment="1" applyProtection="1">
      <alignment horizontal="center"/>
    </xf>
    <xf numFmtId="0" fontId="48" fillId="0" borderId="0" xfId="0" applyFont="1" applyAlignment="1" applyProtection="1">
      <alignment horizontal="center"/>
    </xf>
    <xf numFmtId="0" fontId="19" fillId="0" borderId="0" xfId="0" quotePrefix="1" applyFont="1" applyAlignment="1" applyProtection="1">
      <alignment horizontal="right" wrapText="1"/>
    </xf>
    <xf numFmtId="2" fontId="38" fillId="0" borderId="27" xfId="0" applyNumberFormat="1" applyFont="1" applyBorder="1" applyAlignment="1" applyProtection="1">
      <alignment horizontal="right" vertical="center"/>
    </xf>
    <xf numFmtId="2" fontId="38" fillId="0" borderId="19" xfId="0" applyNumberFormat="1" applyFont="1" applyBorder="1" applyAlignment="1" applyProtection="1">
      <alignment horizontal="center" vertical="center"/>
    </xf>
    <xf numFmtId="168" fontId="95" fillId="10" borderId="18" xfId="0" applyNumberFormat="1" applyFont="1" applyFill="1" applyBorder="1" applyAlignment="1" applyProtection="1">
      <alignment horizontal="center" vertical="center"/>
    </xf>
    <xf numFmtId="168" fontId="95" fillId="10" borderId="19" xfId="0" applyNumberFormat="1" applyFont="1" applyFill="1" applyBorder="1" applyAlignment="1" applyProtection="1">
      <alignment horizontal="center" vertical="center"/>
    </xf>
    <xf numFmtId="168" fontId="95" fillId="10" borderId="20" xfId="0" applyNumberFormat="1" applyFont="1" applyFill="1" applyBorder="1" applyAlignment="1" applyProtection="1">
      <alignment horizontal="center" vertical="center"/>
    </xf>
    <xf numFmtId="1" fontId="95" fillId="10" borderId="21" xfId="0" applyNumberFormat="1" applyFont="1" applyFill="1" applyBorder="1" applyAlignment="1" applyProtection="1">
      <alignment horizontal="right" vertical="center"/>
    </xf>
    <xf numFmtId="1" fontId="38" fillId="0" borderId="21" xfId="0" applyNumberFormat="1" applyFont="1" applyBorder="1" applyAlignment="1" applyProtection="1">
      <alignment horizontal="right" vertical="center"/>
    </xf>
    <xf numFmtId="0" fontId="38" fillId="0" borderId="7" xfId="0" applyFont="1" applyBorder="1" applyAlignment="1" applyProtection="1">
      <alignment horizontal="left" vertical="center"/>
    </xf>
    <xf numFmtId="169" fontId="38" fillId="0" borderId="1" xfId="0" applyNumberFormat="1" applyFont="1" applyBorder="1" applyAlignment="1" applyProtection="1">
      <alignment horizontal="center" vertical="center"/>
    </xf>
    <xf numFmtId="169" fontId="38" fillId="0" borderId="3" xfId="0" applyNumberFormat="1" applyFont="1" applyBorder="1" applyAlignment="1" applyProtection="1">
      <alignment horizontal="center" vertical="center"/>
    </xf>
    <xf numFmtId="169" fontId="38" fillId="0" borderId="2" xfId="0" applyNumberFormat="1" applyFont="1" applyBorder="1" applyAlignment="1" applyProtection="1">
      <alignment horizontal="center" vertical="center"/>
    </xf>
    <xf numFmtId="0" fontId="38" fillId="0" borderId="25" xfId="0" applyFont="1" applyBorder="1" applyAlignment="1" applyProtection="1">
      <alignment horizontal="center" vertical="center"/>
    </xf>
    <xf numFmtId="0" fontId="38" fillId="0" borderId="7" xfId="0" applyFont="1" applyBorder="1" applyAlignment="1" applyProtection="1">
      <alignment horizontal="left" vertical="center" wrapText="1" indent="1"/>
    </xf>
    <xf numFmtId="0" fontId="38" fillId="0" borderId="0" xfId="0" applyFont="1" applyAlignment="1" applyProtection="1">
      <alignment horizontal="left" vertical="center" wrapText="1" indent="1"/>
    </xf>
    <xf numFmtId="0" fontId="38" fillId="0" borderId="8" xfId="0" applyFont="1" applyBorder="1" applyAlignment="1" applyProtection="1">
      <alignment horizontal="left" vertical="center" wrapText="1" indent="1"/>
    </xf>
    <xf numFmtId="0" fontId="38" fillId="0" borderId="27" xfId="0" applyFont="1" applyBorder="1" applyAlignment="1" applyProtection="1">
      <alignment horizontal="left" vertical="center"/>
    </xf>
    <xf numFmtId="0" fontId="38" fillId="0" borderId="0" xfId="0" applyFont="1" applyAlignment="1" applyProtection="1">
      <alignment horizontal="right" vertical="center"/>
    </xf>
    <xf numFmtId="169" fontId="38" fillId="0" borderId="0" xfId="0" applyNumberFormat="1" applyFont="1" applyAlignment="1" applyProtection="1">
      <alignment vertical="center"/>
    </xf>
    <xf numFmtId="169" fontId="0" fillId="0" borderId="0" xfId="0" applyNumberFormat="1" applyAlignment="1" applyProtection="1">
      <alignment vertical="center"/>
    </xf>
    <xf numFmtId="0" fontId="35" fillId="0" borderId="0" xfId="0" applyFont="1" applyAlignment="1" applyProtection="1">
      <alignment vertical="center" wrapText="1"/>
    </xf>
    <xf numFmtId="199" fontId="38" fillId="0" borderId="0" xfId="0" applyNumberFormat="1" applyFont="1" applyAlignment="1" applyProtection="1">
      <alignment horizontal="right" vertical="center"/>
    </xf>
    <xf numFmtId="2" fontId="38" fillId="14" borderId="18" xfId="0" applyNumberFormat="1" applyFont="1" applyFill="1" applyBorder="1" applyAlignment="1" applyProtection="1">
      <alignment horizontal="center" vertical="center"/>
    </xf>
    <xf numFmtId="2" fontId="38" fillId="14" borderId="19" xfId="0" applyNumberFormat="1" applyFont="1" applyFill="1" applyBorder="1" applyAlignment="1" applyProtection="1">
      <alignment horizontal="center" vertical="center"/>
    </xf>
    <xf numFmtId="2" fontId="38" fillId="14" borderId="20" xfId="0" applyNumberFormat="1" applyFont="1" applyFill="1" applyBorder="1" applyAlignment="1" applyProtection="1">
      <alignment horizontal="center" vertical="center"/>
    </xf>
    <xf numFmtId="170" fontId="38" fillId="14" borderId="18" xfId="0" applyNumberFormat="1" applyFont="1" applyFill="1" applyBorder="1" applyAlignment="1" applyProtection="1">
      <alignment horizontal="center" vertical="center"/>
    </xf>
    <xf numFmtId="170" fontId="38" fillId="14" borderId="19" xfId="0" applyNumberFormat="1" applyFont="1" applyFill="1" applyBorder="1" applyAlignment="1" applyProtection="1">
      <alignment horizontal="center" vertical="center"/>
    </xf>
    <xf numFmtId="170" fontId="38" fillId="14" borderId="20" xfId="0" applyNumberFormat="1" applyFont="1" applyFill="1" applyBorder="1" applyAlignment="1" applyProtection="1">
      <alignment horizontal="center" vertical="center"/>
    </xf>
    <xf numFmtId="2" fontId="38" fillId="14" borderId="7" xfId="0" applyNumberFormat="1" applyFont="1" applyFill="1" applyBorder="1" applyAlignment="1" applyProtection="1">
      <alignment horizontal="center" vertical="center"/>
    </xf>
    <xf numFmtId="2" fontId="38" fillId="14" borderId="0" xfId="0" applyNumberFormat="1" applyFont="1" applyFill="1" applyAlignment="1" applyProtection="1">
      <alignment horizontal="center" vertical="center"/>
    </xf>
    <xf numFmtId="2" fontId="38" fillId="14" borderId="8" xfId="0" applyNumberFormat="1" applyFont="1" applyFill="1" applyBorder="1" applyAlignment="1" applyProtection="1">
      <alignment horizontal="center" vertical="center"/>
    </xf>
    <xf numFmtId="2" fontId="38" fillId="14" borderId="9" xfId="0" applyNumberFormat="1" applyFont="1" applyFill="1" applyBorder="1" applyAlignment="1" applyProtection="1">
      <alignment horizontal="center" vertical="center"/>
    </xf>
    <xf numFmtId="2" fontId="38" fillId="14" borderId="10" xfId="0" applyNumberFormat="1" applyFont="1" applyFill="1" applyBorder="1" applyAlignment="1" applyProtection="1">
      <alignment horizontal="center" vertical="center"/>
    </xf>
    <xf numFmtId="2" fontId="38" fillId="14" borderId="11" xfId="0" applyNumberFormat="1" applyFont="1" applyFill="1" applyBorder="1" applyAlignment="1" applyProtection="1">
      <alignment horizontal="center" vertical="center"/>
    </xf>
    <xf numFmtId="1" fontId="38" fillId="14" borderId="15" xfId="0" applyNumberFormat="1" applyFont="1" applyFill="1" applyBorder="1" applyAlignment="1" applyProtection="1">
      <alignment horizontal="center" vertical="center"/>
    </xf>
    <xf numFmtId="1" fontId="38" fillId="14" borderId="16" xfId="0" applyNumberFormat="1" applyFont="1" applyFill="1" applyBorder="1" applyAlignment="1" applyProtection="1">
      <alignment horizontal="center" vertical="center"/>
    </xf>
    <xf numFmtId="1" fontId="38" fillId="14" borderId="17" xfId="0" applyNumberFormat="1" applyFont="1" applyFill="1" applyBorder="1" applyAlignment="1" applyProtection="1">
      <alignment horizontal="center" vertical="center"/>
    </xf>
    <xf numFmtId="0" fontId="38" fillId="14" borderId="4" xfId="0" applyFont="1" applyFill="1" applyBorder="1" applyAlignment="1" applyProtection="1">
      <alignment horizontal="center" vertical="center"/>
    </xf>
    <xf numFmtId="0" fontId="38" fillId="14" borderId="5" xfId="0" applyFont="1" applyFill="1" applyBorder="1" applyAlignment="1" applyProtection="1">
      <alignment horizontal="center" vertical="center"/>
    </xf>
    <xf numFmtId="0" fontId="38" fillId="14" borderId="6" xfId="0" applyFont="1" applyFill="1" applyBorder="1" applyAlignment="1" applyProtection="1">
      <alignment horizontal="center" vertical="center"/>
    </xf>
    <xf numFmtId="0" fontId="38" fillId="14" borderId="15" xfId="0" applyFont="1" applyFill="1" applyBorder="1" applyAlignment="1" applyProtection="1">
      <alignment horizontal="center" vertical="center"/>
    </xf>
    <xf numFmtId="0" fontId="38" fillId="14" borderId="16" xfId="0" applyFont="1" applyFill="1" applyBorder="1" applyAlignment="1" applyProtection="1">
      <alignment horizontal="center" vertical="center"/>
    </xf>
    <xf numFmtId="0" fontId="38" fillId="14" borderId="17" xfId="0" applyFont="1" applyFill="1" applyBorder="1" applyAlignment="1" applyProtection="1">
      <alignment horizontal="center" vertical="center"/>
    </xf>
    <xf numFmtId="0" fontId="55" fillId="0" borderId="4" xfId="0" applyFont="1" applyBorder="1" applyAlignment="1" applyProtection="1">
      <alignment horizontal="center" vertical="center"/>
    </xf>
    <xf numFmtId="0" fontId="55" fillId="0" borderId="5" xfId="0" applyFont="1" applyBorder="1" applyAlignment="1" applyProtection="1">
      <alignment horizontal="center" vertical="center"/>
    </xf>
    <xf numFmtId="0" fontId="55" fillId="0" borderId="6" xfId="0" applyFont="1" applyBorder="1" applyAlignment="1" applyProtection="1">
      <alignment horizontal="center" vertical="center"/>
    </xf>
    <xf numFmtId="0" fontId="55" fillId="0" borderId="9" xfId="0" applyFont="1" applyBorder="1" applyAlignment="1" applyProtection="1">
      <alignment horizontal="center" vertical="center"/>
    </xf>
    <xf numFmtId="0" fontId="55" fillId="0" borderId="10" xfId="0" applyFont="1" applyBorder="1" applyAlignment="1" applyProtection="1">
      <alignment horizontal="center" vertical="center"/>
    </xf>
    <xf numFmtId="0" fontId="55" fillId="0" borderId="11" xfId="0" applyFont="1" applyBorder="1" applyAlignment="1" applyProtection="1">
      <alignment horizontal="center" vertical="center"/>
    </xf>
    <xf numFmtId="0" fontId="55" fillId="0" borderId="1" xfId="0" applyFont="1" applyBorder="1" applyAlignment="1" applyProtection="1">
      <alignment horizontal="left" vertical="center" wrapText="1"/>
    </xf>
    <xf numFmtId="0" fontId="55" fillId="0" borderId="2" xfId="0" applyFont="1" applyBorder="1" applyAlignment="1" applyProtection="1">
      <alignment horizontal="left" vertical="center" wrapText="1"/>
    </xf>
    <xf numFmtId="0" fontId="55"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0" fontId="29" fillId="0" borderId="5" xfId="0" applyFont="1" applyBorder="1" applyAlignment="1" applyProtection="1">
      <alignment horizontal="left" vertical="center" wrapText="1"/>
    </xf>
    <xf numFmtId="0" fontId="29" fillId="0" borderId="6" xfId="0" applyFont="1" applyBorder="1" applyAlignment="1" applyProtection="1">
      <alignment horizontal="left" vertical="center" wrapText="1"/>
    </xf>
    <xf numFmtId="0" fontId="29" fillId="0" borderId="10" xfId="0" applyFont="1" applyBorder="1" applyAlignment="1" applyProtection="1">
      <alignment horizontal="center" vertical="center"/>
    </xf>
    <xf numFmtId="0" fontId="29" fillId="0" borderId="10" xfId="0" applyFont="1" applyBorder="1" applyAlignment="1" applyProtection="1">
      <alignment horizontal="right" vertical="center" wrapText="1"/>
    </xf>
    <xf numFmtId="0" fontId="55" fillId="0" borderId="10" xfId="0" applyFont="1" applyBorder="1" applyAlignment="1" applyProtection="1">
      <alignment horizontal="center" vertical="center" wrapText="1"/>
    </xf>
    <xf numFmtId="0" fontId="29" fillId="0" borderId="10" xfId="0" applyFont="1" applyBorder="1" applyAlignment="1" applyProtection="1">
      <alignment horizontal="left" vertical="center"/>
    </xf>
    <xf numFmtId="0" fontId="29" fillId="0" borderId="11" xfId="0" applyFont="1" applyBorder="1" applyAlignment="1" applyProtection="1">
      <alignment horizontal="left" vertical="center"/>
    </xf>
    <xf numFmtId="0" fontId="29" fillId="0" borderId="0" xfId="0" applyFont="1" applyAlignment="1" applyProtection="1">
      <alignment horizontal="left" vertical="top" wrapText="1"/>
    </xf>
    <xf numFmtId="0" fontId="29" fillId="0" borderId="8" xfId="0" applyFont="1" applyBorder="1" applyAlignment="1" applyProtection="1">
      <alignment horizontal="left" vertical="top" wrapText="1"/>
    </xf>
    <xf numFmtId="180" fontId="29" fillId="4" borderId="0" xfId="0" applyNumberFormat="1" applyFont="1" applyFill="1" applyAlignment="1" applyProtection="1">
      <alignment horizontal="right" vertical="center"/>
    </xf>
    <xf numFmtId="174" fontId="29" fillId="0" borderId="27" xfId="0" applyNumberFormat="1" applyFont="1" applyBorder="1" applyAlignment="1" applyProtection="1">
      <alignment horizontal="right" vertical="center"/>
    </xf>
    <xf numFmtId="0" fontId="29" fillId="0" borderId="9" xfId="0" applyFont="1" applyBorder="1" applyAlignment="1" applyProtection="1">
      <alignment horizontal="left" vertical="center"/>
    </xf>
    <xf numFmtId="1" fontId="29" fillId="0" borderId="0" xfId="0" applyNumberFormat="1" applyFont="1" applyAlignment="1" applyProtection="1">
      <alignment horizontal="right" vertical="center"/>
    </xf>
    <xf numFmtId="0" fontId="29" fillId="0" borderId="23" xfId="0" applyFont="1" applyBorder="1" applyAlignment="1" applyProtection="1">
      <alignment horizontal="left" vertical="center"/>
    </xf>
    <xf numFmtId="0" fontId="29" fillId="0" borderId="21" xfId="0" applyFont="1" applyBorder="1" applyAlignment="1" applyProtection="1">
      <alignment horizontal="left" vertical="center"/>
    </xf>
    <xf numFmtId="2" fontId="96" fillId="10" borderId="21" xfId="0" applyNumberFormat="1" applyFont="1" applyFill="1" applyBorder="1" applyAlignment="1" applyProtection="1">
      <alignment horizontal="right" vertical="center"/>
    </xf>
    <xf numFmtId="1" fontId="29" fillId="0" borderId="21" xfId="0" applyNumberFormat="1" applyFont="1" applyBorder="1" applyAlignment="1" applyProtection="1">
      <alignment horizontal="right" vertical="center"/>
    </xf>
    <xf numFmtId="2" fontId="29" fillId="0" borderId="21" xfId="0" applyNumberFormat="1" applyFont="1" applyBorder="1" applyAlignment="1" applyProtection="1">
      <alignment horizontal="right" vertical="center"/>
    </xf>
    <xf numFmtId="169" fontId="29" fillId="0" borderId="18" xfId="0" applyNumberFormat="1" applyFont="1" applyBorder="1" applyAlignment="1" applyProtection="1">
      <alignment horizontal="center" vertical="center"/>
    </xf>
    <xf numFmtId="169" fontId="29" fillId="0" borderId="19" xfId="0" applyNumberFormat="1" applyFont="1" applyBorder="1" applyAlignment="1" applyProtection="1">
      <alignment horizontal="center" vertical="center"/>
    </xf>
    <xf numFmtId="169" fontId="29" fillId="0" borderId="20" xfId="0" applyNumberFormat="1" applyFont="1" applyBorder="1" applyAlignment="1" applyProtection="1">
      <alignment horizontal="center" vertical="center"/>
    </xf>
    <xf numFmtId="0" fontId="29" fillId="0" borderId="9" xfId="0" applyFont="1" applyBorder="1" applyAlignment="1" applyProtection="1">
      <alignment horizontal="center" vertical="center"/>
    </xf>
    <xf numFmtId="0" fontId="29" fillId="0" borderId="11" xfId="0" applyFont="1" applyBorder="1" applyAlignment="1" applyProtection="1">
      <alignment horizontal="center" vertical="center"/>
    </xf>
    <xf numFmtId="0" fontId="29" fillId="0" borderId="15" xfId="0" applyFont="1" applyBorder="1" applyAlignment="1" applyProtection="1">
      <alignment horizontal="center" vertical="center"/>
    </xf>
    <xf numFmtId="0" fontId="29" fillId="0" borderId="16" xfId="0" applyFont="1" applyBorder="1" applyAlignment="1" applyProtection="1">
      <alignment horizontal="center" vertical="center"/>
    </xf>
    <xf numFmtId="0" fontId="29" fillId="0" borderId="17" xfId="0" applyFont="1" applyBorder="1" applyAlignment="1" applyProtection="1">
      <alignment horizontal="center" vertical="center"/>
    </xf>
    <xf numFmtId="168" fontId="29" fillId="0" borderId="15" xfId="0" applyNumberFormat="1" applyFont="1" applyBorder="1" applyAlignment="1" applyProtection="1">
      <alignment horizontal="center" vertical="center"/>
    </xf>
    <xf numFmtId="168" fontId="29" fillId="0" borderId="16" xfId="0" applyNumberFormat="1" applyFont="1" applyBorder="1" applyAlignment="1" applyProtection="1">
      <alignment horizontal="center" vertical="center"/>
    </xf>
    <xf numFmtId="168" fontId="29" fillId="0" borderId="17" xfId="0" applyNumberFormat="1" applyFont="1" applyBorder="1" applyAlignment="1" applyProtection="1">
      <alignment horizontal="center" vertical="center"/>
    </xf>
    <xf numFmtId="2" fontId="108" fillId="0" borderId="15" xfId="0" applyNumberFormat="1" applyFont="1" applyBorder="1" applyAlignment="1" applyProtection="1">
      <alignment horizontal="center" vertical="center"/>
    </xf>
    <xf numFmtId="2" fontId="108" fillId="0" borderId="16" xfId="0" applyNumberFormat="1" applyFont="1" applyBorder="1" applyAlignment="1" applyProtection="1">
      <alignment horizontal="center" vertical="center"/>
    </xf>
    <xf numFmtId="2" fontId="108" fillId="0" borderId="17" xfId="0" applyNumberFormat="1" applyFont="1" applyBorder="1" applyAlignment="1" applyProtection="1">
      <alignment horizontal="center" vertical="center"/>
    </xf>
    <xf numFmtId="1" fontId="108" fillId="0" borderId="15" xfId="0" applyNumberFormat="1" applyFont="1" applyBorder="1" applyAlignment="1" applyProtection="1">
      <alignment horizontal="center" vertical="center"/>
    </xf>
    <xf numFmtId="1" fontId="108" fillId="0" borderId="16" xfId="0" applyNumberFormat="1" applyFont="1" applyBorder="1" applyAlignment="1" applyProtection="1">
      <alignment horizontal="center" vertical="center"/>
    </xf>
    <xf numFmtId="1" fontId="108" fillId="0" borderId="17" xfId="0" applyNumberFormat="1" applyFont="1" applyBorder="1" applyAlignment="1" applyProtection="1">
      <alignment horizontal="center" vertical="center"/>
    </xf>
    <xf numFmtId="0" fontId="108" fillId="0" borderId="15" xfId="0" applyFont="1" applyBorder="1" applyAlignment="1" applyProtection="1">
      <alignment horizontal="center" vertical="center"/>
    </xf>
    <xf numFmtId="0" fontId="108" fillId="0" borderId="16" xfId="0" applyFont="1" applyBorder="1" applyAlignment="1" applyProtection="1">
      <alignment horizontal="center" vertical="center"/>
    </xf>
    <xf numFmtId="0" fontId="108" fillId="0" borderId="17" xfId="0" applyFont="1" applyBorder="1" applyAlignment="1" applyProtection="1">
      <alignment horizontal="center" vertical="center"/>
    </xf>
    <xf numFmtId="169" fontId="108" fillId="0" borderId="15" xfId="0" applyNumberFormat="1" applyFont="1" applyBorder="1" applyAlignment="1" applyProtection="1">
      <alignment horizontal="center" vertical="center"/>
    </xf>
    <xf numFmtId="169" fontId="108" fillId="0" borderId="16" xfId="0" applyNumberFormat="1" applyFont="1" applyBorder="1" applyAlignment="1" applyProtection="1">
      <alignment horizontal="center" vertical="center"/>
    </xf>
    <xf numFmtId="169" fontId="108" fillId="0" borderId="17" xfId="0" applyNumberFormat="1" applyFont="1" applyBorder="1" applyAlignment="1" applyProtection="1">
      <alignment horizontal="center" vertical="center"/>
    </xf>
    <xf numFmtId="175" fontId="29" fillId="0" borderId="18" xfId="0" applyNumberFormat="1" applyFont="1" applyBorder="1" applyAlignment="1" applyProtection="1">
      <alignment horizontal="center" vertical="center"/>
    </xf>
    <xf numFmtId="175" fontId="29" fillId="0" borderId="19" xfId="0" applyNumberFormat="1" applyFont="1" applyBorder="1" applyAlignment="1" applyProtection="1">
      <alignment horizontal="center" vertical="center"/>
    </xf>
    <xf numFmtId="175" fontId="29" fillId="0" borderId="20" xfId="0" applyNumberFormat="1" applyFont="1" applyBorder="1" applyAlignment="1" applyProtection="1">
      <alignment horizontal="center" vertical="center"/>
    </xf>
    <xf numFmtId="0" fontId="29" fillId="0" borderId="7" xfId="0" applyFont="1" applyBorder="1" applyAlignment="1" applyProtection="1">
      <alignment horizontal="center" vertical="center"/>
    </xf>
    <xf numFmtId="0" fontId="29" fillId="0" borderId="0" xfId="0" applyFont="1" applyAlignment="1" applyProtection="1">
      <alignment horizontal="center" vertical="center"/>
    </xf>
    <xf numFmtId="0" fontId="29" fillId="0" borderId="8" xfId="0" applyFont="1" applyBorder="1" applyAlignment="1" applyProtection="1">
      <alignment horizontal="center" vertical="center"/>
    </xf>
    <xf numFmtId="168" fontId="29" fillId="0" borderId="7" xfId="0" applyNumberFormat="1" applyFont="1" applyBorder="1" applyAlignment="1" applyProtection="1">
      <alignment horizontal="center" vertical="center"/>
    </xf>
    <xf numFmtId="168" fontId="29" fillId="0" borderId="0" xfId="0" applyNumberFormat="1" applyFont="1" applyAlignment="1" applyProtection="1">
      <alignment horizontal="center" vertical="center"/>
    </xf>
    <xf numFmtId="168" fontId="29" fillId="0" borderId="8" xfId="0" applyNumberFormat="1" applyFont="1" applyBorder="1" applyAlignment="1" applyProtection="1">
      <alignment horizontal="center" vertical="center"/>
    </xf>
    <xf numFmtId="2" fontId="29" fillId="0" borderId="7" xfId="0" applyNumberFormat="1" applyFont="1" applyBorder="1" applyAlignment="1" applyProtection="1">
      <alignment horizontal="center" vertical="center"/>
    </xf>
    <xf numFmtId="2" fontId="29" fillId="0" borderId="0" xfId="0" applyNumberFormat="1" applyFont="1" applyAlignment="1" applyProtection="1">
      <alignment horizontal="center" vertical="center"/>
    </xf>
    <xf numFmtId="2" fontId="29" fillId="0" borderId="8" xfId="0" applyNumberFormat="1" applyFont="1" applyBorder="1" applyAlignment="1" applyProtection="1">
      <alignment horizontal="center" vertical="center"/>
    </xf>
    <xf numFmtId="2" fontId="29" fillId="0" borderId="9" xfId="0" applyNumberFormat="1" applyFont="1" applyBorder="1" applyAlignment="1" applyProtection="1">
      <alignment horizontal="center" vertical="center"/>
    </xf>
    <xf numFmtId="2" fontId="29" fillId="0" borderId="10" xfId="0" applyNumberFormat="1" applyFont="1" applyBorder="1" applyAlignment="1" applyProtection="1">
      <alignment horizontal="center" vertical="center"/>
    </xf>
    <xf numFmtId="2" fontId="29" fillId="0" borderId="11" xfId="0" applyNumberFormat="1" applyFont="1" applyBorder="1" applyAlignment="1" applyProtection="1">
      <alignment horizontal="center" vertical="center"/>
    </xf>
    <xf numFmtId="1" fontId="29" fillId="0" borderId="9" xfId="0" applyNumberFormat="1" applyFont="1" applyBorder="1" applyAlignment="1" applyProtection="1">
      <alignment horizontal="center" vertical="center"/>
    </xf>
    <xf numFmtId="1" fontId="29" fillId="0" borderId="10" xfId="0" applyNumberFormat="1" applyFont="1" applyBorder="1" applyAlignment="1" applyProtection="1">
      <alignment horizontal="center" vertical="center"/>
    </xf>
    <xf numFmtId="1" fontId="29" fillId="0" borderId="11" xfId="0" applyNumberFormat="1" applyFont="1" applyBorder="1" applyAlignment="1" applyProtection="1">
      <alignment horizontal="center" vertical="center"/>
    </xf>
    <xf numFmtId="1" fontId="29" fillId="0" borderId="18" xfId="0" applyNumberFormat="1" applyFont="1" applyBorder="1" applyAlignment="1" applyProtection="1">
      <alignment horizontal="center" vertical="center"/>
    </xf>
    <xf numFmtId="1" fontId="29" fillId="0" borderId="19" xfId="0" applyNumberFormat="1" applyFont="1" applyBorder="1" applyAlignment="1" applyProtection="1">
      <alignment horizontal="center" vertical="center"/>
    </xf>
    <xf numFmtId="1" fontId="29" fillId="0" borderId="20" xfId="0" applyNumberFormat="1" applyFont="1" applyBorder="1" applyAlignment="1" applyProtection="1">
      <alignment horizontal="center" vertical="center"/>
    </xf>
    <xf numFmtId="169" fontId="29" fillId="0" borderId="9" xfId="0" applyNumberFormat="1" applyFont="1" applyBorder="1" applyAlignment="1" applyProtection="1">
      <alignment horizontal="center" vertical="center"/>
    </xf>
    <xf numFmtId="169" fontId="29" fillId="0" borderId="10" xfId="0" applyNumberFormat="1" applyFont="1" applyBorder="1" applyAlignment="1" applyProtection="1">
      <alignment horizontal="center" vertical="center"/>
    </xf>
    <xf numFmtId="169" fontId="29" fillId="0" borderId="11" xfId="0" applyNumberFormat="1" applyFont="1" applyBorder="1" applyAlignment="1" applyProtection="1">
      <alignment horizontal="center" vertical="center"/>
    </xf>
    <xf numFmtId="1" fontId="29" fillId="14" borderId="18" xfId="0" applyNumberFormat="1" applyFont="1" applyFill="1" applyBorder="1" applyAlignment="1" applyProtection="1">
      <alignment horizontal="center" vertical="center"/>
    </xf>
    <xf numFmtId="1" fontId="29" fillId="14" borderId="19" xfId="0" applyNumberFormat="1" applyFont="1" applyFill="1" applyBorder="1" applyAlignment="1" applyProtection="1">
      <alignment horizontal="center" vertical="center"/>
    </xf>
    <xf numFmtId="1" fontId="29" fillId="14" borderId="20" xfId="0" applyNumberFormat="1" applyFont="1" applyFill="1" applyBorder="1" applyAlignment="1" applyProtection="1">
      <alignment horizontal="center" vertical="center"/>
    </xf>
    <xf numFmtId="170" fontId="29" fillId="14" borderId="18" xfId="0" applyNumberFormat="1" applyFont="1" applyFill="1" applyBorder="1" applyAlignment="1" applyProtection="1">
      <alignment horizontal="center" vertical="center"/>
    </xf>
    <xf numFmtId="170" fontId="29" fillId="14" borderId="19" xfId="0" applyNumberFormat="1" applyFont="1" applyFill="1" applyBorder="1" applyAlignment="1" applyProtection="1">
      <alignment horizontal="center" vertical="center"/>
    </xf>
    <xf numFmtId="170" fontId="29" fillId="14" borderId="20" xfId="0" applyNumberFormat="1" applyFont="1" applyFill="1" applyBorder="1" applyAlignment="1" applyProtection="1">
      <alignment horizontal="center" vertical="center"/>
    </xf>
    <xf numFmtId="1" fontId="29" fillId="0" borderId="7" xfId="0" applyNumberFormat="1" applyFont="1" applyBorder="1" applyAlignment="1" applyProtection="1">
      <alignment horizontal="center" vertical="center"/>
    </xf>
    <xf numFmtId="1" fontId="29" fillId="0" borderId="0" xfId="0" applyNumberFormat="1" applyFont="1" applyAlignment="1" applyProtection="1">
      <alignment horizontal="center" vertical="center"/>
    </xf>
    <xf numFmtId="1" fontId="29" fillId="0" borderId="8" xfId="0" applyNumberFormat="1" applyFont="1" applyBorder="1" applyAlignment="1" applyProtection="1">
      <alignment horizontal="center" vertical="center"/>
    </xf>
    <xf numFmtId="170" fontId="29" fillId="0" borderId="9" xfId="0" applyNumberFormat="1" applyFont="1" applyBorder="1" applyAlignment="1" applyProtection="1">
      <alignment horizontal="center" vertical="center"/>
    </xf>
    <xf numFmtId="170" fontId="29" fillId="0" borderId="10" xfId="0" applyNumberFormat="1" applyFont="1" applyBorder="1" applyAlignment="1" applyProtection="1">
      <alignment horizontal="center" vertical="center"/>
    </xf>
    <xf numFmtId="170" fontId="29" fillId="0" borderId="11" xfId="0" applyNumberFormat="1" applyFont="1" applyBorder="1" applyAlignment="1" applyProtection="1">
      <alignment horizontal="center" vertical="center"/>
    </xf>
    <xf numFmtId="1" fontId="29" fillId="14" borderId="7" xfId="0" applyNumberFormat="1" applyFont="1" applyFill="1" applyBorder="1" applyAlignment="1" applyProtection="1">
      <alignment horizontal="center" vertical="center"/>
    </xf>
    <xf numFmtId="1" fontId="29" fillId="14" borderId="0" xfId="0" applyNumberFormat="1" applyFont="1" applyFill="1" applyAlignment="1" applyProtection="1">
      <alignment horizontal="center" vertical="center"/>
    </xf>
    <xf numFmtId="1" fontId="29" fillId="14" borderId="8" xfId="0" applyNumberFormat="1" applyFont="1" applyFill="1" applyBorder="1" applyAlignment="1" applyProtection="1">
      <alignment horizontal="center" vertical="center"/>
    </xf>
    <xf numFmtId="170" fontId="29" fillId="14" borderId="9" xfId="0" applyNumberFormat="1" applyFont="1" applyFill="1" applyBorder="1" applyAlignment="1" applyProtection="1">
      <alignment horizontal="center" vertical="center"/>
    </xf>
    <xf numFmtId="170" fontId="29" fillId="14" borderId="10" xfId="0" applyNumberFormat="1" applyFont="1" applyFill="1" applyBorder="1" applyAlignment="1" applyProtection="1">
      <alignment horizontal="center" vertical="center"/>
    </xf>
    <xf numFmtId="170" fontId="29" fillId="14" borderId="11" xfId="0" applyNumberFormat="1" applyFont="1" applyFill="1" applyBorder="1" applyAlignment="1" applyProtection="1">
      <alignment horizontal="center" vertical="center"/>
    </xf>
    <xf numFmtId="1" fontId="29" fillId="14" borderId="15" xfId="0" applyNumberFormat="1" applyFont="1" applyFill="1" applyBorder="1" applyAlignment="1" applyProtection="1">
      <alignment horizontal="center" vertical="center"/>
    </xf>
    <xf numFmtId="1" fontId="29" fillId="14" borderId="16" xfId="0" applyNumberFormat="1" applyFont="1" applyFill="1" applyBorder="1" applyAlignment="1" applyProtection="1">
      <alignment horizontal="center" vertical="center"/>
    </xf>
    <xf numFmtId="1" fontId="29" fillId="14" borderId="17" xfId="0" applyNumberFormat="1" applyFont="1" applyFill="1" applyBorder="1" applyAlignment="1" applyProtection="1">
      <alignment horizontal="center" vertical="center"/>
    </xf>
    <xf numFmtId="0" fontId="29" fillId="14" borderId="15" xfId="0" applyFont="1" applyFill="1" applyBorder="1" applyAlignment="1" applyProtection="1">
      <alignment horizontal="center" vertical="center"/>
    </xf>
    <xf numFmtId="0" fontId="29" fillId="14" borderId="16" xfId="0" applyFont="1" applyFill="1" applyBorder="1" applyAlignment="1" applyProtection="1">
      <alignment horizontal="center" vertical="center"/>
    </xf>
    <xf numFmtId="0" fontId="29" fillId="14" borderId="17" xfId="0" applyFont="1" applyFill="1" applyBorder="1" applyAlignment="1" applyProtection="1">
      <alignment horizontal="center" vertical="center"/>
    </xf>
    <xf numFmtId="0" fontId="55" fillId="0" borderId="12" xfId="0" applyFont="1" applyBorder="1" applyAlignment="1" applyProtection="1">
      <alignment horizontal="left" vertical="center"/>
    </xf>
    <xf numFmtId="0" fontId="29" fillId="0" borderId="1" xfId="0" applyFont="1" applyBorder="1" applyAlignment="1" applyProtection="1">
      <alignment horizontal="center" vertical="center"/>
    </xf>
    <xf numFmtId="0" fontId="29" fillId="0" borderId="2" xfId="0" applyFont="1" applyBorder="1" applyAlignment="1" applyProtection="1">
      <alignment horizontal="center" vertical="center"/>
    </xf>
    <xf numFmtId="0" fontId="29" fillId="0" borderId="3" xfId="0" applyFont="1" applyBorder="1" applyAlignment="1" applyProtection="1">
      <alignment horizontal="center" vertical="center"/>
    </xf>
    <xf numFmtId="0" fontId="29" fillId="0" borderId="12" xfId="0" applyFont="1" applyBorder="1" applyAlignment="1" applyProtection="1">
      <alignment horizontal="center" vertical="center" wrapText="1"/>
    </xf>
    <xf numFmtId="0" fontId="29" fillId="0" borderId="12" xfId="0" applyFont="1" applyBorder="1" applyAlignment="1" applyProtection="1">
      <alignment horizontal="center" vertical="center"/>
    </xf>
    <xf numFmtId="0" fontId="29" fillId="0" borderId="12" xfId="0" applyFont="1" applyBorder="1" applyAlignment="1" applyProtection="1">
      <alignment horizontal="left" vertical="center"/>
    </xf>
    <xf numFmtId="173" fontId="96" fillId="10" borderId="18" xfId="0" applyNumberFormat="1" applyFont="1" applyFill="1" applyBorder="1" applyAlignment="1" applyProtection="1">
      <alignment horizontal="center" vertical="center"/>
    </xf>
    <xf numFmtId="173" fontId="96" fillId="10" borderId="19" xfId="0" applyNumberFormat="1" applyFont="1" applyFill="1" applyBorder="1" applyAlignment="1" applyProtection="1">
      <alignment horizontal="center" vertical="center"/>
    </xf>
    <xf numFmtId="169" fontId="29" fillId="0" borderId="15" xfId="0" applyNumberFormat="1" applyFont="1" applyBorder="1" applyAlignment="1" applyProtection="1">
      <alignment horizontal="center" vertical="center"/>
    </xf>
    <xf numFmtId="169" fontId="29" fillId="0" borderId="16" xfId="0" applyNumberFormat="1" applyFont="1" applyBorder="1" applyAlignment="1" applyProtection="1">
      <alignment horizontal="center" vertical="center"/>
    </xf>
    <xf numFmtId="169" fontId="29" fillId="0" borderId="17" xfId="0" applyNumberFormat="1" applyFont="1" applyBorder="1" applyAlignment="1" applyProtection="1">
      <alignment horizontal="center" vertical="center"/>
    </xf>
    <xf numFmtId="169" fontId="29" fillId="0" borderId="7" xfId="0" applyNumberFormat="1" applyFont="1" applyBorder="1" applyAlignment="1" applyProtection="1">
      <alignment horizontal="center" vertical="center"/>
    </xf>
    <xf numFmtId="169" fontId="29" fillId="0" borderId="8" xfId="0" applyNumberFormat="1" applyFont="1" applyBorder="1" applyAlignment="1" applyProtection="1">
      <alignment horizontal="center" vertical="center"/>
    </xf>
    <xf numFmtId="169" fontId="29" fillId="0" borderId="0" xfId="0" applyNumberFormat="1" applyFont="1" applyAlignment="1" applyProtection="1">
      <alignment horizontal="center" vertical="center"/>
    </xf>
    <xf numFmtId="169" fontId="29" fillId="0" borderId="1" xfId="0" applyNumberFormat="1" applyFont="1" applyBorder="1" applyAlignment="1" applyProtection="1">
      <alignment horizontal="center" vertical="center"/>
    </xf>
    <xf numFmtId="169" fontId="29" fillId="0" borderId="3" xfId="0" applyNumberFormat="1" applyFont="1" applyBorder="1" applyAlignment="1" applyProtection="1">
      <alignment horizontal="center" vertical="center"/>
    </xf>
    <xf numFmtId="1" fontId="29" fillId="0" borderId="1" xfId="0" applyNumberFormat="1" applyFont="1" applyBorder="1" applyAlignment="1" applyProtection="1">
      <alignment horizontal="center" vertical="center"/>
    </xf>
    <xf numFmtId="1" fontId="29" fillId="0" borderId="3" xfId="0" applyNumberFormat="1" applyFont="1" applyBorder="1" applyAlignment="1" applyProtection="1">
      <alignment horizontal="center" vertical="center"/>
    </xf>
    <xf numFmtId="176" fontId="29" fillId="0" borderId="27" xfId="0" applyNumberFormat="1" applyFont="1" applyBorder="1" applyAlignment="1" applyProtection="1">
      <alignment horizontal="right" vertical="center"/>
    </xf>
    <xf numFmtId="0" fontId="29" fillId="0" borderId="27" xfId="0" applyFont="1" applyBorder="1" applyAlignment="1" applyProtection="1">
      <alignment horizontal="left" vertical="center"/>
    </xf>
    <xf numFmtId="0" fontId="55" fillId="0" borderId="1" xfId="0" applyFont="1" applyBorder="1" applyAlignment="1" applyProtection="1">
      <alignment horizontal="left" vertical="center" indent="1"/>
    </xf>
    <xf numFmtId="0" fontId="55" fillId="0" borderId="2" xfId="0" applyFont="1" applyBorder="1" applyAlignment="1" applyProtection="1">
      <alignment horizontal="left" vertical="center" indent="1"/>
    </xf>
    <xf numFmtId="0" fontId="55" fillId="0" borderId="3" xfId="0" applyFont="1" applyBorder="1" applyAlignment="1" applyProtection="1">
      <alignment horizontal="left" vertical="center" indent="1"/>
    </xf>
    <xf numFmtId="168" fontId="29" fillId="0" borderId="1" xfId="0" applyNumberFormat="1" applyFont="1" applyBorder="1" applyAlignment="1" applyProtection="1">
      <alignment horizontal="center" vertical="center"/>
    </xf>
    <xf numFmtId="168" fontId="29" fillId="0" borderId="2" xfId="0" applyNumberFormat="1" applyFont="1" applyBorder="1" applyAlignment="1" applyProtection="1">
      <alignment horizontal="center" vertical="center"/>
    </xf>
    <xf numFmtId="1" fontId="29" fillId="0" borderId="2" xfId="0" applyNumberFormat="1" applyFont="1" applyBorder="1" applyAlignment="1" applyProtection="1">
      <alignment horizontal="center" vertical="center"/>
    </xf>
    <xf numFmtId="174" fontId="38" fillId="0" borderId="0" xfId="0" applyNumberFormat="1" applyFont="1" applyAlignment="1" applyProtection="1">
      <alignment horizontal="right" vertical="center"/>
    </xf>
    <xf numFmtId="174" fontId="0" fillId="0" borderId="0" xfId="0" applyNumberFormat="1" applyAlignment="1" applyProtection="1">
      <alignment horizontal="right" vertical="center"/>
    </xf>
    <xf numFmtId="0" fontId="29" fillId="0" borderId="16" xfId="0" applyFont="1" applyBorder="1" applyAlignment="1" applyProtection="1">
      <alignment horizontal="right" vertical="center"/>
    </xf>
    <xf numFmtId="0" fontId="29" fillId="0" borderId="5" xfId="0" applyFont="1" applyBorder="1" applyAlignment="1" applyProtection="1">
      <alignment horizontal="right" vertical="center"/>
    </xf>
    <xf numFmtId="168" fontId="0" fillId="0" borderId="0" xfId="0" applyNumberFormat="1" applyAlignment="1" applyProtection="1">
      <alignment horizontal="right" vertical="center"/>
    </xf>
    <xf numFmtId="0" fontId="29" fillId="0" borderId="0" xfId="0" applyFont="1" applyAlignment="1" applyProtection="1">
      <alignment vertical="center" wrapText="1"/>
    </xf>
    <xf numFmtId="176" fontId="29" fillId="0" borderId="0" xfId="0" applyNumberFormat="1" applyFont="1" applyAlignment="1" applyProtection="1">
      <alignment horizontal="right" vertical="center"/>
    </xf>
    <xf numFmtId="168" fontId="108" fillId="0" borderId="15" xfId="0" applyNumberFormat="1" applyFont="1" applyBorder="1" applyAlignment="1" applyProtection="1">
      <alignment horizontal="center" vertical="center"/>
    </xf>
    <xf numFmtId="168" fontId="108" fillId="0" borderId="16" xfId="0" applyNumberFormat="1" applyFont="1" applyBorder="1" applyAlignment="1" applyProtection="1">
      <alignment horizontal="center" vertical="center"/>
    </xf>
    <xf numFmtId="168" fontId="108" fillId="0" borderId="17" xfId="0" applyNumberFormat="1" applyFont="1" applyBorder="1" applyAlignment="1" applyProtection="1">
      <alignment horizontal="center" vertical="center"/>
    </xf>
    <xf numFmtId="176" fontId="29" fillId="0" borderId="0" xfId="0" applyNumberFormat="1" applyFont="1" applyAlignment="1" applyProtection="1">
      <alignment vertical="center"/>
    </xf>
    <xf numFmtId="43" fontId="0" fillId="0" borderId="0" xfId="0" applyNumberFormat="1" applyAlignment="1" applyProtection="1">
      <alignment vertical="center"/>
    </xf>
    <xf numFmtId="43" fontId="29" fillId="0" borderId="0" xfId="0" applyNumberFormat="1" applyFont="1" applyAlignment="1" applyProtection="1">
      <alignment horizontal="right" vertical="center"/>
    </xf>
    <xf numFmtId="196" fontId="38" fillId="0" borderId="0" xfId="0" applyNumberFormat="1" applyFont="1" applyAlignment="1" applyProtection="1">
      <alignment horizontal="right" vertical="center"/>
    </xf>
    <xf numFmtId="196" fontId="0" fillId="0" borderId="0" xfId="0" applyNumberFormat="1" applyAlignment="1" applyProtection="1">
      <alignment horizontal="right" vertical="center"/>
    </xf>
    <xf numFmtId="196" fontId="29" fillId="4" borderId="0" xfId="0" applyNumberFormat="1" applyFont="1" applyFill="1" applyAlignment="1" applyProtection="1">
      <alignment horizontal="right" vertical="center"/>
    </xf>
    <xf numFmtId="204" fontId="29" fillId="0" borderId="27" xfId="0" applyNumberFormat="1" applyFont="1" applyBorder="1" applyAlignment="1" applyProtection="1">
      <alignment horizontal="right" vertical="center"/>
    </xf>
    <xf numFmtId="43" fontId="29" fillId="0" borderId="0" xfId="0" applyNumberFormat="1" applyFont="1" applyAlignment="1" applyProtection="1">
      <alignment horizontal="center" vertical="center"/>
    </xf>
    <xf numFmtId="2" fontId="107" fillId="0" borderId="15" xfId="0" applyNumberFormat="1" applyFont="1" applyBorder="1" applyAlignment="1" applyProtection="1">
      <alignment horizontal="center" vertical="center"/>
    </xf>
    <xf numFmtId="2" fontId="107" fillId="0" borderId="16" xfId="0" applyNumberFormat="1" applyFont="1" applyBorder="1" applyAlignment="1" applyProtection="1">
      <alignment horizontal="center" vertical="center"/>
    </xf>
    <xf numFmtId="2" fontId="107" fillId="0" borderId="17" xfId="0" applyNumberFormat="1" applyFont="1" applyBorder="1" applyAlignment="1" applyProtection="1">
      <alignment horizontal="center" vertical="center"/>
    </xf>
    <xf numFmtId="1" fontId="29" fillId="0" borderId="15" xfId="0" applyNumberFormat="1" applyFont="1" applyBorder="1" applyAlignment="1" applyProtection="1">
      <alignment horizontal="center" vertical="center"/>
    </xf>
    <xf numFmtId="1" fontId="29" fillId="0" borderId="16" xfId="0" applyNumberFormat="1" applyFont="1" applyBorder="1" applyAlignment="1" applyProtection="1">
      <alignment horizontal="center" vertical="center"/>
    </xf>
    <xf numFmtId="1" fontId="29" fillId="0" borderId="17" xfId="0" applyNumberFormat="1" applyFont="1" applyBorder="1" applyAlignment="1" applyProtection="1">
      <alignment horizontal="center" vertical="center"/>
    </xf>
    <xf numFmtId="2" fontId="96" fillId="10" borderId="18" xfId="0" applyNumberFormat="1" applyFont="1" applyFill="1" applyBorder="1" applyAlignment="1" applyProtection="1">
      <alignment horizontal="center" vertical="center"/>
    </xf>
    <xf numFmtId="0" fontId="96" fillId="10" borderId="19" xfId="0" applyFont="1" applyFill="1" applyBorder="1" applyAlignment="1" applyProtection="1">
      <alignment horizontal="center" vertical="center"/>
    </xf>
    <xf numFmtId="0" fontId="96" fillId="10" borderId="20" xfId="0" applyFont="1" applyFill="1" applyBorder="1" applyAlignment="1" applyProtection="1">
      <alignment horizontal="center" vertical="center"/>
    </xf>
    <xf numFmtId="168" fontId="96" fillId="10" borderId="18" xfId="0" applyNumberFormat="1" applyFont="1" applyFill="1" applyBorder="1" applyAlignment="1" applyProtection="1">
      <alignment horizontal="center" vertical="center"/>
    </xf>
    <xf numFmtId="168" fontId="96" fillId="10" borderId="19" xfId="0" applyNumberFormat="1" applyFont="1" applyFill="1" applyBorder="1" applyAlignment="1" applyProtection="1">
      <alignment horizontal="center" vertical="center"/>
    </xf>
    <xf numFmtId="168" fontId="96" fillId="10" borderId="20" xfId="0" applyNumberFormat="1" applyFont="1" applyFill="1" applyBorder="1" applyAlignment="1" applyProtection="1">
      <alignment horizontal="center" vertical="center"/>
    </xf>
    <xf numFmtId="2" fontId="96" fillId="10" borderId="19" xfId="0" applyNumberFormat="1" applyFont="1" applyFill="1" applyBorder="1" applyAlignment="1" applyProtection="1">
      <alignment horizontal="center" vertical="center"/>
    </xf>
    <xf numFmtId="2" fontId="96" fillId="10" borderId="20" xfId="0" applyNumberFormat="1" applyFont="1" applyFill="1" applyBorder="1" applyAlignment="1" applyProtection="1">
      <alignment horizontal="center" vertical="center"/>
    </xf>
    <xf numFmtId="2" fontId="29" fillId="15" borderId="21" xfId="0" applyNumberFormat="1" applyFont="1" applyFill="1" applyBorder="1" applyAlignment="1" applyProtection="1">
      <alignment horizontal="right" vertical="center"/>
    </xf>
    <xf numFmtId="0" fontId="29" fillId="15" borderId="9" xfId="0" applyFont="1" applyFill="1" applyBorder="1" applyAlignment="1" applyProtection="1">
      <alignment horizontal="left" vertical="center"/>
    </xf>
    <xf numFmtId="0" fontId="29" fillId="15" borderId="10" xfId="0" applyFont="1" applyFill="1" applyBorder="1" applyAlignment="1" applyProtection="1">
      <alignment horizontal="left" vertical="center"/>
    </xf>
    <xf numFmtId="1" fontId="29" fillId="15" borderId="10" xfId="0" applyNumberFormat="1" applyFont="1" applyFill="1" applyBorder="1" applyAlignment="1" applyProtection="1">
      <alignment horizontal="right" vertical="center"/>
    </xf>
    <xf numFmtId="0" fontId="29" fillId="15" borderId="23" xfId="0" applyFont="1" applyFill="1" applyBorder="1" applyAlignment="1" applyProtection="1">
      <alignment horizontal="left" vertical="center"/>
    </xf>
    <xf numFmtId="0" fontId="29" fillId="15" borderId="21" xfId="0" applyFont="1" applyFill="1" applyBorder="1" applyAlignment="1" applyProtection="1">
      <alignment horizontal="left" vertical="center"/>
    </xf>
    <xf numFmtId="1" fontId="29" fillId="15" borderId="21" xfId="0" applyNumberFormat="1" applyFont="1" applyFill="1" applyBorder="1" applyAlignment="1" applyProtection="1">
      <alignment horizontal="right" vertical="center"/>
    </xf>
    <xf numFmtId="168" fontId="38" fillId="0" borderId="0" xfId="0" applyNumberFormat="1" applyFont="1" applyAlignment="1" applyProtection="1">
      <alignment vertical="center"/>
    </xf>
    <xf numFmtId="168" fontId="0" fillId="0" borderId="0" xfId="0" applyNumberFormat="1" applyAlignment="1" applyProtection="1">
      <alignment vertical="center"/>
    </xf>
    <xf numFmtId="180" fontId="29" fillId="4" borderId="0" xfId="0" applyNumberFormat="1" applyFont="1" applyFill="1" applyAlignment="1" applyProtection="1">
      <alignment horizontal="center" vertical="center"/>
    </xf>
    <xf numFmtId="204" fontId="29" fillId="0" borderId="0" xfId="0" applyNumberFormat="1" applyFont="1" applyAlignment="1" applyProtection="1">
      <alignment horizontal="right" vertical="center"/>
    </xf>
    <xf numFmtId="1" fontId="96" fillId="10" borderId="21" xfId="0" applyNumberFormat="1" applyFont="1" applyFill="1" applyBorder="1" applyAlignment="1" applyProtection="1">
      <alignment horizontal="right" vertical="center"/>
    </xf>
    <xf numFmtId="173" fontId="96" fillId="10" borderId="15" xfId="0" applyNumberFormat="1" applyFont="1" applyFill="1" applyBorder="1" applyAlignment="1" applyProtection="1">
      <alignment horizontal="center" vertical="center"/>
    </xf>
    <xf numFmtId="173" fontId="96" fillId="10" borderId="17" xfId="0" applyNumberFormat="1" applyFont="1" applyFill="1" applyBorder="1" applyAlignment="1" applyProtection="1">
      <alignment horizontal="center" vertical="center"/>
    </xf>
    <xf numFmtId="173" fontId="96" fillId="10" borderId="20" xfId="0" applyNumberFormat="1" applyFont="1" applyFill="1" applyBorder="1" applyAlignment="1" applyProtection="1">
      <alignment horizontal="center" vertical="center"/>
    </xf>
    <xf numFmtId="173" fontId="96" fillId="10" borderId="41" xfId="0" applyNumberFormat="1" applyFont="1" applyFill="1" applyBorder="1" applyAlignment="1" applyProtection="1">
      <alignment horizontal="center" vertical="center"/>
    </xf>
    <xf numFmtId="173" fontId="96" fillId="10" borderId="42" xfId="0" applyNumberFormat="1" applyFont="1" applyFill="1" applyBorder="1" applyAlignment="1" applyProtection="1">
      <alignment horizontal="center" vertical="center"/>
    </xf>
    <xf numFmtId="0" fontId="29" fillId="0" borderId="0" xfId="0" applyFont="1" applyAlignment="1" applyProtection="1">
      <alignment horizontal="left" vertical="center" indent="1"/>
    </xf>
    <xf numFmtId="2" fontId="38" fillId="0" borderId="0" xfId="0" applyNumberFormat="1" applyFont="1" applyAlignment="1" applyProtection="1">
      <alignment vertical="center"/>
    </xf>
    <xf numFmtId="2" fontId="0" fillId="0" borderId="0" xfId="0" applyNumberFormat="1" applyAlignment="1" applyProtection="1">
      <alignment vertical="center"/>
    </xf>
    <xf numFmtId="204" fontId="29" fillId="0" borderId="0" xfId="0" applyNumberFormat="1" applyFont="1" applyAlignment="1" applyProtection="1">
      <alignment vertical="center"/>
    </xf>
    <xf numFmtId="1" fontId="106" fillId="14" borderId="15" xfId="0" applyNumberFormat="1" applyFont="1" applyFill="1" applyBorder="1" applyAlignment="1" applyProtection="1">
      <alignment horizontal="center" vertical="center"/>
    </xf>
    <xf numFmtId="1" fontId="106" fillId="14" borderId="16" xfId="0" applyNumberFormat="1" applyFont="1" applyFill="1" applyBorder="1" applyAlignment="1" applyProtection="1">
      <alignment horizontal="center" vertical="center"/>
    </xf>
    <xf numFmtId="1" fontId="106" fillId="14" borderId="17" xfId="0" applyNumberFormat="1" applyFont="1" applyFill="1" applyBorder="1" applyAlignment="1" applyProtection="1">
      <alignment horizontal="center" vertical="center"/>
    </xf>
    <xf numFmtId="0" fontId="106" fillId="14" borderId="15" xfId="0" applyFont="1" applyFill="1" applyBorder="1" applyAlignment="1" applyProtection="1">
      <alignment horizontal="center" vertical="center"/>
    </xf>
    <xf numFmtId="0" fontId="106" fillId="14" borderId="16" xfId="0" applyFont="1" applyFill="1" applyBorder="1" applyAlignment="1" applyProtection="1">
      <alignment horizontal="center" vertical="center"/>
    </xf>
    <xf numFmtId="0" fontId="106" fillId="14" borderId="17" xfId="0" applyFont="1" applyFill="1" applyBorder="1" applyAlignment="1" applyProtection="1">
      <alignment horizontal="center" vertical="center"/>
    </xf>
    <xf numFmtId="1" fontId="108" fillId="14" borderId="15" xfId="0" applyNumberFormat="1" applyFont="1" applyFill="1" applyBorder="1" applyAlignment="1" applyProtection="1">
      <alignment horizontal="center" vertical="center"/>
    </xf>
    <xf numFmtId="1" fontId="108" fillId="14" borderId="16" xfId="0" applyNumberFormat="1" applyFont="1" applyFill="1" applyBorder="1" applyAlignment="1" applyProtection="1">
      <alignment horizontal="center" vertical="center"/>
    </xf>
    <xf numFmtId="1" fontId="108" fillId="14" borderId="17" xfId="0" applyNumberFormat="1" applyFont="1" applyFill="1" applyBorder="1" applyAlignment="1" applyProtection="1">
      <alignment horizontal="center" vertical="center"/>
    </xf>
    <xf numFmtId="0" fontId="108" fillId="14" borderId="15" xfId="0" applyFont="1" applyFill="1" applyBorder="1" applyAlignment="1" applyProtection="1">
      <alignment horizontal="center" vertical="center"/>
    </xf>
    <xf numFmtId="0" fontId="108" fillId="14" borderId="16" xfId="0" applyFont="1" applyFill="1" applyBorder="1" applyAlignment="1" applyProtection="1">
      <alignment horizontal="center" vertical="center"/>
    </xf>
    <xf numFmtId="0" fontId="108" fillId="14" borderId="17" xfId="0" applyFont="1" applyFill="1" applyBorder="1" applyAlignment="1" applyProtection="1">
      <alignment horizontal="center" vertical="center"/>
    </xf>
    <xf numFmtId="0" fontId="106" fillId="14" borderId="4" xfId="0" applyFont="1" applyFill="1" applyBorder="1" applyAlignment="1" applyProtection="1">
      <alignment horizontal="center" vertical="center"/>
    </xf>
    <xf numFmtId="0" fontId="106" fillId="14" borderId="5" xfId="0" applyFont="1" applyFill="1" applyBorder="1" applyAlignment="1" applyProtection="1">
      <alignment horizontal="center" vertical="center"/>
    </xf>
    <xf numFmtId="0" fontId="106" fillId="14" borderId="6" xfId="0" applyFont="1" applyFill="1" applyBorder="1" applyAlignment="1" applyProtection="1">
      <alignment horizontal="center" vertical="center"/>
    </xf>
    <xf numFmtId="173" fontId="96" fillId="10" borderId="21" xfId="0" applyNumberFormat="1" applyFont="1" applyFill="1" applyBorder="1" applyAlignment="1" applyProtection="1">
      <alignment horizontal="right" vertical="center"/>
    </xf>
    <xf numFmtId="168" fontId="38" fillId="0" borderId="10" xfId="0" applyNumberFormat="1" applyFont="1" applyBorder="1" applyAlignment="1" applyProtection="1">
      <alignment vertical="center"/>
    </xf>
    <xf numFmtId="168" fontId="0" fillId="0" borderId="10" xfId="0" applyNumberFormat="1" applyBorder="1" applyAlignment="1" applyProtection="1">
      <alignment vertical="center"/>
    </xf>
    <xf numFmtId="180" fontId="29" fillId="4" borderId="10" xfId="0" applyNumberFormat="1" applyFont="1" applyFill="1" applyBorder="1" applyAlignment="1" applyProtection="1">
      <alignment horizontal="center" vertical="center"/>
    </xf>
    <xf numFmtId="169" fontId="24" fillId="0" borderId="0" xfId="0" applyNumberFormat="1" applyFont="1" applyAlignment="1" applyProtection="1">
      <alignment horizontal="left" vertical="center" wrapText="1"/>
    </xf>
    <xf numFmtId="169" fontId="24" fillId="0" borderId="0" xfId="0" applyNumberFormat="1" applyFont="1" applyAlignment="1" applyProtection="1">
      <alignment horizontal="left" vertical="center"/>
    </xf>
    <xf numFmtId="0" fontId="24" fillId="0" borderId="0" xfId="0" applyFont="1" applyAlignment="1" applyProtection="1">
      <alignment vertical="center" wrapText="1"/>
    </xf>
    <xf numFmtId="0" fontId="112" fillId="0" borderId="0" xfId="0" applyFont="1" applyAlignment="1" applyProtection="1">
      <alignment vertical="center" wrapText="1"/>
    </xf>
    <xf numFmtId="209" fontId="29" fillId="0" borderId="18" xfId="0" applyNumberFormat="1" applyFont="1" applyBorder="1" applyAlignment="1" applyProtection="1">
      <alignment horizontal="center" vertical="center"/>
    </xf>
    <xf numFmtId="209" fontId="29" fillId="0" borderId="19" xfId="0" applyNumberFormat="1" applyFont="1" applyBorder="1" applyAlignment="1" applyProtection="1">
      <alignment horizontal="center" vertical="center"/>
    </xf>
    <xf numFmtId="209" fontId="29" fillId="0" borderId="20" xfId="0" applyNumberFormat="1" applyFont="1" applyBorder="1" applyAlignment="1" applyProtection="1">
      <alignment horizontal="center" vertical="center"/>
    </xf>
    <xf numFmtId="199" fontId="29" fillId="0" borderId="18" xfId="0" applyNumberFormat="1" applyFont="1" applyBorder="1" applyAlignment="1" applyProtection="1">
      <alignment horizontal="center" vertical="center"/>
    </xf>
    <xf numFmtId="199" fontId="29" fillId="0" borderId="19" xfId="0" applyNumberFormat="1" applyFont="1" applyBorder="1" applyAlignment="1" applyProtection="1">
      <alignment horizontal="center" vertical="center"/>
    </xf>
    <xf numFmtId="199" fontId="29" fillId="0" borderId="20" xfId="0" applyNumberFormat="1" applyFont="1" applyBorder="1" applyAlignment="1" applyProtection="1">
      <alignment horizontal="center" vertical="center"/>
    </xf>
    <xf numFmtId="200" fontId="29" fillId="0" borderId="18" xfId="0" applyNumberFormat="1" applyFont="1" applyBorder="1" applyAlignment="1" applyProtection="1">
      <alignment horizontal="center" vertical="center"/>
    </xf>
    <xf numFmtId="200" fontId="29" fillId="0" borderId="19" xfId="0" applyNumberFormat="1" applyFont="1" applyBorder="1" applyAlignment="1" applyProtection="1">
      <alignment horizontal="center" vertical="center"/>
    </xf>
    <xf numFmtId="200" fontId="29" fillId="0" borderId="20" xfId="0" applyNumberFormat="1" applyFont="1" applyBorder="1" applyAlignment="1" applyProtection="1">
      <alignment horizontal="center" vertical="center"/>
    </xf>
    <xf numFmtId="0" fontId="55" fillId="0" borderId="21" xfId="0" applyFont="1" applyBorder="1" applyAlignment="1" applyProtection="1">
      <alignment horizontal="center" vertical="center"/>
    </xf>
    <xf numFmtId="177" fontId="29" fillId="4" borderId="27" xfId="0" applyNumberFormat="1" applyFont="1" applyFill="1" applyBorder="1" applyAlignment="1" applyProtection="1">
      <alignment horizontal="right" vertical="center"/>
    </xf>
    <xf numFmtId="174" fontId="29" fillId="0" borderId="27" xfId="0" applyNumberFormat="1" applyFont="1" applyBorder="1" applyAlignment="1" applyProtection="1">
      <alignment vertical="center"/>
    </xf>
    <xf numFmtId="177" fontId="29" fillId="4" borderId="0" xfId="0" applyNumberFormat="1" applyFont="1" applyFill="1" applyAlignment="1" applyProtection="1">
      <alignment horizontal="right" vertical="center"/>
    </xf>
    <xf numFmtId="174" fontId="29" fillId="0" borderId="0" xfId="0" applyNumberFormat="1" applyFont="1" applyAlignment="1" applyProtection="1">
      <alignment vertical="center"/>
    </xf>
    <xf numFmtId="179" fontId="29" fillId="4" borderId="0" xfId="0" applyNumberFormat="1" applyFont="1" applyFill="1" applyAlignment="1" applyProtection="1">
      <alignment horizontal="right" vertical="center"/>
    </xf>
    <xf numFmtId="179" fontId="29" fillId="0" borderId="0" xfId="0" applyNumberFormat="1" applyFont="1" applyAlignment="1" applyProtection="1">
      <alignment vertical="center"/>
    </xf>
    <xf numFmtId="0" fontId="38" fillId="0" borderId="0" xfId="0" applyFont="1" applyAlignment="1" applyProtection="1">
      <alignment horizontal="left" vertical="center" wrapText="1"/>
    </xf>
    <xf numFmtId="0" fontId="0" fillId="0" borderId="0" xfId="0" applyAlignment="1" applyProtection="1">
      <alignment horizontal="left" vertical="center" wrapText="1"/>
    </xf>
    <xf numFmtId="2" fontId="38" fillId="0" borderId="5" xfId="0" applyNumberFormat="1" applyFont="1" applyBorder="1" applyAlignment="1" applyProtection="1">
      <alignment horizontal="right" vertical="center"/>
    </xf>
    <xf numFmtId="169" fontId="19" fillId="0" borderId="0" xfId="0" applyNumberFormat="1" applyFont="1" applyAlignment="1" applyProtection="1">
      <alignment horizontal="right" vertical="center"/>
    </xf>
    <xf numFmtId="1" fontId="19" fillId="0" borderId="0" xfId="0" applyNumberFormat="1" applyFont="1" applyAlignment="1" applyProtection="1">
      <alignment horizontal="right" vertical="center"/>
    </xf>
    <xf numFmtId="0" fontId="19" fillId="0" borderId="0" xfId="0" applyFont="1" applyAlignment="1" applyProtection="1">
      <alignment horizontal="left" vertical="center"/>
    </xf>
    <xf numFmtId="0" fontId="64" fillId="4" borderId="0" xfId="0" applyFont="1" applyFill="1" applyAlignment="1" applyProtection="1">
      <alignment horizontal="right" vertical="center"/>
    </xf>
    <xf numFmtId="0" fontId="38" fillId="0" borderId="0" xfId="0" applyFont="1" applyAlignment="1" applyProtection="1">
      <alignment vertical="top" wrapText="1"/>
    </xf>
    <xf numFmtId="0" fontId="0" fillId="0" borderId="0" xfId="0" applyAlignment="1" applyProtection="1">
      <alignment vertical="top" wrapText="1"/>
    </xf>
    <xf numFmtId="0" fontId="19" fillId="0" borderId="0" xfId="0" applyFont="1" applyAlignment="1" applyProtection="1">
      <alignment vertical="top" wrapText="1"/>
    </xf>
    <xf numFmtId="0" fontId="38" fillId="4" borderId="1" xfId="0" applyFont="1" applyFill="1" applyBorder="1" applyAlignment="1" applyProtection="1">
      <alignment horizontal="left" vertical="center"/>
    </xf>
    <xf numFmtId="0" fontId="38" fillId="4" borderId="2" xfId="0" applyFont="1" applyFill="1" applyBorder="1" applyAlignment="1" applyProtection="1">
      <alignment horizontal="left" vertical="center"/>
    </xf>
    <xf numFmtId="0" fontId="38" fillId="0" borderId="7" xfId="0" applyFont="1" applyBorder="1" applyAlignment="1" applyProtection="1">
      <alignment horizontal="left" vertical="top" wrapText="1"/>
    </xf>
    <xf numFmtId="0" fontId="38" fillId="4" borderId="2" xfId="0" applyFont="1" applyFill="1" applyBorder="1" applyAlignment="1" applyProtection="1">
      <alignment horizontal="right" vertical="center"/>
    </xf>
    <xf numFmtId="0" fontId="38" fillId="4" borderId="3" xfId="0" applyFont="1" applyFill="1" applyBorder="1" applyAlignment="1" applyProtection="1">
      <alignment horizontal="right" vertical="center"/>
    </xf>
    <xf numFmtId="0" fontId="31" fillId="0" borderId="0" xfId="4" applyAlignment="1" applyProtection="1">
      <alignment vertical="top" wrapText="1"/>
    </xf>
    <xf numFmtId="0" fontId="19" fillId="0" borderId="0" xfId="0" applyFont="1" applyAlignment="1" applyProtection="1">
      <alignment vertical="center" wrapText="1"/>
    </xf>
    <xf numFmtId="0" fontId="0" fillId="0" borderId="0" xfId="0" applyAlignment="1" applyProtection="1">
      <alignment wrapText="1"/>
    </xf>
    <xf numFmtId="0" fontId="0" fillId="0" borderId="10" xfId="0" applyBorder="1" applyAlignment="1" applyProtection="1">
      <alignment wrapText="1"/>
    </xf>
    <xf numFmtId="0" fontId="64" fillId="4" borderId="7" xfId="0" applyFont="1" applyFill="1" applyBorder="1" applyAlignment="1" applyProtection="1">
      <alignment horizontal="left" vertical="center"/>
    </xf>
    <xf numFmtId="0" fontId="64" fillId="4" borderId="0" xfId="0" applyFont="1" applyFill="1" applyAlignment="1" applyProtection="1">
      <alignment horizontal="left" vertical="center"/>
    </xf>
    <xf numFmtId="0" fontId="38" fillId="4" borderId="2" xfId="0" applyFont="1" applyFill="1" applyBorder="1" applyAlignment="1" applyProtection="1">
      <alignment horizontal="center" vertical="center"/>
    </xf>
    <xf numFmtId="0" fontId="38" fillId="4" borderId="3" xfId="0" applyFont="1" applyFill="1" applyBorder="1" applyAlignment="1" applyProtection="1">
      <alignment horizontal="center" vertical="center"/>
    </xf>
    <xf numFmtId="0" fontId="43" fillId="4" borderId="1" xfId="0" applyFont="1" applyFill="1" applyBorder="1" applyAlignment="1" applyProtection="1">
      <alignment horizontal="center" vertical="center"/>
    </xf>
    <xf numFmtId="0" fontId="43" fillId="4" borderId="2" xfId="0" applyFont="1" applyFill="1" applyBorder="1" applyAlignment="1" applyProtection="1">
      <alignment horizontal="center" vertical="center"/>
    </xf>
    <xf numFmtId="0" fontId="43" fillId="4" borderId="3" xfId="0" applyFont="1" applyFill="1" applyBorder="1" applyAlignment="1" applyProtection="1">
      <alignment horizontal="center" vertical="center"/>
    </xf>
    <xf numFmtId="0" fontId="43" fillId="0" borderId="1" xfId="0" applyFont="1" applyBorder="1" applyAlignment="1" applyProtection="1">
      <alignment horizontal="center" vertical="center" wrapText="1"/>
    </xf>
    <xf numFmtId="0" fontId="43" fillId="0" borderId="2" xfId="0" applyFont="1" applyBorder="1" applyAlignment="1" applyProtection="1">
      <alignment horizontal="center" vertical="center" wrapText="1"/>
    </xf>
    <xf numFmtId="0" fontId="16" fillId="0" borderId="4" xfId="0" applyFont="1" applyBorder="1" applyAlignment="1" applyProtection="1">
      <alignment horizontal="center" vertical="center"/>
    </xf>
    <xf numFmtId="0" fontId="16" fillId="0" borderId="5" xfId="0" applyFont="1" applyBorder="1" applyAlignment="1" applyProtection="1">
      <alignment horizontal="center" vertical="center"/>
    </xf>
    <xf numFmtId="0" fontId="16" fillId="0" borderId="6" xfId="0" applyFont="1" applyBorder="1" applyAlignment="1" applyProtection="1">
      <alignment horizontal="center" vertical="center"/>
    </xf>
    <xf numFmtId="0" fontId="16" fillId="0" borderId="7" xfId="0" applyFont="1" applyBorder="1" applyAlignment="1" applyProtection="1">
      <alignment horizontal="center" vertical="center"/>
    </xf>
    <xf numFmtId="0" fontId="16" fillId="0" borderId="0" xfId="0" applyFont="1" applyAlignment="1" applyProtection="1">
      <alignment horizontal="center" vertical="center"/>
    </xf>
    <xf numFmtId="0" fontId="16" fillId="0" borderId="8" xfId="0" applyFont="1" applyBorder="1" applyAlignment="1" applyProtection="1">
      <alignment horizontal="center" vertical="center"/>
    </xf>
    <xf numFmtId="0" fontId="16" fillId="0" borderId="9" xfId="0" applyFont="1" applyBorder="1" applyAlignment="1" applyProtection="1">
      <alignment horizontal="center" vertical="center"/>
    </xf>
    <xf numFmtId="0" fontId="16" fillId="0" borderId="10" xfId="0" applyFont="1" applyBorder="1" applyAlignment="1" applyProtection="1">
      <alignment horizontal="center" vertical="center"/>
    </xf>
    <xf numFmtId="0" fontId="16" fillId="0" borderId="11" xfId="0" applyFont="1" applyBorder="1" applyAlignment="1" applyProtection="1">
      <alignment horizontal="center" vertical="center"/>
    </xf>
    <xf numFmtId="0" fontId="19" fillId="0" borderId="0" xfId="0" applyFont="1" applyAlignment="1" applyProtection="1">
      <alignment horizontal="right" vertical="center" wrapText="1"/>
    </xf>
    <xf numFmtId="0" fontId="18" fillId="0" borderId="0" xfId="0" applyFont="1" applyAlignment="1" applyProtection="1">
      <alignment horizontal="center" vertical="center" wrapText="1"/>
    </xf>
    <xf numFmtId="169" fontId="29" fillId="0" borderId="0" xfId="0" applyNumberFormat="1" applyFont="1" applyAlignment="1" applyProtection="1">
      <alignment vertical="center" wrapText="1"/>
    </xf>
    <xf numFmtId="0" fontId="29" fillId="0" borderId="4" xfId="0" applyFont="1" applyBorder="1" applyAlignment="1" applyProtection="1">
      <alignment horizontal="center" vertical="center"/>
    </xf>
    <xf numFmtId="0" fontId="29" fillId="0" borderId="5" xfId="0" applyFont="1" applyBorder="1" applyAlignment="1" applyProtection="1">
      <alignment horizontal="center" vertical="center"/>
    </xf>
    <xf numFmtId="0" fontId="29" fillId="0" borderId="6" xfId="0" applyFont="1" applyBorder="1" applyAlignment="1" applyProtection="1">
      <alignment horizontal="center" vertical="center"/>
    </xf>
    <xf numFmtId="0" fontId="0" fillId="0" borderId="9" xfId="0" applyBorder="1" applyAlignment="1" applyProtection="1">
      <alignment horizontal="center" vertical="center"/>
    </xf>
    <xf numFmtId="0" fontId="0" fillId="0" borderId="10" xfId="0" applyBorder="1" applyAlignment="1" applyProtection="1">
      <alignment horizontal="center" vertical="center"/>
    </xf>
    <xf numFmtId="0" fontId="0" fillId="0" borderId="11" xfId="0" applyBorder="1" applyAlignment="1" applyProtection="1">
      <alignment horizontal="center" vertical="center"/>
    </xf>
    <xf numFmtId="0" fontId="29" fillId="0" borderId="4" xfId="0" applyFont="1" applyBorder="1" applyAlignment="1" applyProtection="1">
      <alignment horizontal="center" vertical="center" wrapText="1"/>
    </xf>
    <xf numFmtId="0" fontId="29" fillId="0" borderId="5" xfId="0" applyFont="1" applyBorder="1" applyAlignment="1" applyProtection="1">
      <alignment horizontal="center" vertical="center" wrapText="1"/>
    </xf>
    <xf numFmtId="0" fontId="0" fillId="0" borderId="5" xfId="0" applyBorder="1" applyAlignment="1" applyProtection="1">
      <alignment horizontal="center" vertical="center"/>
    </xf>
    <xf numFmtId="0" fontId="0" fillId="0" borderId="6" xfId="0" applyBorder="1" applyAlignment="1" applyProtection="1">
      <alignment horizontal="center" vertical="center"/>
    </xf>
    <xf numFmtId="0" fontId="29" fillId="0" borderId="9" xfId="0" applyFont="1" applyBorder="1" applyAlignment="1" applyProtection="1">
      <alignment horizontal="center" vertical="center" wrapText="1"/>
    </xf>
    <xf numFmtId="0" fontId="29" fillId="0" borderId="10" xfId="0" applyFont="1" applyBorder="1" applyAlignment="1" applyProtection="1">
      <alignment horizontal="center" vertical="center" wrapText="1"/>
    </xf>
    <xf numFmtId="0" fontId="0" fillId="0" borderId="2" xfId="0" applyBorder="1" applyAlignment="1" applyProtection="1">
      <alignment horizontal="center" vertical="center"/>
    </xf>
    <xf numFmtId="0" fontId="0" fillId="0" borderId="3" xfId="0" applyBorder="1" applyAlignment="1" applyProtection="1">
      <alignment horizontal="center" vertical="center"/>
    </xf>
    <xf numFmtId="2" fontId="29" fillId="0" borderId="18" xfId="0" applyNumberFormat="1" applyFont="1" applyBorder="1" applyAlignment="1" applyProtection="1">
      <alignment horizontal="center" vertical="center"/>
    </xf>
    <xf numFmtId="2" fontId="29" fillId="0" borderId="20" xfId="0" applyNumberFormat="1" applyFont="1" applyBorder="1" applyAlignment="1" applyProtection="1">
      <alignment horizontal="center" vertical="center"/>
    </xf>
    <xf numFmtId="168" fontId="29" fillId="0" borderId="19" xfId="0" applyNumberFormat="1" applyFont="1" applyBorder="1" applyAlignment="1" applyProtection="1">
      <alignment horizontal="center" vertical="center"/>
    </xf>
    <xf numFmtId="168" fontId="29" fillId="0" borderId="18" xfId="0" applyNumberFormat="1" applyFont="1" applyBorder="1" applyAlignment="1" applyProtection="1">
      <alignment horizontal="center" vertical="center"/>
    </xf>
    <xf numFmtId="173" fontId="29" fillId="0" borderId="18" xfId="0" applyNumberFormat="1" applyFont="1" applyBorder="1" applyAlignment="1" applyProtection="1">
      <alignment horizontal="center" vertical="center"/>
    </xf>
    <xf numFmtId="173" fontId="29" fillId="0" borderId="20" xfId="0" applyNumberFormat="1" applyFont="1" applyBorder="1" applyAlignment="1" applyProtection="1">
      <alignment horizontal="center" vertical="center"/>
    </xf>
    <xf numFmtId="168" fontId="29" fillId="0" borderId="20" xfId="0" applyNumberFormat="1" applyFont="1" applyBorder="1" applyAlignment="1" applyProtection="1">
      <alignment horizontal="center" vertical="center"/>
    </xf>
    <xf numFmtId="2" fontId="29" fillId="0" borderId="19" xfId="0" applyNumberFormat="1" applyFont="1" applyBorder="1" applyAlignment="1" applyProtection="1">
      <alignment horizontal="center" vertical="center"/>
    </xf>
    <xf numFmtId="168" fontId="29" fillId="0" borderId="3" xfId="0" applyNumberFormat="1" applyFont="1" applyBorder="1" applyAlignment="1" applyProtection="1">
      <alignment horizontal="center" vertical="center"/>
    </xf>
    <xf numFmtId="2" fontId="29" fillId="0" borderId="1" xfId="0" applyNumberFormat="1" applyFont="1" applyBorder="1" applyAlignment="1" applyProtection="1">
      <alignment horizontal="center" vertical="center"/>
    </xf>
    <xf numFmtId="2" fontId="29" fillId="0" borderId="3" xfId="0" applyNumberFormat="1" applyFont="1" applyBorder="1" applyAlignment="1" applyProtection="1">
      <alignment horizontal="center" vertical="center"/>
    </xf>
    <xf numFmtId="169" fontId="24" fillId="0" borderId="0" xfId="0" applyNumberFormat="1" applyFont="1" applyAlignment="1" applyProtection="1">
      <alignment vertical="center" wrapText="1"/>
    </xf>
    <xf numFmtId="169" fontId="96" fillId="10" borderId="21" xfId="0" applyNumberFormat="1" applyFont="1" applyFill="1" applyBorder="1" applyAlignment="1" applyProtection="1">
      <alignment horizontal="right" vertical="center"/>
    </xf>
    <xf numFmtId="174" fontId="35" fillId="0" borderId="0" xfId="0" applyNumberFormat="1" applyFont="1" applyAlignment="1" applyProtection="1">
      <alignment vertical="center"/>
    </xf>
    <xf numFmtId="180" fontId="29" fillId="0" borderId="27" xfId="0" applyNumberFormat="1" applyFont="1" applyBorder="1" applyAlignment="1" applyProtection="1">
      <alignment horizontal="right" vertical="center"/>
    </xf>
    <xf numFmtId="0" fontId="29" fillId="0" borderId="27" xfId="0" applyFont="1" applyBorder="1" applyAlignment="1" applyProtection="1">
      <alignment horizontal="right" vertical="center"/>
    </xf>
    <xf numFmtId="203" fontId="29" fillId="0" borderId="27" xfId="0" applyNumberFormat="1" applyFont="1" applyBorder="1" applyAlignment="1" applyProtection="1">
      <alignment horizontal="right" vertical="center"/>
    </xf>
    <xf numFmtId="180" fontId="29" fillId="0" borderId="0" xfId="0" applyNumberFormat="1" applyFont="1" applyAlignment="1" applyProtection="1">
      <alignment horizontal="right" vertical="center"/>
    </xf>
    <xf numFmtId="180" fontId="29" fillId="0" borderId="0" xfId="0" applyNumberFormat="1" applyFont="1" applyAlignment="1" applyProtection="1">
      <alignment vertical="center"/>
    </xf>
    <xf numFmtId="43" fontId="35" fillId="0" borderId="0" xfId="0" applyNumberFormat="1" applyFont="1" applyAlignment="1" applyProtection="1">
      <alignment vertical="center"/>
    </xf>
    <xf numFmtId="169" fontId="35" fillId="0" borderId="0" xfId="0" applyNumberFormat="1" applyFont="1" applyAlignment="1" applyProtection="1">
      <alignment vertical="center"/>
    </xf>
    <xf numFmtId="181" fontId="29" fillId="4" borderId="0" xfId="0" applyNumberFormat="1" applyFont="1" applyFill="1" applyAlignment="1" applyProtection="1">
      <alignment horizontal="center" vertical="center"/>
    </xf>
    <xf numFmtId="180" fontId="29" fillId="0" borderId="0" xfId="0" applyNumberFormat="1" applyFont="1" applyAlignment="1" applyProtection="1">
      <alignment horizontal="center" vertical="center"/>
    </xf>
    <xf numFmtId="2" fontId="29" fillId="0" borderId="15" xfId="0" applyNumberFormat="1" applyFont="1" applyBorder="1" applyAlignment="1" applyProtection="1">
      <alignment horizontal="center" vertical="center"/>
    </xf>
    <xf numFmtId="2" fontId="29" fillId="0" borderId="16" xfId="0" applyNumberFormat="1" applyFont="1" applyBorder="1" applyAlignment="1" applyProtection="1">
      <alignment horizontal="center" vertical="center"/>
    </xf>
    <xf numFmtId="2" fontId="29" fillId="0" borderId="17" xfId="0" applyNumberFormat="1" applyFont="1" applyBorder="1" applyAlignment="1" applyProtection="1">
      <alignment horizontal="center" vertical="center"/>
    </xf>
    <xf numFmtId="170" fontId="29" fillId="0" borderId="18" xfId="0" applyNumberFormat="1" applyFont="1" applyBorder="1" applyAlignment="1" applyProtection="1">
      <alignment horizontal="center" vertical="center"/>
    </xf>
    <xf numFmtId="170" fontId="29" fillId="0" borderId="19" xfId="0" applyNumberFormat="1" applyFont="1" applyBorder="1" applyAlignment="1" applyProtection="1">
      <alignment horizontal="center" vertical="center"/>
    </xf>
    <xf numFmtId="170" fontId="29" fillId="0" borderId="20" xfId="0" applyNumberFormat="1" applyFont="1" applyBorder="1" applyAlignment="1" applyProtection="1">
      <alignment horizontal="center" vertical="center"/>
    </xf>
    <xf numFmtId="0" fontId="29" fillId="0" borderId="18" xfId="0" applyFont="1" applyBorder="1" applyAlignment="1" applyProtection="1">
      <alignment horizontal="center" vertical="center"/>
    </xf>
    <xf numFmtId="0" fontId="29" fillId="0" borderId="19" xfId="0" applyFont="1" applyBorder="1" applyAlignment="1" applyProtection="1">
      <alignment horizontal="center" vertical="center"/>
    </xf>
    <xf numFmtId="0" fontId="29" fillId="0" borderId="20" xfId="0" applyFont="1" applyBorder="1" applyAlignment="1" applyProtection="1">
      <alignment horizontal="center" vertical="center"/>
    </xf>
    <xf numFmtId="0" fontId="29" fillId="0" borderId="7" xfId="0" applyFont="1" applyBorder="1" applyAlignment="1" applyProtection="1">
      <alignment horizontal="left" vertical="center" wrapText="1" indent="1"/>
    </xf>
    <xf numFmtId="0" fontId="0" fillId="0" borderId="0" xfId="0" applyAlignment="1" applyProtection="1">
      <alignment horizontal="left" vertical="center" wrapText="1" indent="1"/>
    </xf>
    <xf numFmtId="0" fontId="0" fillId="0" borderId="7" xfId="0" applyBorder="1" applyAlignment="1" applyProtection="1">
      <alignment horizontal="left" vertical="center" wrapText="1" indent="1"/>
    </xf>
    <xf numFmtId="174" fontId="29" fillId="0" borderId="18" xfId="0" applyNumberFormat="1" applyFont="1" applyBorder="1" applyAlignment="1" applyProtection="1">
      <alignment horizontal="center" vertical="center"/>
    </xf>
    <xf numFmtId="174" fontId="29" fillId="0" borderId="20" xfId="0" applyNumberFormat="1" applyFont="1" applyBorder="1" applyAlignment="1" applyProtection="1">
      <alignment horizontal="center" vertical="center"/>
    </xf>
    <xf numFmtId="1" fontId="24" fillId="0" borderId="18" xfId="0" applyNumberFormat="1" applyFont="1" applyBorder="1" applyAlignment="1" applyProtection="1">
      <alignment horizontal="center" vertical="center"/>
    </xf>
    <xf numFmtId="1" fontId="24" fillId="0" borderId="20" xfId="0" applyNumberFormat="1" applyFont="1" applyBorder="1" applyAlignment="1" applyProtection="1">
      <alignment horizontal="center" vertical="center"/>
    </xf>
    <xf numFmtId="1" fontId="24" fillId="0" borderId="1" xfId="0" applyNumberFormat="1" applyFont="1" applyBorder="1" applyAlignment="1" applyProtection="1">
      <alignment horizontal="center" vertical="center"/>
    </xf>
    <xf numFmtId="1" fontId="24" fillId="0" borderId="3" xfId="0" applyNumberFormat="1" applyFont="1" applyBorder="1" applyAlignment="1" applyProtection="1">
      <alignment horizontal="center" vertical="center"/>
    </xf>
    <xf numFmtId="0" fontId="0" fillId="0" borderId="27" xfId="0" applyBorder="1" applyAlignment="1" applyProtection="1">
      <alignment vertical="center"/>
    </xf>
    <xf numFmtId="168" fontId="29" fillId="0" borderId="27" xfId="0" applyNumberFormat="1" applyFont="1" applyBorder="1" applyAlignment="1" applyProtection="1">
      <alignment horizontal="right" vertical="center"/>
    </xf>
    <xf numFmtId="181" fontId="29" fillId="0" borderId="27" xfId="0" applyNumberFormat="1" applyFont="1" applyBorder="1" applyAlignment="1" applyProtection="1">
      <alignment horizontal="right" vertical="center"/>
    </xf>
    <xf numFmtId="1" fontId="38" fillId="0" borderId="0" xfId="0" applyNumberFormat="1" applyFont="1" applyAlignment="1" applyProtection="1">
      <alignment vertical="center"/>
    </xf>
    <xf numFmtId="1" fontId="0" fillId="0" borderId="0" xfId="0" applyNumberFormat="1" applyAlignment="1" applyProtection="1">
      <alignment vertical="center"/>
    </xf>
    <xf numFmtId="176" fontId="29" fillId="0" borderId="0" xfId="0" applyNumberFormat="1" applyFont="1" applyAlignment="1" applyProtection="1">
      <alignment horizontal="center" vertical="center"/>
    </xf>
    <xf numFmtId="181" fontId="29" fillId="0" borderId="0" xfId="0" applyNumberFormat="1" applyFont="1" applyAlignment="1" applyProtection="1">
      <alignment vertical="center"/>
    </xf>
    <xf numFmtId="0" fontId="38" fillId="16" borderId="15" xfId="0" applyFont="1" applyFill="1" applyBorder="1" applyAlignment="1" applyProtection="1">
      <alignment horizontal="center" vertical="center"/>
    </xf>
    <xf numFmtId="0" fontId="38" fillId="16" borderId="16" xfId="0" applyFont="1" applyFill="1" applyBorder="1" applyAlignment="1" applyProtection="1">
      <alignment horizontal="center" vertical="center"/>
    </xf>
    <xf numFmtId="0" fontId="38" fillId="16" borderId="17" xfId="0" applyFont="1" applyFill="1" applyBorder="1" applyAlignment="1" applyProtection="1">
      <alignment horizontal="center" vertical="center"/>
    </xf>
    <xf numFmtId="1" fontId="29" fillId="16" borderId="15" xfId="0" applyNumberFormat="1" applyFont="1" applyFill="1" applyBorder="1" applyAlignment="1" applyProtection="1">
      <alignment horizontal="center" vertical="center"/>
    </xf>
    <xf numFmtId="1" fontId="29" fillId="16" borderId="16" xfId="0" applyNumberFormat="1" applyFont="1" applyFill="1" applyBorder="1" applyAlignment="1" applyProtection="1">
      <alignment horizontal="center" vertical="center"/>
    </xf>
    <xf numFmtId="1" fontId="29" fillId="16" borderId="17" xfId="0" applyNumberFormat="1" applyFont="1" applyFill="1" applyBorder="1" applyAlignment="1" applyProtection="1">
      <alignment horizontal="center" vertical="center"/>
    </xf>
    <xf numFmtId="0" fontId="29" fillId="16" borderId="15" xfId="0" applyFont="1" applyFill="1" applyBorder="1" applyAlignment="1" applyProtection="1">
      <alignment horizontal="center" vertical="center"/>
    </xf>
    <xf numFmtId="0" fontId="29" fillId="16" borderId="16" xfId="0" applyFont="1" applyFill="1" applyBorder="1" applyAlignment="1" applyProtection="1">
      <alignment horizontal="center" vertical="center"/>
    </xf>
    <xf numFmtId="0" fontId="29" fillId="16" borderId="17" xfId="0" applyFont="1" applyFill="1" applyBorder="1" applyAlignment="1" applyProtection="1">
      <alignment horizontal="center" vertical="center"/>
    </xf>
    <xf numFmtId="1" fontId="38" fillId="16" borderId="15" xfId="0" applyNumberFormat="1" applyFont="1" applyFill="1" applyBorder="1" applyAlignment="1" applyProtection="1">
      <alignment horizontal="center" vertical="center"/>
    </xf>
    <xf numFmtId="1" fontId="38" fillId="16" borderId="16" xfId="0" applyNumberFormat="1" applyFont="1" applyFill="1" applyBorder="1" applyAlignment="1" applyProtection="1">
      <alignment horizontal="center" vertical="center"/>
    </xf>
    <xf numFmtId="1" fontId="38" fillId="16" borderId="17" xfId="0" applyNumberFormat="1" applyFont="1" applyFill="1" applyBorder="1" applyAlignment="1" applyProtection="1">
      <alignment horizontal="center" vertical="center"/>
    </xf>
    <xf numFmtId="0" fontId="38" fillId="16" borderId="4" xfId="0" applyFont="1" applyFill="1" applyBorder="1" applyAlignment="1" applyProtection="1">
      <alignment horizontal="center" vertical="center"/>
    </xf>
    <xf numFmtId="0" fontId="38" fillId="16" borderId="5" xfId="0" applyFont="1" applyFill="1" applyBorder="1" applyAlignment="1" applyProtection="1">
      <alignment horizontal="center" vertical="center"/>
    </xf>
    <xf numFmtId="0" fontId="38" fillId="16" borderId="6" xfId="0" applyFont="1" applyFill="1" applyBorder="1" applyAlignment="1" applyProtection="1">
      <alignment horizontal="center" vertical="center"/>
    </xf>
    <xf numFmtId="1" fontId="29" fillId="16" borderId="18" xfId="0" applyNumberFormat="1" applyFont="1" applyFill="1" applyBorder="1" applyAlignment="1" applyProtection="1">
      <alignment horizontal="center" vertical="center"/>
    </xf>
    <xf numFmtId="1" fontId="29" fillId="16" borderId="19" xfId="0" applyNumberFormat="1" applyFont="1" applyFill="1" applyBorder="1" applyAlignment="1" applyProtection="1">
      <alignment horizontal="center" vertical="center"/>
    </xf>
    <xf numFmtId="1" fontId="29" fillId="16" borderId="20" xfId="0" applyNumberFormat="1" applyFont="1" applyFill="1" applyBorder="1" applyAlignment="1" applyProtection="1">
      <alignment horizontal="center" vertical="center"/>
    </xf>
    <xf numFmtId="170" fontId="29" fillId="16" borderId="18" xfId="0" applyNumberFormat="1" applyFont="1" applyFill="1" applyBorder="1" applyAlignment="1" applyProtection="1">
      <alignment horizontal="center" vertical="center"/>
    </xf>
    <xf numFmtId="170" fontId="29" fillId="16" borderId="19" xfId="0" applyNumberFormat="1" applyFont="1" applyFill="1" applyBorder="1" applyAlignment="1" applyProtection="1">
      <alignment horizontal="center" vertical="center"/>
    </xf>
    <xf numFmtId="170" fontId="29" fillId="16" borderId="20" xfId="0" applyNumberFormat="1" applyFont="1" applyFill="1" applyBorder="1" applyAlignment="1" applyProtection="1">
      <alignment horizontal="center" vertical="center"/>
    </xf>
    <xf numFmtId="1" fontId="29" fillId="16" borderId="7" xfId="0" applyNumberFormat="1" applyFont="1" applyFill="1" applyBorder="1" applyAlignment="1" applyProtection="1">
      <alignment horizontal="center" vertical="center"/>
    </xf>
    <xf numFmtId="1" fontId="29" fillId="16" borderId="0" xfId="0" applyNumberFormat="1" applyFont="1" applyFill="1" applyAlignment="1" applyProtection="1">
      <alignment horizontal="center" vertical="center"/>
    </xf>
    <xf numFmtId="1" fontId="29" fillId="16" borderId="8" xfId="0" applyNumberFormat="1" applyFont="1" applyFill="1" applyBorder="1" applyAlignment="1" applyProtection="1">
      <alignment horizontal="center" vertical="center"/>
    </xf>
    <xf numFmtId="170" fontId="29" fillId="16" borderId="9" xfId="0" applyNumberFormat="1" applyFont="1" applyFill="1" applyBorder="1" applyAlignment="1" applyProtection="1">
      <alignment horizontal="center" vertical="center"/>
    </xf>
    <xf numFmtId="170" fontId="29" fillId="16" borderId="10" xfId="0" applyNumberFormat="1" applyFont="1" applyFill="1" applyBorder="1" applyAlignment="1" applyProtection="1">
      <alignment horizontal="center" vertical="center"/>
    </xf>
    <xf numFmtId="170" fontId="29" fillId="16" borderId="11" xfId="0" applyNumberFormat="1" applyFont="1" applyFill="1" applyBorder="1" applyAlignment="1" applyProtection="1">
      <alignment horizontal="center" vertical="center"/>
    </xf>
    <xf numFmtId="2" fontId="38" fillId="16" borderId="7" xfId="0" applyNumberFormat="1" applyFont="1" applyFill="1" applyBorder="1" applyAlignment="1" applyProtection="1">
      <alignment horizontal="center" vertical="center"/>
    </xf>
    <xf numFmtId="2" fontId="38" fillId="16" borderId="0" xfId="0" applyNumberFormat="1" applyFont="1" applyFill="1" applyAlignment="1" applyProtection="1">
      <alignment horizontal="center" vertical="center"/>
    </xf>
    <xf numFmtId="2" fontId="38" fillId="16" borderId="8" xfId="0" applyNumberFormat="1" applyFont="1" applyFill="1" applyBorder="1" applyAlignment="1" applyProtection="1">
      <alignment horizontal="center" vertical="center"/>
    </xf>
    <xf numFmtId="170" fontId="38" fillId="16" borderId="18" xfId="0" applyNumberFormat="1" applyFont="1" applyFill="1" applyBorder="1" applyAlignment="1" applyProtection="1">
      <alignment horizontal="center" vertical="center"/>
    </xf>
    <xf numFmtId="170" fontId="38" fillId="16" borderId="19" xfId="0" applyNumberFormat="1" applyFont="1" applyFill="1" applyBorder="1" applyAlignment="1" applyProtection="1">
      <alignment horizontal="center" vertical="center"/>
    </xf>
    <xf numFmtId="170" fontId="38" fillId="16" borderId="20" xfId="0" applyNumberFormat="1" applyFont="1" applyFill="1" applyBorder="1" applyAlignment="1" applyProtection="1">
      <alignment horizontal="center" vertical="center"/>
    </xf>
    <xf numFmtId="2" fontId="38" fillId="16" borderId="18" xfId="0" applyNumberFormat="1" applyFont="1" applyFill="1" applyBorder="1" applyAlignment="1" applyProtection="1">
      <alignment horizontal="center" vertical="center"/>
    </xf>
    <xf numFmtId="2" fontId="38" fillId="16" borderId="19" xfId="0" applyNumberFormat="1" applyFont="1" applyFill="1" applyBorder="1" applyAlignment="1" applyProtection="1">
      <alignment horizontal="center" vertical="center"/>
    </xf>
    <xf numFmtId="2" fontId="38" fillId="16" borderId="20" xfId="0" applyNumberFormat="1" applyFont="1" applyFill="1" applyBorder="1" applyAlignment="1" applyProtection="1">
      <alignment horizontal="center" vertical="center"/>
    </xf>
    <xf numFmtId="2" fontId="38" fillId="16" borderId="9" xfId="0" applyNumberFormat="1" applyFont="1" applyFill="1" applyBorder="1" applyAlignment="1" applyProtection="1">
      <alignment horizontal="center" vertical="center"/>
    </xf>
    <xf numFmtId="2" fontId="38" fillId="16" borderId="10" xfId="0" applyNumberFormat="1" applyFont="1" applyFill="1" applyBorder="1" applyAlignment="1" applyProtection="1">
      <alignment horizontal="center" vertical="center"/>
    </xf>
    <xf numFmtId="2" fontId="38" fillId="16" borderId="11" xfId="0" applyNumberFormat="1" applyFont="1" applyFill="1" applyBorder="1" applyAlignment="1" applyProtection="1">
      <alignment horizontal="center" vertical="center"/>
    </xf>
    <xf numFmtId="169" fontId="29" fillId="0" borderId="0" xfId="0" applyNumberFormat="1" applyFont="1" applyAlignment="1" applyProtection="1">
      <alignment horizontal="right" vertical="center"/>
    </xf>
    <xf numFmtId="2" fontId="29" fillId="0" borderId="0" xfId="0" applyNumberFormat="1" applyFont="1" applyAlignment="1" applyProtection="1">
      <alignment horizontal="right" vertical="center"/>
    </xf>
    <xf numFmtId="2" fontId="38" fillId="5" borderId="7" xfId="0" applyNumberFormat="1" applyFont="1" applyFill="1" applyBorder="1" applyAlignment="1" applyProtection="1">
      <alignment horizontal="center" vertical="center"/>
    </xf>
    <xf numFmtId="2" fontId="38" fillId="5" borderId="0" xfId="0" applyNumberFormat="1" applyFont="1" applyFill="1" applyAlignment="1" applyProtection="1">
      <alignment horizontal="center" vertical="center"/>
    </xf>
    <xf numFmtId="2" fontId="38" fillId="5" borderId="8" xfId="0" applyNumberFormat="1" applyFont="1" applyFill="1" applyBorder="1" applyAlignment="1" applyProtection="1">
      <alignment horizontal="center" vertical="center"/>
    </xf>
    <xf numFmtId="2" fontId="38" fillId="5" borderId="9" xfId="0" applyNumberFormat="1" applyFont="1" applyFill="1" applyBorder="1" applyAlignment="1" applyProtection="1">
      <alignment horizontal="center" vertical="center"/>
    </xf>
    <xf numFmtId="2" fontId="38" fillId="5" borderId="10" xfId="0" applyNumberFormat="1" applyFont="1" applyFill="1" applyBorder="1" applyAlignment="1" applyProtection="1">
      <alignment horizontal="center" vertical="center"/>
    </xf>
    <xf numFmtId="2" fontId="38" fillId="5" borderId="11" xfId="0" applyNumberFormat="1" applyFont="1" applyFill="1" applyBorder="1" applyAlignment="1" applyProtection="1">
      <alignment horizontal="center" vertical="center"/>
    </xf>
    <xf numFmtId="175" fontId="38" fillId="0" borderId="18" xfId="0" applyNumberFormat="1" applyFont="1" applyBorder="1" applyAlignment="1" applyProtection="1">
      <alignment horizontal="center" vertical="center"/>
    </xf>
    <xf numFmtId="175" fontId="38" fillId="0" borderId="19" xfId="0" applyNumberFormat="1" applyFont="1" applyBorder="1" applyAlignment="1" applyProtection="1">
      <alignment horizontal="center" vertical="center"/>
    </xf>
    <xf numFmtId="175" fontId="38" fillId="0" borderId="20" xfId="0" applyNumberFormat="1" applyFont="1" applyBorder="1" applyAlignment="1" applyProtection="1">
      <alignment horizontal="center" vertical="center"/>
    </xf>
    <xf numFmtId="175" fontId="38" fillId="0" borderId="7" xfId="0" applyNumberFormat="1" applyFont="1" applyBorder="1" applyAlignment="1" applyProtection="1">
      <alignment horizontal="center" vertical="center"/>
    </xf>
    <xf numFmtId="175" fontId="38" fillId="0" borderId="0" xfId="0" applyNumberFormat="1" applyFont="1" applyAlignment="1" applyProtection="1">
      <alignment horizontal="center" vertical="center"/>
    </xf>
    <xf numFmtId="175" fontId="38" fillId="0" borderId="8" xfId="0" applyNumberFormat="1" applyFont="1" applyBorder="1" applyAlignment="1" applyProtection="1">
      <alignment horizontal="center" vertical="center"/>
    </xf>
    <xf numFmtId="0" fontId="38" fillId="0" borderId="7" xfId="0" applyFont="1" applyBorder="1" applyAlignment="1" applyProtection="1">
      <alignment horizontal="left" vertical="center" wrapText="1" indent="2"/>
    </xf>
    <xf numFmtId="0" fontId="38" fillId="0" borderId="0" xfId="0" applyFont="1" applyAlignment="1" applyProtection="1">
      <alignment horizontal="left" vertical="center" wrapText="1" indent="2"/>
    </xf>
    <xf numFmtId="0" fontId="38" fillId="0" borderId="8" xfId="0" applyFont="1" applyBorder="1" applyAlignment="1" applyProtection="1">
      <alignment horizontal="left" vertical="center" wrapText="1" indent="2"/>
    </xf>
    <xf numFmtId="175" fontId="38" fillId="0" borderId="27" xfId="0" applyNumberFormat="1" applyFont="1" applyBorder="1" applyAlignment="1" applyProtection="1">
      <alignment horizontal="right" vertical="center"/>
    </xf>
    <xf numFmtId="168" fontId="38" fillId="0" borderId="27" xfId="0" applyNumberFormat="1" applyFont="1" applyBorder="1" applyAlignment="1" applyProtection="1">
      <alignment horizontal="right" vertical="center"/>
    </xf>
    <xf numFmtId="177" fontId="38" fillId="0" borderId="0" xfId="0" applyNumberFormat="1" applyFont="1" applyAlignment="1" applyProtection="1">
      <alignment horizontal="center" vertical="center"/>
    </xf>
    <xf numFmtId="211" fontId="38" fillId="0" borderId="0" xfId="0" applyNumberFormat="1" applyFont="1" applyAlignment="1" applyProtection="1">
      <alignment horizontal="right" vertical="center"/>
    </xf>
    <xf numFmtId="173" fontId="38" fillId="0" borderId="0" xfId="0" applyNumberFormat="1" applyFont="1" applyAlignment="1" applyProtection="1">
      <alignment horizontal="right" vertical="center"/>
    </xf>
    <xf numFmtId="0" fontId="0" fillId="0" borderId="0" xfId="0" applyAlignment="1" applyProtection="1">
      <alignment horizontal="left" vertical="center" wrapText="1" indent="2"/>
    </xf>
    <xf numFmtId="0" fontId="0" fillId="0" borderId="7" xfId="0" applyBorder="1" applyAlignment="1" applyProtection="1">
      <alignment horizontal="left" vertical="center" wrapText="1" indent="2"/>
    </xf>
    <xf numFmtId="169" fontId="38" fillId="0" borderId="7" xfId="0" applyNumberFormat="1" applyFont="1" applyBorder="1" applyAlignment="1" applyProtection="1">
      <alignment horizontal="left" vertical="center" indent="1"/>
    </xf>
    <xf numFmtId="169" fontId="38" fillId="0" borderId="0" xfId="0" applyNumberFormat="1" applyFont="1" applyAlignment="1" applyProtection="1">
      <alignment horizontal="left" vertical="center" indent="1"/>
    </xf>
    <xf numFmtId="0" fontId="0" fillId="0" borderId="0" xfId="0" applyAlignment="1" applyProtection="1">
      <alignment horizontal="left" vertical="center" indent="1"/>
    </xf>
    <xf numFmtId="2" fontId="95" fillId="10" borderId="21" xfId="0" applyNumberFormat="1" applyFont="1" applyFill="1" applyBorder="1" applyAlignment="1" applyProtection="1">
      <alignment horizontal="right" vertical="center"/>
    </xf>
    <xf numFmtId="175" fontId="29" fillId="0" borderId="27" xfId="0" applyNumberFormat="1" applyFont="1" applyBorder="1" applyAlignment="1" applyProtection="1">
      <alignment horizontal="right" vertical="center"/>
    </xf>
    <xf numFmtId="199" fontId="29" fillId="0" borderId="27" xfId="0" applyNumberFormat="1" applyFont="1" applyBorder="1" applyAlignment="1" applyProtection="1">
      <alignment horizontal="right" vertical="center"/>
    </xf>
    <xf numFmtId="200" fontId="29" fillId="0" borderId="27" xfId="0" applyNumberFormat="1" applyFont="1" applyBorder="1" applyAlignment="1" applyProtection="1">
      <alignment horizontal="right" vertical="center"/>
    </xf>
    <xf numFmtId="0" fontId="0" fillId="0" borderId="0" xfId="0" applyAlignment="1" applyProtection="1">
      <alignment horizontal="center" vertical="center"/>
    </xf>
    <xf numFmtId="0" fontId="55" fillId="12" borderId="4" xfId="0" applyFont="1" applyFill="1" applyBorder="1" applyAlignment="1" applyProtection="1">
      <alignment horizontal="center" vertical="center"/>
    </xf>
    <xf numFmtId="0" fontId="55" fillId="12" borderId="5" xfId="0" applyFont="1" applyFill="1" applyBorder="1" applyAlignment="1" applyProtection="1">
      <alignment horizontal="center" vertical="center"/>
    </xf>
    <xf numFmtId="0" fontId="55" fillId="12" borderId="6" xfId="0" applyFont="1" applyFill="1" applyBorder="1" applyAlignment="1" applyProtection="1">
      <alignment horizontal="center" vertical="center"/>
    </xf>
    <xf numFmtId="0" fontId="55" fillId="12" borderId="9" xfId="0" applyFont="1" applyFill="1" applyBorder="1" applyAlignment="1" applyProtection="1">
      <alignment horizontal="center" vertical="center"/>
    </xf>
    <xf numFmtId="0" fontId="55" fillId="12" borderId="10" xfId="0" applyFont="1" applyFill="1" applyBorder="1" applyAlignment="1" applyProtection="1">
      <alignment horizontal="center" vertical="center"/>
    </xf>
    <xf numFmtId="0" fontId="55" fillId="12" borderId="11" xfId="0" applyFont="1" applyFill="1" applyBorder="1" applyAlignment="1" applyProtection="1">
      <alignment horizontal="center" vertical="center"/>
    </xf>
    <xf numFmtId="2" fontId="38" fillId="0" borderId="0" xfId="0" applyNumberFormat="1" applyFont="1" applyAlignment="1" applyProtection="1">
      <alignment horizontal="right" vertical="center"/>
    </xf>
    <xf numFmtId="208" fontId="38" fillId="0" borderId="0" xfId="0" applyNumberFormat="1" applyFont="1" applyAlignment="1" applyProtection="1">
      <alignment horizontal="right" vertical="center"/>
    </xf>
    <xf numFmtId="0" fontId="113" fillId="0" borderId="0" xfId="0" applyFont="1" applyAlignment="1" applyProtection="1">
      <alignment horizontal="left" vertical="center" wrapText="1"/>
    </xf>
    <xf numFmtId="0" fontId="63" fillId="0" borderId="0" xfId="0" applyFont="1" applyAlignment="1" applyProtection="1">
      <alignment vertical="center" wrapText="1"/>
    </xf>
    <xf numFmtId="0" fontId="38" fillId="0" borderId="8" xfId="0" applyFont="1" applyBorder="1" applyAlignment="1" applyProtection="1">
      <alignment horizontal="left" vertical="center" wrapText="1"/>
    </xf>
    <xf numFmtId="173" fontId="95" fillId="10" borderId="21" xfId="0" applyNumberFormat="1" applyFont="1" applyFill="1" applyBorder="1" applyAlignment="1" applyProtection="1">
      <alignment horizontal="right" vertical="center"/>
    </xf>
    <xf numFmtId="168" fontId="38" fillId="11" borderId="21" xfId="0" applyNumberFormat="1" applyFont="1" applyFill="1" applyBorder="1" applyAlignment="1" applyProtection="1">
      <alignment horizontal="right" vertical="center"/>
    </xf>
    <xf numFmtId="0" fontId="38" fillId="0" borderId="0" xfId="0" applyFont="1" applyAlignment="1" applyProtection="1">
      <alignment vertical="center" wrapText="1"/>
    </xf>
    <xf numFmtId="0" fontId="38" fillId="12" borderId="2" xfId="0" applyFont="1" applyFill="1" applyBorder="1" applyAlignment="1" applyProtection="1">
      <alignment horizontal="right" vertical="center"/>
    </xf>
    <xf numFmtId="0" fontId="38" fillId="12" borderId="3" xfId="0" applyFont="1" applyFill="1" applyBorder="1" applyAlignment="1" applyProtection="1">
      <alignment horizontal="right" vertical="center"/>
    </xf>
    <xf numFmtId="0" fontId="43" fillId="4" borderId="1" xfId="0" applyFont="1" applyFill="1" applyBorder="1" applyAlignment="1" applyProtection="1">
      <alignment horizontal="left" vertical="center"/>
    </xf>
    <xf numFmtId="0" fontId="0" fillId="0" borderId="2" xfId="0" applyBorder="1" applyAlignment="1" applyProtection="1">
      <alignment horizontal="left" vertical="center"/>
    </xf>
    <xf numFmtId="0" fontId="0" fillId="0" borderId="2" xfId="0" applyBorder="1" applyAlignment="1" applyProtection="1">
      <alignment horizontal="right" vertical="center"/>
    </xf>
    <xf numFmtId="0" fontId="0" fillId="0" borderId="3" xfId="0" applyBorder="1" applyAlignment="1" applyProtection="1">
      <alignment horizontal="right" vertical="center"/>
    </xf>
    <xf numFmtId="0" fontId="38" fillId="4" borderId="1" xfId="0" applyFont="1" applyFill="1" applyBorder="1" applyAlignment="1" applyProtection="1">
      <alignment horizontal="right" vertical="center"/>
    </xf>
    <xf numFmtId="2" fontId="15" fillId="0" borderId="1" xfId="0" applyNumberFormat="1" applyFont="1" applyBorder="1" applyAlignment="1" applyProtection="1">
      <alignment horizontal="center"/>
    </xf>
    <xf numFmtId="2" fontId="15" fillId="0" borderId="3" xfId="0" applyNumberFormat="1" applyFont="1" applyBorder="1" applyAlignment="1" applyProtection="1">
      <alignment horizontal="center"/>
    </xf>
    <xf numFmtId="168" fontId="15" fillId="0" borderId="4" xfId="113" applyNumberFormat="1" applyFont="1" applyBorder="1" applyAlignment="1" applyProtection="1">
      <alignment horizontal="center"/>
    </xf>
    <xf numFmtId="168" fontId="15" fillId="0" borderId="6" xfId="113" applyNumberFormat="1" applyFont="1" applyBorder="1" applyAlignment="1" applyProtection="1">
      <alignment horizontal="center"/>
    </xf>
    <xf numFmtId="168" fontId="15" fillId="0" borderId="1" xfId="0" applyNumberFormat="1" applyFont="1" applyBorder="1" applyAlignment="1" applyProtection="1">
      <alignment horizontal="center"/>
    </xf>
    <xf numFmtId="168" fontId="15" fillId="0" borderId="3" xfId="0" applyNumberFormat="1" applyFont="1" applyBorder="1" applyAlignment="1" applyProtection="1">
      <alignment horizontal="center"/>
    </xf>
    <xf numFmtId="2" fontId="15" fillId="0" borderId="4" xfId="113" applyNumberFormat="1" applyFont="1" applyBorder="1" applyAlignment="1" applyProtection="1">
      <alignment horizontal="center"/>
    </xf>
    <xf numFmtId="2" fontId="15" fillId="0" borderId="6" xfId="113" applyNumberFormat="1" applyFont="1" applyBorder="1" applyAlignment="1" applyProtection="1">
      <alignment horizontal="center"/>
    </xf>
    <xf numFmtId="0" fontId="13" fillId="0" borderId="0" xfId="0" applyFont="1" applyAlignment="1" applyProtection="1">
      <alignment horizontal="center" vertical="center"/>
    </xf>
    <xf numFmtId="0" fontId="13" fillId="0" borderId="0" xfId="0" applyFont="1" applyAlignment="1" applyProtection="1">
      <alignment horizontal="center" vertical="center" wrapText="1"/>
    </xf>
    <xf numFmtId="0" fontId="13" fillId="0" borderId="10" xfId="0" applyFont="1" applyBorder="1" applyAlignment="1" applyProtection="1">
      <alignment horizontal="center" vertical="center" wrapText="1"/>
    </xf>
    <xf numFmtId="0" fontId="0" fillId="0" borderId="10" xfId="0" applyBorder="1" applyAlignment="1" applyProtection="1">
      <alignment horizontal="left" vertical="center" wrapText="1"/>
    </xf>
    <xf numFmtId="0" fontId="0" fillId="0" borderId="10" xfId="0" applyBorder="1" applyAlignment="1" applyProtection="1">
      <alignment vertical="center"/>
    </xf>
  </cellXfs>
  <cellStyles count="2899">
    <cellStyle name="Background" xfId="2595" xr:uid="{00000000-0005-0000-0000-000000000000}"/>
    <cellStyle name="Comma" xfId="2896" builtinId="3"/>
    <cellStyle name="Comma  - Style1" xfId="116" xr:uid="{00000000-0005-0000-0000-000001000000}"/>
    <cellStyle name="Comma  - Style2" xfId="117" xr:uid="{00000000-0005-0000-0000-000002000000}"/>
    <cellStyle name="Comma  - Style3" xfId="118" xr:uid="{00000000-0005-0000-0000-000003000000}"/>
    <cellStyle name="Comma  - Style4" xfId="119" xr:uid="{00000000-0005-0000-0000-000004000000}"/>
    <cellStyle name="Comma  - Style5" xfId="120" xr:uid="{00000000-0005-0000-0000-000005000000}"/>
    <cellStyle name="Comma  - Style6" xfId="121" xr:uid="{00000000-0005-0000-0000-000006000000}"/>
    <cellStyle name="Comma  - Style7" xfId="122" xr:uid="{00000000-0005-0000-0000-000007000000}"/>
    <cellStyle name="Comma  - Style8" xfId="123" xr:uid="{00000000-0005-0000-0000-000008000000}"/>
    <cellStyle name="Comma 2" xfId="10" xr:uid="{00000000-0005-0000-0000-000009000000}"/>
    <cellStyle name="Comma 2 2" xfId="14" xr:uid="{00000000-0005-0000-0000-00000A000000}"/>
    <cellStyle name="Comma 2 2 2" xfId="35" xr:uid="{00000000-0005-0000-0000-00000B000000}"/>
    <cellStyle name="Comma 2 2 2 2" xfId="74" xr:uid="{00000000-0005-0000-0000-00000C000000}"/>
    <cellStyle name="Comma 2 2 2 2 2" xfId="2798" xr:uid="{00000000-0005-0000-0000-00000D000000}"/>
    <cellStyle name="Comma 2 2 2 2 3" xfId="2894" xr:uid="{00000000-0005-0000-0000-00000E000000}"/>
    <cellStyle name="Comma 2 2 2 3" xfId="99" xr:uid="{00000000-0005-0000-0000-00000F000000}"/>
    <cellStyle name="Comma 2 2 2 3 2" xfId="2762" xr:uid="{00000000-0005-0000-0000-000010000000}"/>
    <cellStyle name="Comma 2 2 2 3 3" xfId="2858" xr:uid="{00000000-0005-0000-0000-000011000000}"/>
    <cellStyle name="Comma 2 2 2 4" xfId="2738" xr:uid="{00000000-0005-0000-0000-000012000000}"/>
    <cellStyle name="Comma 2 2 2 5" xfId="2834" xr:uid="{00000000-0005-0000-0000-000013000000}"/>
    <cellStyle name="Comma 2 2 3" xfId="61" xr:uid="{00000000-0005-0000-0000-000014000000}"/>
    <cellStyle name="Comma 2 2 3 2" xfId="111" xr:uid="{00000000-0005-0000-0000-000015000000}"/>
    <cellStyle name="Comma 2 2 3 2 2" xfId="2786" xr:uid="{00000000-0005-0000-0000-000016000000}"/>
    <cellStyle name="Comma 2 2 3 2 3" xfId="2882" xr:uid="{00000000-0005-0000-0000-000017000000}"/>
    <cellStyle name="Comma 2 2 3 3" xfId="2726" xr:uid="{00000000-0005-0000-0000-000018000000}"/>
    <cellStyle name="Comma 2 2 3 4" xfId="2822" xr:uid="{00000000-0005-0000-0000-000019000000}"/>
    <cellStyle name="Comma 2 2 4" xfId="48" xr:uid="{00000000-0005-0000-0000-00001A000000}"/>
    <cellStyle name="Comma 2 2 4 2" xfId="2774" xr:uid="{00000000-0005-0000-0000-00001B000000}"/>
    <cellStyle name="Comma 2 2 4 3" xfId="2870" xr:uid="{00000000-0005-0000-0000-00001C000000}"/>
    <cellStyle name="Comma 2 2 5" xfId="86" xr:uid="{00000000-0005-0000-0000-00001D000000}"/>
    <cellStyle name="Comma 2 2 5 2" xfId="2750" xr:uid="{00000000-0005-0000-0000-00001E000000}"/>
    <cellStyle name="Comma 2 2 5 3" xfId="2846" xr:uid="{00000000-0005-0000-0000-00001F000000}"/>
    <cellStyle name="Comma 2 2 6" xfId="2714" xr:uid="{00000000-0005-0000-0000-000020000000}"/>
    <cellStyle name="Comma 2 2 7" xfId="2810" xr:uid="{00000000-0005-0000-0000-000021000000}"/>
    <cellStyle name="Comma 2 3" xfId="31" xr:uid="{00000000-0005-0000-0000-000022000000}"/>
    <cellStyle name="Comma 2 3 2" xfId="70" xr:uid="{00000000-0005-0000-0000-000023000000}"/>
    <cellStyle name="Comma 2 3 2 2" xfId="2794" xr:uid="{00000000-0005-0000-0000-000024000000}"/>
    <cellStyle name="Comma 2 3 2 3" xfId="2890" xr:uid="{00000000-0005-0000-0000-000025000000}"/>
    <cellStyle name="Comma 2 3 3" xfId="95" xr:uid="{00000000-0005-0000-0000-000026000000}"/>
    <cellStyle name="Comma 2 3 3 2" xfId="2758" xr:uid="{00000000-0005-0000-0000-000027000000}"/>
    <cellStyle name="Comma 2 3 3 3" xfId="2854" xr:uid="{00000000-0005-0000-0000-000028000000}"/>
    <cellStyle name="Comma 2 3 4" xfId="2734" xr:uid="{00000000-0005-0000-0000-000029000000}"/>
    <cellStyle name="Comma 2 3 5" xfId="2830" xr:uid="{00000000-0005-0000-0000-00002A000000}"/>
    <cellStyle name="Comma 2 4" xfId="57" xr:uid="{00000000-0005-0000-0000-00002B000000}"/>
    <cellStyle name="Comma 2 4 2" xfId="107" xr:uid="{00000000-0005-0000-0000-00002C000000}"/>
    <cellStyle name="Comma 2 4 2 2" xfId="2782" xr:uid="{00000000-0005-0000-0000-00002D000000}"/>
    <cellStyle name="Comma 2 4 2 3" xfId="2878" xr:uid="{00000000-0005-0000-0000-00002E000000}"/>
    <cellStyle name="Comma 2 4 3" xfId="2722" xr:uid="{00000000-0005-0000-0000-00002F000000}"/>
    <cellStyle name="Comma 2 4 4" xfId="2818" xr:uid="{00000000-0005-0000-0000-000030000000}"/>
    <cellStyle name="Comma 2 5" xfId="44" xr:uid="{00000000-0005-0000-0000-000031000000}"/>
    <cellStyle name="Comma 2 5 2" xfId="2770" xr:uid="{00000000-0005-0000-0000-000032000000}"/>
    <cellStyle name="Comma 2 5 3" xfId="2866" xr:uid="{00000000-0005-0000-0000-000033000000}"/>
    <cellStyle name="Comma 2 6" xfId="82" xr:uid="{00000000-0005-0000-0000-000034000000}"/>
    <cellStyle name="Comma 2 6 2" xfId="2746" xr:uid="{00000000-0005-0000-0000-000035000000}"/>
    <cellStyle name="Comma 2 6 3" xfId="2842" xr:uid="{00000000-0005-0000-0000-000036000000}"/>
    <cellStyle name="Comma 2 7" xfId="130" xr:uid="{00000000-0005-0000-0000-000037000000}"/>
    <cellStyle name="Comma 2 8" xfId="2710" xr:uid="{00000000-0005-0000-0000-000038000000}"/>
    <cellStyle name="Comma 2 9" xfId="2806" xr:uid="{00000000-0005-0000-0000-000039000000}"/>
    <cellStyle name="Comma 3" xfId="24" xr:uid="{00000000-0005-0000-0000-00003A000000}"/>
    <cellStyle name="Comma0" xfId="131" xr:uid="{00000000-0005-0000-0000-00003B000000}"/>
    <cellStyle name="Comma0 2" xfId="132" xr:uid="{00000000-0005-0000-0000-00003C000000}"/>
    <cellStyle name="Comma0 3" xfId="133" xr:uid="{00000000-0005-0000-0000-00003D000000}"/>
    <cellStyle name="Currenby_PSV-020crit.XLS" xfId="2596" xr:uid="{00000000-0005-0000-0000-00003E000000}"/>
    <cellStyle name="Currency0" xfId="134" xr:uid="{00000000-0005-0000-0000-00003F000000}"/>
    <cellStyle name="Currency0 2" xfId="135" xr:uid="{00000000-0005-0000-0000-000040000000}"/>
    <cellStyle name="Currency0 3" xfId="136" xr:uid="{00000000-0005-0000-0000-000041000000}"/>
    <cellStyle name="Date" xfId="137" xr:uid="{00000000-0005-0000-0000-000042000000}"/>
    <cellStyle name="Date 2" xfId="138" xr:uid="{00000000-0005-0000-0000-000043000000}"/>
    <cellStyle name="Date 3" xfId="139" xr:uid="{00000000-0005-0000-0000-000044000000}"/>
    <cellStyle name="DateLong" xfId="22" xr:uid="{00000000-0005-0000-0000-000045000000}"/>
    <cellStyle name="DateShort" xfId="23" xr:uid="{00000000-0005-0000-0000-000046000000}"/>
    <cellStyle name="DSNotes" xfId="140" xr:uid="{00000000-0005-0000-0000-000047000000}"/>
    <cellStyle name="Euro" xfId="2597" xr:uid="{00000000-0005-0000-0000-000048000000}"/>
    <cellStyle name="Fixed" xfId="141" xr:uid="{00000000-0005-0000-0000-000049000000}"/>
    <cellStyle name="Fixed 2" xfId="142" xr:uid="{00000000-0005-0000-0000-00004A000000}"/>
    <cellStyle name="Fixed 3" xfId="143" xr:uid="{00000000-0005-0000-0000-00004B000000}"/>
    <cellStyle name="Hyperlink" xfId="4" builtinId="8"/>
    <cellStyle name="Hyperlink 2" xfId="8" xr:uid="{00000000-0005-0000-0000-00004D000000}"/>
    <cellStyle name="Input Cell" xfId="124" xr:uid="{00000000-0005-0000-0000-00004E000000}"/>
    <cellStyle name="Normal" xfId="0" builtinId="0"/>
    <cellStyle name="Normal - Style1" xfId="125" xr:uid="{00000000-0005-0000-0000-000050000000}"/>
    <cellStyle name="Normal 10" xfId="144" xr:uid="{00000000-0005-0000-0000-000051000000}"/>
    <cellStyle name="Normal 10 2" xfId="145" xr:uid="{00000000-0005-0000-0000-000052000000}"/>
    <cellStyle name="Normal 10 2 2" xfId="2653" xr:uid="{00000000-0005-0000-0000-000053000000}"/>
    <cellStyle name="Normal 10 3" xfId="2654" xr:uid="{00000000-0005-0000-0000-000054000000}"/>
    <cellStyle name="Normal 11" xfId="146" xr:uid="{00000000-0005-0000-0000-000055000000}"/>
    <cellStyle name="Normal 11 2" xfId="2655" xr:uid="{00000000-0005-0000-0000-000056000000}"/>
    <cellStyle name="Normal 12" xfId="147" xr:uid="{00000000-0005-0000-0000-000057000000}"/>
    <cellStyle name="Normal 12 2" xfId="2656" xr:uid="{00000000-0005-0000-0000-000058000000}"/>
    <cellStyle name="Normal 13" xfId="148" xr:uid="{00000000-0005-0000-0000-000059000000}"/>
    <cellStyle name="Normal 13 2" xfId="2657" xr:uid="{00000000-0005-0000-0000-00005A000000}"/>
    <cellStyle name="Normal 14" xfId="149" xr:uid="{00000000-0005-0000-0000-00005B000000}"/>
    <cellStyle name="Normal 14 2" xfId="2658" xr:uid="{00000000-0005-0000-0000-00005C000000}"/>
    <cellStyle name="Normal 15" xfId="150" xr:uid="{00000000-0005-0000-0000-00005D000000}"/>
    <cellStyle name="Normal 15 2" xfId="2659" xr:uid="{00000000-0005-0000-0000-00005E000000}"/>
    <cellStyle name="Normal 16" xfId="151" xr:uid="{00000000-0005-0000-0000-00005F000000}"/>
    <cellStyle name="Normal 16 2" xfId="152" xr:uid="{00000000-0005-0000-0000-000060000000}"/>
    <cellStyle name="Normal 16 2 2" xfId="2660" xr:uid="{00000000-0005-0000-0000-000061000000}"/>
    <cellStyle name="Normal 16 3" xfId="2661" xr:uid="{00000000-0005-0000-0000-000062000000}"/>
    <cellStyle name="Normal 17" xfId="153" xr:uid="{00000000-0005-0000-0000-000063000000}"/>
    <cellStyle name="Normal 17 2" xfId="154" xr:uid="{00000000-0005-0000-0000-000064000000}"/>
    <cellStyle name="Normal 17 2 2" xfId="2662" xr:uid="{00000000-0005-0000-0000-000065000000}"/>
    <cellStyle name="Normal 17 3" xfId="2663" xr:uid="{00000000-0005-0000-0000-000066000000}"/>
    <cellStyle name="Normal 18" xfId="155" xr:uid="{00000000-0005-0000-0000-000067000000}"/>
    <cellStyle name="Normal 18 2" xfId="2664" xr:uid="{00000000-0005-0000-0000-000068000000}"/>
    <cellStyle name="Normal 19" xfId="156" xr:uid="{00000000-0005-0000-0000-000069000000}"/>
    <cellStyle name="Normal 19 2" xfId="2598" xr:uid="{00000000-0005-0000-0000-00006A000000}"/>
    <cellStyle name="Normal 19 2 2" xfId="2665" xr:uid="{00000000-0005-0000-0000-00006B000000}"/>
    <cellStyle name="Normal 19 3" xfId="2599" xr:uid="{00000000-0005-0000-0000-00006C000000}"/>
    <cellStyle name="Normal 19 3 2" xfId="2666" xr:uid="{00000000-0005-0000-0000-00006D000000}"/>
    <cellStyle name="Normal 19 4" xfId="2667" xr:uid="{00000000-0005-0000-0000-00006E000000}"/>
    <cellStyle name="Normal 2" xfId="7" xr:uid="{00000000-0005-0000-0000-00006F000000}"/>
    <cellStyle name="Normal 2 10" xfId="157" xr:uid="{00000000-0005-0000-0000-000070000000}"/>
    <cellStyle name="Normal 2 11" xfId="158" xr:uid="{00000000-0005-0000-0000-000071000000}"/>
    <cellStyle name="Normal 2 11 10" xfId="159" xr:uid="{00000000-0005-0000-0000-000072000000}"/>
    <cellStyle name="Normal 2 11 11" xfId="160" xr:uid="{00000000-0005-0000-0000-000073000000}"/>
    <cellStyle name="Normal 2 11 12" xfId="161" xr:uid="{00000000-0005-0000-0000-000074000000}"/>
    <cellStyle name="Normal 2 11 13" xfId="162" xr:uid="{00000000-0005-0000-0000-000075000000}"/>
    <cellStyle name="Normal 2 11 14" xfId="163" xr:uid="{00000000-0005-0000-0000-000076000000}"/>
    <cellStyle name="Normal 2 11 15" xfId="164" xr:uid="{00000000-0005-0000-0000-000077000000}"/>
    <cellStyle name="Normal 2 11 16" xfId="165" xr:uid="{00000000-0005-0000-0000-000078000000}"/>
    <cellStyle name="Normal 2 11 17" xfId="166" xr:uid="{00000000-0005-0000-0000-000079000000}"/>
    <cellStyle name="Normal 2 11 18" xfId="167" xr:uid="{00000000-0005-0000-0000-00007A000000}"/>
    <cellStyle name="Normal 2 11 19" xfId="168" xr:uid="{00000000-0005-0000-0000-00007B000000}"/>
    <cellStyle name="Normal 2 11 2" xfId="169" xr:uid="{00000000-0005-0000-0000-00007C000000}"/>
    <cellStyle name="Normal 2 11 2 10" xfId="170" xr:uid="{00000000-0005-0000-0000-00007D000000}"/>
    <cellStyle name="Normal 2 11 2 11" xfId="171" xr:uid="{00000000-0005-0000-0000-00007E000000}"/>
    <cellStyle name="Normal 2 11 2 12" xfId="172" xr:uid="{00000000-0005-0000-0000-00007F000000}"/>
    <cellStyle name="Normal 2 11 2 13" xfId="173" xr:uid="{00000000-0005-0000-0000-000080000000}"/>
    <cellStyle name="Normal 2 11 2 14" xfId="174" xr:uid="{00000000-0005-0000-0000-000081000000}"/>
    <cellStyle name="Normal 2 11 2 15" xfId="175" xr:uid="{00000000-0005-0000-0000-000082000000}"/>
    <cellStyle name="Normal 2 11 2 16" xfId="176" xr:uid="{00000000-0005-0000-0000-000083000000}"/>
    <cellStyle name="Normal 2 11 2 17" xfId="177" xr:uid="{00000000-0005-0000-0000-000084000000}"/>
    <cellStyle name="Normal 2 11 2 18" xfId="178" xr:uid="{00000000-0005-0000-0000-000085000000}"/>
    <cellStyle name="Normal 2 11 2 19" xfId="179" xr:uid="{00000000-0005-0000-0000-000086000000}"/>
    <cellStyle name="Normal 2 11 2 2" xfId="180" xr:uid="{00000000-0005-0000-0000-000087000000}"/>
    <cellStyle name="Normal 2 11 2 2 10" xfId="181" xr:uid="{00000000-0005-0000-0000-000088000000}"/>
    <cellStyle name="Normal 2 11 2 2 11" xfId="182" xr:uid="{00000000-0005-0000-0000-000089000000}"/>
    <cellStyle name="Normal 2 11 2 2 12" xfId="183" xr:uid="{00000000-0005-0000-0000-00008A000000}"/>
    <cellStyle name="Normal 2 11 2 2 13" xfId="184" xr:uid="{00000000-0005-0000-0000-00008B000000}"/>
    <cellStyle name="Normal 2 11 2 2 14" xfId="185" xr:uid="{00000000-0005-0000-0000-00008C000000}"/>
    <cellStyle name="Normal 2 11 2 2 15" xfId="186" xr:uid="{00000000-0005-0000-0000-00008D000000}"/>
    <cellStyle name="Normal 2 11 2 2 16" xfId="187" xr:uid="{00000000-0005-0000-0000-00008E000000}"/>
    <cellStyle name="Normal 2 11 2 2 17" xfId="188" xr:uid="{00000000-0005-0000-0000-00008F000000}"/>
    <cellStyle name="Normal 2 11 2 2 18" xfId="189" xr:uid="{00000000-0005-0000-0000-000090000000}"/>
    <cellStyle name="Normal 2 11 2 2 19" xfId="190" xr:uid="{00000000-0005-0000-0000-000091000000}"/>
    <cellStyle name="Normal 2 11 2 2 2" xfId="191" xr:uid="{00000000-0005-0000-0000-000092000000}"/>
    <cellStyle name="Normal 2 11 2 2 2 2" xfId="192" xr:uid="{00000000-0005-0000-0000-000093000000}"/>
    <cellStyle name="Normal 2 11 2 2 2 3" xfId="193" xr:uid="{00000000-0005-0000-0000-000094000000}"/>
    <cellStyle name="Normal 2 11 2 2 2 4" xfId="194" xr:uid="{00000000-0005-0000-0000-000095000000}"/>
    <cellStyle name="Normal 2 11 2 2 2 5" xfId="195" xr:uid="{00000000-0005-0000-0000-000096000000}"/>
    <cellStyle name="Normal 2 11 2 2 2 6" xfId="196" xr:uid="{00000000-0005-0000-0000-000097000000}"/>
    <cellStyle name="Normal 2 11 2 2 2 7" xfId="197" xr:uid="{00000000-0005-0000-0000-000098000000}"/>
    <cellStyle name="Normal 2 11 2 2 2 8" xfId="198" xr:uid="{00000000-0005-0000-0000-000099000000}"/>
    <cellStyle name="Normal 2 11 2 2 2 9" xfId="199" xr:uid="{00000000-0005-0000-0000-00009A000000}"/>
    <cellStyle name="Normal 2 11 2 2 20" xfId="200" xr:uid="{00000000-0005-0000-0000-00009B000000}"/>
    <cellStyle name="Normal 2 11 2 2 21" xfId="201" xr:uid="{00000000-0005-0000-0000-00009C000000}"/>
    <cellStyle name="Normal 2 11 2 2 22" xfId="202" xr:uid="{00000000-0005-0000-0000-00009D000000}"/>
    <cellStyle name="Normal 2 11 2 2 23" xfId="203" xr:uid="{00000000-0005-0000-0000-00009E000000}"/>
    <cellStyle name="Normal 2 11 2 2 24" xfId="204" xr:uid="{00000000-0005-0000-0000-00009F000000}"/>
    <cellStyle name="Normal 2 11 2 2 25" xfId="205" xr:uid="{00000000-0005-0000-0000-0000A0000000}"/>
    <cellStyle name="Normal 2 11 2 2 26" xfId="206" xr:uid="{00000000-0005-0000-0000-0000A1000000}"/>
    <cellStyle name="Normal 2 11 2 2 27" xfId="207" xr:uid="{00000000-0005-0000-0000-0000A2000000}"/>
    <cellStyle name="Normal 2 11 2 2 28" xfId="208" xr:uid="{00000000-0005-0000-0000-0000A3000000}"/>
    <cellStyle name="Normal 2 11 2 2 3" xfId="209" xr:uid="{00000000-0005-0000-0000-0000A4000000}"/>
    <cellStyle name="Normal 2 11 2 2 4" xfId="210" xr:uid="{00000000-0005-0000-0000-0000A5000000}"/>
    <cellStyle name="Normal 2 11 2 2 5" xfId="211" xr:uid="{00000000-0005-0000-0000-0000A6000000}"/>
    <cellStyle name="Normal 2 11 2 2 6" xfId="212" xr:uid="{00000000-0005-0000-0000-0000A7000000}"/>
    <cellStyle name="Normal 2 11 2 2 7" xfId="213" xr:uid="{00000000-0005-0000-0000-0000A8000000}"/>
    <cellStyle name="Normal 2 11 2 2 8" xfId="214" xr:uid="{00000000-0005-0000-0000-0000A9000000}"/>
    <cellStyle name="Normal 2 11 2 2 9" xfId="215" xr:uid="{00000000-0005-0000-0000-0000AA000000}"/>
    <cellStyle name="Normal 2 11 2 20" xfId="216" xr:uid="{00000000-0005-0000-0000-0000AB000000}"/>
    <cellStyle name="Normal 2 11 2 21" xfId="217" xr:uid="{00000000-0005-0000-0000-0000AC000000}"/>
    <cellStyle name="Normal 2 11 2 22" xfId="218" xr:uid="{00000000-0005-0000-0000-0000AD000000}"/>
    <cellStyle name="Normal 2 11 2 23" xfId="219" xr:uid="{00000000-0005-0000-0000-0000AE000000}"/>
    <cellStyle name="Normal 2 11 2 24" xfId="220" xr:uid="{00000000-0005-0000-0000-0000AF000000}"/>
    <cellStyle name="Normal 2 11 2 25" xfId="221" xr:uid="{00000000-0005-0000-0000-0000B0000000}"/>
    <cellStyle name="Normal 2 11 2 26" xfId="222" xr:uid="{00000000-0005-0000-0000-0000B1000000}"/>
    <cellStyle name="Normal 2 11 2 27" xfId="223" xr:uid="{00000000-0005-0000-0000-0000B2000000}"/>
    <cellStyle name="Normal 2 11 2 28" xfId="224" xr:uid="{00000000-0005-0000-0000-0000B3000000}"/>
    <cellStyle name="Normal 2 11 2 29" xfId="225" xr:uid="{00000000-0005-0000-0000-0000B4000000}"/>
    <cellStyle name="Normal 2 11 2 3" xfId="226" xr:uid="{00000000-0005-0000-0000-0000B5000000}"/>
    <cellStyle name="Normal 2 11 2 4" xfId="227" xr:uid="{00000000-0005-0000-0000-0000B6000000}"/>
    <cellStyle name="Normal 2 11 2 5" xfId="228" xr:uid="{00000000-0005-0000-0000-0000B7000000}"/>
    <cellStyle name="Normal 2 11 2 6" xfId="229" xr:uid="{00000000-0005-0000-0000-0000B8000000}"/>
    <cellStyle name="Normal 2 11 2 7" xfId="230" xr:uid="{00000000-0005-0000-0000-0000B9000000}"/>
    <cellStyle name="Normal 2 11 2 8" xfId="231" xr:uid="{00000000-0005-0000-0000-0000BA000000}"/>
    <cellStyle name="Normal 2 11 2 9" xfId="232" xr:uid="{00000000-0005-0000-0000-0000BB000000}"/>
    <cellStyle name="Normal 2 11 20" xfId="233" xr:uid="{00000000-0005-0000-0000-0000BC000000}"/>
    <cellStyle name="Normal 2 11 21" xfId="234" xr:uid="{00000000-0005-0000-0000-0000BD000000}"/>
    <cellStyle name="Normal 2 11 22" xfId="235" xr:uid="{00000000-0005-0000-0000-0000BE000000}"/>
    <cellStyle name="Normal 2 11 23" xfId="236" xr:uid="{00000000-0005-0000-0000-0000BF000000}"/>
    <cellStyle name="Normal 2 11 24" xfId="237" xr:uid="{00000000-0005-0000-0000-0000C0000000}"/>
    <cellStyle name="Normal 2 11 25" xfId="238" xr:uid="{00000000-0005-0000-0000-0000C1000000}"/>
    <cellStyle name="Normal 2 11 26" xfId="239" xr:uid="{00000000-0005-0000-0000-0000C2000000}"/>
    <cellStyle name="Normal 2 11 27" xfId="240" xr:uid="{00000000-0005-0000-0000-0000C3000000}"/>
    <cellStyle name="Normal 2 11 28" xfId="241" xr:uid="{00000000-0005-0000-0000-0000C4000000}"/>
    <cellStyle name="Normal 2 11 29" xfId="242" xr:uid="{00000000-0005-0000-0000-0000C5000000}"/>
    <cellStyle name="Normal 2 11 3" xfId="243" xr:uid="{00000000-0005-0000-0000-0000C6000000}"/>
    <cellStyle name="Normal 2 11 30" xfId="244" xr:uid="{00000000-0005-0000-0000-0000C7000000}"/>
    <cellStyle name="Normal 2 11 4" xfId="245" xr:uid="{00000000-0005-0000-0000-0000C8000000}"/>
    <cellStyle name="Normal 2 11 4 10" xfId="246" xr:uid="{00000000-0005-0000-0000-0000C9000000}"/>
    <cellStyle name="Normal 2 11 4 11" xfId="247" xr:uid="{00000000-0005-0000-0000-0000CA000000}"/>
    <cellStyle name="Normal 2 11 4 12" xfId="248" xr:uid="{00000000-0005-0000-0000-0000CB000000}"/>
    <cellStyle name="Normal 2 11 4 13" xfId="249" xr:uid="{00000000-0005-0000-0000-0000CC000000}"/>
    <cellStyle name="Normal 2 11 4 14" xfId="250" xr:uid="{00000000-0005-0000-0000-0000CD000000}"/>
    <cellStyle name="Normal 2 11 4 15" xfId="251" xr:uid="{00000000-0005-0000-0000-0000CE000000}"/>
    <cellStyle name="Normal 2 11 4 16" xfId="252" xr:uid="{00000000-0005-0000-0000-0000CF000000}"/>
    <cellStyle name="Normal 2 11 4 17" xfId="253" xr:uid="{00000000-0005-0000-0000-0000D0000000}"/>
    <cellStyle name="Normal 2 11 4 18" xfId="254" xr:uid="{00000000-0005-0000-0000-0000D1000000}"/>
    <cellStyle name="Normal 2 11 4 19" xfId="255" xr:uid="{00000000-0005-0000-0000-0000D2000000}"/>
    <cellStyle name="Normal 2 11 4 2" xfId="256" xr:uid="{00000000-0005-0000-0000-0000D3000000}"/>
    <cellStyle name="Normal 2 11 4 20" xfId="257" xr:uid="{00000000-0005-0000-0000-0000D4000000}"/>
    <cellStyle name="Normal 2 11 4 21" xfId="258" xr:uid="{00000000-0005-0000-0000-0000D5000000}"/>
    <cellStyle name="Normal 2 11 4 3" xfId="259" xr:uid="{00000000-0005-0000-0000-0000D6000000}"/>
    <cellStyle name="Normal 2 11 4 4" xfId="260" xr:uid="{00000000-0005-0000-0000-0000D7000000}"/>
    <cellStyle name="Normal 2 11 4 5" xfId="261" xr:uid="{00000000-0005-0000-0000-0000D8000000}"/>
    <cellStyle name="Normal 2 11 4 6" xfId="262" xr:uid="{00000000-0005-0000-0000-0000D9000000}"/>
    <cellStyle name="Normal 2 11 4 7" xfId="263" xr:uid="{00000000-0005-0000-0000-0000DA000000}"/>
    <cellStyle name="Normal 2 11 4 8" xfId="264" xr:uid="{00000000-0005-0000-0000-0000DB000000}"/>
    <cellStyle name="Normal 2 11 4 9" xfId="265" xr:uid="{00000000-0005-0000-0000-0000DC000000}"/>
    <cellStyle name="Normal 2 11 5" xfId="266" xr:uid="{00000000-0005-0000-0000-0000DD000000}"/>
    <cellStyle name="Normal 2 11 6" xfId="267" xr:uid="{00000000-0005-0000-0000-0000DE000000}"/>
    <cellStyle name="Normal 2 11 7" xfId="268" xr:uid="{00000000-0005-0000-0000-0000DF000000}"/>
    <cellStyle name="Normal 2 11 8" xfId="269" xr:uid="{00000000-0005-0000-0000-0000E0000000}"/>
    <cellStyle name="Normal 2 11 9" xfId="270" xr:uid="{00000000-0005-0000-0000-0000E1000000}"/>
    <cellStyle name="Normal 2 12" xfId="271" xr:uid="{00000000-0005-0000-0000-0000E2000000}"/>
    <cellStyle name="Normal 2 12 2" xfId="272" xr:uid="{00000000-0005-0000-0000-0000E3000000}"/>
    <cellStyle name="Normal 2 12 3" xfId="273" xr:uid="{00000000-0005-0000-0000-0000E4000000}"/>
    <cellStyle name="Normal 2 12 4" xfId="274" xr:uid="{00000000-0005-0000-0000-0000E5000000}"/>
    <cellStyle name="Normal 2 12 5" xfId="275" xr:uid="{00000000-0005-0000-0000-0000E6000000}"/>
    <cellStyle name="Normal 2 12 6" xfId="276" xr:uid="{00000000-0005-0000-0000-0000E7000000}"/>
    <cellStyle name="Normal 2 12 7" xfId="277" xr:uid="{00000000-0005-0000-0000-0000E8000000}"/>
    <cellStyle name="Normal 2 12 8" xfId="278" xr:uid="{00000000-0005-0000-0000-0000E9000000}"/>
    <cellStyle name="Normal 2 12 9" xfId="279" xr:uid="{00000000-0005-0000-0000-0000EA000000}"/>
    <cellStyle name="Normal 2 13" xfId="280" xr:uid="{00000000-0005-0000-0000-0000EB000000}"/>
    <cellStyle name="Normal 2 14" xfId="281" xr:uid="{00000000-0005-0000-0000-0000EC000000}"/>
    <cellStyle name="Normal 2 15" xfId="282" xr:uid="{00000000-0005-0000-0000-0000ED000000}"/>
    <cellStyle name="Normal 2 16" xfId="283" xr:uid="{00000000-0005-0000-0000-0000EE000000}"/>
    <cellStyle name="Normal 2 17" xfId="284" xr:uid="{00000000-0005-0000-0000-0000EF000000}"/>
    <cellStyle name="Normal 2 17 10" xfId="285" xr:uid="{00000000-0005-0000-0000-0000F0000000}"/>
    <cellStyle name="Normal 2 17 11" xfId="286" xr:uid="{00000000-0005-0000-0000-0000F1000000}"/>
    <cellStyle name="Normal 2 17 12" xfId="287" xr:uid="{00000000-0005-0000-0000-0000F2000000}"/>
    <cellStyle name="Normal 2 17 13" xfId="288" xr:uid="{00000000-0005-0000-0000-0000F3000000}"/>
    <cellStyle name="Normal 2 17 14" xfId="289" xr:uid="{00000000-0005-0000-0000-0000F4000000}"/>
    <cellStyle name="Normal 2 17 15" xfId="290" xr:uid="{00000000-0005-0000-0000-0000F5000000}"/>
    <cellStyle name="Normal 2 17 16" xfId="291" xr:uid="{00000000-0005-0000-0000-0000F6000000}"/>
    <cellStyle name="Normal 2 17 17" xfId="292" xr:uid="{00000000-0005-0000-0000-0000F7000000}"/>
    <cellStyle name="Normal 2 17 18" xfId="293" xr:uid="{00000000-0005-0000-0000-0000F8000000}"/>
    <cellStyle name="Normal 2 17 19" xfId="294" xr:uid="{00000000-0005-0000-0000-0000F9000000}"/>
    <cellStyle name="Normal 2 17 2" xfId="295" xr:uid="{00000000-0005-0000-0000-0000FA000000}"/>
    <cellStyle name="Normal 2 17 2 10" xfId="296" xr:uid="{00000000-0005-0000-0000-0000FB000000}"/>
    <cellStyle name="Normal 2 17 2 11" xfId="297" xr:uid="{00000000-0005-0000-0000-0000FC000000}"/>
    <cellStyle name="Normal 2 17 2 12" xfId="298" xr:uid="{00000000-0005-0000-0000-0000FD000000}"/>
    <cellStyle name="Normal 2 17 2 13" xfId="299" xr:uid="{00000000-0005-0000-0000-0000FE000000}"/>
    <cellStyle name="Normal 2 17 2 14" xfId="300" xr:uid="{00000000-0005-0000-0000-0000FF000000}"/>
    <cellStyle name="Normal 2 17 2 15" xfId="301" xr:uid="{00000000-0005-0000-0000-000000010000}"/>
    <cellStyle name="Normal 2 17 2 16" xfId="302" xr:uid="{00000000-0005-0000-0000-000001010000}"/>
    <cellStyle name="Normal 2 17 2 17" xfId="303" xr:uid="{00000000-0005-0000-0000-000002010000}"/>
    <cellStyle name="Normal 2 17 2 18" xfId="304" xr:uid="{00000000-0005-0000-0000-000003010000}"/>
    <cellStyle name="Normal 2 17 2 19" xfId="305" xr:uid="{00000000-0005-0000-0000-000004010000}"/>
    <cellStyle name="Normal 2 17 2 2" xfId="306" xr:uid="{00000000-0005-0000-0000-000005010000}"/>
    <cellStyle name="Normal 2 17 2 20" xfId="307" xr:uid="{00000000-0005-0000-0000-000006010000}"/>
    <cellStyle name="Normal 2 17 2 21" xfId="308" xr:uid="{00000000-0005-0000-0000-000007010000}"/>
    <cellStyle name="Normal 2 17 2 3" xfId="309" xr:uid="{00000000-0005-0000-0000-000008010000}"/>
    <cellStyle name="Normal 2 17 2 4" xfId="310" xr:uid="{00000000-0005-0000-0000-000009010000}"/>
    <cellStyle name="Normal 2 17 2 5" xfId="311" xr:uid="{00000000-0005-0000-0000-00000A010000}"/>
    <cellStyle name="Normal 2 17 2 6" xfId="312" xr:uid="{00000000-0005-0000-0000-00000B010000}"/>
    <cellStyle name="Normal 2 17 2 7" xfId="313" xr:uid="{00000000-0005-0000-0000-00000C010000}"/>
    <cellStyle name="Normal 2 17 2 8" xfId="314" xr:uid="{00000000-0005-0000-0000-00000D010000}"/>
    <cellStyle name="Normal 2 17 2 9" xfId="315" xr:uid="{00000000-0005-0000-0000-00000E010000}"/>
    <cellStyle name="Normal 2 17 20" xfId="316" xr:uid="{00000000-0005-0000-0000-00000F010000}"/>
    <cellStyle name="Normal 2 17 21" xfId="317" xr:uid="{00000000-0005-0000-0000-000010010000}"/>
    <cellStyle name="Normal 2 17 22" xfId="318" xr:uid="{00000000-0005-0000-0000-000011010000}"/>
    <cellStyle name="Normal 2 17 3" xfId="319" xr:uid="{00000000-0005-0000-0000-000012010000}"/>
    <cellStyle name="Normal 2 17 4" xfId="320" xr:uid="{00000000-0005-0000-0000-000013010000}"/>
    <cellStyle name="Normal 2 17 5" xfId="321" xr:uid="{00000000-0005-0000-0000-000014010000}"/>
    <cellStyle name="Normal 2 17 6" xfId="322" xr:uid="{00000000-0005-0000-0000-000015010000}"/>
    <cellStyle name="Normal 2 17 7" xfId="323" xr:uid="{00000000-0005-0000-0000-000016010000}"/>
    <cellStyle name="Normal 2 17 8" xfId="324" xr:uid="{00000000-0005-0000-0000-000017010000}"/>
    <cellStyle name="Normal 2 17 9" xfId="325" xr:uid="{00000000-0005-0000-0000-000018010000}"/>
    <cellStyle name="Normal 2 18" xfId="326" xr:uid="{00000000-0005-0000-0000-000019010000}"/>
    <cellStyle name="Normal 2 18 10" xfId="327" xr:uid="{00000000-0005-0000-0000-00001A010000}"/>
    <cellStyle name="Normal 2 18 11" xfId="328" xr:uid="{00000000-0005-0000-0000-00001B010000}"/>
    <cellStyle name="Normal 2 18 12" xfId="329" xr:uid="{00000000-0005-0000-0000-00001C010000}"/>
    <cellStyle name="Normal 2 18 13" xfId="330" xr:uid="{00000000-0005-0000-0000-00001D010000}"/>
    <cellStyle name="Normal 2 18 14" xfId="331" xr:uid="{00000000-0005-0000-0000-00001E010000}"/>
    <cellStyle name="Normal 2 18 15" xfId="332" xr:uid="{00000000-0005-0000-0000-00001F010000}"/>
    <cellStyle name="Normal 2 18 16" xfId="333" xr:uid="{00000000-0005-0000-0000-000020010000}"/>
    <cellStyle name="Normal 2 18 17" xfId="334" xr:uid="{00000000-0005-0000-0000-000021010000}"/>
    <cellStyle name="Normal 2 18 18" xfId="335" xr:uid="{00000000-0005-0000-0000-000022010000}"/>
    <cellStyle name="Normal 2 18 19" xfId="336" xr:uid="{00000000-0005-0000-0000-000023010000}"/>
    <cellStyle name="Normal 2 18 2" xfId="337" xr:uid="{00000000-0005-0000-0000-000024010000}"/>
    <cellStyle name="Normal 2 18 20" xfId="338" xr:uid="{00000000-0005-0000-0000-000025010000}"/>
    <cellStyle name="Normal 2 18 21" xfId="339" xr:uid="{00000000-0005-0000-0000-000026010000}"/>
    <cellStyle name="Normal 2 18 3" xfId="340" xr:uid="{00000000-0005-0000-0000-000027010000}"/>
    <cellStyle name="Normal 2 18 4" xfId="341" xr:uid="{00000000-0005-0000-0000-000028010000}"/>
    <cellStyle name="Normal 2 18 5" xfId="342" xr:uid="{00000000-0005-0000-0000-000029010000}"/>
    <cellStyle name="Normal 2 18 6" xfId="343" xr:uid="{00000000-0005-0000-0000-00002A010000}"/>
    <cellStyle name="Normal 2 18 7" xfId="344" xr:uid="{00000000-0005-0000-0000-00002B010000}"/>
    <cellStyle name="Normal 2 18 8" xfId="345" xr:uid="{00000000-0005-0000-0000-00002C010000}"/>
    <cellStyle name="Normal 2 18 9" xfId="346" xr:uid="{00000000-0005-0000-0000-00002D010000}"/>
    <cellStyle name="Normal 2 19" xfId="347" xr:uid="{00000000-0005-0000-0000-00002E010000}"/>
    <cellStyle name="Normal 2 2" xfId="348" xr:uid="{00000000-0005-0000-0000-00002F010000}"/>
    <cellStyle name="Normal 2 2 10" xfId="349" xr:uid="{00000000-0005-0000-0000-000030010000}"/>
    <cellStyle name="Normal 2 2 10 10" xfId="350" xr:uid="{00000000-0005-0000-0000-000031010000}"/>
    <cellStyle name="Normal 2 2 10 11" xfId="351" xr:uid="{00000000-0005-0000-0000-000032010000}"/>
    <cellStyle name="Normal 2 2 10 12" xfId="352" xr:uid="{00000000-0005-0000-0000-000033010000}"/>
    <cellStyle name="Normal 2 2 10 13" xfId="353" xr:uid="{00000000-0005-0000-0000-000034010000}"/>
    <cellStyle name="Normal 2 2 10 14" xfId="354" xr:uid="{00000000-0005-0000-0000-000035010000}"/>
    <cellStyle name="Normal 2 2 10 15" xfId="355" xr:uid="{00000000-0005-0000-0000-000036010000}"/>
    <cellStyle name="Normal 2 2 10 16" xfId="356" xr:uid="{00000000-0005-0000-0000-000037010000}"/>
    <cellStyle name="Normal 2 2 10 17" xfId="357" xr:uid="{00000000-0005-0000-0000-000038010000}"/>
    <cellStyle name="Normal 2 2 10 18" xfId="358" xr:uid="{00000000-0005-0000-0000-000039010000}"/>
    <cellStyle name="Normal 2 2 10 19" xfId="359" xr:uid="{00000000-0005-0000-0000-00003A010000}"/>
    <cellStyle name="Normal 2 2 10 2" xfId="360" xr:uid="{00000000-0005-0000-0000-00003B010000}"/>
    <cellStyle name="Normal 2 2 10 2 10" xfId="361" xr:uid="{00000000-0005-0000-0000-00003C010000}"/>
    <cellStyle name="Normal 2 2 10 2 11" xfId="362" xr:uid="{00000000-0005-0000-0000-00003D010000}"/>
    <cellStyle name="Normal 2 2 10 2 12" xfId="363" xr:uid="{00000000-0005-0000-0000-00003E010000}"/>
    <cellStyle name="Normal 2 2 10 2 13" xfId="364" xr:uid="{00000000-0005-0000-0000-00003F010000}"/>
    <cellStyle name="Normal 2 2 10 2 14" xfId="365" xr:uid="{00000000-0005-0000-0000-000040010000}"/>
    <cellStyle name="Normal 2 2 10 2 15" xfId="366" xr:uid="{00000000-0005-0000-0000-000041010000}"/>
    <cellStyle name="Normal 2 2 10 2 16" xfId="367" xr:uid="{00000000-0005-0000-0000-000042010000}"/>
    <cellStyle name="Normal 2 2 10 2 17" xfId="368" xr:uid="{00000000-0005-0000-0000-000043010000}"/>
    <cellStyle name="Normal 2 2 10 2 18" xfId="369" xr:uid="{00000000-0005-0000-0000-000044010000}"/>
    <cellStyle name="Normal 2 2 10 2 19" xfId="370" xr:uid="{00000000-0005-0000-0000-000045010000}"/>
    <cellStyle name="Normal 2 2 10 2 2" xfId="371" xr:uid="{00000000-0005-0000-0000-000046010000}"/>
    <cellStyle name="Normal 2 2 10 2 2 10" xfId="372" xr:uid="{00000000-0005-0000-0000-000047010000}"/>
    <cellStyle name="Normal 2 2 10 2 2 11" xfId="373" xr:uid="{00000000-0005-0000-0000-000048010000}"/>
    <cellStyle name="Normal 2 2 10 2 2 12" xfId="374" xr:uid="{00000000-0005-0000-0000-000049010000}"/>
    <cellStyle name="Normal 2 2 10 2 2 13" xfId="375" xr:uid="{00000000-0005-0000-0000-00004A010000}"/>
    <cellStyle name="Normal 2 2 10 2 2 14" xfId="376" xr:uid="{00000000-0005-0000-0000-00004B010000}"/>
    <cellStyle name="Normal 2 2 10 2 2 15" xfId="377" xr:uid="{00000000-0005-0000-0000-00004C010000}"/>
    <cellStyle name="Normal 2 2 10 2 2 16" xfId="378" xr:uid="{00000000-0005-0000-0000-00004D010000}"/>
    <cellStyle name="Normal 2 2 10 2 2 17" xfId="379" xr:uid="{00000000-0005-0000-0000-00004E010000}"/>
    <cellStyle name="Normal 2 2 10 2 2 18" xfId="380" xr:uid="{00000000-0005-0000-0000-00004F010000}"/>
    <cellStyle name="Normal 2 2 10 2 2 19" xfId="381" xr:uid="{00000000-0005-0000-0000-000050010000}"/>
    <cellStyle name="Normal 2 2 10 2 2 2" xfId="382" xr:uid="{00000000-0005-0000-0000-000051010000}"/>
    <cellStyle name="Normal 2 2 10 2 2 20" xfId="383" xr:uid="{00000000-0005-0000-0000-000052010000}"/>
    <cellStyle name="Normal 2 2 10 2 2 21" xfId="384" xr:uid="{00000000-0005-0000-0000-000053010000}"/>
    <cellStyle name="Normal 2 2 10 2 2 3" xfId="385" xr:uid="{00000000-0005-0000-0000-000054010000}"/>
    <cellStyle name="Normal 2 2 10 2 2 4" xfId="386" xr:uid="{00000000-0005-0000-0000-000055010000}"/>
    <cellStyle name="Normal 2 2 10 2 2 5" xfId="387" xr:uid="{00000000-0005-0000-0000-000056010000}"/>
    <cellStyle name="Normal 2 2 10 2 2 6" xfId="388" xr:uid="{00000000-0005-0000-0000-000057010000}"/>
    <cellStyle name="Normal 2 2 10 2 2 7" xfId="389" xr:uid="{00000000-0005-0000-0000-000058010000}"/>
    <cellStyle name="Normal 2 2 10 2 2 8" xfId="390" xr:uid="{00000000-0005-0000-0000-000059010000}"/>
    <cellStyle name="Normal 2 2 10 2 2 9" xfId="391" xr:uid="{00000000-0005-0000-0000-00005A010000}"/>
    <cellStyle name="Normal 2 2 10 2 20" xfId="392" xr:uid="{00000000-0005-0000-0000-00005B010000}"/>
    <cellStyle name="Normal 2 2 10 2 21" xfId="393" xr:uid="{00000000-0005-0000-0000-00005C010000}"/>
    <cellStyle name="Normal 2 2 10 2 22" xfId="394" xr:uid="{00000000-0005-0000-0000-00005D010000}"/>
    <cellStyle name="Normal 2 2 10 2 3" xfId="395" xr:uid="{00000000-0005-0000-0000-00005E010000}"/>
    <cellStyle name="Normal 2 2 10 2 4" xfId="396" xr:uid="{00000000-0005-0000-0000-00005F010000}"/>
    <cellStyle name="Normal 2 2 10 2 5" xfId="397" xr:uid="{00000000-0005-0000-0000-000060010000}"/>
    <cellStyle name="Normal 2 2 10 2 6" xfId="398" xr:uid="{00000000-0005-0000-0000-000061010000}"/>
    <cellStyle name="Normal 2 2 10 2 7" xfId="399" xr:uid="{00000000-0005-0000-0000-000062010000}"/>
    <cellStyle name="Normal 2 2 10 2 8" xfId="400" xr:uid="{00000000-0005-0000-0000-000063010000}"/>
    <cellStyle name="Normal 2 2 10 2 9" xfId="401" xr:uid="{00000000-0005-0000-0000-000064010000}"/>
    <cellStyle name="Normal 2 2 10 20" xfId="402" xr:uid="{00000000-0005-0000-0000-000065010000}"/>
    <cellStyle name="Normal 2 2 10 21" xfId="403" xr:uid="{00000000-0005-0000-0000-000066010000}"/>
    <cellStyle name="Normal 2 2 10 22" xfId="404" xr:uid="{00000000-0005-0000-0000-000067010000}"/>
    <cellStyle name="Normal 2 2 10 23" xfId="405" xr:uid="{00000000-0005-0000-0000-000068010000}"/>
    <cellStyle name="Normal 2 2 10 3" xfId="406" xr:uid="{00000000-0005-0000-0000-000069010000}"/>
    <cellStyle name="Normal 2 2 10 4" xfId="407" xr:uid="{00000000-0005-0000-0000-00006A010000}"/>
    <cellStyle name="Normal 2 2 10 4 10" xfId="408" xr:uid="{00000000-0005-0000-0000-00006B010000}"/>
    <cellStyle name="Normal 2 2 10 4 11" xfId="409" xr:uid="{00000000-0005-0000-0000-00006C010000}"/>
    <cellStyle name="Normal 2 2 10 4 12" xfId="410" xr:uid="{00000000-0005-0000-0000-00006D010000}"/>
    <cellStyle name="Normal 2 2 10 4 13" xfId="411" xr:uid="{00000000-0005-0000-0000-00006E010000}"/>
    <cellStyle name="Normal 2 2 10 4 14" xfId="412" xr:uid="{00000000-0005-0000-0000-00006F010000}"/>
    <cellStyle name="Normal 2 2 10 4 15" xfId="413" xr:uid="{00000000-0005-0000-0000-000070010000}"/>
    <cellStyle name="Normal 2 2 10 4 16" xfId="414" xr:uid="{00000000-0005-0000-0000-000071010000}"/>
    <cellStyle name="Normal 2 2 10 4 17" xfId="415" xr:uid="{00000000-0005-0000-0000-000072010000}"/>
    <cellStyle name="Normal 2 2 10 4 18" xfId="416" xr:uid="{00000000-0005-0000-0000-000073010000}"/>
    <cellStyle name="Normal 2 2 10 4 19" xfId="417" xr:uid="{00000000-0005-0000-0000-000074010000}"/>
    <cellStyle name="Normal 2 2 10 4 2" xfId="418" xr:uid="{00000000-0005-0000-0000-000075010000}"/>
    <cellStyle name="Normal 2 2 10 4 20" xfId="419" xr:uid="{00000000-0005-0000-0000-000076010000}"/>
    <cellStyle name="Normal 2 2 10 4 21" xfId="420" xr:uid="{00000000-0005-0000-0000-000077010000}"/>
    <cellStyle name="Normal 2 2 10 4 3" xfId="421" xr:uid="{00000000-0005-0000-0000-000078010000}"/>
    <cellStyle name="Normal 2 2 10 4 4" xfId="422" xr:uid="{00000000-0005-0000-0000-000079010000}"/>
    <cellStyle name="Normal 2 2 10 4 5" xfId="423" xr:uid="{00000000-0005-0000-0000-00007A010000}"/>
    <cellStyle name="Normal 2 2 10 4 6" xfId="424" xr:uid="{00000000-0005-0000-0000-00007B010000}"/>
    <cellStyle name="Normal 2 2 10 4 7" xfId="425" xr:uid="{00000000-0005-0000-0000-00007C010000}"/>
    <cellStyle name="Normal 2 2 10 4 8" xfId="426" xr:uid="{00000000-0005-0000-0000-00007D010000}"/>
    <cellStyle name="Normal 2 2 10 4 9" xfId="427" xr:uid="{00000000-0005-0000-0000-00007E010000}"/>
    <cellStyle name="Normal 2 2 10 5" xfId="428" xr:uid="{00000000-0005-0000-0000-00007F010000}"/>
    <cellStyle name="Normal 2 2 10 6" xfId="429" xr:uid="{00000000-0005-0000-0000-000080010000}"/>
    <cellStyle name="Normal 2 2 10 7" xfId="430" xr:uid="{00000000-0005-0000-0000-000081010000}"/>
    <cellStyle name="Normal 2 2 10 8" xfId="431" xr:uid="{00000000-0005-0000-0000-000082010000}"/>
    <cellStyle name="Normal 2 2 10 9" xfId="432" xr:uid="{00000000-0005-0000-0000-000083010000}"/>
    <cellStyle name="Normal 2 2 11" xfId="433" xr:uid="{00000000-0005-0000-0000-000084010000}"/>
    <cellStyle name="Normal 2 2 12" xfId="434" xr:uid="{00000000-0005-0000-0000-000085010000}"/>
    <cellStyle name="Normal 2 2 13" xfId="435" xr:uid="{00000000-0005-0000-0000-000086010000}"/>
    <cellStyle name="Normal 2 2 14" xfId="436" xr:uid="{00000000-0005-0000-0000-000087010000}"/>
    <cellStyle name="Normal 2 2 15" xfId="437" xr:uid="{00000000-0005-0000-0000-000088010000}"/>
    <cellStyle name="Normal 2 2 16" xfId="438" xr:uid="{00000000-0005-0000-0000-000089010000}"/>
    <cellStyle name="Normal 2 2 16 10" xfId="439" xr:uid="{00000000-0005-0000-0000-00008A010000}"/>
    <cellStyle name="Normal 2 2 16 11" xfId="440" xr:uid="{00000000-0005-0000-0000-00008B010000}"/>
    <cellStyle name="Normal 2 2 16 12" xfId="441" xr:uid="{00000000-0005-0000-0000-00008C010000}"/>
    <cellStyle name="Normal 2 2 16 13" xfId="442" xr:uid="{00000000-0005-0000-0000-00008D010000}"/>
    <cellStyle name="Normal 2 2 16 14" xfId="443" xr:uid="{00000000-0005-0000-0000-00008E010000}"/>
    <cellStyle name="Normal 2 2 16 15" xfId="444" xr:uid="{00000000-0005-0000-0000-00008F010000}"/>
    <cellStyle name="Normal 2 2 16 16" xfId="445" xr:uid="{00000000-0005-0000-0000-000090010000}"/>
    <cellStyle name="Normal 2 2 16 17" xfId="446" xr:uid="{00000000-0005-0000-0000-000091010000}"/>
    <cellStyle name="Normal 2 2 16 18" xfId="447" xr:uid="{00000000-0005-0000-0000-000092010000}"/>
    <cellStyle name="Normal 2 2 16 19" xfId="448" xr:uid="{00000000-0005-0000-0000-000093010000}"/>
    <cellStyle name="Normal 2 2 16 2" xfId="449" xr:uid="{00000000-0005-0000-0000-000094010000}"/>
    <cellStyle name="Normal 2 2 16 2 10" xfId="450" xr:uid="{00000000-0005-0000-0000-000095010000}"/>
    <cellStyle name="Normal 2 2 16 2 11" xfId="451" xr:uid="{00000000-0005-0000-0000-000096010000}"/>
    <cellStyle name="Normal 2 2 16 2 12" xfId="452" xr:uid="{00000000-0005-0000-0000-000097010000}"/>
    <cellStyle name="Normal 2 2 16 2 13" xfId="453" xr:uid="{00000000-0005-0000-0000-000098010000}"/>
    <cellStyle name="Normal 2 2 16 2 14" xfId="454" xr:uid="{00000000-0005-0000-0000-000099010000}"/>
    <cellStyle name="Normal 2 2 16 2 15" xfId="455" xr:uid="{00000000-0005-0000-0000-00009A010000}"/>
    <cellStyle name="Normal 2 2 16 2 16" xfId="456" xr:uid="{00000000-0005-0000-0000-00009B010000}"/>
    <cellStyle name="Normal 2 2 16 2 17" xfId="457" xr:uid="{00000000-0005-0000-0000-00009C010000}"/>
    <cellStyle name="Normal 2 2 16 2 18" xfId="458" xr:uid="{00000000-0005-0000-0000-00009D010000}"/>
    <cellStyle name="Normal 2 2 16 2 19" xfId="459" xr:uid="{00000000-0005-0000-0000-00009E010000}"/>
    <cellStyle name="Normal 2 2 16 2 2" xfId="460" xr:uid="{00000000-0005-0000-0000-00009F010000}"/>
    <cellStyle name="Normal 2 2 16 2 20" xfId="461" xr:uid="{00000000-0005-0000-0000-0000A0010000}"/>
    <cellStyle name="Normal 2 2 16 2 21" xfId="462" xr:uid="{00000000-0005-0000-0000-0000A1010000}"/>
    <cellStyle name="Normal 2 2 16 2 3" xfId="463" xr:uid="{00000000-0005-0000-0000-0000A2010000}"/>
    <cellStyle name="Normal 2 2 16 2 4" xfId="464" xr:uid="{00000000-0005-0000-0000-0000A3010000}"/>
    <cellStyle name="Normal 2 2 16 2 5" xfId="465" xr:uid="{00000000-0005-0000-0000-0000A4010000}"/>
    <cellStyle name="Normal 2 2 16 2 6" xfId="466" xr:uid="{00000000-0005-0000-0000-0000A5010000}"/>
    <cellStyle name="Normal 2 2 16 2 7" xfId="467" xr:uid="{00000000-0005-0000-0000-0000A6010000}"/>
    <cellStyle name="Normal 2 2 16 2 8" xfId="468" xr:uid="{00000000-0005-0000-0000-0000A7010000}"/>
    <cellStyle name="Normal 2 2 16 2 9" xfId="469" xr:uid="{00000000-0005-0000-0000-0000A8010000}"/>
    <cellStyle name="Normal 2 2 16 20" xfId="470" xr:uid="{00000000-0005-0000-0000-0000A9010000}"/>
    <cellStyle name="Normal 2 2 16 21" xfId="471" xr:uid="{00000000-0005-0000-0000-0000AA010000}"/>
    <cellStyle name="Normal 2 2 16 22" xfId="472" xr:uid="{00000000-0005-0000-0000-0000AB010000}"/>
    <cellStyle name="Normal 2 2 16 3" xfId="473" xr:uid="{00000000-0005-0000-0000-0000AC010000}"/>
    <cellStyle name="Normal 2 2 16 4" xfId="474" xr:uid="{00000000-0005-0000-0000-0000AD010000}"/>
    <cellStyle name="Normal 2 2 16 5" xfId="475" xr:uid="{00000000-0005-0000-0000-0000AE010000}"/>
    <cellStyle name="Normal 2 2 16 6" xfId="476" xr:uid="{00000000-0005-0000-0000-0000AF010000}"/>
    <cellStyle name="Normal 2 2 16 7" xfId="477" xr:uid="{00000000-0005-0000-0000-0000B0010000}"/>
    <cellStyle name="Normal 2 2 16 8" xfId="478" xr:uid="{00000000-0005-0000-0000-0000B1010000}"/>
    <cellStyle name="Normal 2 2 16 9" xfId="479" xr:uid="{00000000-0005-0000-0000-0000B2010000}"/>
    <cellStyle name="Normal 2 2 17" xfId="480" xr:uid="{00000000-0005-0000-0000-0000B3010000}"/>
    <cellStyle name="Normal 2 2 17 10" xfId="481" xr:uid="{00000000-0005-0000-0000-0000B4010000}"/>
    <cellStyle name="Normal 2 2 17 11" xfId="482" xr:uid="{00000000-0005-0000-0000-0000B5010000}"/>
    <cellStyle name="Normal 2 2 17 12" xfId="483" xr:uid="{00000000-0005-0000-0000-0000B6010000}"/>
    <cellStyle name="Normal 2 2 17 13" xfId="484" xr:uid="{00000000-0005-0000-0000-0000B7010000}"/>
    <cellStyle name="Normal 2 2 17 14" xfId="485" xr:uid="{00000000-0005-0000-0000-0000B8010000}"/>
    <cellStyle name="Normal 2 2 17 15" xfId="486" xr:uid="{00000000-0005-0000-0000-0000B9010000}"/>
    <cellStyle name="Normal 2 2 17 16" xfId="487" xr:uid="{00000000-0005-0000-0000-0000BA010000}"/>
    <cellStyle name="Normal 2 2 17 17" xfId="488" xr:uid="{00000000-0005-0000-0000-0000BB010000}"/>
    <cellStyle name="Normal 2 2 17 18" xfId="489" xr:uid="{00000000-0005-0000-0000-0000BC010000}"/>
    <cellStyle name="Normal 2 2 17 19" xfId="490" xr:uid="{00000000-0005-0000-0000-0000BD010000}"/>
    <cellStyle name="Normal 2 2 17 2" xfId="491" xr:uid="{00000000-0005-0000-0000-0000BE010000}"/>
    <cellStyle name="Normal 2 2 17 20" xfId="492" xr:uid="{00000000-0005-0000-0000-0000BF010000}"/>
    <cellStyle name="Normal 2 2 17 21" xfId="493" xr:uid="{00000000-0005-0000-0000-0000C0010000}"/>
    <cellStyle name="Normal 2 2 17 3" xfId="494" xr:uid="{00000000-0005-0000-0000-0000C1010000}"/>
    <cellStyle name="Normal 2 2 17 4" xfId="495" xr:uid="{00000000-0005-0000-0000-0000C2010000}"/>
    <cellStyle name="Normal 2 2 17 5" xfId="496" xr:uid="{00000000-0005-0000-0000-0000C3010000}"/>
    <cellStyle name="Normal 2 2 17 6" xfId="497" xr:uid="{00000000-0005-0000-0000-0000C4010000}"/>
    <cellStyle name="Normal 2 2 17 7" xfId="498" xr:uid="{00000000-0005-0000-0000-0000C5010000}"/>
    <cellStyle name="Normal 2 2 17 8" xfId="499" xr:uid="{00000000-0005-0000-0000-0000C6010000}"/>
    <cellStyle name="Normal 2 2 17 9" xfId="500" xr:uid="{00000000-0005-0000-0000-0000C7010000}"/>
    <cellStyle name="Normal 2 2 18" xfId="501" xr:uid="{00000000-0005-0000-0000-0000C8010000}"/>
    <cellStyle name="Normal 2 2 19" xfId="502" xr:uid="{00000000-0005-0000-0000-0000C9010000}"/>
    <cellStyle name="Normal 2 2 2" xfId="21" xr:uid="{00000000-0005-0000-0000-0000CA010000}"/>
    <cellStyle name="Normal 2 2 2 2" xfId="37" xr:uid="{00000000-0005-0000-0000-0000CB010000}"/>
    <cellStyle name="Normal 2 2 2 2 2" xfId="75" xr:uid="{00000000-0005-0000-0000-0000CC010000}"/>
    <cellStyle name="Normal 2 2 2 2 2 2" xfId="2799" xr:uid="{00000000-0005-0000-0000-0000CD010000}"/>
    <cellStyle name="Normal 2 2 2 2 2 3" xfId="2895" xr:uid="{00000000-0005-0000-0000-0000CE010000}"/>
    <cellStyle name="Normal 2 2 2 2 3" xfId="100" xr:uid="{00000000-0005-0000-0000-0000CF010000}"/>
    <cellStyle name="Normal 2 2 2 2 3 2" xfId="2763" xr:uid="{00000000-0005-0000-0000-0000D0010000}"/>
    <cellStyle name="Normal 2 2 2 2 3 3" xfId="2859" xr:uid="{00000000-0005-0000-0000-0000D1010000}"/>
    <cellStyle name="Normal 2 2 2 2 4" xfId="2668" xr:uid="{00000000-0005-0000-0000-0000D2010000}"/>
    <cellStyle name="Normal 2 2 2 2 5" xfId="2739" xr:uid="{00000000-0005-0000-0000-0000D3010000}"/>
    <cellStyle name="Normal 2 2 2 2 6" xfId="2835" xr:uid="{00000000-0005-0000-0000-0000D4010000}"/>
    <cellStyle name="Normal 2 2 2 3" xfId="63" xr:uid="{00000000-0005-0000-0000-0000D5010000}"/>
    <cellStyle name="Normal 2 2 2 3 2" xfId="112" xr:uid="{00000000-0005-0000-0000-0000D6010000}"/>
    <cellStyle name="Normal 2 2 2 3 2 2" xfId="2787" xr:uid="{00000000-0005-0000-0000-0000D7010000}"/>
    <cellStyle name="Normal 2 2 2 3 2 3" xfId="2883" xr:uid="{00000000-0005-0000-0000-0000D8010000}"/>
    <cellStyle name="Normal 2 2 2 3 3" xfId="2727" xr:uid="{00000000-0005-0000-0000-0000D9010000}"/>
    <cellStyle name="Normal 2 2 2 3 4" xfId="2823" xr:uid="{00000000-0005-0000-0000-0000DA010000}"/>
    <cellStyle name="Normal 2 2 2 4" xfId="50" xr:uid="{00000000-0005-0000-0000-0000DB010000}"/>
    <cellStyle name="Normal 2 2 2 4 2" xfId="2775" xr:uid="{00000000-0005-0000-0000-0000DC010000}"/>
    <cellStyle name="Normal 2 2 2 4 3" xfId="2871" xr:uid="{00000000-0005-0000-0000-0000DD010000}"/>
    <cellStyle name="Normal 2 2 2 5" xfId="88" xr:uid="{00000000-0005-0000-0000-0000DE010000}"/>
    <cellStyle name="Normal 2 2 2 5 2" xfId="2751" xr:uid="{00000000-0005-0000-0000-0000DF010000}"/>
    <cellStyle name="Normal 2 2 2 5 3" xfId="2847" xr:uid="{00000000-0005-0000-0000-0000E0010000}"/>
    <cellStyle name="Normal 2 2 2 6" xfId="503" xr:uid="{00000000-0005-0000-0000-0000E1010000}"/>
    <cellStyle name="Normal 2 2 2 7" xfId="2715" xr:uid="{00000000-0005-0000-0000-0000E2010000}"/>
    <cellStyle name="Normal 2 2 2 8" xfId="2811" xr:uid="{00000000-0005-0000-0000-0000E3010000}"/>
    <cellStyle name="Normal 2 2 20" xfId="504" xr:uid="{00000000-0005-0000-0000-0000E4010000}"/>
    <cellStyle name="Normal 2 2 21" xfId="505" xr:uid="{00000000-0005-0000-0000-0000E5010000}"/>
    <cellStyle name="Normal 2 2 22" xfId="506" xr:uid="{00000000-0005-0000-0000-0000E6010000}"/>
    <cellStyle name="Normal 2 2 23" xfId="507" xr:uid="{00000000-0005-0000-0000-0000E7010000}"/>
    <cellStyle name="Normal 2 2 24" xfId="508" xr:uid="{00000000-0005-0000-0000-0000E8010000}"/>
    <cellStyle name="Normal 2 2 25" xfId="509" xr:uid="{00000000-0005-0000-0000-0000E9010000}"/>
    <cellStyle name="Normal 2 2 26" xfId="510" xr:uid="{00000000-0005-0000-0000-0000EA010000}"/>
    <cellStyle name="Normal 2 2 27" xfId="511" xr:uid="{00000000-0005-0000-0000-0000EB010000}"/>
    <cellStyle name="Normal 2 2 28" xfId="512" xr:uid="{00000000-0005-0000-0000-0000EC010000}"/>
    <cellStyle name="Normal 2 2 29" xfId="513" xr:uid="{00000000-0005-0000-0000-0000ED010000}"/>
    <cellStyle name="Normal 2 2 3" xfId="514" xr:uid="{00000000-0005-0000-0000-0000EE010000}"/>
    <cellStyle name="Normal 2 2 3 2" xfId="2669" xr:uid="{00000000-0005-0000-0000-0000EF010000}"/>
    <cellStyle name="Normal 2 2 30" xfId="515" xr:uid="{00000000-0005-0000-0000-0000F0010000}"/>
    <cellStyle name="Normal 2 2 31" xfId="516" xr:uid="{00000000-0005-0000-0000-0000F1010000}"/>
    <cellStyle name="Normal 2 2 32" xfId="517" xr:uid="{00000000-0005-0000-0000-0000F2010000}"/>
    <cellStyle name="Normal 2 2 33" xfId="518" xr:uid="{00000000-0005-0000-0000-0000F3010000}"/>
    <cellStyle name="Normal 2 2 34" xfId="519" xr:uid="{00000000-0005-0000-0000-0000F4010000}"/>
    <cellStyle name="Normal 2 2 35" xfId="520" xr:uid="{00000000-0005-0000-0000-0000F5010000}"/>
    <cellStyle name="Normal 2 2 36" xfId="521" xr:uid="{00000000-0005-0000-0000-0000F6010000}"/>
    <cellStyle name="Normal 2 2 37" xfId="522" xr:uid="{00000000-0005-0000-0000-0000F7010000}"/>
    <cellStyle name="Normal 2 2 38" xfId="523" xr:uid="{00000000-0005-0000-0000-0000F8010000}"/>
    <cellStyle name="Normal 2 2 39" xfId="524" xr:uid="{00000000-0005-0000-0000-0000F9010000}"/>
    <cellStyle name="Normal 2 2 4" xfId="525" xr:uid="{00000000-0005-0000-0000-0000FA010000}"/>
    <cellStyle name="Normal 2 2 4 2" xfId="2670" xr:uid="{00000000-0005-0000-0000-0000FB010000}"/>
    <cellStyle name="Normal 2 2 5" xfId="526" xr:uid="{00000000-0005-0000-0000-0000FC010000}"/>
    <cellStyle name="Normal 2 2 6" xfId="527" xr:uid="{00000000-0005-0000-0000-0000FD010000}"/>
    <cellStyle name="Normal 2 2 7" xfId="528" xr:uid="{00000000-0005-0000-0000-0000FE010000}"/>
    <cellStyle name="Normal 2 2 8" xfId="529" xr:uid="{00000000-0005-0000-0000-0000FF010000}"/>
    <cellStyle name="Normal 2 2 9" xfId="530" xr:uid="{00000000-0005-0000-0000-000000020000}"/>
    <cellStyle name="Normal 2 20" xfId="531" xr:uid="{00000000-0005-0000-0000-000001020000}"/>
    <cellStyle name="Normal 2 21" xfId="532" xr:uid="{00000000-0005-0000-0000-000002020000}"/>
    <cellStyle name="Normal 2 22" xfId="533" xr:uid="{00000000-0005-0000-0000-000003020000}"/>
    <cellStyle name="Normal 2 23" xfId="534" xr:uid="{00000000-0005-0000-0000-000004020000}"/>
    <cellStyle name="Normal 2 24" xfId="535" xr:uid="{00000000-0005-0000-0000-000005020000}"/>
    <cellStyle name="Normal 2 25" xfId="536" xr:uid="{00000000-0005-0000-0000-000006020000}"/>
    <cellStyle name="Normal 2 26" xfId="537" xr:uid="{00000000-0005-0000-0000-000007020000}"/>
    <cellStyle name="Normal 2 27" xfId="538" xr:uid="{00000000-0005-0000-0000-000008020000}"/>
    <cellStyle name="Normal 2 28" xfId="539" xr:uid="{00000000-0005-0000-0000-000009020000}"/>
    <cellStyle name="Normal 2 29" xfId="540" xr:uid="{00000000-0005-0000-0000-00000A020000}"/>
    <cellStyle name="Normal 2 3" xfId="541" xr:uid="{00000000-0005-0000-0000-00000B020000}"/>
    <cellStyle name="Normal 2 3 2" xfId="6" xr:uid="{00000000-0005-0000-0000-00000C020000}"/>
    <cellStyle name="Normal 2 3 2 2" xfId="12" xr:uid="{00000000-0005-0000-0000-00000D020000}"/>
    <cellStyle name="Normal 2 3 2 2 2" xfId="33" xr:uid="{00000000-0005-0000-0000-00000E020000}"/>
    <cellStyle name="Normal 2 3 2 2 2 2" xfId="72" xr:uid="{00000000-0005-0000-0000-00000F020000}"/>
    <cellStyle name="Normal 2 3 2 2 2 2 2" xfId="2796" xr:uid="{00000000-0005-0000-0000-000010020000}"/>
    <cellStyle name="Normal 2 3 2 2 2 2 3" xfId="2892" xr:uid="{00000000-0005-0000-0000-000011020000}"/>
    <cellStyle name="Normal 2 3 2 2 2 3" xfId="97" xr:uid="{00000000-0005-0000-0000-000012020000}"/>
    <cellStyle name="Normal 2 3 2 2 2 3 2" xfId="2760" xr:uid="{00000000-0005-0000-0000-000013020000}"/>
    <cellStyle name="Normal 2 3 2 2 2 3 3" xfId="2856" xr:uid="{00000000-0005-0000-0000-000014020000}"/>
    <cellStyle name="Normal 2 3 2 2 2 4" xfId="2736" xr:uid="{00000000-0005-0000-0000-000015020000}"/>
    <cellStyle name="Normal 2 3 2 2 2 5" xfId="2832" xr:uid="{00000000-0005-0000-0000-000016020000}"/>
    <cellStyle name="Normal 2 3 2 2 3" xfId="59" xr:uid="{00000000-0005-0000-0000-000017020000}"/>
    <cellStyle name="Normal 2 3 2 2 3 2" xfId="109" xr:uid="{00000000-0005-0000-0000-000018020000}"/>
    <cellStyle name="Normal 2 3 2 2 3 2 2" xfId="2784" xr:uid="{00000000-0005-0000-0000-000019020000}"/>
    <cellStyle name="Normal 2 3 2 2 3 2 3" xfId="2880" xr:uid="{00000000-0005-0000-0000-00001A020000}"/>
    <cellStyle name="Normal 2 3 2 2 3 3" xfId="2724" xr:uid="{00000000-0005-0000-0000-00001B020000}"/>
    <cellStyle name="Normal 2 3 2 2 3 4" xfId="2820" xr:uid="{00000000-0005-0000-0000-00001C020000}"/>
    <cellStyle name="Normal 2 3 2 2 4" xfId="46" xr:uid="{00000000-0005-0000-0000-00001D020000}"/>
    <cellStyle name="Normal 2 3 2 2 4 2" xfId="2772" xr:uid="{00000000-0005-0000-0000-00001E020000}"/>
    <cellStyle name="Normal 2 3 2 2 4 3" xfId="2868" xr:uid="{00000000-0005-0000-0000-00001F020000}"/>
    <cellStyle name="Normal 2 3 2 2 5" xfId="84" xr:uid="{00000000-0005-0000-0000-000020020000}"/>
    <cellStyle name="Normal 2 3 2 2 5 2" xfId="2748" xr:uid="{00000000-0005-0000-0000-000021020000}"/>
    <cellStyle name="Normal 2 3 2 2 5 3" xfId="2844" xr:uid="{00000000-0005-0000-0000-000022020000}"/>
    <cellStyle name="Normal 2 3 2 2 6" xfId="2601" xr:uid="{00000000-0005-0000-0000-000023020000}"/>
    <cellStyle name="Normal 2 3 2 2 7" xfId="2712" xr:uid="{00000000-0005-0000-0000-000024020000}"/>
    <cellStyle name="Normal 2 3 2 2 8" xfId="2808" xr:uid="{00000000-0005-0000-0000-000025020000}"/>
    <cellStyle name="Normal 2 3 2 3" xfId="29" xr:uid="{00000000-0005-0000-0000-000026020000}"/>
    <cellStyle name="Normal 2 3 2 3 2" xfId="68" xr:uid="{00000000-0005-0000-0000-000027020000}"/>
    <cellStyle name="Normal 2 3 2 3 2 2" xfId="2792" xr:uid="{00000000-0005-0000-0000-000028020000}"/>
    <cellStyle name="Normal 2 3 2 3 2 3" xfId="2888" xr:uid="{00000000-0005-0000-0000-000029020000}"/>
    <cellStyle name="Normal 2 3 2 3 3" xfId="93" xr:uid="{00000000-0005-0000-0000-00002A020000}"/>
    <cellStyle name="Normal 2 3 2 3 3 2" xfId="2756" xr:uid="{00000000-0005-0000-0000-00002B020000}"/>
    <cellStyle name="Normal 2 3 2 3 3 3" xfId="2852" xr:uid="{00000000-0005-0000-0000-00002C020000}"/>
    <cellStyle name="Normal 2 3 2 3 4" xfId="2602" xr:uid="{00000000-0005-0000-0000-00002D020000}"/>
    <cellStyle name="Normal 2 3 2 3 5" xfId="2732" xr:uid="{00000000-0005-0000-0000-00002E020000}"/>
    <cellStyle name="Normal 2 3 2 3 6" xfId="2828" xr:uid="{00000000-0005-0000-0000-00002F020000}"/>
    <cellStyle name="Normal 2 3 2 4" xfId="55" xr:uid="{00000000-0005-0000-0000-000030020000}"/>
    <cellStyle name="Normal 2 3 2 4 2" xfId="105" xr:uid="{00000000-0005-0000-0000-000031020000}"/>
    <cellStyle name="Normal 2 3 2 4 2 2" xfId="2780" xr:uid="{00000000-0005-0000-0000-000032020000}"/>
    <cellStyle name="Normal 2 3 2 4 2 3" xfId="2876" xr:uid="{00000000-0005-0000-0000-000033020000}"/>
    <cellStyle name="Normal 2 3 2 4 3" xfId="2720" xr:uid="{00000000-0005-0000-0000-000034020000}"/>
    <cellStyle name="Normal 2 3 2 4 4" xfId="2816" xr:uid="{00000000-0005-0000-0000-000035020000}"/>
    <cellStyle name="Normal 2 3 2 5" xfId="42" xr:uid="{00000000-0005-0000-0000-000036020000}"/>
    <cellStyle name="Normal 2 3 2 5 2" xfId="2768" xr:uid="{00000000-0005-0000-0000-000037020000}"/>
    <cellStyle name="Normal 2 3 2 5 3" xfId="2864" xr:uid="{00000000-0005-0000-0000-000038020000}"/>
    <cellStyle name="Normal 2 3 2 6" xfId="80" xr:uid="{00000000-0005-0000-0000-000039020000}"/>
    <cellStyle name="Normal 2 3 2 6 2" xfId="2744" xr:uid="{00000000-0005-0000-0000-00003A020000}"/>
    <cellStyle name="Normal 2 3 2 6 3" xfId="2840" xr:uid="{00000000-0005-0000-0000-00003B020000}"/>
    <cellStyle name="Normal 2 3 2 7" xfId="2600" xr:uid="{00000000-0005-0000-0000-00003C020000}"/>
    <cellStyle name="Normal 2 3 2 8" xfId="2708" xr:uid="{00000000-0005-0000-0000-00003D020000}"/>
    <cellStyle name="Normal 2 3 2 9" xfId="2804" xr:uid="{00000000-0005-0000-0000-00003E020000}"/>
    <cellStyle name="Normal 2 3 3" xfId="2603" xr:uid="{00000000-0005-0000-0000-00003F020000}"/>
    <cellStyle name="Normal 2 3 4" xfId="2604" xr:uid="{00000000-0005-0000-0000-000040020000}"/>
    <cellStyle name="Normal 2 30" xfId="542" xr:uid="{00000000-0005-0000-0000-000041020000}"/>
    <cellStyle name="Normal 2 31" xfId="543" xr:uid="{00000000-0005-0000-0000-000042020000}"/>
    <cellStyle name="Normal 2 32" xfId="544" xr:uid="{00000000-0005-0000-0000-000043020000}"/>
    <cellStyle name="Normal 2 33" xfId="545" xr:uid="{00000000-0005-0000-0000-000044020000}"/>
    <cellStyle name="Normal 2 34" xfId="546" xr:uid="{00000000-0005-0000-0000-000045020000}"/>
    <cellStyle name="Normal 2 35" xfId="547" xr:uid="{00000000-0005-0000-0000-000046020000}"/>
    <cellStyle name="Normal 2 36" xfId="548" xr:uid="{00000000-0005-0000-0000-000047020000}"/>
    <cellStyle name="Normal 2 37" xfId="549" xr:uid="{00000000-0005-0000-0000-000048020000}"/>
    <cellStyle name="Normal 2 38" xfId="550" xr:uid="{00000000-0005-0000-0000-000049020000}"/>
    <cellStyle name="Normal 2 39" xfId="551" xr:uid="{00000000-0005-0000-0000-00004A020000}"/>
    <cellStyle name="Normal 2 4" xfId="552" xr:uid="{00000000-0005-0000-0000-00004B020000}"/>
    <cellStyle name="Normal 2 40" xfId="553" xr:uid="{00000000-0005-0000-0000-00004C020000}"/>
    <cellStyle name="Normal 2 41" xfId="115" xr:uid="{00000000-0005-0000-0000-00004D020000}"/>
    <cellStyle name="Normal 2 5" xfId="554" xr:uid="{00000000-0005-0000-0000-00004E020000}"/>
    <cellStyle name="Normal 2 6" xfId="555" xr:uid="{00000000-0005-0000-0000-00004F020000}"/>
    <cellStyle name="Normal 2 7" xfId="556" xr:uid="{00000000-0005-0000-0000-000050020000}"/>
    <cellStyle name="Normal 2 8" xfId="557" xr:uid="{00000000-0005-0000-0000-000051020000}"/>
    <cellStyle name="Normal 2 9" xfId="558" xr:uid="{00000000-0005-0000-0000-000052020000}"/>
    <cellStyle name="Normal 20" xfId="559" xr:uid="{00000000-0005-0000-0000-000053020000}"/>
    <cellStyle name="Normal 20 2" xfId="2671" xr:uid="{00000000-0005-0000-0000-000054020000}"/>
    <cellStyle name="Normal 21" xfId="560" xr:uid="{00000000-0005-0000-0000-000055020000}"/>
    <cellStyle name="Normal 21 2" xfId="2672" xr:uid="{00000000-0005-0000-0000-000056020000}"/>
    <cellStyle name="Normal 22" xfId="561" xr:uid="{00000000-0005-0000-0000-000057020000}"/>
    <cellStyle name="Normal 22 2" xfId="2673" xr:uid="{00000000-0005-0000-0000-000058020000}"/>
    <cellStyle name="Normal 23" xfId="562" xr:uid="{00000000-0005-0000-0000-000059020000}"/>
    <cellStyle name="Normal 23 2" xfId="2674" xr:uid="{00000000-0005-0000-0000-00005A020000}"/>
    <cellStyle name="Normal 24" xfId="563" xr:uid="{00000000-0005-0000-0000-00005B020000}"/>
    <cellStyle name="Normal 24 2" xfId="2675" xr:uid="{00000000-0005-0000-0000-00005C020000}"/>
    <cellStyle name="Normal 25" xfId="564" xr:uid="{00000000-0005-0000-0000-00005D020000}"/>
    <cellStyle name="Normal 25 2" xfId="2676" xr:uid="{00000000-0005-0000-0000-00005E020000}"/>
    <cellStyle name="Normal 26" xfId="565" xr:uid="{00000000-0005-0000-0000-00005F020000}"/>
    <cellStyle name="Normal 26 2" xfId="2677" xr:uid="{00000000-0005-0000-0000-000060020000}"/>
    <cellStyle name="Normal 27" xfId="566" xr:uid="{00000000-0005-0000-0000-000061020000}"/>
    <cellStyle name="Normal 27 2" xfId="2678" xr:uid="{00000000-0005-0000-0000-000062020000}"/>
    <cellStyle name="Normal 28" xfId="567" xr:uid="{00000000-0005-0000-0000-000063020000}"/>
    <cellStyle name="Normal 28 2" xfId="2679" xr:uid="{00000000-0005-0000-0000-000064020000}"/>
    <cellStyle name="Normal 29" xfId="568" xr:uid="{00000000-0005-0000-0000-000065020000}"/>
    <cellStyle name="Normal 29 2" xfId="2680" xr:uid="{00000000-0005-0000-0000-000066020000}"/>
    <cellStyle name="Normal 3" xfId="17" xr:uid="{00000000-0005-0000-0000-000067020000}"/>
    <cellStyle name="Normal 3 10" xfId="569" xr:uid="{00000000-0005-0000-0000-000068020000}"/>
    <cellStyle name="Normal 3 11" xfId="570" xr:uid="{00000000-0005-0000-0000-000069020000}"/>
    <cellStyle name="Normal 3 12" xfId="571" xr:uid="{00000000-0005-0000-0000-00006A020000}"/>
    <cellStyle name="Normal 3 13" xfId="572" xr:uid="{00000000-0005-0000-0000-00006B020000}"/>
    <cellStyle name="Normal 3 14" xfId="573" xr:uid="{00000000-0005-0000-0000-00006C020000}"/>
    <cellStyle name="Normal 3 15" xfId="574" xr:uid="{00000000-0005-0000-0000-00006D020000}"/>
    <cellStyle name="Normal 3 16" xfId="575" xr:uid="{00000000-0005-0000-0000-00006E020000}"/>
    <cellStyle name="Normal 3 17" xfId="576" xr:uid="{00000000-0005-0000-0000-00006F020000}"/>
    <cellStyle name="Normal 3 18" xfId="577" xr:uid="{00000000-0005-0000-0000-000070020000}"/>
    <cellStyle name="Normal 3 19" xfId="578" xr:uid="{00000000-0005-0000-0000-000071020000}"/>
    <cellStyle name="Normal 3 2" xfId="36" xr:uid="{00000000-0005-0000-0000-000072020000}"/>
    <cellStyle name="Normal 3 2 10" xfId="579" xr:uid="{00000000-0005-0000-0000-000073020000}"/>
    <cellStyle name="Normal 3 2 2" xfId="580" xr:uid="{00000000-0005-0000-0000-000074020000}"/>
    <cellStyle name="Normal 3 2 3" xfId="581" xr:uid="{00000000-0005-0000-0000-000075020000}"/>
    <cellStyle name="Normal 3 2 4" xfId="582" xr:uid="{00000000-0005-0000-0000-000076020000}"/>
    <cellStyle name="Normal 3 2 5" xfId="583" xr:uid="{00000000-0005-0000-0000-000077020000}"/>
    <cellStyle name="Normal 3 2 6" xfId="584" xr:uid="{00000000-0005-0000-0000-000078020000}"/>
    <cellStyle name="Normal 3 2 7" xfId="585" xr:uid="{00000000-0005-0000-0000-000079020000}"/>
    <cellStyle name="Normal 3 2 8" xfId="586" xr:uid="{00000000-0005-0000-0000-00007A020000}"/>
    <cellStyle name="Normal 3 2 9" xfId="587" xr:uid="{00000000-0005-0000-0000-00007B020000}"/>
    <cellStyle name="Normal 3 20" xfId="588" xr:uid="{00000000-0005-0000-0000-00007C020000}"/>
    <cellStyle name="Normal 3 21" xfId="589" xr:uid="{00000000-0005-0000-0000-00007D020000}"/>
    <cellStyle name="Normal 3 22" xfId="590" xr:uid="{00000000-0005-0000-0000-00007E020000}"/>
    <cellStyle name="Normal 3 23" xfId="591" xr:uid="{00000000-0005-0000-0000-00007F020000}"/>
    <cellStyle name="Normal 3 24" xfId="592" xr:uid="{00000000-0005-0000-0000-000080020000}"/>
    <cellStyle name="Normal 3 25" xfId="593" xr:uid="{00000000-0005-0000-0000-000081020000}"/>
    <cellStyle name="Normal 3 26" xfId="594" xr:uid="{00000000-0005-0000-0000-000082020000}"/>
    <cellStyle name="Normal 3 27" xfId="595" xr:uid="{00000000-0005-0000-0000-000083020000}"/>
    <cellStyle name="Normal 3 28" xfId="596" xr:uid="{00000000-0005-0000-0000-000084020000}"/>
    <cellStyle name="Normal 3 29" xfId="597" xr:uid="{00000000-0005-0000-0000-000085020000}"/>
    <cellStyle name="Normal 3 3" xfId="62" xr:uid="{00000000-0005-0000-0000-000086020000}"/>
    <cellStyle name="Normal 3 30" xfId="598" xr:uid="{00000000-0005-0000-0000-000087020000}"/>
    <cellStyle name="Normal 3 31" xfId="599" xr:uid="{00000000-0005-0000-0000-000088020000}"/>
    <cellStyle name="Normal 3 32" xfId="600" xr:uid="{00000000-0005-0000-0000-000089020000}"/>
    <cellStyle name="Normal 3 33" xfId="601" xr:uid="{00000000-0005-0000-0000-00008A020000}"/>
    <cellStyle name="Normal 3 34" xfId="602" xr:uid="{00000000-0005-0000-0000-00008B020000}"/>
    <cellStyle name="Normal 3 35" xfId="603" xr:uid="{00000000-0005-0000-0000-00008C020000}"/>
    <cellStyle name="Normal 3 36" xfId="604" xr:uid="{00000000-0005-0000-0000-00008D020000}"/>
    <cellStyle name="Normal 3 37" xfId="605" xr:uid="{00000000-0005-0000-0000-00008E020000}"/>
    <cellStyle name="Normal 3 38" xfId="606" xr:uid="{00000000-0005-0000-0000-00008F020000}"/>
    <cellStyle name="Normal 3 39" xfId="607" xr:uid="{00000000-0005-0000-0000-000090020000}"/>
    <cellStyle name="Normal 3 4" xfId="608" xr:uid="{00000000-0005-0000-0000-000091020000}"/>
    <cellStyle name="Normal 3 40" xfId="609" xr:uid="{00000000-0005-0000-0000-000092020000}"/>
    <cellStyle name="Normal 3 41" xfId="610" xr:uid="{00000000-0005-0000-0000-000093020000}"/>
    <cellStyle name="Normal 3 42" xfId="126" xr:uid="{00000000-0005-0000-0000-000094020000}"/>
    <cellStyle name="Normal 3 5" xfId="611" xr:uid="{00000000-0005-0000-0000-000095020000}"/>
    <cellStyle name="Normal 3 6" xfId="612" xr:uid="{00000000-0005-0000-0000-000096020000}"/>
    <cellStyle name="Normal 3 7" xfId="613" xr:uid="{00000000-0005-0000-0000-000097020000}"/>
    <cellStyle name="Normal 3 8" xfId="614" xr:uid="{00000000-0005-0000-0000-000098020000}"/>
    <cellStyle name="Normal 3 9" xfId="615" xr:uid="{00000000-0005-0000-0000-000099020000}"/>
    <cellStyle name="Normal 30" xfId="616" xr:uid="{00000000-0005-0000-0000-00009A020000}"/>
    <cellStyle name="Normal 30 10" xfId="617" xr:uid="{00000000-0005-0000-0000-00009B020000}"/>
    <cellStyle name="Normal 30 11" xfId="618" xr:uid="{00000000-0005-0000-0000-00009C020000}"/>
    <cellStyle name="Normal 30 12" xfId="619" xr:uid="{00000000-0005-0000-0000-00009D020000}"/>
    <cellStyle name="Normal 30 13" xfId="620" xr:uid="{00000000-0005-0000-0000-00009E020000}"/>
    <cellStyle name="Normal 30 14" xfId="621" xr:uid="{00000000-0005-0000-0000-00009F020000}"/>
    <cellStyle name="Normal 30 15" xfId="622" xr:uid="{00000000-0005-0000-0000-0000A0020000}"/>
    <cellStyle name="Normal 30 16" xfId="623" xr:uid="{00000000-0005-0000-0000-0000A1020000}"/>
    <cellStyle name="Normal 30 17" xfId="624" xr:uid="{00000000-0005-0000-0000-0000A2020000}"/>
    <cellStyle name="Normal 30 18" xfId="625" xr:uid="{00000000-0005-0000-0000-0000A3020000}"/>
    <cellStyle name="Normal 30 19" xfId="626" xr:uid="{00000000-0005-0000-0000-0000A4020000}"/>
    <cellStyle name="Normal 30 2" xfId="627" xr:uid="{00000000-0005-0000-0000-0000A5020000}"/>
    <cellStyle name="Normal 30 20" xfId="628" xr:uid="{00000000-0005-0000-0000-0000A6020000}"/>
    <cellStyle name="Normal 30 21" xfId="629" xr:uid="{00000000-0005-0000-0000-0000A7020000}"/>
    <cellStyle name="Normal 30 22" xfId="630" xr:uid="{00000000-0005-0000-0000-0000A8020000}"/>
    <cellStyle name="Normal 30 23" xfId="631" xr:uid="{00000000-0005-0000-0000-0000A9020000}"/>
    <cellStyle name="Normal 30 24" xfId="632" xr:uid="{00000000-0005-0000-0000-0000AA020000}"/>
    <cellStyle name="Normal 30 25" xfId="633" xr:uid="{00000000-0005-0000-0000-0000AB020000}"/>
    <cellStyle name="Normal 30 26" xfId="634" xr:uid="{00000000-0005-0000-0000-0000AC020000}"/>
    <cellStyle name="Normal 30 27" xfId="635" xr:uid="{00000000-0005-0000-0000-0000AD020000}"/>
    <cellStyle name="Normal 30 28" xfId="636" xr:uid="{00000000-0005-0000-0000-0000AE020000}"/>
    <cellStyle name="Normal 30 29" xfId="637" xr:uid="{00000000-0005-0000-0000-0000AF020000}"/>
    <cellStyle name="Normal 30 3" xfId="638" xr:uid="{00000000-0005-0000-0000-0000B0020000}"/>
    <cellStyle name="Normal 30 30" xfId="639" xr:uid="{00000000-0005-0000-0000-0000B1020000}"/>
    <cellStyle name="Normal 30 31" xfId="640" xr:uid="{00000000-0005-0000-0000-0000B2020000}"/>
    <cellStyle name="Normal 30 32" xfId="641" xr:uid="{00000000-0005-0000-0000-0000B3020000}"/>
    <cellStyle name="Normal 30 33" xfId="642" xr:uid="{00000000-0005-0000-0000-0000B4020000}"/>
    <cellStyle name="Normal 30 34" xfId="643" xr:uid="{00000000-0005-0000-0000-0000B5020000}"/>
    <cellStyle name="Normal 30 35" xfId="644" xr:uid="{00000000-0005-0000-0000-0000B6020000}"/>
    <cellStyle name="Normal 30 36" xfId="645" xr:uid="{00000000-0005-0000-0000-0000B7020000}"/>
    <cellStyle name="Normal 30 37" xfId="646" xr:uid="{00000000-0005-0000-0000-0000B8020000}"/>
    <cellStyle name="Normal 30 38" xfId="647" xr:uid="{00000000-0005-0000-0000-0000B9020000}"/>
    <cellStyle name="Normal 30 39" xfId="648" xr:uid="{00000000-0005-0000-0000-0000BA020000}"/>
    <cellStyle name="Normal 30 4" xfId="649" xr:uid="{00000000-0005-0000-0000-0000BB020000}"/>
    <cellStyle name="Normal 30 40" xfId="650" xr:uid="{00000000-0005-0000-0000-0000BC020000}"/>
    <cellStyle name="Normal 30 41" xfId="651" xr:uid="{00000000-0005-0000-0000-0000BD020000}"/>
    <cellStyle name="Normal 30 42" xfId="652" xr:uid="{00000000-0005-0000-0000-0000BE020000}"/>
    <cellStyle name="Normal 30 43" xfId="653" xr:uid="{00000000-0005-0000-0000-0000BF020000}"/>
    <cellStyle name="Normal 30 44" xfId="654" xr:uid="{00000000-0005-0000-0000-0000C0020000}"/>
    <cellStyle name="Normal 30 45" xfId="655" xr:uid="{00000000-0005-0000-0000-0000C1020000}"/>
    <cellStyle name="Normal 30 46" xfId="656" xr:uid="{00000000-0005-0000-0000-0000C2020000}"/>
    <cellStyle name="Normal 30 47" xfId="657" xr:uid="{00000000-0005-0000-0000-0000C3020000}"/>
    <cellStyle name="Normal 30 48" xfId="658" xr:uid="{00000000-0005-0000-0000-0000C4020000}"/>
    <cellStyle name="Normal 30 49" xfId="659" xr:uid="{00000000-0005-0000-0000-0000C5020000}"/>
    <cellStyle name="Normal 30 5" xfId="660" xr:uid="{00000000-0005-0000-0000-0000C6020000}"/>
    <cellStyle name="Normal 30 50" xfId="661" xr:uid="{00000000-0005-0000-0000-0000C7020000}"/>
    <cellStyle name="Normal 30 51" xfId="662" xr:uid="{00000000-0005-0000-0000-0000C8020000}"/>
    <cellStyle name="Normal 30 52" xfId="663" xr:uid="{00000000-0005-0000-0000-0000C9020000}"/>
    <cellStyle name="Normal 30 53" xfId="664" xr:uid="{00000000-0005-0000-0000-0000CA020000}"/>
    <cellStyle name="Normal 30 54" xfId="665" xr:uid="{00000000-0005-0000-0000-0000CB020000}"/>
    <cellStyle name="Normal 30 55" xfId="666" xr:uid="{00000000-0005-0000-0000-0000CC020000}"/>
    <cellStyle name="Normal 30 56" xfId="667" xr:uid="{00000000-0005-0000-0000-0000CD020000}"/>
    <cellStyle name="Normal 30 57" xfId="668" xr:uid="{00000000-0005-0000-0000-0000CE020000}"/>
    <cellStyle name="Normal 30 58" xfId="669" xr:uid="{00000000-0005-0000-0000-0000CF020000}"/>
    <cellStyle name="Normal 30 59" xfId="670" xr:uid="{00000000-0005-0000-0000-0000D0020000}"/>
    <cellStyle name="Normal 30 6" xfId="671" xr:uid="{00000000-0005-0000-0000-0000D1020000}"/>
    <cellStyle name="Normal 30 60" xfId="672" xr:uid="{00000000-0005-0000-0000-0000D2020000}"/>
    <cellStyle name="Normal 30 61" xfId="673" xr:uid="{00000000-0005-0000-0000-0000D3020000}"/>
    <cellStyle name="Normal 30 62" xfId="674" xr:uid="{00000000-0005-0000-0000-0000D4020000}"/>
    <cellStyle name="Normal 30 63" xfId="675" xr:uid="{00000000-0005-0000-0000-0000D5020000}"/>
    <cellStyle name="Normal 30 64" xfId="676" xr:uid="{00000000-0005-0000-0000-0000D6020000}"/>
    <cellStyle name="Normal 30 65" xfId="677" xr:uid="{00000000-0005-0000-0000-0000D7020000}"/>
    <cellStyle name="Normal 30 66" xfId="678" xr:uid="{00000000-0005-0000-0000-0000D8020000}"/>
    <cellStyle name="Normal 30 67" xfId="679" xr:uid="{00000000-0005-0000-0000-0000D9020000}"/>
    <cellStyle name="Normal 30 68" xfId="680" xr:uid="{00000000-0005-0000-0000-0000DA020000}"/>
    <cellStyle name="Normal 30 69" xfId="681" xr:uid="{00000000-0005-0000-0000-0000DB020000}"/>
    <cellStyle name="Normal 30 7" xfId="682" xr:uid="{00000000-0005-0000-0000-0000DC020000}"/>
    <cellStyle name="Normal 30 70" xfId="683" xr:uid="{00000000-0005-0000-0000-0000DD020000}"/>
    <cellStyle name="Normal 30 71" xfId="684" xr:uid="{00000000-0005-0000-0000-0000DE020000}"/>
    <cellStyle name="Normal 30 72" xfId="685" xr:uid="{00000000-0005-0000-0000-0000DF020000}"/>
    <cellStyle name="Normal 30 73" xfId="686" xr:uid="{00000000-0005-0000-0000-0000E0020000}"/>
    <cellStyle name="Normal 30 74" xfId="687" xr:uid="{00000000-0005-0000-0000-0000E1020000}"/>
    <cellStyle name="Normal 30 75" xfId="688" xr:uid="{00000000-0005-0000-0000-0000E2020000}"/>
    <cellStyle name="Normal 30 76" xfId="689" xr:uid="{00000000-0005-0000-0000-0000E3020000}"/>
    <cellStyle name="Normal 30 77" xfId="690" xr:uid="{00000000-0005-0000-0000-0000E4020000}"/>
    <cellStyle name="Normal 30 78" xfId="691" xr:uid="{00000000-0005-0000-0000-0000E5020000}"/>
    <cellStyle name="Normal 30 79" xfId="692" xr:uid="{00000000-0005-0000-0000-0000E6020000}"/>
    <cellStyle name="Normal 30 8" xfId="693" xr:uid="{00000000-0005-0000-0000-0000E7020000}"/>
    <cellStyle name="Normal 30 80" xfId="694" xr:uid="{00000000-0005-0000-0000-0000E8020000}"/>
    <cellStyle name="Normal 30 81" xfId="695" xr:uid="{00000000-0005-0000-0000-0000E9020000}"/>
    <cellStyle name="Normal 30 82" xfId="696" xr:uid="{00000000-0005-0000-0000-0000EA020000}"/>
    <cellStyle name="Normal 30 83" xfId="697" xr:uid="{00000000-0005-0000-0000-0000EB020000}"/>
    <cellStyle name="Normal 30 84" xfId="698" xr:uid="{00000000-0005-0000-0000-0000EC020000}"/>
    <cellStyle name="Normal 30 85" xfId="699" xr:uid="{00000000-0005-0000-0000-0000ED020000}"/>
    <cellStyle name="Normal 30 86" xfId="700" xr:uid="{00000000-0005-0000-0000-0000EE020000}"/>
    <cellStyle name="Normal 30 87" xfId="701" xr:uid="{00000000-0005-0000-0000-0000EF020000}"/>
    <cellStyle name="Normal 30 88" xfId="702" xr:uid="{00000000-0005-0000-0000-0000F0020000}"/>
    <cellStyle name="Normal 30 89" xfId="703" xr:uid="{00000000-0005-0000-0000-0000F1020000}"/>
    <cellStyle name="Normal 30 9" xfId="704" xr:uid="{00000000-0005-0000-0000-0000F2020000}"/>
    <cellStyle name="Normal 31" xfId="705" xr:uid="{00000000-0005-0000-0000-0000F3020000}"/>
    <cellStyle name="Normal 31 2" xfId="2681" xr:uid="{00000000-0005-0000-0000-0000F4020000}"/>
    <cellStyle name="Normal 32" xfId="706" xr:uid="{00000000-0005-0000-0000-0000F5020000}"/>
    <cellStyle name="Normal 32 2" xfId="2682" xr:uid="{00000000-0005-0000-0000-0000F6020000}"/>
    <cellStyle name="Normal 33" xfId="707" xr:uid="{00000000-0005-0000-0000-0000F7020000}"/>
    <cellStyle name="Normal 33 2" xfId="2683" xr:uid="{00000000-0005-0000-0000-0000F8020000}"/>
    <cellStyle name="Normal 34" xfId="708" xr:uid="{00000000-0005-0000-0000-0000F9020000}"/>
    <cellStyle name="Normal 34 2" xfId="2684" xr:uid="{00000000-0005-0000-0000-0000FA020000}"/>
    <cellStyle name="Normal 35" xfId="709" xr:uid="{00000000-0005-0000-0000-0000FB020000}"/>
    <cellStyle name="Normal 35 10" xfId="710" xr:uid="{00000000-0005-0000-0000-0000FC020000}"/>
    <cellStyle name="Normal 35 11" xfId="711" xr:uid="{00000000-0005-0000-0000-0000FD020000}"/>
    <cellStyle name="Normal 35 12" xfId="712" xr:uid="{00000000-0005-0000-0000-0000FE020000}"/>
    <cellStyle name="Normal 35 13" xfId="713" xr:uid="{00000000-0005-0000-0000-0000FF020000}"/>
    <cellStyle name="Normal 35 14" xfId="714" xr:uid="{00000000-0005-0000-0000-000000030000}"/>
    <cellStyle name="Normal 35 15" xfId="715" xr:uid="{00000000-0005-0000-0000-000001030000}"/>
    <cellStyle name="Normal 35 16" xfId="716" xr:uid="{00000000-0005-0000-0000-000002030000}"/>
    <cellStyle name="Normal 35 17" xfId="717" xr:uid="{00000000-0005-0000-0000-000003030000}"/>
    <cellStyle name="Normal 35 18" xfId="718" xr:uid="{00000000-0005-0000-0000-000004030000}"/>
    <cellStyle name="Normal 35 19" xfId="719" xr:uid="{00000000-0005-0000-0000-000005030000}"/>
    <cellStyle name="Normal 35 2" xfId="720" xr:uid="{00000000-0005-0000-0000-000006030000}"/>
    <cellStyle name="Normal 35 20" xfId="721" xr:uid="{00000000-0005-0000-0000-000007030000}"/>
    <cellStyle name="Normal 35 21" xfId="722" xr:uid="{00000000-0005-0000-0000-000008030000}"/>
    <cellStyle name="Normal 35 22" xfId="723" xr:uid="{00000000-0005-0000-0000-000009030000}"/>
    <cellStyle name="Normal 35 23" xfId="724" xr:uid="{00000000-0005-0000-0000-00000A030000}"/>
    <cellStyle name="Normal 35 24" xfId="725" xr:uid="{00000000-0005-0000-0000-00000B030000}"/>
    <cellStyle name="Normal 35 25" xfId="726" xr:uid="{00000000-0005-0000-0000-00000C030000}"/>
    <cellStyle name="Normal 35 26" xfId="727" xr:uid="{00000000-0005-0000-0000-00000D030000}"/>
    <cellStyle name="Normal 35 27" xfId="728" xr:uid="{00000000-0005-0000-0000-00000E030000}"/>
    <cellStyle name="Normal 35 28" xfId="729" xr:uid="{00000000-0005-0000-0000-00000F030000}"/>
    <cellStyle name="Normal 35 29" xfId="730" xr:uid="{00000000-0005-0000-0000-000010030000}"/>
    <cellStyle name="Normal 35 3" xfId="731" xr:uid="{00000000-0005-0000-0000-000011030000}"/>
    <cellStyle name="Normal 35 30" xfId="732" xr:uid="{00000000-0005-0000-0000-000012030000}"/>
    <cellStyle name="Normal 35 31" xfId="733" xr:uid="{00000000-0005-0000-0000-000013030000}"/>
    <cellStyle name="Normal 35 32" xfId="734" xr:uid="{00000000-0005-0000-0000-000014030000}"/>
    <cellStyle name="Normal 35 33" xfId="735" xr:uid="{00000000-0005-0000-0000-000015030000}"/>
    <cellStyle name="Normal 35 34" xfId="736" xr:uid="{00000000-0005-0000-0000-000016030000}"/>
    <cellStyle name="Normal 35 35" xfId="737" xr:uid="{00000000-0005-0000-0000-000017030000}"/>
    <cellStyle name="Normal 35 36" xfId="738" xr:uid="{00000000-0005-0000-0000-000018030000}"/>
    <cellStyle name="Normal 35 37" xfId="739" xr:uid="{00000000-0005-0000-0000-000019030000}"/>
    <cellStyle name="Normal 35 38" xfId="740" xr:uid="{00000000-0005-0000-0000-00001A030000}"/>
    <cellStyle name="Normal 35 39" xfId="741" xr:uid="{00000000-0005-0000-0000-00001B030000}"/>
    <cellStyle name="Normal 35 4" xfId="742" xr:uid="{00000000-0005-0000-0000-00001C030000}"/>
    <cellStyle name="Normal 35 40" xfId="743" xr:uid="{00000000-0005-0000-0000-00001D030000}"/>
    <cellStyle name="Normal 35 41" xfId="744" xr:uid="{00000000-0005-0000-0000-00001E030000}"/>
    <cellStyle name="Normal 35 42" xfId="745" xr:uid="{00000000-0005-0000-0000-00001F030000}"/>
    <cellStyle name="Normal 35 43" xfId="746" xr:uid="{00000000-0005-0000-0000-000020030000}"/>
    <cellStyle name="Normal 35 44" xfId="747" xr:uid="{00000000-0005-0000-0000-000021030000}"/>
    <cellStyle name="Normal 35 45" xfId="748" xr:uid="{00000000-0005-0000-0000-000022030000}"/>
    <cellStyle name="Normal 35 46" xfId="749" xr:uid="{00000000-0005-0000-0000-000023030000}"/>
    <cellStyle name="Normal 35 47" xfId="750" xr:uid="{00000000-0005-0000-0000-000024030000}"/>
    <cellStyle name="Normal 35 48" xfId="751" xr:uid="{00000000-0005-0000-0000-000025030000}"/>
    <cellStyle name="Normal 35 49" xfId="752" xr:uid="{00000000-0005-0000-0000-000026030000}"/>
    <cellStyle name="Normal 35 5" xfId="753" xr:uid="{00000000-0005-0000-0000-000027030000}"/>
    <cellStyle name="Normal 35 50" xfId="754" xr:uid="{00000000-0005-0000-0000-000028030000}"/>
    <cellStyle name="Normal 35 51" xfId="755" xr:uid="{00000000-0005-0000-0000-000029030000}"/>
    <cellStyle name="Normal 35 52" xfId="756" xr:uid="{00000000-0005-0000-0000-00002A030000}"/>
    <cellStyle name="Normal 35 53" xfId="757" xr:uid="{00000000-0005-0000-0000-00002B030000}"/>
    <cellStyle name="Normal 35 54" xfId="758" xr:uid="{00000000-0005-0000-0000-00002C030000}"/>
    <cellStyle name="Normal 35 55" xfId="759" xr:uid="{00000000-0005-0000-0000-00002D030000}"/>
    <cellStyle name="Normal 35 56" xfId="760" xr:uid="{00000000-0005-0000-0000-00002E030000}"/>
    <cellStyle name="Normal 35 57" xfId="761" xr:uid="{00000000-0005-0000-0000-00002F030000}"/>
    <cellStyle name="Normal 35 58" xfId="762" xr:uid="{00000000-0005-0000-0000-000030030000}"/>
    <cellStyle name="Normal 35 59" xfId="763" xr:uid="{00000000-0005-0000-0000-000031030000}"/>
    <cellStyle name="Normal 35 6" xfId="764" xr:uid="{00000000-0005-0000-0000-000032030000}"/>
    <cellStyle name="Normal 35 60" xfId="765" xr:uid="{00000000-0005-0000-0000-000033030000}"/>
    <cellStyle name="Normal 35 61" xfId="766" xr:uid="{00000000-0005-0000-0000-000034030000}"/>
    <cellStyle name="Normal 35 62" xfId="767" xr:uid="{00000000-0005-0000-0000-000035030000}"/>
    <cellStyle name="Normal 35 63" xfId="768" xr:uid="{00000000-0005-0000-0000-000036030000}"/>
    <cellStyle name="Normal 35 64" xfId="769" xr:uid="{00000000-0005-0000-0000-000037030000}"/>
    <cellStyle name="Normal 35 65" xfId="770" xr:uid="{00000000-0005-0000-0000-000038030000}"/>
    <cellStyle name="Normal 35 66" xfId="771" xr:uid="{00000000-0005-0000-0000-000039030000}"/>
    <cellStyle name="Normal 35 67" xfId="772" xr:uid="{00000000-0005-0000-0000-00003A030000}"/>
    <cellStyle name="Normal 35 68" xfId="773" xr:uid="{00000000-0005-0000-0000-00003B030000}"/>
    <cellStyle name="Normal 35 69" xfId="774" xr:uid="{00000000-0005-0000-0000-00003C030000}"/>
    <cellStyle name="Normal 35 7" xfId="775" xr:uid="{00000000-0005-0000-0000-00003D030000}"/>
    <cellStyle name="Normal 35 70" xfId="776" xr:uid="{00000000-0005-0000-0000-00003E030000}"/>
    <cellStyle name="Normal 35 71" xfId="777" xr:uid="{00000000-0005-0000-0000-00003F030000}"/>
    <cellStyle name="Normal 35 72" xfId="778" xr:uid="{00000000-0005-0000-0000-000040030000}"/>
    <cellStyle name="Normal 35 73" xfId="779" xr:uid="{00000000-0005-0000-0000-000041030000}"/>
    <cellStyle name="Normal 35 74" xfId="780" xr:uid="{00000000-0005-0000-0000-000042030000}"/>
    <cellStyle name="Normal 35 75" xfId="781" xr:uid="{00000000-0005-0000-0000-000043030000}"/>
    <cellStyle name="Normal 35 76" xfId="782" xr:uid="{00000000-0005-0000-0000-000044030000}"/>
    <cellStyle name="Normal 35 77" xfId="783" xr:uid="{00000000-0005-0000-0000-000045030000}"/>
    <cellStyle name="Normal 35 78" xfId="784" xr:uid="{00000000-0005-0000-0000-000046030000}"/>
    <cellStyle name="Normal 35 79" xfId="785" xr:uid="{00000000-0005-0000-0000-000047030000}"/>
    <cellStyle name="Normal 35 8" xfId="786" xr:uid="{00000000-0005-0000-0000-000048030000}"/>
    <cellStyle name="Normal 35 80" xfId="787" xr:uid="{00000000-0005-0000-0000-000049030000}"/>
    <cellStyle name="Normal 35 81" xfId="788" xr:uid="{00000000-0005-0000-0000-00004A030000}"/>
    <cellStyle name="Normal 35 82" xfId="789" xr:uid="{00000000-0005-0000-0000-00004B030000}"/>
    <cellStyle name="Normal 35 83" xfId="790" xr:uid="{00000000-0005-0000-0000-00004C030000}"/>
    <cellStyle name="Normal 35 84" xfId="791" xr:uid="{00000000-0005-0000-0000-00004D030000}"/>
    <cellStyle name="Normal 35 85" xfId="792" xr:uid="{00000000-0005-0000-0000-00004E030000}"/>
    <cellStyle name="Normal 35 86" xfId="793" xr:uid="{00000000-0005-0000-0000-00004F030000}"/>
    <cellStyle name="Normal 35 87" xfId="794" xr:uid="{00000000-0005-0000-0000-000050030000}"/>
    <cellStyle name="Normal 35 88" xfId="795" xr:uid="{00000000-0005-0000-0000-000051030000}"/>
    <cellStyle name="Normal 35 89" xfId="796" xr:uid="{00000000-0005-0000-0000-000052030000}"/>
    <cellStyle name="Normal 35 9" xfId="797" xr:uid="{00000000-0005-0000-0000-000053030000}"/>
    <cellStyle name="Normal 36" xfId="798" xr:uid="{00000000-0005-0000-0000-000054030000}"/>
    <cellStyle name="Normal 36 10" xfId="799" xr:uid="{00000000-0005-0000-0000-000055030000}"/>
    <cellStyle name="Normal 36 11" xfId="800" xr:uid="{00000000-0005-0000-0000-000056030000}"/>
    <cellStyle name="Normal 36 12" xfId="801" xr:uid="{00000000-0005-0000-0000-000057030000}"/>
    <cellStyle name="Normal 36 13" xfId="802" xr:uid="{00000000-0005-0000-0000-000058030000}"/>
    <cellStyle name="Normal 36 14" xfId="803" xr:uid="{00000000-0005-0000-0000-000059030000}"/>
    <cellStyle name="Normal 36 15" xfId="804" xr:uid="{00000000-0005-0000-0000-00005A030000}"/>
    <cellStyle name="Normal 36 16" xfId="805" xr:uid="{00000000-0005-0000-0000-00005B030000}"/>
    <cellStyle name="Normal 36 17" xfId="806" xr:uid="{00000000-0005-0000-0000-00005C030000}"/>
    <cellStyle name="Normal 36 18" xfId="807" xr:uid="{00000000-0005-0000-0000-00005D030000}"/>
    <cellStyle name="Normal 36 19" xfId="808" xr:uid="{00000000-0005-0000-0000-00005E030000}"/>
    <cellStyle name="Normal 36 2" xfId="809" xr:uid="{00000000-0005-0000-0000-00005F030000}"/>
    <cellStyle name="Normal 36 20" xfId="810" xr:uid="{00000000-0005-0000-0000-000060030000}"/>
    <cellStyle name="Normal 36 21" xfId="811" xr:uid="{00000000-0005-0000-0000-000061030000}"/>
    <cellStyle name="Normal 36 22" xfId="812" xr:uid="{00000000-0005-0000-0000-000062030000}"/>
    <cellStyle name="Normal 36 23" xfId="813" xr:uid="{00000000-0005-0000-0000-000063030000}"/>
    <cellStyle name="Normal 36 24" xfId="814" xr:uid="{00000000-0005-0000-0000-000064030000}"/>
    <cellStyle name="Normal 36 25" xfId="815" xr:uid="{00000000-0005-0000-0000-000065030000}"/>
    <cellStyle name="Normal 36 26" xfId="816" xr:uid="{00000000-0005-0000-0000-000066030000}"/>
    <cellStyle name="Normal 36 27" xfId="817" xr:uid="{00000000-0005-0000-0000-000067030000}"/>
    <cellStyle name="Normal 36 28" xfId="818" xr:uid="{00000000-0005-0000-0000-000068030000}"/>
    <cellStyle name="Normal 36 29" xfId="819" xr:uid="{00000000-0005-0000-0000-000069030000}"/>
    <cellStyle name="Normal 36 3" xfId="820" xr:uid="{00000000-0005-0000-0000-00006A030000}"/>
    <cellStyle name="Normal 36 30" xfId="821" xr:uid="{00000000-0005-0000-0000-00006B030000}"/>
    <cellStyle name="Normal 36 31" xfId="822" xr:uid="{00000000-0005-0000-0000-00006C030000}"/>
    <cellStyle name="Normal 36 32" xfId="823" xr:uid="{00000000-0005-0000-0000-00006D030000}"/>
    <cellStyle name="Normal 36 33" xfId="824" xr:uid="{00000000-0005-0000-0000-00006E030000}"/>
    <cellStyle name="Normal 36 34" xfId="825" xr:uid="{00000000-0005-0000-0000-00006F030000}"/>
    <cellStyle name="Normal 36 35" xfId="826" xr:uid="{00000000-0005-0000-0000-000070030000}"/>
    <cellStyle name="Normal 36 36" xfId="827" xr:uid="{00000000-0005-0000-0000-000071030000}"/>
    <cellStyle name="Normal 36 37" xfId="828" xr:uid="{00000000-0005-0000-0000-000072030000}"/>
    <cellStyle name="Normal 36 38" xfId="829" xr:uid="{00000000-0005-0000-0000-000073030000}"/>
    <cellStyle name="Normal 36 39" xfId="830" xr:uid="{00000000-0005-0000-0000-000074030000}"/>
    <cellStyle name="Normal 36 4" xfId="831" xr:uid="{00000000-0005-0000-0000-000075030000}"/>
    <cellStyle name="Normal 36 40" xfId="832" xr:uid="{00000000-0005-0000-0000-000076030000}"/>
    <cellStyle name="Normal 36 41" xfId="833" xr:uid="{00000000-0005-0000-0000-000077030000}"/>
    <cellStyle name="Normal 36 42" xfId="834" xr:uid="{00000000-0005-0000-0000-000078030000}"/>
    <cellStyle name="Normal 36 43" xfId="835" xr:uid="{00000000-0005-0000-0000-000079030000}"/>
    <cellStyle name="Normal 36 44" xfId="836" xr:uid="{00000000-0005-0000-0000-00007A030000}"/>
    <cellStyle name="Normal 36 45" xfId="837" xr:uid="{00000000-0005-0000-0000-00007B030000}"/>
    <cellStyle name="Normal 36 46" xfId="838" xr:uid="{00000000-0005-0000-0000-00007C030000}"/>
    <cellStyle name="Normal 36 47" xfId="839" xr:uid="{00000000-0005-0000-0000-00007D030000}"/>
    <cellStyle name="Normal 36 48" xfId="840" xr:uid="{00000000-0005-0000-0000-00007E030000}"/>
    <cellStyle name="Normal 36 49" xfId="841" xr:uid="{00000000-0005-0000-0000-00007F030000}"/>
    <cellStyle name="Normal 36 5" xfId="842" xr:uid="{00000000-0005-0000-0000-000080030000}"/>
    <cellStyle name="Normal 36 50" xfId="843" xr:uid="{00000000-0005-0000-0000-000081030000}"/>
    <cellStyle name="Normal 36 51" xfId="844" xr:uid="{00000000-0005-0000-0000-000082030000}"/>
    <cellStyle name="Normal 36 52" xfId="845" xr:uid="{00000000-0005-0000-0000-000083030000}"/>
    <cellStyle name="Normal 36 53" xfId="846" xr:uid="{00000000-0005-0000-0000-000084030000}"/>
    <cellStyle name="Normal 36 54" xfId="847" xr:uid="{00000000-0005-0000-0000-000085030000}"/>
    <cellStyle name="Normal 36 55" xfId="848" xr:uid="{00000000-0005-0000-0000-000086030000}"/>
    <cellStyle name="Normal 36 56" xfId="849" xr:uid="{00000000-0005-0000-0000-000087030000}"/>
    <cellStyle name="Normal 36 57" xfId="850" xr:uid="{00000000-0005-0000-0000-000088030000}"/>
    <cellStyle name="Normal 36 58" xfId="851" xr:uid="{00000000-0005-0000-0000-000089030000}"/>
    <cellStyle name="Normal 36 59" xfId="852" xr:uid="{00000000-0005-0000-0000-00008A030000}"/>
    <cellStyle name="Normal 36 6" xfId="853" xr:uid="{00000000-0005-0000-0000-00008B030000}"/>
    <cellStyle name="Normal 36 60" xfId="854" xr:uid="{00000000-0005-0000-0000-00008C030000}"/>
    <cellStyle name="Normal 36 61" xfId="855" xr:uid="{00000000-0005-0000-0000-00008D030000}"/>
    <cellStyle name="Normal 36 62" xfId="856" xr:uid="{00000000-0005-0000-0000-00008E030000}"/>
    <cellStyle name="Normal 36 63" xfId="857" xr:uid="{00000000-0005-0000-0000-00008F030000}"/>
    <cellStyle name="Normal 36 64" xfId="858" xr:uid="{00000000-0005-0000-0000-000090030000}"/>
    <cellStyle name="Normal 36 65" xfId="859" xr:uid="{00000000-0005-0000-0000-000091030000}"/>
    <cellStyle name="Normal 36 66" xfId="860" xr:uid="{00000000-0005-0000-0000-000092030000}"/>
    <cellStyle name="Normal 36 67" xfId="861" xr:uid="{00000000-0005-0000-0000-000093030000}"/>
    <cellStyle name="Normal 36 68" xfId="862" xr:uid="{00000000-0005-0000-0000-000094030000}"/>
    <cellStyle name="Normal 36 69" xfId="863" xr:uid="{00000000-0005-0000-0000-000095030000}"/>
    <cellStyle name="Normal 36 7" xfId="864" xr:uid="{00000000-0005-0000-0000-000096030000}"/>
    <cellStyle name="Normal 36 70" xfId="865" xr:uid="{00000000-0005-0000-0000-000097030000}"/>
    <cellStyle name="Normal 36 71" xfId="866" xr:uid="{00000000-0005-0000-0000-000098030000}"/>
    <cellStyle name="Normal 36 72" xfId="867" xr:uid="{00000000-0005-0000-0000-000099030000}"/>
    <cellStyle name="Normal 36 73" xfId="868" xr:uid="{00000000-0005-0000-0000-00009A030000}"/>
    <cellStyle name="Normal 36 74" xfId="869" xr:uid="{00000000-0005-0000-0000-00009B030000}"/>
    <cellStyle name="Normal 36 75" xfId="870" xr:uid="{00000000-0005-0000-0000-00009C030000}"/>
    <cellStyle name="Normal 36 76" xfId="871" xr:uid="{00000000-0005-0000-0000-00009D030000}"/>
    <cellStyle name="Normal 36 77" xfId="872" xr:uid="{00000000-0005-0000-0000-00009E030000}"/>
    <cellStyle name="Normal 36 78" xfId="873" xr:uid="{00000000-0005-0000-0000-00009F030000}"/>
    <cellStyle name="Normal 36 79" xfId="874" xr:uid="{00000000-0005-0000-0000-0000A0030000}"/>
    <cellStyle name="Normal 36 8" xfId="875" xr:uid="{00000000-0005-0000-0000-0000A1030000}"/>
    <cellStyle name="Normal 36 80" xfId="876" xr:uid="{00000000-0005-0000-0000-0000A2030000}"/>
    <cellStyle name="Normal 36 81" xfId="877" xr:uid="{00000000-0005-0000-0000-0000A3030000}"/>
    <cellStyle name="Normal 36 82" xfId="878" xr:uid="{00000000-0005-0000-0000-0000A4030000}"/>
    <cellStyle name="Normal 36 83" xfId="879" xr:uid="{00000000-0005-0000-0000-0000A5030000}"/>
    <cellStyle name="Normal 36 84" xfId="880" xr:uid="{00000000-0005-0000-0000-0000A6030000}"/>
    <cellStyle name="Normal 36 85" xfId="881" xr:uid="{00000000-0005-0000-0000-0000A7030000}"/>
    <cellStyle name="Normal 36 86" xfId="882" xr:uid="{00000000-0005-0000-0000-0000A8030000}"/>
    <cellStyle name="Normal 36 87" xfId="883" xr:uid="{00000000-0005-0000-0000-0000A9030000}"/>
    <cellStyle name="Normal 36 88" xfId="884" xr:uid="{00000000-0005-0000-0000-0000AA030000}"/>
    <cellStyle name="Normal 36 89" xfId="885" xr:uid="{00000000-0005-0000-0000-0000AB030000}"/>
    <cellStyle name="Normal 36 9" xfId="886" xr:uid="{00000000-0005-0000-0000-0000AC030000}"/>
    <cellStyle name="Normal 37" xfId="887" xr:uid="{00000000-0005-0000-0000-0000AD030000}"/>
    <cellStyle name="Normal 37 10" xfId="888" xr:uid="{00000000-0005-0000-0000-0000AE030000}"/>
    <cellStyle name="Normal 37 11" xfId="889" xr:uid="{00000000-0005-0000-0000-0000AF030000}"/>
    <cellStyle name="Normal 37 12" xfId="890" xr:uid="{00000000-0005-0000-0000-0000B0030000}"/>
    <cellStyle name="Normal 37 13" xfId="891" xr:uid="{00000000-0005-0000-0000-0000B1030000}"/>
    <cellStyle name="Normal 37 14" xfId="892" xr:uid="{00000000-0005-0000-0000-0000B2030000}"/>
    <cellStyle name="Normal 37 15" xfId="893" xr:uid="{00000000-0005-0000-0000-0000B3030000}"/>
    <cellStyle name="Normal 37 16" xfId="894" xr:uid="{00000000-0005-0000-0000-0000B4030000}"/>
    <cellStyle name="Normal 37 17" xfId="895" xr:uid="{00000000-0005-0000-0000-0000B5030000}"/>
    <cellStyle name="Normal 37 18" xfId="896" xr:uid="{00000000-0005-0000-0000-0000B6030000}"/>
    <cellStyle name="Normal 37 19" xfId="897" xr:uid="{00000000-0005-0000-0000-0000B7030000}"/>
    <cellStyle name="Normal 37 2" xfId="898" xr:uid="{00000000-0005-0000-0000-0000B8030000}"/>
    <cellStyle name="Normal 37 20" xfId="899" xr:uid="{00000000-0005-0000-0000-0000B9030000}"/>
    <cellStyle name="Normal 37 21" xfId="900" xr:uid="{00000000-0005-0000-0000-0000BA030000}"/>
    <cellStyle name="Normal 37 22" xfId="901" xr:uid="{00000000-0005-0000-0000-0000BB030000}"/>
    <cellStyle name="Normal 37 23" xfId="902" xr:uid="{00000000-0005-0000-0000-0000BC030000}"/>
    <cellStyle name="Normal 37 24" xfId="903" xr:uid="{00000000-0005-0000-0000-0000BD030000}"/>
    <cellStyle name="Normal 37 25" xfId="904" xr:uid="{00000000-0005-0000-0000-0000BE030000}"/>
    <cellStyle name="Normal 37 26" xfId="905" xr:uid="{00000000-0005-0000-0000-0000BF030000}"/>
    <cellStyle name="Normal 37 27" xfId="906" xr:uid="{00000000-0005-0000-0000-0000C0030000}"/>
    <cellStyle name="Normal 37 28" xfId="907" xr:uid="{00000000-0005-0000-0000-0000C1030000}"/>
    <cellStyle name="Normal 37 29" xfId="908" xr:uid="{00000000-0005-0000-0000-0000C2030000}"/>
    <cellStyle name="Normal 37 3" xfId="909" xr:uid="{00000000-0005-0000-0000-0000C3030000}"/>
    <cellStyle name="Normal 37 30" xfId="910" xr:uid="{00000000-0005-0000-0000-0000C4030000}"/>
    <cellStyle name="Normal 37 31" xfId="911" xr:uid="{00000000-0005-0000-0000-0000C5030000}"/>
    <cellStyle name="Normal 37 32" xfId="912" xr:uid="{00000000-0005-0000-0000-0000C6030000}"/>
    <cellStyle name="Normal 37 33" xfId="913" xr:uid="{00000000-0005-0000-0000-0000C7030000}"/>
    <cellStyle name="Normal 37 34" xfId="914" xr:uid="{00000000-0005-0000-0000-0000C8030000}"/>
    <cellStyle name="Normal 37 35" xfId="915" xr:uid="{00000000-0005-0000-0000-0000C9030000}"/>
    <cellStyle name="Normal 37 36" xfId="916" xr:uid="{00000000-0005-0000-0000-0000CA030000}"/>
    <cellStyle name="Normal 37 37" xfId="917" xr:uid="{00000000-0005-0000-0000-0000CB030000}"/>
    <cellStyle name="Normal 37 38" xfId="918" xr:uid="{00000000-0005-0000-0000-0000CC030000}"/>
    <cellStyle name="Normal 37 39" xfId="919" xr:uid="{00000000-0005-0000-0000-0000CD030000}"/>
    <cellStyle name="Normal 37 4" xfId="920" xr:uid="{00000000-0005-0000-0000-0000CE030000}"/>
    <cellStyle name="Normal 37 40" xfId="921" xr:uid="{00000000-0005-0000-0000-0000CF030000}"/>
    <cellStyle name="Normal 37 41" xfId="922" xr:uid="{00000000-0005-0000-0000-0000D0030000}"/>
    <cellStyle name="Normal 37 42" xfId="923" xr:uid="{00000000-0005-0000-0000-0000D1030000}"/>
    <cellStyle name="Normal 37 43" xfId="924" xr:uid="{00000000-0005-0000-0000-0000D2030000}"/>
    <cellStyle name="Normal 37 44" xfId="925" xr:uid="{00000000-0005-0000-0000-0000D3030000}"/>
    <cellStyle name="Normal 37 45" xfId="926" xr:uid="{00000000-0005-0000-0000-0000D4030000}"/>
    <cellStyle name="Normal 37 46" xfId="927" xr:uid="{00000000-0005-0000-0000-0000D5030000}"/>
    <cellStyle name="Normal 37 47" xfId="928" xr:uid="{00000000-0005-0000-0000-0000D6030000}"/>
    <cellStyle name="Normal 37 48" xfId="929" xr:uid="{00000000-0005-0000-0000-0000D7030000}"/>
    <cellStyle name="Normal 37 49" xfId="930" xr:uid="{00000000-0005-0000-0000-0000D8030000}"/>
    <cellStyle name="Normal 37 5" xfId="931" xr:uid="{00000000-0005-0000-0000-0000D9030000}"/>
    <cellStyle name="Normal 37 50" xfId="932" xr:uid="{00000000-0005-0000-0000-0000DA030000}"/>
    <cellStyle name="Normal 37 51" xfId="933" xr:uid="{00000000-0005-0000-0000-0000DB030000}"/>
    <cellStyle name="Normal 37 52" xfId="934" xr:uid="{00000000-0005-0000-0000-0000DC030000}"/>
    <cellStyle name="Normal 37 53" xfId="935" xr:uid="{00000000-0005-0000-0000-0000DD030000}"/>
    <cellStyle name="Normal 37 54" xfId="936" xr:uid="{00000000-0005-0000-0000-0000DE030000}"/>
    <cellStyle name="Normal 37 55" xfId="937" xr:uid="{00000000-0005-0000-0000-0000DF030000}"/>
    <cellStyle name="Normal 37 56" xfId="938" xr:uid="{00000000-0005-0000-0000-0000E0030000}"/>
    <cellStyle name="Normal 37 57" xfId="939" xr:uid="{00000000-0005-0000-0000-0000E1030000}"/>
    <cellStyle name="Normal 37 58" xfId="940" xr:uid="{00000000-0005-0000-0000-0000E2030000}"/>
    <cellStyle name="Normal 37 59" xfId="941" xr:uid="{00000000-0005-0000-0000-0000E3030000}"/>
    <cellStyle name="Normal 37 6" xfId="942" xr:uid="{00000000-0005-0000-0000-0000E4030000}"/>
    <cellStyle name="Normal 37 60" xfId="943" xr:uid="{00000000-0005-0000-0000-0000E5030000}"/>
    <cellStyle name="Normal 37 61" xfId="944" xr:uid="{00000000-0005-0000-0000-0000E6030000}"/>
    <cellStyle name="Normal 37 62" xfId="945" xr:uid="{00000000-0005-0000-0000-0000E7030000}"/>
    <cellStyle name="Normal 37 63" xfId="946" xr:uid="{00000000-0005-0000-0000-0000E8030000}"/>
    <cellStyle name="Normal 37 64" xfId="947" xr:uid="{00000000-0005-0000-0000-0000E9030000}"/>
    <cellStyle name="Normal 37 65" xfId="948" xr:uid="{00000000-0005-0000-0000-0000EA030000}"/>
    <cellStyle name="Normal 37 66" xfId="949" xr:uid="{00000000-0005-0000-0000-0000EB030000}"/>
    <cellStyle name="Normal 37 67" xfId="950" xr:uid="{00000000-0005-0000-0000-0000EC030000}"/>
    <cellStyle name="Normal 37 68" xfId="951" xr:uid="{00000000-0005-0000-0000-0000ED030000}"/>
    <cellStyle name="Normal 37 69" xfId="952" xr:uid="{00000000-0005-0000-0000-0000EE030000}"/>
    <cellStyle name="Normal 37 7" xfId="953" xr:uid="{00000000-0005-0000-0000-0000EF030000}"/>
    <cellStyle name="Normal 37 70" xfId="954" xr:uid="{00000000-0005-0000-0000-0000F0030000}"/>
    <cellStyle name="Normal 37 71" xfId="955" xr:uid="{00000000-0005-0000-0000-0000F1030000}"/>
    <cellStyle name="Normal 37 72" xfId="956" xr:uid="{00000000-0005-0000-0000-0000F2030000}"/>
    <cellStyle name="Normal 37 73" xfId="957" xr:uid="{00000000-0005-0000-0000-0000F3030000}"/>
    <cellStyle name="Normal 37 74" xfId="958" xr:uid="{00000000-0005-0000-0000-0000F4030000}"/>
    <cellStyle name="Normal 37 75" xfId="959" xr:uid="{00000000-0005-0000-0000-0000F5030000}"/>
    <cellStyle name="Normal 37 76" xfId="960" xr:uid="{00000000-0005-0000-0000-0000F6030000}"/>
    <cellStyle name="Normal 37 77" xfId="961" xr:uid="{00000000-0005-0000-0000-0000F7030000}"/>
    <cellStyle name="Normal 37 78" xfId="962" xr:uid="{00000000-0005-0000-0000-0000F8030000}"/>
    <cellStyle name="Normal 37 79" xfId="963" xr:uid="{00000000-0005-0000-0000-0000F9030000}"/>
    <cellStyle name="Normal 37 8" xfId="964" xr:uid="{00000000-0005-0000-0000-0000FA030000}"/>
    <cellStyle name="Normal 37 80" xfId="965" xr:uid="{00000000-0005-0000-0000-0000FB030000}"/>
    <cellStyle name="Normal 37 81" xfId="966" xr:uid="{00000000-0005-0000-0000-0000FC030000}"/>
    <cellStyle name="Normal 37 82" xfId="967" xr:uid="{00000000-0005-0000-0000-0000FD030000}"/>
    <cellStyle name="Normal 37 83" xfId="968" xr:uid="{00000000-0005-0000-0000-0000FE030000}"/>
    <cellStyle name="Normal 37 84" xfId="969" xr:uid="{00000000-0005-0000-0000-0000FF030000}"/>
    <cellStyle name="Normal 37 85" xfId="970" xr:uid="{00000000-0005-0000-0000-000000040000}"/>
    <cellStyle name="Normal 37 86" xfId="971" xr:uid="{00000000-0005-0000-0000-000001040000}"/>
    <cellStyle name="Normal 37 87" xfId="972" xr:uid="{00000000-0005-0000-0000-000002040000}"/>
    <cellStyle name="Normal 37 88" xfId="973" xr:uid="{00000000-0005-0000-0000-000003040000}"/>
    <cellStyle name="Normal 37 89" xfId="974" xr:uid="{00000000-0005-0000-0000-000004040000}"/>
    <cellStyle name="Normal 37 9" xfId="975" xr:uid="{00000000-0005-0000-0000-000005040000}"/>
    <cellStyle name="Normal 38" xfId="976" xr:uid="{00000000-0005-0000-0000-000006040000}"/>
    <cellStyle name="Normal 38 10" xfId="977" xr:uid="{00000000-0005-0000-0000-000007040000}"/>
    <cellStyle name="Normal 38 11" xfId="978" xr:uid="{00000000-0005-0000-0000-000008040000}"/>
    <cellStyle name="Normal 38 12" xfId="979" xr:uid="{00000000-0005-0000-0000-000009040000}"/>
    <cellStyle name="Normal 38 13" xfId="980" xr:uid="{00000000-0005-0000-0000-00000A040000}"/>
    <cellStyle name="Normal 38 14" xfId="981" xr:uid="{00000000-0005-0000-0000-00000B040000}"/>
    <cellStyle name="Normal 38 15" xfId="982" xr:uid="{00000000-0005-0000-0000-00000C040000}"/>
    <cellStyle name="Normal 38 16" xfId="983" xr:uid="{00000000-0005-0000-0000-00000D040000}"/>
    <cellStyle name="Normal 38 17" xfId="984" xr:uid="{00000000-0005-0000-0000-00000E040000}"/>
    <cellStyle name="Normal 38 18" xfId="985" xr:uid="{00000000-0005-0000-0000-00000F040000}"/>
    <cellStyle name="Normal 38 19" xfId="986" xr:uid="{00000000-0005-0000-0000-000010040000}"/>
    <cellStyle name="Normal 38 2" xfId="987" xr:uid="{00000000-0005-0000-0000-000011040000}"/>
    <cellStyle name="Normal 38 20" xfId="988" xr:uid="{00000000-0005-0000-0000-000012040000}"/>
    <cellStyle name="Normal 38 21" xfId="989" xr:uid="{00000000-0005-0000-0000-000013040000}"/>
    <cellStyle name="Normal 38 22" xfId="990" xr:uid="{00000000-0005-0000-0000-000014040000}"/>
    <cellStyle name="Normal 38 23" xfId="991" xr:uid="{00000000-0005-0000-0000-000015040000}"/>
    <cellStyle name="Normal 38 24" xfId="992" xr:uid="{00000000-0005-0000-0000-000016040000}"/>
    <cellStyle name="Normal 38 25" xfId="993" xr:uid="{00000000-0005-0000-0000-000017040000}"/>
    <cellStyle name="Normal 38 26" xfId="994" xr:uid="{00000000-0005-0000-0000-000018040000}"/>
    <cellStyle name="Normal 38 27" xfId="995" xr:uid="{00000000-0005-0000-0000-000019040000}"/>
    <cellStyle name="Normal 38 28" xfId="996" xr:uid="{00000000-0005-0000-0000-00001A040000}"/>
    <cellStyle name="Normal 38 29" xfId="997" xr:uid="{00000000-0005-0000-0000-00001B040000}"/>
    <cellStyle name="Normal 38 3" xfId="998" xr:uid="{00000000-0005-0000-0000-00001C040000}"/>
    <cellStyle name="Normal 38 30" xfId="999" xr:uid="{00000000-0005-0000-0000-00001D040000}"/>
    <cellStyle name="Normal 38 31" xfId="1000" xr:uid="{00000000-0005-0000-0000-00001E040000}"/>
    <cellStyle name="Normal 38 32" xfId="1001" xr:uid="{00000000-0005-0000-0000-00001F040000}"/>
    <cellStyle name="Normal 38 33" xfId="1002" xr:uid="{00000000-0005-0000-0000-000020040000}"/>
    <cellStyle name="Normal 38 34" xfId="1003" xr:uid="{00000000-0005-0000-0000-000021040000}"/>
    <cellStyle name="Normal 38 35" xfId="1004" xr:uid="{00000000-0005-0000-0000-000022040000}"/>
    <cellStyle name="Normal 38 36" xfId="1005" xr:uid="{00000000-0005-0000-0000-000023040000}"/>
    <cellStyle name="Normal 38 37" xfId="1006" xr:uid="{00000000-0005-0000-0000-000024040000}"/>
    <cellStyle name="Normal 38 38" xfId="1007" xr:uid="{00000000-0005-0000-0000-000025040000}"/>
    <cellStyle name="Normal 38 39" xfId="1008" xr:uid="{00000000-0005-0000-0000-000026040000}"/>
    <cellStyle name="Normal 38 4" xfId="1009" xr:uid="{00000000-0005-0000-0000-000027040000}"/>
    <cellStyle name="Normal 38 40" xfId="1010" xr:uid="{00000000-0005-0000-0000-000028040000}"/>
    <cellStyle name="Normal 38 41" xfId="1011" xr:uid="{00000000-0005-0000-0000-000029040000}"/>
    <cellStyle name="Normal 38 42" xfId="1012" xr:uid="{00000000-0005-0000-0000-00002A040000}"/>
    <cellStyle name="Normal 38 43" xfId="1013" xr:uid="{00000000-0005-0000-0000-00002B040000}"/>
    <cellStyle name="Normal 38 44" xfId="1014" xr:uid="{00000000-0005-0000-0000-00002C040000}"/>
    <cellStyle name="Normal 38 45" xfId="1015" xr:uid="{00000000-0005-0000-0000-00002D040000}"/>
    <cellStyle name="Normal 38 46" xfId="1016" xr:uid="{00000000-0005-0000-0000-00002E040000}"/>
    <cellStyle name="Normal 38 47" xfId="1017" xr:uid="{00000000-0005-0000-0000-00002F040000}"/>
    <cellStyle name="Normal 38 48" xfId="1018" xr:uid="{00000000-0005-0000-0000-000030040000}"/>
    <cellStyle name="Normal 38 49" xfId="1019" xr:uid="{00000000-0005-0000-0000-000031040000}"/>
    <cellStyle name="Normal 38 5" xfId="1020" xr:uid="{00000000-0005-0000-0000-000032040000}"/>
    <cellStyle name="Normal 38 50" xfId="1021" xr:uid="{00000000-0005-0000-0000-000033040000}"/>
    <cellStyle name="Normal 38 51" xfId="1022" xr:uid="{00000000-0005-0000-0000-000034040000}"/>
    <cellStyle name="Normal 38 52" xfId="1023" xr:uid="{00000000-0005-0000-0000-000035040000}"/>
    <cellStyle name="Normal 38 53" xfId="1024" xr:uid="{00000000-0005-0000-0000-000036040000}"/>
    <cellStyle name="Normal 38 54" xfId="1025" xr:uid="{00000000-0005-0000-0000-000037040000}"/>
    <cellStyle name="Normal 38 55" xfId="1026" xr:uid="{00000000-0005-0000-0000-000038040000}"/>
    <cellStyle name="Normal 38 56" xfId="1027" xr:uid="{00000000-0005-0000-0000-000039040000}"/>
    <cellStyle name="Normal 38 57" xfId="1028" xr:uid="{00000000-0005-0000-0000-00003A040000}"/>
    <cellStyle name="Normal 38 58" xfId="1029" xr:uid="{00000000-0005-0000-0000-00003B040000}"/>
    <cellStyle name="Normal 38 59" xfId="1030" xr:uid="{00000000-0005-0000-0000-00003C040000}"/>
    <cellStyle name="Normal 38 6" xfId="1031" xr:uid="{00000000-0005-0000-0000-00003D040000}"/>
    <cellStyle name="Normal 38 60" xfId="1032" xr:uid="{00000000-0005-0000-0000-00003E040000}"/>
    <cellStyle name="Normal 38 61" xfId="1033" xr:uid="{00000000-0005-0000-0000-00003F040000}"/>
    <cellStyle name="Normal 38 62" xfId="1034" xr:uid="{00000000-0005-0000-0000-000040040000}"/>
    <cellStyle name="Normal 38 63" xfId="1035" xr:uid="{00000000-0005-0000-0000-000041040000}"/>
    <cellStyle name="Normal 38 64" xfId="1036" xr:uid="{00000000-0005-0000-0000-000042040000}"/>
    <cellStyle name="Normal 38 65" xfId="1037" xr:uid="{00000000-0005-0000-0000-000043040000}"/>
    <cellStyle name="Normal 38 66" xfId="1038" xr:uid="{00000000-0005-0000-0000-000044040000}"/>
    <cellStyle name="Normal 38 67" xfId="1039" xr:uid="{00000000-0005-0000-0000-000045040000}"/>
    <cellStyle name="Normal 38 68" xfId="1040" xr:uid="{00000000-0005-0000-0000-000046040000}"/>
    <cellStyle name="Normal 38 69" xfId="1041" xr:uid="{00000000-0005-0000-0000-000047040000}"/>
    <cellStyle name="Normal 38 7" xfId="1042" xr:uid="{00000000-0005-0000-0000-000048040000}"/>
    <cellStyle name="Normal 38 70" xfId="1043" xr:uid="{00000000-0005-0000-0000-000049040000}"/>
    <cellStyle name="Normal 38 71" xfId="1044" xr:uid="{00000000-0005-0000-0000-00004A040000}"/>
    <cellStyle name="Normal 38 72" xfId="1045" xr:uid="{00000000-0005-0000-0000-00004B040000}"/>
    <cellStyle name="Normal 38 73" xfId="1046" xr:uid="{00000000-0005-0000-0000-00004C040000}"/>
    <cellStyle name="Normal 38 74" xfId="1047" xr:uid="{00000000-0005-0000-0000-00004D040000}"/>
    <cellStyle name="Normal 38 75" xfId="1048" xr:uid="{00000000-0005-0000-0000-00004E040000}"/>
    <cellStyle name="Normal 38 76" xfId="1049" xr:uid="{00000000-0005-0000-0000-00004F040000}"/>
    <cellStyle name="Normal 38 77" xfId="1050" xr:uid="{00000000-0005-0000-0000-000050040000}"/>
    <cellStyle name="Normal 38 78" xfId="1051" xr:uid="{00000000-0005-0000-0000-000051040000}"/>
    <cellStyle name="Normal 38 79" xfId="1052" xr:uid="{00000000-0005-0000-0000-000052040000}"/>
    <cellStyle name="Normal 38 8" xfId="1053" xr:uid="{00000000-0005-0000-0000-000053040000}"/>
    <cellStyle name="Normal 38 80" xfId="1054" xr:uid="{00000000-0005-0000-0000-000054040000}"/>
    <cellStyle name="Normal 38 81" xfId="1055" xr:uid="{00000000-0005-0000-0000-000055040000}"/>
    <cellStyle name="Normal 38 82" xfId="1056" xr:uid="{00000000-0005-0000-0000-000056040000}"/>
    <cellStyle name="Normal 38 83" xfId="1057" xr:uid="{00000000-0005-0000-0000-000057040000}"/>
    <cellStyle name="Normal 38 84" xfId="1058" xr:uid="{00000000-0005-0000-0000-000058040000}"/>
    <cellStyle name="Normal 38 85" xfId="1059" xr:uid="{00000000-0005-0000-0000-000059040000}"/>
    <cellStyle name="Normal 38 86" xfId="1060" xr:uid="{00000000-0005-0000-0000-00005A040000}"/>
    <cellStyle name="Normal 38 87" xfId="1061" xr:uid="{00000000-0005-0000-0000-00005B040000}"/>
    <cellStyle name="Normal 38 88" xfId="1062" xr:uid="{00000000-0005-0000-0000-00005C040000}"/>
    <cellStyle name="Normal 38 89" xfId="1063" xr:uid="{00000000-0005-0000-0000-00005D040000}"/>
    <cellStyle name="Normal 38 9" xfId="1064" xr:uid="{00000000-0005-0000-0000-00005E040000}"/>
    <cellStyle name="Normal 39" xfId="1065" xr:uid="{00000000-0005-0000-0000-00005F040000}"/>
    <cellStyle name="Normal 39 2" xfId="2685" xr:uid="{00000000-0005-0000-0000-000060040000}"/>
    <cellStyle name="Normal 4" xfId="18" xr:uid="{00000000-0005-0000-0000-000061040000}"/>
    <cellStyle name="Normal 4 10" xfId="1066" xr:uid="{00000000-0005-0000-0000-000062040000}"/>
    <cellStyle name="Normal 4 11" xfId="1067" xr:uid="{00000000-0005-0000-0000-000063040000}"/>
    <cellStyle name="Normal 4 12" xfId="1068" xr:uid="{00000000-0005-0000-0000-000064040000}"/>
    <cellStyle name="Normal 4 13" xfId="1069" xr:uid="{00000000-0005-0000-0000-000065040000}"/>
    <cellStyle name="Normal 4 14" xfId="1070" xr:uid="{00000000-0005-0000-0000-000066040000}"/>
    <cellStyle name="Normal 4 15" xfId="1071" xr:uid="{00000000-0005-0000-0000-000067040000}"/>
    <cellStyle name="Normal 4 16" xfId="1072" xr:uid="{00000000-0005-0000-0000-000068040000}"/>
    <cellStyle name="Normal 4 17" xfId="1073" xr:uid="{00000000-0005-0000-0000-000069040000}"/>
    <cellStyle name="Normal 4 18" xfId="1074" xr:uid="{00000000-0005-0000-0000-00006A040000}"/>
    <cellStyle name="Normal 4 19" xfId="1075" xr:uid="{00000000-0005-0000-0000-00006B040000}"/>
    <cellStyle name="Normal 4 2" xfId="1076" xr:uid="{00000000-0005-0000-0000-00006C040000}"/>
    <cellStyle name="Normal 4 20" xfId="1077" xr:uid="{00000000-0005-0000-0000-00006D040000}"/>
    <cellStyle name="Normal 4 21" xfId="1078" xr:uid="{00000000-0005-0000-0000-00006E040000}"/>
    <cellStyle name="Normal 4 22" xfId="1079" xr:uid="{00000000-0005-0000-0000-00006F040000}"/>
    <cellStyle name="Normal 4 23" xfId="1080" xr:uid="{00000000-0005-0000-0000-000070040000}"/>
    <cellStyle name="Normal 4 24" xfId="1081" xr:uid="{00000000-0005-0000-0000-000071040000}"/>
    <cellStyle name="Normal 4 25" xfId="1082" xr:uid="{00000000-0005-0000-0000-000072040000}"/>
    <cellStyle name="Normal 4 26" xfId="1083" xr:uid="{00000000-0005-0000-0000-000073040000}"/>
    <cellStyle name="Normal 4 27" xfId="1084" xr:uid="{00000000-0005-0000-0000-000074040000}"/>
    <cellStyle name="Normal 4 28" xfId="1085" xr:uid="{00000000-0005-0000-0000-000075040000}"/>
    <cellStyle name="Normal 4 29" xfId="1086" xr:uid="{00000000-0005-0000-0000-000076040000}"/>
    <cellStyle name="Normal 4 3" xfId="1087" xr:uid="{00000000-0005-0000-0000-000077040000}"/>
    <cellStyle name="Normal 4 30" xfId="1088" xr:uid="{00000000-0005-0000-0000-000078040000}"/>
    <cellStyle name="Normal 4 31" xfId="1089" xr:uid="{00000000-0005-0000-0000-000079040000}"/>
    <cellStyle name="Normal 4 32" xfId="1090" xr:uid="{00000000-0005-0000-0000-00007A040000}"/>
    <cellStyle name="Normal 4 33" xfId="1091" xr:uid="{00000000-0005-0000-0000-00007B040000}"/>
    <cellStyle name="Normal 4 34" xfId="1092" xr:uid="{00000000-0005-0000-0000-00007C040000}"/>
    <cellStyle name="Normal 4 35" xfId="1093" xr:uid="{00000000-0005-0000-0000-00007D040000}"/>
    <cellStyle name="Normal 4 36" xfId="1094" xr:uid="{00000000-0005-0000-0000-00007E040000}"/>
    <cellStyle name="Normal 4 37" xfId="1095" xr:uid="{00000000-0005-0000-0000-00007F040000}"/>
    <cellStyle name="Normal 4 38" xfId="1096" xr:uid="{00000000-0005-0000-0000-000080040000}"/>
    <cellStyle name="Normal 4 39" xfId="1097" xr:uid="{00000000-0005-0000-0000-000081040000}"/>
    <cellStyle name="Normal 4 4" xfId="1098" xr:uid="{00000000-0005-0000-0000-000082040000}"/>
    <cellStyle name="Normal 4 40" xfId="1099" xr:uid="{00000000-0005-0000-0000-000083040000}"/>
    <cellStyle name="Normal 4 41" xfId="1100" xr:uid="{00000000-0005-0000-0000-000084040000}"/>
    <cellStyle name="Normal 4 42" xfId="127" xr:uid="{00000000-0005-0000-0000-000085040000}"/>
    <cellStyle name="Normal 4 5" xfId="1101" xr:uid="{00000000-0005-0000-0000-000086040000}"/>
    <cellStyle name="Normal 4 6" xfId="1102" xr:uid="{00000000-0005-0000-0000-000087040000}"/>
    <cellStyle name="Normal 4 7" xfId="1103" xr:uid="{00000000-0005-0000-0000-000088040000}"/>
    <cellStyle name="Normal 4 8" xfId="1104" xr:uid="{00000000-0005-0000-0000-000089040000}"/>
    <cellStyle name="Normal 4 9" xfId="1105" xr:uid="{00000000-0005-0000-0000-00008A040000}"/>
    <cellStyle name="Normal 40" xfId="2605" xr:uid="{00000000-0005-0000-0000-00008B040000}"/>
    <cellStyle name="Normal 40 2" xfId="2686" xr:uid="{00000000-0005-0000-0000-00008C040000}"/>
    <cellStyle name="Normal 41" xfId="2606" xr:uid="{00000000-0005-0000-0000-00008D040000}"/>
    <cellStyle name="Normal 41 2" xfId="2687" xr:uid="{00000000-0005-0000-0000-00008E040000}"/>
    <cellStyle name="Normal 42" xfId="2607" xr:uid="{00000000-0005-0000-0000-00008F040000}"/>
    <cellStyle name="Normal 42 2" xfId="2688" xr:uid="{00000000-0005-0000-0000-000090040000}"/>
    <cellStyle name="Normal 43" xfId="1106" xr:uid="{00000000-0005-0000-0000-000091040000}"/>
    <cellStyle name="Normal 43 2" xfId="1107" xr:uid="{00000000-0005-0000-0000-000092040000}"/>
    <cellStyle name="Normal 43 3" xfId="1108" xr:uid="{00000000-0005-0000-0000-000093040000}"/>
    <cellStyle name="Normal 43 4" xfId="1109" xr:uid="{00000000-0005-0000-0000-000094040000}"/>
    <cellStyle name="Normal 43 5" xfId="1110" xr:uid="{00000000-0005-0000-0000-000095040000}"/>
    <cellStyle name="Normal 43 6" xfId="1111" xr:uid="{00000000-0005-0000-0000-000096040000}"/>
    <cellStyle name="Normal 43 7" xfId="1112" xr:uid="{00000000-0005-0000-0000-000097040000}"/>
    <cellStyle name="Normal 44" xfId="2608" xr:uid="{00000000-0005-0000-0000-000098040000}"/>
    <cellStyle name="Normal 44 2" xfId="2609" xr:uid="{00000000-0005-0000-0000-000099040000}"/>
    <cellStyle name="Normal 44 3" xfId="2610" xr:uid="{00000000-0005-0000-0000-00009A040000}"/>
    <cellStyle name="Normal 45" xfId="2594" xr:uid="{00000000-0005-0000-0000-00009B040000}"/>
    <cellStyle name="Normal 45 2" xfId="2611" xr:uid="{00000000-0005-0000-0000-00009C040000}"/>
    <cellStyle name="Normal 45 2 2" xfId="2612" xr:uid="{00000000-0005-0000-0000-00009D040000}"/>
    <cellStyle name="Normal 45 3" xfId="2613" xr:uid="{00000000-0005-0000-0000-00009E040000}"/>
    <cellStyle name="Normal 46" xfId="2614" xr:uid="{00000000-0005-0000-0000-00009F040000}"/>
    <cellStyle name="Normal 46 2" xfId="2689" xr:uid="{00000000-0005-0000-0000-0000A0040000}"/>
    <cellStyle name="Normal 47" xfId="2615" xr:uid="{00000000-0005-0000-0000-0000A1040000}"/>
    <cellStyle name="Normal 47 2" xfId="2690" xr:uid="{00000000-0005-0000-0000-0000A2040000}"/>
    <cellStyle name="Normal 48" xfId="2616" xr:uid="{00000000-0005-0000-0000-0000A3040000}"/>
    <cellStyle name="Normal 49" xfId="2617" xr:uid="{00000000-0005-0000-0000-0000A4040000}"/>
    <cellStyle name="Normal 49 2" xfId="2691" xr:uid="{00000000-0005-0000-0000-0000A5040000}"/>
    <cellStyle name="Normal 5" xfId="3" xr:uid="{00000000-0005-0000-0000-0000A6040000}"/>
    <cellStyle name="Normal 5 2" xfId="27" xr:uid="{00000000-0005-0000-0000-0000A7040000}"/>
    <cellStyle name="Normal 5 2 10" xfId="1113" xr:uid="{00000000-0005-0000-0000-0000A8040000}"/>
    <cellStyle name="Normal 5 2 11" xfId="2730" xr:uid="{00000000-0005-0000-0000-0000A9040000}"/>
    <cellStyle name="Normal 5 2 12" xfId="2826" xr:uid="{00000000-0005-0000-0000-0000AA040000}"/>
    <cellStyle name="Normal 5 2 2" xfId="66" xr:uid="{00000000-0005-0000-0000-0000AB040000}"/>
    <cellStyle name="Normal 5 2 2 2" xfId="1114" xr:uid="{00000000-0005-0000-0000-0000AC040000}"/>
    <cellStyle name="Normal 5 2 2 3" xfId="2790" xr:uid="{00000000-0005-0000-0000-0000AD040000}"/>
    <cellStyle name="Normal 5 2 2 4" xfId="2886" xr:uid="{00000000-0005-0000-0000-0000AE040000}"/>
    <cellStyle name="Normal 5 2 3" xfId="91" xr:uid="{00000000-0005-0000-0000-0000AF040000}"/>
    <cellStyle name="Normal 5 2 3 2" xfId="1115" xr:uid="{00000000-0005-0000-0000-0000B0040000}"/>
    <cellStyle name="Normal 5 2 3 3" xfId="2754" xr:uid="{00000000-0005-0000-0000-0000B1040000}"/>
    <cellStyle name="Normal 5 2 3 4" xfId="2850" xr:uid="{00000000-0005-0000-0000-0000B2040000}"/>
    <cellStyle name="Normal 5 2 4" xfId="1116" xr:uid="{00000000-0005-0000-0000-0000B3040000}"/>
    <cellStyle name="Normal 5 2 5" xfId="1117" xr:uid="{00000000-0005-0000-0000-0000B4040000}"/>
    <cellStyle name="Normal 5 2 6" xfId="1118" xr:uid="{00000000-0005-0000-0000-0000B5040000}"/>
    <cellStyle name="Normal 5 2 7" xfId="1119" xr:uid="{00000000-0005-0000-0000-0000B6040000}"/>
    <cellStyle name="Normal 5 2 8" xfId="1120" xr:uid="{00000000-0005-0000-0000-0000B7040000}"/>
    <cellStyle name="Normal 5 2 9" xfId="1121" xr:uid="{00000000-0005-0000-0000-0000B8040000}"/>
    <cellStyle name="Normal 5 3" xfId="53" xr:uid="{00000000-0005-0000-0000-0000B9040000}"/>
    <cellStyle name="Normal 5 3 2" xfId="103" xr:uid="{00000000-0005-0000-0000-0000BA040000}"/>
    <cellStyle name="Normal 5 3 2 2" xfId="2778" xr:uid="{00000000-0005-0000-0000-0000BB040000}"/>
    <cellStyle name="Normal 5 3 2 3" xfId="2874" xr:uid="{00000000-0005-0000-0000-0000BC040000}"/>
    <cellStyle name="Normal 5 3 3" xfId="1122" xr:uid="{00000000-0005-0000-0000-0000BD040000}"/>
    <cellStyle name="Normal 5 3 4" xfId="2718" xr:uid="{00000000-0005-0000-0000-0000BE040000}"/>
    <cellStyle name="Normal 5 3 5" xfId="2814" xr:uid="{00000000-0005-0000-0000-0000BF040000}"/>
    <cellStyle name="Normal 5 4" xfId="40" xr:uid="{00000000-0005-0000-0000-0000C0040000}"/>
    <cellStyle name="Normal 5 4 2" xfId="2766" xr:uid="{00000000-0005-0000-0000-0000C1040000}"/>
    <cellStyle name="Normal 5 4 3" xfId="2862" xr:uid="{00000000-0005-0000-0000-0000C2040000}"/>
    <cellStyle name="Normal 5 5" xfId="78" xr:uid="{00000000-0005-0000-0000-0000C3040000}"/>
    <cellStyle name="Normal 5 5 2" xfId="2742" xr:uid="{00000000-0005-0000-0000-0000C4040000}"/>
    <cellStyle name="Normal 5 5 3" xfId="2838" xr:uid="{00000000-0005-0000-0000-0000C5040000}"/>
    <cellStyle name="Normal 5 6" xfId="128" xr:uid="{00000000-0005-0000-0000-0000C6040000}"/>
    <cellStyle name="Normal 5 7" xfId="2706" xr:uid="{00000000-0005-0000-0000-0000C7040000}"/>
    <cellStyle name="Normal 5 8" xfId="2802" xr:uid="{00000000-0005-0000-0000-0000C8040000}"/>
    <cellStyle name="Normal 50" xfId="2618" xr:uid="{00000000-0005-0000-0000-0000C9040000}"/>
    <cellStyle name="Normal 50 2" xfId="2692" xr:uid="{00000000-0005-0000-0000-0000CA040000}"/>
    <cellStyle name="Normal 51" xfId="2619" xr:uid="{00000000-0005-0000-0000-0000CB040000}"/>
    <cellStyle name="Normal 51 2" xfId="2693" xr:uid="{00000000-0005-0000-0000-0000CC040000}"/>
    <cellStyle name="Normal 52" xfId="2620" xr:uid="{00000000-0005-0000-0000-0000CD040000}"/>
    <cellStyle name="Normal 52 2" xfId="2694" xr:uid="{00000000-0005-0000-0000-0000CE040000}"/>
    <cellStyle name="Normal 53" xfId="1123" xr:uid="{00000000-0005-0000-0000-0000CF040000}"/>
    <cellStyle name="Normal 53 10" xfId="1124" xr:uid="{00000000-0005-0000-0000-0000D0040000}"/>
    <cellStyle name="Normal 53 11" xfId="1125" xr:uid="{00000000-0005-0000-0000-0000D1040000}"/>
    <cellStyle name="Normal 53 12" xfId="1126" xr:uid="{00000000-0005-0000-0000-0000D2040000}"/>
    <cellStyle name="Normal 53 13" xfId="1127" xr:uid="{00000000-0005-0000-0000-0000D3040000}"/>
    <cellStyle name="Normal 53 14" xfId="1128" xr:uid="{00000000-0005-0000-0000-0000D4040000}"/>
    <cellStyle name="Normal 53 15" xfId="1129" xr:uid="{00000000-0005-0000-0000-0000D5040000}"/>
    <cellStyle name="Normal 53 16" xfId="1130" xr:uid="{00000000-0005-0000-0000-0000D6040000}"/>
    <cellStyle name="Normal 53 17" xfId="1131" xr:uid="{00000000-0005-0000-0000-0000D7040000}"/>
    <cellStyle name="Normal 53 18" xfId="1132" xr:uid="{00000000-0005-0000-0000-0000D8040000}"/>
    <cellStyle name="Normal 53 19" xfId="1133" xr:uid="{00000000-0005-0000-0000-0000D9040000}"/>
    <cellStyle name="Normal 53 2" xfId="1134" xr:uid="{00000000-0005-0000-0000-0000DA040000}"/>
    <cellStyle name="Normal 53 20" xfId="1135" xr:uid="{00000000-0005-0000-0000-0000DB040000}"/>
    <cellStyle name="Normal 53 21" xfId="1136" xr:uid="{00000000-0005-0000-0000-0000DC040000}"/>
    <cellStyle name="Normal 53 22" xfId="1137" xr:uid="{00000000-0005-0000-0000-0000DD040000}"/>
    <cellStyle name="Normal 53 23" xfId="1138" xr:uid="{00000000-0005-0000-0000-0000DE040000}"/>
    <cellStyle name="Normal 53 24" xfId="1139" xr:uid="{00000000-0005-0000-0000-0000DF040000}"/>
    <cellStyle name="Normal 53 25" xfId="1140" xr:uid="{00000000-0005-0000-0000-0000E0040000}"/>
    <cellStyle name="Normal 53 26" xfId="1141" xr:uid="{00000000-0005-0000-0000-0000E1040000}"/>
    <cellStyle name="Normal 53 27" xfId="1142" xr:uid="{00000000-0005-0000-0000-0000E2040000}"/>
    <cellStyle name="Normal 53 28" xfId="1143" xr:uid="{00000000-0005-0000-0000-0000E3040000}"/>
    <cellStyle name="Normal 53 29" xfId="1144" xr:uid="{00000000-0005-0000-0000-0000E4040000}"/>
    <cellStyle name="Normal 53 3" xfId="1145" xr:uid="{00000000-0005-0000-0000-0000E5040000}"/>
    <cellStyle name="Normal 53 30" xfId="1146" xr:uid="{00000000-0005-0000-0000-0000E6040000}"/>
    <cellStyle name="Normal 53 31" xfId="1147" xr:uid="{00000000-0005-0000-0000-0000E7040000}"/>
    <cellStyle name="Normal 53 32" xfId="1148" xr:uid="{00000000-0005-0000-0000-0000E8040000}"/>
    <cellStyle name="Normal 53 33" xfId="1149" xr:uid="{00000000-0005-0000-0000-0000E9040000}"/>
    <cellStyle name="Normal 53 34" xfId="1150" xr:uid="{00000000-0005-0000-0000-0000EA040000}"/>
    <cellStyle name="Normal 53 35" xfId="1151" xr:uid="{00000000-0005-0000-0000-0000EB040000}"/>
    <cellStyle name="Normal 53 36" xfId="1152" xr:uid="{00000000-0005-0000-0000-0000EC040000}"/>
    <cellStyle name="Normal 53 37" xfId="1153" xr:uid="{00000000-0005-0000-0000-0000ED040000}"/>
    <cellStyle name="Normal 53 38" xfId="1154" xr:uid="{00000000-0005-0000-0000-0000EE040000}"/>
    <cellStyle name="Normal 53 39" xfId="1155" xr:uid="{00000000-0005-0000-0000-0000EF040000}"/>
    <cellStyle name="Normal 53 4" xfId="1156" xr:uid="{00000000-0005-0000-0000-0000F0040000}"/>
    <cellStyle name="Normal 53 40" xfId="1157" xr:uid="{00000000-0005-0000-0000-0000F1040000}"/>
    <cellStyle name="Normal 53 41" xfId="1158" xr:uid="{00000000-0005-0000-0000-0000F2040000}"/>
    <cellStyle name="Normal 53 42" xfId="1159" xr:uid="{00000000-0005-0000-0000-0000F3040000}"/>
    <cellStyle name="Normal 53 43" xfId="1160" xr:uid="{00000000-0005-0000-0000-0000F4040000}"/>
    <cellStyle name="Normal 53 44" xfId="1161" xr:uid="{00000000-0005-0000-0000-0000F5040000}"/>
    <cellStyle name="Normal 53 45" xfId="1162" xr:uid="{00000000-0005-0000-0000-0000F6040000}"/>
    <cellStyle name="Normal 53 46" xfId="1163" xr:uid="{00000000-0005-0000-0000-0000F7040000}"/>
    <cellStyle name="Normal 53 47" xfId="1164" xr:uid="{00000000-0005-0000-0000-0000F8040000}"/>
    <cellStyle name="Normal 53 48" xfId="1165" xr:uid="{00000000-0005-0000-0000-0000F9040000}"/>
    <cellStyle name="Normal 53 49" xfId="1166" xr:uid="{00000000-0005-0000-0000-0000FA040000}"/>
    <cellStyle name="Normal 53 5" xfId="1167" xr:uid="{00000000-0005-0000-0000-0000FB040000}"/>
    <cellStyle name="Normal 53 50" xfId="1168" xr:uid="{00000000-0005-0000-0000-0000FC040000}"/>
    <cellStyle name="Normal 53 51" xfId="1169" xr:uid="{00000000-0005-0000-0000-0000FD040000}"/>
    <cellStyle name="Normal 53 52" xfId="1170" xr:uid="{00000000-0005-0000-0000-0000FE040000}"/>
    <cellStyle name="Normal 53 53" xfId="1171" xr:uid="{00000000-0005-0000-0000-0000FF040000}"/>
    <cellStyle name="Normal 53 54" xfId="1172" xr:uid="{00000000-0005-0000-0000-000000050000}"/>
    <cellStyle name="Normal 53 55" xfId="1173" xr:uid="{00000000-0005-0000-0000-000001050000}"/>
    <cellStyle name="Normal 53 56" xfId="1174" xr:uid="{00000000-0005-0000-0000-000002050000}"/>
    <cellStyle name="Normal 53 57" xfId="1175" xr:uid="{00000000-0005-0000-0000-000003050000}"/>
    <cellStyle name="Normal 53 58" xfId="1176" xr:uid="{00000000-0005-0000-0000-000004050000}"/>
    <cellStyle name="Normal 53 59" xfId="1177" xr:uid="{00000000-0005-0000-0000-000005050000}"/>
    <cellStyle name="Normal 53 6" xfId="1178" xr:uid="{00000000-0005-0000-0000-000006050000}"/>
    <cellStyle name="Normal 53 60" xfId="1179" xr:uid="{00000000-0005-0000-0000-000007050000}"/>
    <cellStyle name="Normal 53 61" xfId="1180" xr:uid="{00000000-0005-0000-0000-000008050000}"/>
    <cellStyle name="Normal 53 62" xfId="1181" xr:uid="{00000000-0005-0000-0000-000009050000}"/>
    <cellStyle name="Normal 53 63" xfId="1182" xr:uid="{00000000-0005-0000-0000-00000A050000}"/>
    <cellStyle name="Normal 53 64" xfId="1183" xr:uid="{00000000-0005-0000-0000-00000B050000}"/>
    <cellStyle name="Normal 53 65" xfId="1184" xr:uid="{00000000-0005-0000-0000-00000C050000}"/>
    <cellStyle name="Normal 53 66" xfId="1185" xr:uid="{00000000-0005-0000-0000-00000D050000}"/>
    <cellStyle name="Normal 53 67" xfId="1186" xr:uid="{00000000-0005-0000-0000-00000E050000}"/>
    <cellStyle name="Normal 53 68" xfId="1187" xr:uid="{00000000-0005-0000-0000-00000F050000}"/>
    <cellStyle name="Normal 53 69" xfId="1188" xr:uid="{00000000-0005-0000-0000-000010050000}"/>
    <cellStyle name="Normal 53 7" xfId="1189" xr:uid="{00000000-0005-0000-0000-000011050000}"/>
    <cellStyle name="Normal 53 70" xfId="1190" xr:uid="{00000000-0005-0000-0000-000012050000}"/>
    <cellStyle name="Normal 53 71" xfId="1191" xr:uid="{00000000-0005-0000-0000-000013050000}"/>
    <cellStyle name="Normal 53 72" xfId="1192" xr:uid="{00000000-0005-0000-0000-000014050000}"/>
    <cellStyle name="Normal 53 73" xfId="1193" xr:uid="{00000000-0005-0000-0000-000015050000}"/>
    <cellStyle name="Normal 53 74" xfId="1194" xr:uid="{00000000-0005-0000-0000-000016050000}"/>
    <cellStyle name="Normal 53 75" xfId="1195" xr:uid="{00000000-0005-0000-0000-000017050000}"/>
    <cellStyle name="Normal 53 8" xfId="1196" xr:uid="{00000000-0005-0000-0000-000018050000}"/>
    <cellStyle name="Normal 53 9" xfId="1197" xr:uid="{00000000-0005-0000-0000-000019050000}"/>
    <cellStyle name="Normal 54" xfId="1198" xr:uid="{00000000-0005-0000-0000-00001A050000}"/>
    <cellStyle name="Normal 54 2" xfId="1199" xr:uid="{00000000-0005-0000-0000-00001B050000}"/>
    <cellStyle name="Normal 54 3" xfId="1200" xr:uid="{00000000-0005-0000-0000-00001C050000}"/>
    <cellStyle name="Normal 54 4" xfId="1201" xr:uid="{00000000-0005-0000-0000-00001D050000}"/>
    <cellStyle name="Normal 54 5" xfId="1202" xr:uid="{00000000-0005-0000-0000-00001E050000}"/>
    <cellStyle name="Normal 54 6" xfId="1203" xr:uid="{00000000-0005-0000-0000-00001F050000}"/>
    <cellStyle name="Normal 54 7" xfId="1204" xr:uid="{00000000-0005-0000-0000-000020050000}"/>
    <cellStyle name="Normal 55" xfId="2621" xr:uid="{00000000-0005-0000-0000-000021050000}"/>
    <cellStyle name="Normal 55 2" xfId="2695" xr:uid="{00000000-0005-0000-0000-000022050000}"/>
    <cellStyle name="Normal 56" xfId="1205" xr:uid="{00000000-0005-0000-0000-000023050000}"/>
    <cellStyle name="Normal 56 2" xfId="1206" xr:uid="{00000000-0005-0000-0000-000024050000}"/>
    <cellStyle name="Normal 56 3" xfId="1207" xr:uid="{00000000-0005-0000-0000-000025050000}"/>
    <cellStyle name="Normal 56 4" xfId="1208" xr:uid="{00000000-0005-0000-0000-000026050000}"/>
    <cellStyle name="Normal 56 5" xfId="1209" xr:uid="{00000000-0005-0000-0000-000027050000}"/>
    <cellStyle name="Normal 56 6" xfId="1210" xr:uid="{00000000-0005-0000-0000-000028050000}"/>
    <cellStyle name="Normal 56 7" xfId="1211" xr:uid="{00000000-0005-0000-0000-000029050000}"/>
    <cellStyle name="Normal 57" xfId="2622" xr:uid="{00000000-0005-0000-0000-00002A050000}"/>
    <cellStyle name="Normal 57 2" xfId="2696" xr:uid="{00000000-0005-0000-0000-00002B050000}"/>
    <cellStyle name="Normal 58" xfId="2623" xr:uid="{00000000-0005-0000-0000-00002C050000}"/>
    <cellStyle name="Normal 58 2" xfId="2697" xr:uid="{00000000-0005-0000-0000-00002D050000}"/>
    <cellStyle name="Normal 59" xfId="2624" xr:uid="{00000000-0005-0000-0000-00002E050000}"/>
    <cellStyle name="Normal 59 2" xfId="2698" xr:uid="{00000000-0005-0000-0000-00002F050000}"/>
    <cellStyle name="Normal 6" xfId="2" xr:uid="{00000000-0005-0000-0000-000030050000}"/>
    <cellStyle name="Normal 6 2" xfId="26" xr:uid="{00000000-0005-0000-0000-000031050000}"/>
    <cellStyle name="Normal 6 2 10" xfId="1214" xr:uid="{00000000-0005-0000-0000-000032050000}"/>
    <cellStyle name="Normal 6 2 11" xfId="1215" xr:uid="{00000000-0005-0000-0000-000033050000}"/>
    <cellStyle name="Normal 6 2 12" xfId="1216" xr:uid="{00000000-0005-0000-0000-000034050000}"/>
    <cellStyle name="Normal 6 2 13" xfId="1217" xr:uid="{00000000-0005-0000-0000-000035050000}"/>
    <cellStyle name="Normal 6 2 14" xfId="1218" xr:uid="{00000000-0005-0000-0000-000036050000}"/>
    <cellStyle name="Normal 6 2 15" xfId="1213" xr:uid="{00000000-0005-0000-0000-000037050000}"/>
    <cellStyle name="Normal 6 2 16" xfId="2729" xr:uid="{00000000-0005-0000-0000-000038050000}"/>
    <cellStyle name="Normal 6 2 17" xfId="2825" xr:uid="{00000000-0005-0000-0000-000039050000}"/>
    <cellStyle name="Normal 6 2 2" xfId="65" xr:uid="{00000000-0005-0000-0000-00003A050000}"/>
    <cellStyle name="Normal 6 2 2 2" xfId="1219" xr:uid="{00000000-0005-0000-0000-00003B050000}"/>
    <cellStyle name="Normal 6 2 2 3" xfId="2789" xr:uid="{00000000-0005-0000-0000-00003C050000}"/>
    <cellStyle name="Normal 6 2 2 4" xfId="2885" xr:uid="{00000000-0005-0000-0000-00003D050000}"/>
    <cellStyle name="Normal 6 2 3" xfId="90" xr:uid="{00000000-0005-0000-0000-00003E050000}"/>
    <cellStyle name="Normal 6 2 3 2" xfId="1220" xr:uid="{00000000-0005-0000-0000-00003F050000}"/>
    <cellStyle name="Normal 6 2 3 3" xfId="2753" xr:uid="{00000000-0005-0000-0000-000040050000}"/>
    <cellStyle name="Normal 6 2 3 4" xfId="2849" xr:uid="{00000000-0005-0000-0000-000041050000}"/>
    <cellStyle name="Normal 6 2 4" xfId="1221" xr:uid="{00000000-0005-0000-0000-000042050000}"/>
    <cellStyle name="Normal 6 2 5" xfId="1222" xr:uid="{00000000-0005-0000-0000-000043050000}"/>
    <cellStyle name="Normal 6 2 6" xfId="1223" xr:uid="{00000000-0005-0000-0000-000044050000}"/>
    <cellStyle name="Normal 6 2 7" xfId="1224" xr:uid="{00000000-0005-0000-0000-000045050000}"/>
    <cellStyle name="Normal 6 2 8" xfId="1225" xr:uid="{00000000-0005-0000-0000-000046050000}"/>
    <cellStyle name="Normal 6 2 9" xfId="1226" xr:uid="{00000000-0005-0000-0000-000047050000}"/>
    <cellStyle name="Normal 6 3" xfId="52" xr:uid="{00000000-0005-0000-0000-000048050000}"/>
    <cellStyle name="Normal 6 3 2" xfId="102" xr:uid="{00000000-0005-0000-0000-000049050000}"/>
    <cellStyle name="Normal 6 3 2 2" xfId="2777" xr:uid="{00000000-0005-0000-0000-00004A050000}"/>
    <cellStyle name="Normal 6 3 2 3" xfId="2873" xr:uid="{00000000-0005-0000-0000-00004B050000}"/>
    <cellStyle name="Normal 6 3 3" xfId="2717" xr:uid="{00000000-0005-0000-0000-00004C050000}"/>
    <cellStyle name="Normal 6 3 4" xfId="2813" xr:uid="{00000000-0005-0000-0000-00004D050000}"/>
    <cellStyle name="Normal 6 4" xfId="39" xr:uid="{00000000-0005-0000-0000-00004E050000}"/>
    <cellStyle name="Normal 6 4 2" xfId="2765" xr:uid="{00000000-0005-0000-0000-00004F050000}"/>
    <cellStyle name="Normal 6 4 3" xfId="2861" xr:uid="{00000000-0005-0000-0000-000050050000}"/>
    <cellStyle name="Normal 6 5" xfId="77" xr:uid="{00000000-0005-0000-0000-000051050000}"/>
    <cellStyle name="Normal 6 5 2" xfId="2741" xr:uid="{00000000-0005-0000-0000-000052050000}"/>
    <cellStyle name="Normal 6 5 3" xfId="2837" xr:uid="{00000000-0005-0000-0000-000053050000}"/>
    <cellStyle name="Normal 6 6" xfId="1212" xr:uid="{00000000-0005-0000-0000-000054050000}"/>
    <cellStyle name="Normal 6 7" xfId="2705" xr:uid="{00000000-0005-0000-0000-000055050000}"/>
    <cellStyle name="Normal 6 8" xfId="2801" xr:uid="{00000000-0005-0000-0000-000056050000}"/>
    <cellStyle name="Normal 60" xfId="1227" xr:uid="{00000000-0005-0000-0000-000057050000}"/>
    <cellStyle name="Normal 60 2" xfId="1228" xr:uid="{00000000-0005-0000-0000-000058050000}"/>
    <cellStyle name="Normal 60 3" xfId="1229" xr:uid="{00000000-0005-0000-0000-000059050000}"/>
    <cellStyle name="Normal 60 4" xfId="1230" xr:uid="{00000000-0005-0000-0000-00005A050000}"/>
    <cellStyle name="Normal 60 5" xfId="1231" xr:uid="{00000000-0005-0000-0000-00005B050000}"/>
    <cellStyle name="Normal 60 6" xfId="1232" xr:uid="{00000000-0005-0000-0000-00005C050000}"/>
    <cellStyle name="Normal 60 7" xfId="1233" xr:uid="{00000000-0005-0000-0000-00005D050000}"/>
    <cellStyle name="Normal 61" xfId="1234" xr:uid="{00000000-0005-0000-0000-00005E050000}"/>
    <cellStyle name="Normal 61 2" xfId="1235" xr:uid="{00000000-0005-0000-0000-00005F050000}"/>
    <cellStyle name="Normal 61 3" xfId="1236" xr:uid="{00000000-0005-0000-0000-000060050000}"/>
    <cellStyle name="Normal 61 4" xfId="1237" xr:uid="{00000000-0005-0000-0000-000061050000}"/>
    <cellStyle name="Normal 61 5" xfId="1238" xr:uid="{00000000-0005-0000-0000-000062050000}"/>
    <cellStyle name="Normal 61 6" xfId="1239" xr:uid="{00000000-0005-0000-0000-000063050000}"/>
    <cellStyle name="Normal 61 7" xfId="1240" xr:uid="{00000000-0005-0000-0000-000064050000}"/>
    <cellStyle name="Normal 62" xfId="1241" xr:uid="{00000000-0005-0000-0000-000065050000}"/>
    <cellStyle name="Normal 62 2" xfId="1242" xr:uid="{00000000-0005-0000-0000-000066050000}"/>
    <cellStyle name="Normal 62 3" xfId="1243" xr:uid="{00000000-0005-0000-0000-000067050000}"/>
    <cellStyle name="Normal 62 4" xfId="1244" xr:uid="{00000000-0005-0000-0000-000068050000}"/>
    <cellStyle name="Normal 62 5" xfId="1245" xr:uid="{00000000-0005-0000-0000-000069050000}"/>
    <cellStyle name="Normal 62 6" xfId="1246" xr:uid="{00000000-0005-0000-0000-00006A050000}"/>
    <cellStyle name="Normal 62 7" xfId="1247" xr:uid="{00000000-0005-0000-0000-00006B050000}"/>
    <cellStyle name="Normal 63" xfId="1248" xr:uid="{00000000-0005-0000-0000-00006C050000}"/>
    <cellStyle name="Normal 63 2" xfId="1249" xr:uid="{00000000-0005-0000-0000-00006D050000}"/>
    <cellStyle name="Normal 63 3" xfId="1250" xr:uid="{00000000-0005-0000-0000-00006E050000}"/>
    <cellStyle name="Normal 63 4" xfId="1251" xr:uid="{00000000-0005-0000-0000-00006F050000}"/>
    <cellStyle name="Normal 63 5" xfId="1252" xr:uid="{00000000-0005-0000-0000-000070050000}"/>
    <cellStyle name="Normal 63 6" xfId="1253" xr:uid="{00000000-0005-0000-0000-000071050000}"/>
    <cellStyle name="Normal 63 7" xfId="1254" xr:uid="{00000000-0005-0000-0000-000072050000}"/>
    <cellStyle name="Normal 64" xfId="1255" xr:uid="{00000000-0005-0000-0000-000073050000}"/>
    <cellStyle name="Normal 64 2" xfId="1256" xr:uid="{00000000-0005-0000-0000-000074050000}"/>
    <cellStyle name="Normal 64 3" xfId="1257" xr:uid="{00000000-0005-0000-0000-000075050000}"/>
    <cellStyle name="Normal 64 4" xfId="1258" xr:uid="{00000000-0005-0000-0000-000076050000}"/>
    <cellStyle name="Normal 64 5" xfId="1259" xr:uid="{00000000-0005-0000-0000-000077050000}"/>
    <cellStyle name="Normal 64 6" xfId="1260" xr:uid="{00000000-0005-0000-0000-000078050000}"/>
    <cellStyle name="Normal 64 7" xfId="1261" xr:uid="{00000000-0005-0000-0000-000079050000}"/>
    <cellStyle name="Normal 65" xfId="1262" xr:uid="{00000000-0005-0000-0000-00007A050000}"/>
    <cellStyle name="Normal 65 2" xfId="1263" xr:uid="{00000000-0005-0000-0000-00007B050000}"/>
    <cellStyle name="Normal 65 3" xfId="1264" xr:uid="{00000000-0005-0000-0000-00007C050000}"/>
    <cellStyle name="Normal 65 4" xfId="1265" xr:uid="{00000000-0005-0000-0000-00007D050000}"/>
    <cellStyle name="Normal 65 5" xfId="1266" xr:uid="{00000000-0005-0000-0000-00007E050000}"/>
    <cellStyle name="Normal 65 6" xfId="1267" xr:uid="{00000000-0005-0000-0000-00007F050000}"/>
    <cellStyle name="Normal 65 7" xfId="1268" xr:uid="{00000000-0005-0000-0000-000080050000}"/>
    <cellStyle name="Normal 66" xfId="1269" xr:uid="{00000000-0005-0000-0000-000081050000}"/>
    <cellStyle name="Normal 66 2" xfId="1270" xr:uid="{00000000-0005-0000-0000-000082050000}"/>
    <cellStyle name="Normal 66 3" xfId="1271" xr:uid="{00000000-0005-0000-0000-000083050000}"/>
    <cellStyle name="Normal 66 4" xfId="1272" xr:uid="{00000000-0005-0000-0000-000084050000}"/>
    <cellStyle name="Normal 66 5" xfId="1273" xr:uid="{00000000-0005-0000-0000-000085050000}"/>
    <cellStyle name="Normal 66 6" xfId="1274" xr:uid="{00000000-0005-0000-0000-000086050000}"/>
    <cellStyle name="Normal 66 7" xfId="1275" xr:uid="{00000000-0005-0000-0000-000087050000}"/>
    <cellStyle name="Normal 67" xfId="1276" xr:uid="{00000000-0005-0000-0000-000088050000}"/>
    <cellStyle name="Normal 67 2" xfId="1277" xr:uid="{00000000-0005-0000-0000-000089050000}"/>
    <cellStyle name="Normal 67 3" xfId="1278" xr:uid="{00000000-0005-0000-0000-00008A050000}"/>
    <cellStyle name="Normal 67 4" xfId="1279" xr:uid="{00000000-0005-0000-0000-00008B050000}"/>
    <cellStyle name="Normal 67 5" xfId="1280" xr:uid="{00000000-0005-0000-0000-00008C050000}"/>
    <cellStyle name="Normal 67 6" xfId="1281" xr:uid="{00000000-0005-0000-0000-00008D050000}"/>
    <cellStyle name="Normal 67 7" xfId="1282" xr:uid="{00000000-0005-0000-0000-00008E050000}"/>
    <cellStyle name="Normal 68" xfId="1283" xr:uid="{00000000-0005-0000-0000-00008F050000}"/>
    <cellStyle name="Normal 68 2" xfId="1284" xr:uid="{00000000-0005-0000-0000-000090050000}"/>
    <cellStyle name="Normal 68 3" xfId="1285" xr:uid="{00000000-0005-0000-0000-000091050000}"/>
    <cellStyle name="Normal 68 4" xfId="1286" xr:uid="{00000000-0005-0000-0000-000092050000}"/>
    <cellStyle name="Normal 68 5" xfId="1287" xr:uid="{00000000-0005-0000-0000-000093050000}"/>
    <cellStyle name="Normal 68 6" xfId="1288" xr:uid="{00000000-0005-0000-0000-000094050000}"/>
    <cellStyle name="Normal 68 7" xfId="1289" xr:uid="{00000000-0005-0000-0000-000095050000}"/>
    <cellStyle name="Normal 69" xfId="2625" xr:uid="{00000000-0005-0000-0000-000096050000}"/>
    <cellStyle name="Normal 7" xfId="1" xr:uid="{00000000-0005-0000-0000-000097050000}"/>
    <cellStyle name="Normal 7 2" xfId="25" xr:uid="{00000000-0005-0000-0000-000098050000}"/>
    <cellStyle name="Normal 7 2 2" xfId="64" xr:uid="{00000000-0005-0000-0000-000099050000}"/>
    <cellStyle name="Normal 7 2 2 2" xfId="2788" xr:uid="{00000000-0005-0000-0000-00009A050000}"/>
    <cellStyle name="Normal 7 2 2 3" xfId="2884" xr:uid="{00000000-0005-0000-0000-00009B050000}"/>
    <cellStyle name="Normal 7 2 3" xfId="89" xr:uid="{00000000-0005-0000-0000-00009C050000}"/>
    <cellStyle name="Normal 7 2 3 2" xfId="2752" xr:uid="{00000000-0005-0000-0000-00009D050000}"/>
    <cellStyle name="Normal 7 2 3 3" xfId="2848" xr:uid="{00000000-0005-0000-0000-00009E050000}"/>
    <cellStyle name="Normal 7 2 4" xfId="2699" xr:uid="{00000000-0005-0000-0000-00009F050000}"/>
    <cellStyle name="Normal 7 2 5" xfId="2728" xr:uid="{00000000-0005-0000-0000-0000A0050000}"/>
    <cellStyle name="Normal 7 2 6" xfId="2824" xr:uid="{00000000-0005-0000-0000-0000A1050000}"/>
    <cellStyle name="Normal 7 3" xfId="51" xr:uid="{00000000-0005-0000-0000-0000A2050000}"/>
    <cellStyle name="Normal 7 3 2" xfId="101" xr:uid="{00000000-0005-0000-0000-0000A3050000}"/>
    <cellStyle name="Normal 7 3 2 2" xfId="2776" xr:uid="{00000000-0005-0000-0000-0000A4050000}"/>
    <cellStyle name="Normal 7 3 2 3" xfId="2872" xr:uid="{00000000-0005-0000-0000-0000A5050000}"/>
    <cellStyle name="Normal 7 3 3" xfId="2716" xr:uid="{00000000-0005-0000-0000-0000A6050000}"/>
    <cellStyle name="Normal 7 3 4" xfId="2812" xr:uid="{00000000-0005-0000-0000-0000A7050000}"/>
    <cellStyle name="Normal 7 4" xfId="38" xr:uid="{00000000-0005-0000-0000-0000A8050000}"/>
    <cellStyle name="Normal 7 4 2" xfId="2764" xr:uid="{00000000-0005-0000-0000-0000A9050000}"/>
    <cellStyle name="Normal 7 4 3" xfId="2860" xr:uid="{00000000-0005-0000-0000-0000AA050000}"/>
    <cellStyle name="Normal 7 5" xfId="76" xr:uid="{00000000-0005-0000-0000-0000AB050000}"/>
    <cellStyle name="Normal 7 5 2" xfId="2740" xr:uid="{00000000-0005-0000-0000-0000AC050000}"/>
    <cellStyle name="Normal 7 5 3" xfId="2836" xr:uid="{00000000-0005-0000-0000-0000AD050000}"/>
    <cellStyle name="Normal 7 6" xfId="1290" xr:uid="{00000000-0005-0000-0000-0000AE050000}"/>
    <cellStyle name="Normal 7 7" xfId="2704" xr:uid="{00000000-0005-0000-0000-0000AF050000}"/>
    <cellStyle name="Normal 7 8" xfId="2800" xr:uid="{00000000-0005-0000-0000-0000B0050000}"/>
    <cellStyle name="Normal 70" xfId="1291" xr:uid="{00000000-0005-0000-0000-0000B1050000}"/>
    <cellStyle name="Normal 70 10" xfId="1292" xr:uid="{00000000-0005-0000-0000-0000B2050000}"/>
    <cellStyle name="Normal 70 11" xfId="1293" xr:uid="{00000000-0005-0000-0000-0000B3050000}"/>
    <cellStyle name="Normal 70 12" xfId="1294" xr:uid="{00000000-0005-0000-0000-0000B4050000}"/>
    <cellStyle name="Normal 70 13" xfId="1295" xr:uid="{00000000-0005-0000-0000-0000B5050000}"/>
    <cellStyle name="Normal 70 14" xfId="1296" xr:uid="{00000000-0005-0000-0000-0000B6050000}"/>
    <cellStyle name="Normal 70 15" xfId="1297" xr:uid="{00000000-0005-0000-0000-0000B7050000}"/>
    <cellStyle name="Normal 70 16" xfId="1298" xr:uid="{00000000-0005-0000-0000-0000B8050000}"/>
    <cellStyle name="Normal 70 17" xfId="1299" xr:uid="{00000000-0005-0000-0000-0000B9050000}"/>
    <cellStyle name="Normal 70 18" xfId="1300" xr:uid="{00000000-0005-0000-0000-0000BA050000}"/>
    <cellStyle name="Normal 70 19" xfId="1301" xr:uid="{00000000-0005-0000-0000-0000BB050000}"/>
    <cellStyle name="Normal 70 2" xfId="1302" xr:uid="{00000000-0005-0000-0000-0000BC050000}"/>
    <cellStyle name="Normal 70 20" xfId="1303" xr:uid="{00000000-0005-0000-0000-0000BD050000}"/>
    <cellStyle name="Normal 70 21" xfId="1304" xr:uid="{00000000-0005-0000-0000-0000BE050000}"/>
    <cellStyle name="Normal 70 22" xfId="1305" xr:uid="{00000000-0005-0000-0000-0000BF050000}"/>
    <cellStyle name="Normal 70 23" xfId="1306" xr:uid="{00000000-0005-0000-0000-0000C0050000}"/>
    <cellStyle name="Normal 70 24" xfId="1307" xr:uid="{00000000-0005-0000-0000-0000C1050000}"/>
    <cellStyle name="Normal 70 25" xfId="1308" xr:uid="{00000000-0005-0000-0000-0000C2050000}"/>
    <cellStyle name="Normal 70 26" xfId="1309" xr:uid="{00000000-0005-0000-0000-0000C3050000}"/>
    <cellStyle name="Normal 70 27" xfId="1310" xr:uid="{00000000-0005-0000-0000-0000C4050000}"/>
    <cellStyle name="Normal 70 28" xfId="1311" xr:uid="{00000000-0005-0000-0000-0000C5050000}"/>
    <cellStyle name="Normal 70 29" xfId="1312" xr:uid="{00000000-0005-0000-0000-0000C6050000}"/>
    <cellStyle name="Normal 70 3" xfId="1313" xr:uid="{00000000-0005-0000-0000-0000C7050000}"/>
    <cellStyle name="Normal 70 30" xfId="1314" xr:uid="{00000000-0005-0000-0000-0000C8050000}"/>
    <cellStyle name="Normal 70 31" xfId="1315" xr:uid="{00000000-0005-0000-0000-0000C9050000}"/>
    <cellStyle name="Normal 70 32" xfId="1316" xr:uid="{00000000-0005-0000-0000-0000CA050000}"/>
    <cellStyle name="Normal 70 33" xfId="1317" xr:uid="{00000000-0005-0000-0000-0000CB050000}"/>
    <cellStyle name="Normal 70 34" xfId="1318" xr:uid="{00000000-0005-0000-0000-0000CC050000}"/>
    <cellStyle name="Normal 70 35" xfId="1319" xr:uid="{00000000-0005-0000-0000-0000CD050000}"/>
    <cellStyle name="Normal 70 36" xfId="1320" xr:uid="{00000000-0005-0000-0000-0000CE050000}"/>
    <cellStyle name="Normal 70 37" xfId="1321" xr:uid="{00000000-0005-0000-0000-0000CF050000}"/>
    <cellStyle name="Normal 70 38" xfId="1322" xr:uid="{00000000-0005-0000-0000-0000D0050000}"/>
    <cellStyle name="Normal 70 39" xfId="1323" xr:uid="{00000000-0005-0000-0000-0000D1050000}"/>
    <cellStyle name="Normal 70 4" xfId="1324" xr:uid="{00000000-0005-0000-0000-0000D2050000}"/>
    <cellStyle name="Normal 70 40" xfId="1325" xr:uid="{00000000-0005-0000-0000-0000D3050000}"/>
    <cellStyle name="Normal 70 41" xfId="1326" xr:uid="{00000000-0005-0000-0000-0000D4050000}"/>
    <cellStyle name="Normal 70 42" xfId="1327" xr:uid="{00000000-0005-0000-0000-0000D5050000}"/>
    <cellStyle name="Normal 70 43" xfId="1328" xr:uid="{00000000-0005-0000-0000-0000D6050000}"/>
    <cellStyle name="Normal 70 44" xfId="1329" xr:uid="{00000000-0005-0000-0000-0000D7050000}"/>
    <cellStyle name="Normal 70 45" xfId="1330" xr:uid="{00000000-0005-0000-0000-0000D8050000}"/>
    <cellStyle name="Normal 70 46" xfId="1331" xr:uid="{00000000-0005-0000-0000-0000D9050000}"/>
    <cellStyle name="Normal 70 47" xfId="1332" xr:uid="{00000000-0005-0000-0000-0000DA050000}"/>
    <cellStyle name="Normal 70 48" xfId="1333" xr:uid="{00000000-0005-0000-0000-0000DB050000}"/>
    <cellStyle name="Normal 70 49" xfId="1334" xr:uid="{00000000-0005-0000-0000-0000DC050000}"/>
    <cellStyle name="Normal 70 5" xfId="1335" xr:uid="{00000000-0005-0000-0000-0000DD050000}"/>
    <cellStyle name="Normal 70 50" xfId="1336" xr:uid="{00000000-0005-0000-0000-0000DE050000}"/>
    <cellStyle name="Normal 70 51" xfId="1337" xr:uid="{00000000-0005-0000-0000-0000DF050000}"/>
    <cellStyle name="Normal 70 52" xfId="1338" xr:uid="{00000000-0005-0000-0000-0000E0050000}"/>
    <cellStyle name="Normal 70 53" xfId="1339" xr:uid="{00000000-0005-0000-0000-0000E1050000}"/>
    <cellStyle name="Normal 70 54" xfId="1340" xr:uid="{00000000-0005-0000-0000-0000E2050000}"/>
    <cellStyle name="Normal 70 55" xfId="1341" xr:uid="{00000000-0005-0000-0000-0000E3050000}"/>
    <cellStyle name="Normal 70 56" xfId="1342" xr:uid="{00000000-0005-0000-0000-0000E4050000}"/>
    <cellStyle name="Normal 70 57" xfId="1343" xr:uid="{00000000-0005-0000-0000-0000E5050000}"/>
    <cellStyle name="Normal 70 58" xfId="1344" xr:uid="{00000000-0005-0000-0000-0000E6050000}"/>
    <cellStyle name="Normal 70 59" xfId="1345" xr:uid="{00000000-0005-0000-0000-0000E7050000}"/>
    <cellStyle name="Normal 70 6" xfId="1346" xr:uid="{00000000-0005-0000-0000-0000E8050000}"/>
    <cellStyle name="Normal 70 60" xfId="1347" xr:uid="{00000000-0005-0000-0000-0000E9050000}"/>
    <cellStyle name="Normal 70 61" xfId="1348" xr:uid="{00000000-0005-0000-0000-0000EA050000}"/>
    <cellStyle name="Normal 70 62" xfId="1349" xr:uid="{00000000-0005-0000-0000-0000EB050000}"/>
    <cellStyle name="Normal 70 63" xfId="1350" xr:uid="{00000000-0005-0000-0000-0000EC050000}"/>
    <cellStyle name="Normal 70 64" xfId="1351" xr:uid="{00000000-0005-0000-0000-0000ED050000}"/>
    <cellStyle name="Normal 70 65" xfId="1352" xr:uid="{00000000-0005-0000-0000-0000EE050000}"/>
    <cellStyle name="Normal 70 66" xfId="1353" xr:uid="{00000000-0005-0000-0000-0000EF050000}"/>
    <cellStyle name="Normal 70 67" xfId="1354" xr:uid="{00000000-0005-0000-0000-0000F0050000}"/>
    <cellStyle name="Normal 70 68" xfId="1355" xr:uid="{00000000-0005-0000-0000-0000F1050000}"/>
    <cellStyle name="Normal 70 69" xfId="1356" xr:uid="{00000000-0005-0000-0000-0000F2050000}"/>
    <cellStyle name="Normal 70 7" xfId="1357" xr:uid="{00000000-0005-0000-0000-0000F3050000}"/>
    <cellStyle name="Normal 70 70" xfId="1358" xr:uid="{00000000-0005-0000-0000-0000F4050000}"/>
    <cellStyle name="Normal 70 71" xfId="1359" xr:uid="{00000000-0005-0000-0000-0000F5050000}"/>
    <cellStyle name="Normal 70 72" xfId="1360" xr:uid="{00000000-0005-0000-0000-0000F6050000}"/>
    <cellStyle name="Normal 70 73" xfId="1361" xr:uid="{00000000-0005-0000-0000-0000F7050000}"/>
    <cellStyle name="Normal 70 74" xfId="1362" xr:uid="{00000000-0005-0000-0000-0000F8050000}"/>
    <cellStyle name="Normal 70 75" xfId="1363" xr:uid="{00000000-0005-0000-0000-0000F9050000}"/>
    <cellStyle name="Normal 70 8" xfId="1364" xr:uid="{00000000-0005-0000-0000-0000FA050000}"/>
    <cellStyle name="Normal 70 9" xfId="1365" xr:uid="{00000000-0005-0000-0000-0000FB050000}"/>
    <cellStyle name="Normal 71" xfId="1366" xr:uid="{00000000-0005-0000-0000-0000FC050000}"/>
    <cellStyle name="Normal 71 2" xfId="1367" xr:uid="{00000000-0005-0000-0000-0000FD050000}"/>
    <cellStyle name="Normal 71 3" xfId="1368" xr:uid="{00000000-0005-0000-0000-0000FE050000}"/>
    <cellStyle name="Normal 71 4" xfId="1369" xr:uid="{00000000-0005-0000-0000-0000FF050000}"/>
    <cellStyle name="Normal 71 5" xfId="1370" xr:uid="{00000000-0005-0000-0000-000000060000}"/>
    <cellStyle name="Normal 71 6" xfId="1371" xr:uid="{00000000-0005-0000-0000-000001060000}"/>
    <cellStyle name="Normal 71 7" xfId="1372" xr:uid="{00000000-0005-0000-0000-000002060000}"/>
    <cellStyle name="Normal 72" xfId="1373" xr:uid="{00000000-0005-0000-0000-000003060000}"/>
    <cellStyle name="Normal 72 2" xfId="1374" xr:uid="{00000000-0005-0000-0000-000004060000}"/>
    <cellStyle name="Normal 72 3" xfId="1375" xr:uid="{00000000-0005-0000-0000-000005060000}"/>
    <cellStyle name="Normal 72 4" xfId="1376" xr:uid="{00000000-0005-0000-0000-000006060000}"/>
    <cellStyle name="Normal 72 5" xfId="1377" xr:uid="{00000000-0005-0000-0000-000007060000}"/>
    <cellStyle name="Normal 72 6" xfId="1378" xr:uid="{00000000-0005-0000-0000-000008060000}"/>
    <cellStyle name="Normal 72 7" xfId="1379" xr:uid="{00000000-0005-0000-0000-000009060000}"/>
    <cellStyle name="Normal 73" xfId="1380" xr:uid="{00000000-0005-0000-0000-00000A060000}"/>
    <cellStyle name="Normal 73 2" xfId="1381" xr:uid="{00000000-0005-0000-0000-00000B060000}"/>
    <cellStyle name="Normal 73 3" xfId="1382" xr:uid="{00000000-0005-0000-0000-00000C060000}"/>
    <cellStyle name="Normal 73 4" xfId="1383" xr:uid="{00000000-0005-0000-0000-00000D060000}"/>
    <cellStyle name="Normal 73 5" xfId="1384" xr:uid="{00000000-0005-0000-0000-00000E060000}"/>
    <cellStyle name="Normal 73 6" xfId="1385" xr:uid="{00000000-0005-0000-0000-00000F060000}"/>
    <cellStyle name="Normal 73 7" xfId="1386" xr:uid="{00000000-0005-0000-0000-000010060000}"/>
    <cellStyle name="Normal 74" xfId="2626" xr:uid="{00000000-0005-0000-0000-000011060000}"/>
    <cellStyle name="Normal 75" xfId="2627" xr:uid="{00000000-0005-0000-0000-000012060000}"/>
    <cellStyle name="Normal 76" xfId="2628" xr:uid="{00000000-0005-0000-0000-000013060000}"/>
    <cellStyle name="Normal 77" xfId="2629" xr:uid="{00000000-0005-0000-0000-000014060000}"/>
    <cellStyle name="Normal 78" xfId="2630" xr:uid="{00000000-0005-0000-0000-000015060000}"/>
    <cellStyle name="Normal 79" xfId="2631" xr:uid="{00000000-0005-0000-0000-000016060000}"/>
    <cellStyle name="Normal 8" xfId="20" xr:uid="{00000000-0005-0000-0000-000017060000}"/>
    <cellStyle name="Normal 8 2" xfId="49" xr:uid="{00000000-0005-0000-0000-000018060000}"/>
    <cellStyle name="Normal 8 2 2" xfId="2700" xr:uid="{00000000-0005-0000-0000-000019060000}"/>
    <cellStyle name="Normal 8 3" xfId="87" xr:uid="{00000000-0005-0000-0000-00001A060000}"/>
    <cellStyle name="Normal 8 4" xfId="1387" xr:uid="{00000000-0005-0000-0000-00001B060000}"/>
    <cellStyle name="Normal 80" xfId="2632" xr:uid="{00000000-0005-0000-0000-00001C060000}"/>
    <cellStyle name="Normal 81" xfId="2633" xr:uid="{00000000-0005-0000-0000-00001D060000}"/>
    <cellStyle name="Normal 81 2" xfId="2634" xr:uid="{00000000-0005-0000-0000-00001E060000}"/>
    <cellStyle name="Normal 81 3" xfId="2635" xr:uid="{00000000-0005-0000-0000-00001F060000}"/>
    <cellStyle name="Normal 82" xfId="2636" xr:uid="{00000000-0005-0000-0000-000020060000}"/>
    <cellStyle name="Normal 82 2" xfId="2637" xr:uid="{00000000-0005-0000-0000-000021060000}"/>
    <cellStyle name="Normal 82 3" xfId="2638" xr:uid="{00000000-0005-0000-0000-000022060000}"/>
    <cellStyle name="Normal 83" xfId="2639" xr:uid="{00000000-0005-0000-0000-000023060000}"/>
    <cellStyle name="Normal 84" xfId="2640" xr:uid="{00000000-0005-0000-0000-000024060000}"/>
    <cellStyle name="Normal 85" xfId="2641" xr:uid="{00000000-0005-0000-0000-000025060000}"/>
    <cellStyle name="Normal 86" xfId="2642" xr:uid="{00000000-0005-0000-0000-000026060000}"/>
    <cellStyle name="Normal 87" xfId="2643" xr:uid="{00000000-0005-0000-0000-000027060000}"/>
    <cellStyle name="Normal 88" xfId="2644" xr:uid="{00000000-0005-0000-0000-000028060000}"/>
    <cellStyle name="Normal 89" xfId="2645" xr:uid="{00000000-0005-0000-0000-000029060000}"/>
    <cellStyle name="Normal 9" xfId="1388" xr:uid="{00000000-0005-0000-0000-00002A060000}"/>
    <cellStyle name="Normal 9 2" xfId="2701" xr:uid="{00000000-0005-0000-0000-00002B060000}"/>
    <cellStyle name="Normal 90" xfId="2646" xr:uid="{00000000-0005-0000-0000-00002C060000}"/>
    <cellStyle name="Normal 91" xfId="2647" xr:uid="{00000000-0005-0000-0000-00002D060000}"/>
    <cellStyle name="Normal 92" xfId="2648" xr:uid="{00000000-0005-0000-0000-00002E060000}"/>
    <cellStyle name="Normal 93" xfId="2649" xr:uid="{00000000-0005-0000-0000-00002F060000}"/>
    <cellStyle name="Normal 94" xfId="2650" xr:uid="{00000000-0005-0000-0000-000030060000}"/>
    <cellStyle name="Normal 95" xfId="2651" xr:uid="{00000000-0005-0000-0000-000031060000}"/>
    <cellStyle name="Normal 96" xfId="113" xr:uid="{00000000-0005-0000-0000-000032060000}"/>
    <cellStyle name="Normal 97" xfId="2897" xr:uid="{CFFB8639-D1C3-40C9-BB0A-A397A8F9F207}"/>
    <cellStyle name="Normal 99" xfId="5" xr:uid="{00000000-0005-0000-0000-000033060000}"/>
    <cellStyle name="Normal 99 2" xfId="11" xr:uid="{00000000-0005-0000-0000-000034060000}"/>
    <cellStyle name="Normal 99 2 2" xfId="32" xr:uid="{00000000-0005-0000-0000-000035060000}"/>
    <cellStyle name="Normal 99 2 2 2" xfId="71" xr:uid="{00000000-0005-0000-0000-000036060000}"/>
    <cellStyle name="Normal 99 2 2 2 2" xfId="2795" xr:uid="{00000000-0005-0000-0000-000037060000}"/>
    <cellStyle name="Normal 99 2 2 2 3" xfId="2891" xr:uid="{00000000-0005-0000-0000-000038060000}"/>
    <cellStyle name="Normal 99 2 2 3" xfId="96" xr:uid="{00000000-0005-0000-0000-000039060000}"/>
    <cellStyle name="Normal 99 2 2 3 2" xfId="2759" xr:uid="{00000000-0005-0000-0000-00003A060000}"/>
    <cellStyle name="Normal 99 2 2 3 3" xfId="2855" xr:uid="{00000000-0005-0000-0000-00003B060000}"/>
    <cellStyle name="Normal 99 2 2 4" xfId="2735" xr:uid="{00000000-0005-0000-0000-00003C060000}"/>
    <cellStyle name="Normal 99 2 2 5" xfId="2831" xr:uid="{00000000-0005-0000-0000-00003D060000}"/>
    <cellStyle name="Normal 99 2 3" xfId="58" xr:uid="{00000000-0005-0000-0000-00003E060000}"/>
    <cellStyle name="Normal 99 2 3 2" xfId="108" xr:uid="{00000000-0005-0000-0000-00003F060000}"/>
    <cellStyle name="Normal 99 2 3 2 2" xfId="2783" xr:uid="{00000000-0005-0000-0000-000040060000}"/>
    <cellStyle name="Normal 99 2 3 2 3" xfId="2879" xr:uid="{00000000-0005-0000-0000-000041060000}"/>
    <cellStyle name="Normal 99 2 3 3" xfId="2723" xr:uid="{00000000-0005-0000-0000-000042060000}"/>
    <cellStyle name="Normal 99 2 3 4" xfId="2819" xr:uid="{00000000-0005-0000-0000-000043060000}"/>
    <cellStyle name="Normal 99 2 4" xfId="45" xr:uid="{00000000-0005-0000-0000-000044060000}"/>
    <cellStyle name="Normal 99 2 4 2" xfId="2771" xr:uid="{00000000-0005-0000-0000-000045060000}"/>
    <cellStyle name="Normal 99 2 4 3" xfId="2867" xr:uid="{00000000-0005-0000-0000-000046060000}"/>
    <cellStyle name="Normal 99 2 5" xfId="83" xr:uid="{00000000-0005-0000-0000-000047060000}"/>
    <cellStyle name="Normal 99 2 5 2" xfId="2747" xr:uid="{00000000-0005-0000-0000-000048060000}"/>
    <cellStyle name="Normal 99 2 5 3" xfId="2843" xr:uid="{00000000-0005-0000-0000-000049060000}"/>
    <cellStyle name="Normal 99 2 6" xfId="2711" xr:uid="{00000000-0005-0000-0000-00004A060000}"/>
    <cellStyle name="Normal 99 2 7" xfId="2807" xr:uid="{00000000-0005-0000-0000-00004B060000}"/>
    <cellStyle name="Normal 99 3" xfId="28" xr:uid="{00000000-0005-0000-0000-00004C060000}"/>
    <cellStyle name="Normal 99 3 2" xfId="67" xr:uid="{00000000-0005-0000-0000-00004D060000}"/>
    <cellStyle name="Normal 99 3 2 2" xfId="2791" xr:uid="{00000000-0005-0000-0000-00004E060000}"/>
    <cellStyle name="Normal 99 3 2 3" xfId="2887" xr:uid="{00000000-0005-0000-0000-00004F060000}"/>
    <cellStyle name="Normal 99 3 3" xfId="92" xr:uid="{00000000-0005-0000-0000-000050060000}"/>
    <cellStyle name="Normal 99 3 3 2" xfId="2755" xr:uid="{00000000-0005-0000-0000-000051060000}"/>
    <cellStyle name="Normal 99 3 3 3" xfId="2851" xr:uid="{00000000-0005-0000-0000-000052060000}"/>
    <cellStyle name="Normal 99 3 4" xfId="2731" xr:uid="{00000000-0005-0000-0000-000053060000}"/>
    <cellStyle name="Normal 99 3 5" xfId="2827" xr:uid="{00000000-0005-0000-0000-000054060000}"/>
    <cellStyle name="Normal 99 4" xfId="54" xr:uid="{00000000-0005-0000-0000-000055060000}"/>
    <cellStyle name="Normal 99 4 2" xfId="104" xr:uid="{00000000-0005-0000-0000-000056060000}"/>
    <cellStyle name="Normal 99 4 2 2" xfId="2779" xr:uid="{00000000-0005-0000-0000-000057060000}"/>
    <cellStyle name="Normal 99 4 2 3" xfId="2875" xr:uid="{00000000-0005-0000-0000-000058060000}"/>
    <cellStyle name="Normal 99 4 3" xfId="2719" xr:uid="{00000000-0005-0000-0000-000059060000}"/>
    <cellStyle name="Normal 99 4 4" xfId="2815" xr:uid="{00000000-0005-0000-0000-00005A060000}"/>
    <cellStyle name="Normal 99 5" xfId="41" xr:uid="{00000000-0005-0000-0000-00005B060000}"/>
    <cellStyle name="Normal 99 5 2" xfId="2767" xr:uid="{00000000-0005-0000-0000-00005C060000}"/>
    <cellStyle name="Normal 99 5 3" xfId="2863" xr:uid="{00000000-0005-0000-0000-00005D060000}"/>
    <cellStyle name="Normal 99 6" xfId="79" xr:uid="{00000000-0005-0000-0000-00005E060000}"/>
    <cellStyle name="Normal 99 6 2" xfId="2743" xr:uid="{00000000-0005-0000-0000-00005F060000}"/>
    <cellStyle name="Normal 99 6 3" xfId="2839" xr:uid="{00000000-0005-0000-0000-000060060000}"/>
    <cellStyle name="Normal 99 7" xfId="2707" xr:uid="{00000000-0005-0000-0000-000061060000}"/>
    <cellStyle name="Normal 99 8" xfId="2803" xr:uid="{00000000-0005-0000-0000-000062060000}"/>
    <cellStyle name="Normal Input" xfId="129" xr:uid="{00000000-0005-0000-0000-000063060000}"/>
    <cellStyle name="Normal_Emission Calc Sheet" xfId="16" xr:uid="{00000000-0005-0000-0000-000064060000}"/>
    <cellStyle name="Normal_Sakalin Emissions Spreadsheet_FINAL" xfId="15" xr:uid="{00000000-0005-0000-0000-000065060000}"/>
    <cellStyle name="Percent 2" xfId="9" xr:uid="{00000000-0005-0000-0000-000066060000}"/>
    <cellStyle name="Percent 2 10" xfId="1389" xr:uid="{00000000-0005-0000-0000-000067060000}"/>
    <cellStyle name="Percent 2 11" xfId="2709" xr:uid="{00000000-0005-0000-0000-000068060000}"/>
    <cellStyle name="Percent 2 12" xfId="2805" xr:uid="{00000000-0005-0000-0000-000069060000}"/>
    <cellStyle name="Percent 2 2" xfId="13" xr:uid="{00000000-0005-0000-0000-00006A060000}"/>
    <cellStyle name="Percent 2 2 2" xfId="34" xr:uid="{00000000-0005-0000-0000-00006B060000}"/>
    <cellStyle name="Percent 2 2 2 2" xfId="73" xr:uid="{00000000-0005-0000-0000-00006C060000}"/>
    <cellStyle name="Percent 2 2 2 2 2" xfId="2797" xr:uid="{00000000-0005-0000-0000-00006D060000}"/>
    <cellStyle name="Percent 2 2 2 2 3" xfId="2893" xr:uid="{00000000-0005-0000-0000-00006E060000}"/>
    <cellStyle name="Percent 2 2 2 3" xfId="98" xr:uid="{00000000-0005-0000-0000-00006F060000}"/>
    <cellStyle name="Percent 2 2 2 3 2" xfId="2761" xr:uid="{00000000-0005-0000-0000-000070060000}"/>
    <cellStyle name="Percent 2 2 2 3 3" xfId="2857" xr:uid="{00000000-0005-0000-0000-000071060000}"/>
    <cellStyle name="Percent 2 2 2 4" xfId="2702" xr:uid="{00000000-0005-0000-0000-000072060000}"/>
    <cellStyle name="Percent 2 2 2 5" xfId="2737" xr:uid="{00000000-0005-0000-0000-000073060000}"/>
    <cellStyle name="Percent 2 2 2 6" xfId="2833" xr:uid="{00000000-0005-0000-0000-000074060000}"/>
    <cellStyle name="Percent 2 2 3" xfId="60" xr:uid="{00000000-0005-0000-0000-000075060000}"/>
    <cellStyle name="Percent 2 2 3 2" xfId="110" xr:uid="{00000000-0005-0000-0000-000076060000}"/>
    <cellStyle name="Percent 2 2 3 2 2" xfId="2785" xr:uid="{00000000-0005-0000-0000-000077060000}"/>
    <cellStyle name="Percent 2 2 3 2 3" xfId="2881" xr:uid="{00000000-0005-0000-0000-000078060000}"/>
    <cellStyle name="Percent 2 2 3 3" xfId="2725" xr:uid="{00000000-0005-0000-0000-000079060000}"/>
    <cellStyle name="Percent 2 2 3 4" xfId="2821" xr:uid="{00000000-0005-0000-0000-00007A060000}"/>
    <cellStyle name="Percent 2 2 4" xfId="47" xr:uid="{00000000-0005-0000-0000-00007B060000}"/>
    <cellStyle name="Percent 2 2 4 2" xfId="2773" xr:uid="{00000000-0005-0000-0000-00007C060000}"/>
    <cellStyle name="Percent 2 2 4 3" xfId="2869" xr:uid="{00000000-0005-0000-0000-00007D060000}"/>
    <cellStyle name="Percent 2 2 5" xfId="85" xr:uid="{00000000-0005-0000-0000-00007E060000}"/>
    <cellStyle name="Percent 2 2 5 2" xfId="2749" xr:uid="{00000000-0005-0000-0000-00007F060000}"/>
    <cellStyle name="Percent 2 2 5 3" xfId="2845" xr:uid="{00000000-0005-0000-0000-000080060000}"/>
    <cellStyle name="Percent 2 2 6" xfId="1390" xr:uid="{00000000-0005-0000-0000-000081060000}"/>
    <cellStyle name="Percent 2 2 7" xfId="2713" xr:uid="{00000000-0005-0000-0000-000082060000}"/>
    <cellStyle name="Percent 2 2 8" xfId="2809" xr:uid="{00000000-0005-0000-0000-000083060000}"/>
    <cellStyle name="Percent 2 3" xfId="30" xr:uid="{00000000-0005-0000-0000-000084060000}"/>
    <cellStyle name="Percent 2 3 2" xfId="69" xr:uid="{00000000-0005-0000-0000-000085060000}"/>
    <cellStyle name="Percent 2 3 2 2" xfId="2793" xr:uid="{00000000-0005-0000-0000-000086060000}"/>
    <cellStyle name="Percent 2 3 2 3" xfId="2889" xr:uid="{00000000-0005-0000-0000-000087060000}"/>
    <cellStyle name="Percent 2 3 3" xfId="94" xr:uid="{00000000-0005-0000-0000-000088060000}"/>
    <cellStyle name="Percent 2 3 3 2" xfId="2757" xr:uid="{00000000-0005-0000-0000-000089060000}"/>
    <cellStyle name="Percent 2 3 3 3" xfId="2853" xr:uid="{00000000-0005-0000-0000-00008A060000}"/>
    <cellStyle name="Percent 2 3 4" xfId="1391" xr:uid="{00000000-0005-0000-0000-00008B060000}"/>
    <cellStyle name="Percent 2 3 5" xfId="2733" xr:uid="{00000000-0005-0000-0000-00008C060000}"/>
    <cellStyle name="Percent 2 3 6" xfId="2829" xr:uid="{00000000-0005-0000-0000-00008D060000}"/>
    <cellStyle name="Percent 2 4" xfId="56" xr:uid="{00000000-0005-0000-0000-00008E060000}"/>
    <cellStyle name="Percent 2 4 2" xfId="106" xr:uid="{00000000-0005-0000-0000-00008F060000}"/>
    <cellStyle name="Percent 2 4 2 2" xfId="2781" xr:uid="{00000000-0005-0000-0000-000090060000}"/>
    <cellStyle name="Percent 2 4 2 3" xfId="2877" xr:uid="{00000000-0005-0000-0000-000091060000}"/>
    <cellStyle name="Percent 2 4 3" xfId="1392" xr:uid="{00000000-0005-0000-0000-000092060000}"/>
    <cellStyle name="Percent 2 4 4" xfId="2721" xr:uid="{00000000-0005-0000-0000-000093060000}"/>
    <cellStyle name="Percent 2 4 5" xfId="2817" xr:uid="{00000000-0005-0000-0000-000094060000}"/>
    <cellStyle name="Percent 2 5" xfId="43" xr:uid="{00000000-0005-0000-0000-000095060000}"/>
    <cellStyle name="Percent 2 5 2" xfId="1393" xr:uid="{00000000-0005-0000-0000-000096060000}"/>
    <cellStyle name="Percent 2 5 3" xfId="2769" xr:uid="{00000000-0005-0000-0000-000097060000}"/>
    <cellStyle name="Percent 2 5 4" xfId="2865" xr:uid="{00000000-0005-0000-0000-000098060000}"/>
    <cellStyle name="Percent 2 6" xfId="81" xr:uid="{00000000-0005-0000-0000-000099060000}"/>
    <cellStyle name="Percent 2 6 2" xfId="1394" xr:uid="{00000000-0005-0000-0000-00009A060000}"/>
    <cellStyle name="Percent 2 6 3" xfId="2745" xr:uid="{00000000-0005-0000-0000-00009B060000}"/>
    <cellStyle name="Percent 2 6 4" xfId="2841" xr:uid="{00000000-0005-0000-0000-00009C060000}"/>
    <cellStyle name="Percent 2 7" xfId="1395" xr:uid="{00000000-0005-0000-0000-00009D060000}"/>
    <cellStyle name="Percent 2 8" xfId="1396" xr:uid="{00000000-0005-0000-0000-00009E060000}"/>
    <cellStyle name="Percent 2 9" xfId="1397" xr:uid="{00000000-0005-0000-0000-00009F060000}"/>
    <cellStyle name="Percent 3" xfId="19" xr:uid="{00000000-0005-0000-0000-0000A0060000}"/>
    <cellStyle name="Percent 3 10" xfId="1398" xr:uid="{00000000-0005-0000-0000-0000A1060000}"/>
    <cellStyle name="Percent 3 11" xfId="1399" xr:uid="{00000000-0005-0000-0000-0000A2060000}"/>
    <cellStyle name="Percent 3 12" xfId="1400" xr:uid="{00000000-0005-0000-0000-0000A3060000}"/>
    <cellStyle name="Percent 3 13" xfId="1401" xr:uid="{00000000-0005-0000-0000-0000A4060000}"/>
    <cellStyle name="Percent 3 14" xfId="1402" xr:uid="{00000000-0005-0000-0000-0000A5060000}"/>
    <cellStyle name="Percent 3 15" xfId="1403" xr:uid="{00000000-0005-0000-0000-0000A6060000}"/>
    <cellStyle name="Percent 3 15 10" xfId="1404" xr:uid="{00000000-0005-0000-0000-0000A7060000}"/>
    <cellStyle name="Percent 3 15 11" xfId="1405" xr:uid="{00000000-0005-0000-0000-0000A8060000}"/>
    <cellStyle name="Percent 3 15 12" xfId="1406" xr:uid="{00000000-0005-0000-0000-0000A9060000}"/>
    <cellStyle name="Percent 3 15 13" xfId="1407" xr:uid="{00000000-0005-0000-0000-0000AA060000}"/>
    <cellStyle name="Percent 3 15 14" xfId="1408" xr:uid="{00000000-0005-0000-0000-0000AB060000}"/>
    <cellStyle name="Percent 3 15 15" xfId="1409" xr:uid="{00000000-0005-0000-0000-0000AC060000}"/>
    <cellStyle name="Percent 3 15 16" xfId="1410" xr:uid="{00000000-0005-0000-0000-0000AD060000}"/>
    <cellStyle name="Percent 3 15 17" xfId="1411" xr:uid="{00000000-0005-0000-0000-0000AE060000}"/>
    <cellStyle name="Percent 3 15 18" xfId="1412" xr:uid="{00000000-0005-0000-0000-0000AF060000}"/>
    <cellStyle name="Percent 3 15 19" xfId="1413" xr:uid="{00000000-0005-0000-0000-0000B0060000}"/>
    <cellStyle name="Percent 3 15 2" xfId="1414" xr:uid="{00000000-0005-0000-0000-0000B1060000}"/>
    <cellStyle name="Percent 3 15 2 10" xfId="1415" xr:uid="{00000000-0005-0000-0000-0000B2060000}"/>
    <cellStyle name="Percent 3 15 2 11" xfId="1416" xr:uid="{00000000-0005-0000-0000-0000B3060000}"/>
    <cellStyle name="Percent 3 15 2 12" xfId="1417" xr:uid="{00000000-0005-0000-0000-0000B4060000}"/>
    <cellStyle name="Percent 3 15 2 13" xfId="1418" xr:uid="{00000000-0005-0000-0000-0000B5060000}"/>
    <cellStyle name="Percent 3 15 2 14" xfId="1419" xr:uid="{00000000-0005-0000-0000-0000B6060000}"/>
    <cellStyle name="Percent 3 15 2 15" xfId="1420" xr:uid="{00000000-0005-0000-0000-0000B7060000}"/>
    <cellStyle name="Percent 3 15 2 16" xfId="1421" xr:uid="{00000000-0005-0000-0000-0000B8060000}"/>
    <cellStyle name="Percent 3 15 2 17" xfId="1422" xr:uid="{00000000-0005-0000-0000-0000B9060000}"/>
    <cellStyle name="Percent 3 15 2 18" xfId="1423" xr:uid="{00000000-0005-0000-0000-0000BA060000}"/>
    <cellStyle name="Percent 3 15 2 19" xfId="1424" xr:uid="{00000000-0005-0000-0000-0000BB060000}"/>
    <cellStyle name="Percent 3 15 2 2" xfId="1425" xr:uid="{00000000-0005-0000-0000-0000BC060000}"/>
    <cellStyle name="Percent 3 15 2 2 10" xfId="1426" xr:uid="{00000000-0005-0000-0000-0000BD060000}"/>
    <cellStyle name="Percent 3 15 2 2 11" xfId="1427" xr:uid="{00000000-0005-0000-0000-0000BE060000}"/>
    <cellStyle name="Percent 3 15 2 2 12" xfId="1428" xr:uid="{00000000-0005-0000-0000-0000BF060000}"/>
    <cellStyle name="Percent 3 15 2 2 13" xfId="1429" xr:uid="{00000000-0005-0000-0000-0000C0060000}"/>
    <cellStyle name="Percent 3 15 2 2 14" xfId="1430" xr:uid="{00000000-0005-0000-0000-0000C1060000}"/>
    <cellStyle name="Percent 3 15 2 2 15" xfId="1431" xr:uid="{00000000-0005-0000-0000-0000C2060000}"/>
    <cellStyle name="Percent 3 15 2 2 16" xfId="1432" xr:uid="{00000000-0005-0000-0000-0000C3060000}"/>
    <cellStyle name="Percent 3 15 2 2 17" xfId="1433" xr:uid="{00000000-0005-0000-0000-0000C4060000}"/>
    <cellStyle name="Percent 3 15 2 2 18" xfId="1434" xr:uid="{00000000-0005-0000-0000-0000C5060000}"/>
    <cellStyle name="Percent 3 15 2 2 19" xfId="1435" xr:uid="{00000000-0005-0000-0000-0000C6060000}"/>
    <cellStyle name="Percent 3 15 2 2 2" xfId="1436" xr:uid="{00000000-0005-0000-0000-0000C7060000}"/>
    <cellStyle name="Percent 3 15 2 2 2 10" xfId="1437" xr:uid="{00000000-0005-0000-0000-0000C8060000}"/>
    <cellStyle name="Percent 3 15 2 2 2 11" xfId="1438" xr:uid="{00000000-0005-0000-0000-0000C9060000}"/>
    <cellStyle name="Percent 3 15 2 2 2 12" xfId="1439" xr:uid="{00000000-0005-0000-0000-0000CA060000}"/>
    <cellStyle name="Percent 3 15 2 2 2 13" xfId="1440" xr:uid="{00000000-0005-0000-0000-0000CB060000}"/>
    <cellStyle name="Percent 3 15 2 2 2 14" xfId="1441" xr:uid="{00000000-0005-0000-0000-0000CC060000}"/>
    <cellStyle name="Percent 3 15 2 2 2 15" xfId="1442" xr:uid="{00000000-0005-0000-0000-0000CD060000}"/>
    <cellStyle name="Percent 3 15 2 2 2 16" xfId="1443" xr:uid="{00000000-0005-0000-0000-0000CE060000}"/>
    <cellStyle name="Percent 3 15 2 2 2 17" xfId="1444" xr:uid="{00000000-0005-0000-0000-0000CF060000}"/>
    <cellStyle name="Percent 3 15 2 2 2 18" xfId="1445" xr:uid="{00000000-0005-0000-0000-0000D0060000}"/>
    <cellStyle name="Percent 3 15 2 2 2 19" xfId="1446" xr:uid="{00000000-0005-0000-0000-0000D1060000}"/>
    <cellStyle name="Percent 3 15 2 2 2 2" xfId="1447" xr:uid="{00000000-0005-0000-0000-0000D2060000}"/>
    <cellStyle name="Percent 3 15 2 2 2 20" xfId="1448" xr:uid="{00000000-0005-0000-0000-0000D3060000}"/>
    <cellStyle name="Percent 3 15 2 2 2 21" xfId="1449" xr:uid="{00000000-0005-0000-0000-0000D4060000}"/>
    <cellStyle name="Percent 3 15 2 2 2 3" xfId="1450" xr:uid="{00000000-0005-0000-0000-0000D5060000}"/>
    <cellStyle name="Percent 3 15 2 2 2 4" xfId="1451" xr:uid="{00000000-0005-0000-0000-0000D6060000}"/>
    <cellStyle name="Percent 3 15 2 2 2 5" xfId="1452" xr:uid="{00000000-0005-0000-0000-0000D7060000}"/>
    <cellStyle name="Percent 3 15 2 2 2 6" xfId="1453" xr:uid="{00000000-0005-0000-0000-0000D8060000}"/>
    <cellStyle name="Percent 3 15 2 2 2 7" xfId="1454" xr:uid="{00000000-0005-0000-0000-0000D9060000}"/>
    <cellStyle name="Percent 3 15 2 2 2 8" xfId="1455" xr:uid="{00000000-0005-0000-0000-0000DA060000}"/>
    <cellStyle name="Percent 3 15 2 2 2 9" xfId="1456" xr:uid="{00000000-0005-0000-0000-0000DB060000}"/>
    <cellStyle name="Percent 3 15 2 2 20" xfId="1457" xr:uid="{00000000-0005-0000-0000-0000DC060000}"/>
    <cellStyle name="Percent 3 15 2 2 21" xfId="1458" xr:uid="{00000000-0005-0000-0000-0000DD060000}"/>
    <cellStyle name="Percent 3 15 2 2 22" xfId="1459" xr:uid="{00000000-0005-0000-0000-0000DE060000}"/>
    <cellStyle name="Percent 3 15 2 2 3" xfId="1460" xr:uid="{00000000-0005-0000-0000-0000DF060000}"/>
    <cellStyle name="Percent 3 15 2 2 4" xfId="1461" xr:uid="{00000000-0005-0000-0000-0000E0060000}"/>
    <cellStyle name="Percent 3 15 2 2 5" xfId="1462" xr:uid="{00000000-0005-0000-0000-0000E1060000}"/>
    <cellStyle name="Percent 3 15 2 2 6" xfId="1463" xr:uid="{00000000-0005-0000-0000-0000E2060000}"/>
    <cellStyle name="Percent 3 15 2 2 7" xfId="1464" xr:uid="{00000000-0005-0000-0000-0000E3060000}"/>
    <cellStyle name="Percent 3 15 2 2 8" xfId="1465" xr:uid="{00000000-0005-0000-0000-0000E4060000}"/>
    <cellStyle name="Percent 3 15 2 2 9" xfId="1466" xr:uid="{00000000-0005-0000-0000-0000E5060000}"/>
    <cellStyle name="Percent 3 15 2 20" xfId="1467" xr:uid="{00000000-0005-0000-0000-0000E6060000}"/>
    <cellStyle name="Percent 3 15 2 21" xfId="1468" xr:uid="{00000000-0005-0000-0000-0000E7060000}"/>
    <cellStyle name="Percent 3 15 2 22" xfId="1469" xr:uid="{00000000-0005-0000-0000-0000E8060000}"/>
    <cellStyle name="Percent 3 15 2 23" xfId="1470" xr:uid="{00000000-0005-0000-0000-0000E9060000}"/>
    <cellStyle name="Percent 3 15 2 24" xfId="1471" xr:uid="{00000000-0005-0000-0000-0000EA060000}"/>
    <cellStyle name="Percent 3 15 2 25" xfId="1472" xr:uid="{00000000-0005-0000-0000-0000EB060000}"/>
    <cellStyle name="Percent 3 15 2 3" xfId="1473" xr:uid="{00000000-0005-0000-0000-0000EC060000}"/>
    <cellStyle name="Percent 3 15 2 4" xfId="1474" xr:uid="{00000000-0005-0000-0000-0000ED060000}"/>
    <cellStyle name="Percent 3 15 2 5" xfId="1475" xr:uid="{00000000-0005-0000-0000-0000EE060000}"/>
    <cellStyle name="Percent 3 15 2 6" xfId="1476" xr:uid="{00000000-0005-0000-0000-0000EF060000}"/>
    <cellStyle name="Percent 3 15 2 6 10" xfId="1477" xr:uid="{00000000-0005-0000-0000-0000F0060000}"/>
    <cellStyle name="Percent 3 15 2 6 11" xfId="1478" xr:uid="{00000000-0005-0000-0000-0000F1060000}"/>
    <cellStyle name="Percent 3 15 2 6 12" xfId="1479" xr:uid="{00000000-0005-0000-0000-0000F2060000}"/>
    <cellStyle name="Percent 3 15 2 6 13" xfId="1480" xr:uid="{00000000-0005-0000-0000-0000F3060000}"/>
    <cellStyle name="Percent 3 15 2 6 14" xfId="1481" xr:uid="{00000000-0005-0000-0000-0000F4060000}"/>
    <cellStyle name="Percent 3 15 2 6 15" xfId="1482" xr:uid="{00000000-0005-0000-0000-0000F5060000}"/>
    <cellStyle name="Percent 3 15 2 6 16" xfId="1483" xr:uid="{00000000-0005-0000-0000-0000F6060000}"/>
    <cellStyle name="Percent 3 15 2 6 17" xfId="1484" xr:uid="{00000000-0005-0000-0000-0000F7060000}"/>
    <cellStyle name="Percent 3 15 2 6 18" xfId="1485" xr:uid="{00000000-0005-0000-0000-0000F8060000}"/>
    <cellStyle name="Percent 3 15 2 6 19" xfId="1486" xr:uid="{00000000-0005-0000-0000-0000F9060000}"/>
    <cellStyle name="Percent 3 15 2 6 2" xfId="1487" xr:uid="{00000000-0005-0000-0000-0000FA060000}"/>
    <cellStyle name="Percent 3 15 2 6 20" xfId="1488" xr:uid="{00000000-0005-0000-0000-0000FB060000}"/>
    <cellStyle name="Percent 3 15 2 6 21" xfId="1489" xr:uid="{00000000-0005-0000-0000-0000FC060000}"/>
    <cellStyle name="Percent 3 15 2 6 3" xfId="1490" xr:uid="{00000000-0005-0000-0000-0000FD060000}"/>
    <cellStyle name="Percent 3 15 2 6 4" xfId="1491" xr:uid="{00000000-0005-0000-0000-0000FE060000}"/>
    <cellStyle name="Percent 3 15 2 6 5" xfId="1492" xr:uid="{00000000-0005-0000-0000-0000FF060000}"/>
    <cellStyle name="Percent 3 15 2 6 6" xfId="1493" xr:uid="{00000000-0005-0000-0000-000000070000}"/>
    <cellStyle name="Percent 3 15 2 6 7" xfId="1494" xr:uid="{00000000-0005-0000-0000-000001070000}"/>
    <cellStyle name="Percent 3 15 2 6 8" xfId="1495" xr:uid="{00000000-0005-0000-0000-000002070000}"/>
    <cellStyle name="Percent 3 15 2 6 9" xfId="1496" xr:uid="{00000000-0005-0000-0000-000003070000}"/>
    <cellStyle name="Percent 3 15 2 7" xfId="1497" xr:uid="{00000000-0005-0000-0000-000004070000}"/>
    <cellStyle name="Percent 3 15 2 8" xfId="1498" xr:uid="{00000000-0005-0000-0000-000005070000}"/>
    <cellStyle name="Percent 3 15 2 9" xfId="1499" xr:uid="{00000000-0005-0000-0000-000006070000}"/>
    <cellStyle name="Percent 3 15 20" xfId="1500" xr:uid="{00000000-0005-0000-0000-000007070000}"/>
    <cellStyle name="Percent 3 15 21" xfId="1501" xr:uid="{00000000-0005-0000-0000-000008070000}"/>
    <cellStyle name="Percent 3 15 22" xfId="1502" xr:uid="{00000000-0005-0000-0000-000009070000}"/>
    <cellStyle name="Percent 3 15 23" xfId="1503" xr:uid="{00000000-0005-0000-0000-00000A070000}"/>
    <cellStyle name="Percent 3 15 24" xfId="1504" xr:uid="{00000000-0005-0000-0000-00000B070000}"/>
    <cellStyle name="Percent 3 15 25" xfId="1505" xr:uid="{00000000-0005-0000-0000-00000C070000}"/>
    <cellStyle name="Percent 3 15 26" xfId="1506" xr:uid="{00000000-0005-0000-0000-00000D070000}"/>
    <cellStyle name="Percent 3 15 3" xfId="1507" xr:uid="{00000000-0005-0000-0000-00000E070000}"/>
    <cellStyle name="Percent 3 15 4" xfId="1508" xr:uid="{00000000-0005-0000-0000-00000F070000}"/>
    <cellStyle name="Percent 3 15 5" xfId="1509" xr:uid="{00000000-0005-0000-0000-000010070000}"/>
    <cellStyle name="Percent 3 15 6" xfId="1510" xr:uid="{00000000-0005-0000-0000-000011070000}"/>
    <cellStyle name="Percent 3 15 7" xfId="1511" xr:uid="{00000000-0005-0000-0000-000012070000}"/>
    <cellStyle name="Percent 3 15 7 10" xfId="1512" xr:uid="{00000000-0005-0000-0000-000013070000}"/>
    <cellStyle name="Percent 3 15 7 11" xfId="1513" xr:uid="{00000000-0005-0000-0000-000014070000}"/>
    <cellStyle name="Percent 3 15 7 12" xfId="1514" xr:uid="{00000000-0005-0000-0000-000015070000}"/>
    <cellStyle name="Percent 3 15 7 13" xfId="1515" xr:uid="{00000000-0005-0000-0000-000016070000}"/>
    <cellStyle name="Percent 3 15 7 14" xfId="1516" xr:uid="{00000000-0005-0000-0000-000017070000}"/>
    <cellStyle name="Percent 3 15 7 15" xfId="1517" xr:uid="{00000000-0005-0000-0000-000018070000}"/>
    <cellStyle name="Percent 3 15 7 16" xfId="1518" xr:uid="{00000000-0005-0000-0000-000019070000}"/>
    <cellStyle name="Percent 3 15 7 17" xfId="1519" xr:uid="{00000000-0005-0000-0000-00001A070000}"/>
    <cellStyle name="Percent 3 15 7 18" xfId="1520" xr:uid="{00000000-0005-0000-0000-00001B070000}"/>
    <cellStyle name="Percent 3 15 7 19" xfId="1521" xr:uid="{00000000-0005-0000-0000-00001C070000}"/>
    <cellStyle name="Percent 3 15 7 2" xfId="1522" xr:uid="{00000000-0005-0000-0000-00001D070000}"/>
    <cellStyle name="Percent 3 15 7 20" xfId="1523" xr:uid="{00000000-0005-0000-0000-00001E070000}"/>
    <cellStyle name="Percent 3 15 7 21" xfId="1524" xr:uid="{00000000-0005-0000-0000-00001F070000}"/>
    <cellStyle name="Percent 3 15 7 3" xfId="1525" xr:uid="{00000000-0005-0000-0000-000020070000}"/>
    <cellStyle name="Percent 3 15 7 4" xfId="1526" xr:uid="{00000000-0005-0000-0000-000021070000}"/>
    <cellStyle name="Percent 3 15 7 5" xfId="1527" xr:uid="{00000000-0005-0000-0000-000022070000}"/>
    <cellStyle name="Percent 3 15 7 6" xfId="1528" xr:uid="{00000000-0005-0000-0000-000023070000}"/>
    <cellStyle name="Percent 3 15 7 7" xfId="1529" xr:uid="{00000000-0005-0000-0000-000024070000}"/>
    <cellStyle name="Percent 3 15 7 8" xfId="1530" xr:uid="{00000000-0005-0000-0000-000025070000}"/>
    <cellStyle name="Percent 3 15 7 9" xfId="1531" xr:uid="{00000000-0005-0000-0000-000026070000}"/>
    <cellStyle name="Percent 3 15 8" xfId="1532" xr:uid="{00000000-0005-0000-0000-000027070000}"/>
    <cellStyle name="Percent 3 15 9" xfId="1533" xr:uid="{00000000-0005-0000-0000-000028070000}"/>
    <cellStyle name="Percent 3 16" xfId="1534" xr:uid="{00000000-0005-0000-0000-000029070000}"/>
    <cellStyle name="Percent 3 17" xfId="1535" xr:uid="{00000000-0005-0000-0000-00002A070000}"/>
    <cellStyle name="Percent 3 18" xfId="1536" xr:uid="{00000000-0005-0000-0000-00002B070000}"/>
    <cellStyle name="Percent 3 19" xfId="1537" xr:uid="{00000000-0005-0000-0000-00002C070000}"/>
    <cellStyle name="Percent 3 2" xfId="1538" xr:uid="{00000000-0005-0000-0000-00002D070000}"/>
    <cellStyle name="Percent 3 20" xfId="1539" xr:uid="{00000000-0005-0000-0000-00002E070000}"/>
    <cellStyle name="Percent 3 21" xfId="1540" xr:uid="{00000000-0005-0000-0000-00002F070000}"/>
    <cellStyle name="Percent 3 21 2" xfId="1541" xr:uid="{00000000-0005-0000-0000-000030070000}"/>
    <cellStyle name="Percent 3 21 3" xfId="1542" xr:uid="{00000000-0005-0000-0000-000031070000}"/>
    <cellStyle name="Percent 3 21 4" xfId="1543" xr:uid="{00000000-0005-0000-0000-000032070000}"/>
    <cellStyle name="Percent 3 21 5" xfId="1544" xr:uid="{00000000-0005-0000-0000-000033070000}"/>
    <cellStyle name="Percent 3 22" xfId="1545" xr:uid="{00000000-0005-0000-0000-000034070000}"/>
    <cellStyle name="Percent 3 23" xfId="1546" xr:uid="{00000000-0005-0000-0000-000035070000}"/>
    <cellStyle name="Percent 3 24" xfId="1547" xr:uid="{00000000-0005-0000-0000-000036070000}"/>
    <cellStyle name="Percent 3 25" xfId="1548" xr:uid="{00000000-0005-0000-0000-000037070000}"/>
    <cellStyle name="Percent 3 25 10" xfId="1549" xr:uid="{00000000-0005-0000-0000-000038070000}"/>
    <cellStyle name="Percent 3 25 11" xfId="1550" xr:uid="{00000000-0005-0000-0000-000039070000}"/>
    <cellStyle name="Percent 3 25 12" xfId="1551" xr:uid="{00000000-0005-0000-0000-00003A070000}"/>
    <cellStyle name="Percent 3 25 13" xfId="1552" xr:uid="{00000000-0005-0000-0000-00003B070000}"/>
    <cellStyle name="Percent 3 25 14" xfId="1553" xr:uid="{00000000-0005-0000-0000-00003C070000}"/>
    <cellStyle name="Percent 3 25 15" xfId="1554" xr:uid="{00000000-0005-0000-0000-00003D070000}"/>
    <cellStyle name="Percent 3 25 16" xfId="1555" xr:uid="{00000000-0005-0000-0000-00003E070000}"/>
    <cellStyle name="Percent 3 25 17" xfId="1556" xr:uid="{00000000-0005-0000-0000-00003F070000}"/>
    <cellStyle name="Percent 3 25 18" xfId="1557" xr:uid="{00000000-0005-0000-0000-000040070000}"/>
    <cellStyle name="Percent 3 25 19" xfId="1558" xr:uid="{00000000-0005-0000-0000-000041070000}"/>
    <cellStyle name="Percent 3 25 2" xfId="1559" xr:uid="{00000000-0005-0000-0000-000042070000}"/>
    <cellStyle name="Percent 3 25 20" xfId="1560" xr:uid="{00000000-0005-0000-0000-000043070000}"/>
    <cellStyle name="Percent 3 25 21" xfId="1561" xr:uid="{00000000-0005-0000-0000-000044070000}"/>
    <cellStyle name="Percent 3 25 3" xfId="1562" xr:uid="{00000000-0005-0000-0000-000045070000}"/>
    <cellStyle name="Percent 3 25 4" xfId="1563" xr:uid="{00000000-0005-0000-0000-000046070000}"/>
    <cellStyle name="Percent 3 25 5" xfId="1564" xr:uid="{00000000-0005-0000-0000-000047070000}"/>
    <cellStyle name="Percent 3 25 6" xfId="1565" xr:uid="{00000000-0005-0000-0000-000048070000}"/>
    <cellStyle name="Percent 3 25 7" xfId="1566" xr:uid="{00000000-0005-0000-0000-000049070000}"/>
    <cellStyle name="Percent 3 25 8" xfId="1567" xr:uid="{00000000-0005-0000-0000-00004A070000}"/>
    <cellStyle name="Percent 3 25 9" xfId="1568" xr:uid="{00000000-0005-0000-0000-00004B070000}"/>
    <cellStyle name="Percent 3 26" xfId="1569" xr:uid="{00000000-0005-0000-0000-00004C070000}"/>
    <cellStyle name="Percent 3 27" xfId="1570" xr:uid="{00000000-0005-0000-0000-00004D070000}"/>
    <cellStyle name="Percent 3 28" xfId="1571" xr:uid="{00000000-0005-0000-0000-00004E070000}"/>
    <cellStyle name="Percent 3 29" xfId="1572" xr:uid="{00000000-0005-0000-0000-00004F070000}"/>
    <cellStyle name="Percent 3 3" xfId="1573" xr:uid="{00000000-0005-0000-0000-000050070000}"/>
    <cellStyle name="Percent 3 30" xfId="1574" xr:uid="{00000000-0005-0000-0000-000051070000}"/>
    <cellStyle name="Percent 3 31" xfId="1575" xr:uid="{00000000-0005-0000-0000-000052070000}"/>
    <cellStyle name="Percent 3 32" xfId="1576" xr:uid="{00000000-0005-0000-0000-000053070000}"/>
    <cellStyle name="Percent 3 33" xfId="1577" xr:uid="{00000000-0005-0000-0000-000054070000}"/>
    <cellStyle name="Percent 3 34" xfId="1578" xr:uid="{00000000-0005-0000-0000-000055070000}"/>
    <cellStyle name="Percent 3 35" xfId="1579" xr:uid="{00000000-0005-0000-0000-000056070000}"/>
    <cellStyle name="Percent 3 36" xfId="1580" xr:uid="{00000000-0005-0000-0000-000057070000}"/>
    <cellStyle name="Percent 3 37" xfId="1581" xr:uid="{00000000-0005-0000-0000-000058070000}"/>
    <cellStyle name="Percent 3 38" xfId="1582" xr:uid="{00000000-0005-0000-0000-000059070000}"/>
    <cellStyle name="Percent 3 39" xfId="1583" xr:uid="{00000000-0005-0000-0000-00005A070000}"/>
    <cellStyle name="Percent 3 4" xfId="1584" xr:uid="{00000000-0005-0000-0000-00005B070000}"/>
    <cellStyle name="Percent 3 4 10" xfId="1585" xr:uid="{00000000-0005-0000-0000-00005C070000}"/>
    <cellStyle name="Percent 3 4 11" xfId="1586" xr:uid="{00000000-0005-0000-0000-00005D070000}"/>
    <cellStyle name="Percent 3 4 12" xfId="1587" xr:uid="{00000000-0005-0000-0000-00005E070000}"/>
    <cellStyle name="Percent 3 4 13" xfId="1588" xr:uid="{00000000-0005-0000-0000-00005F070000}"/>
    <cellStyle name="Percent 3 4 13 10" xfId="1589" xr:uid="{00000000-0005-0000-0000-000060070000}"/>
    <cellStyle name="Percent 3 4 13 11" xfId="1590" xr:uid="{00000000-0005-0000-0000-000061070000}"/>
    <cellStyle name="Percent 3 4 13 12" xfId="1591" xr:uid="{00000000-0005-0000-0000-000062070000}"/>
    <cellStyle name="Percent 3 4 13 13" xfId="1592" xr:uid="{00000000-0005-0000-0000-000063070000}"/>
    <cellStyle name="Percent 3 4 13 14" xfId="1593" xr:uid="{00000000-0005-0000-0000-000064070000}"/>
    <cellStyle name="Percent 3 4 13 15" xfId="1594" xr:uid="{00000000-0005-0000-0000-000065070000}"/>
    <cellStyle name="Percent 3 4 13 16" xfId="1595" xr:uid="{00000000-0005-0000-0000-000066070000}"/>
    <cellStyle name="Percent 3 4 13 17" xfId="1596" xr:uid="{00000000-0005-0000-0000-000067070000}"/>
    <cellStyle name="Percent 3 4 13 18" xfId="1597" xr:uid="{00000000-0005-0000-0000-000068070000}"/>
    <cellStyle name="Percent 3 4 13 19" xfId="1598" xr:uid="{00000000-0005-0000-0000-000069070000}"/>
    <cellStyle name="Percent 3 4 13 2" xfId="1599" xr:uid="{00000000-0005-0000-0000-00006A070000}"/>
    <cellStyle name="Percent 3 4 13 2 10" xfId="1600" xr:uid="{00000000-0005-0000-0000-00006B070000}"/>
    <cellStyle name="Percent 3 4 13 2 11" xfId="1601" xr:uid="{00000000-0005-0000-0000-00006C070000}"/>
    <cellStyle name="Percent 3 4 13 2 12" xfId="1602" xr:uid="{00000000-0005-0000-0000-00006D070000}"/>
    <cellStyle name="Percent 3 4 13 2 13" xfId="1603" xr:uid="{00000000-0005-0000-0000-00006E070000}"/>
    <cellStyle name="Percent 3 4 13 2 14" xfId="1604" xr:uid="{00000000-0005-0000-0000-00006F070000}"/>
    <cellStyle name="Percent 3 4 13 2 15" xfId="1605" xr:uid="{00000000-0005-0000-0000-000070070000}"/>
    <cellStyle name="Percent 3 4 13 2 16" xfId="1606" xr:uid="{00000000-0005-0000-0000-000071070000}"/>
    <cellStyle name="Percent 3 4 13 2 17" xfId="1607" xr:uid="{00000000-0005-0000-0000-000072070000}"/>
    <cellStyle name="Percent 3 4 13 2 18" xfId="1608" xr:uid="{00000000-0005-0000-0000-000073070000}"/>
    <cellStyle name="Percent 3 4 13 2 19" xfId="1609" xr:uid="{00000000-0005-0000-0000-000074070000}"/>
    <cellStyle name="Percent 3 4 13 2 2" xfId="1610" xr:uid="{00000000-0005-0000-0000-000075070000}"/>
    <cellStyle name="Percent 3 4 13 2 2 10" xfId="1611" xr:uid="{00000000-0005-0000-0000-000076070000}"/>
    <cellStyle name="Percent 3 4 13 2 2 11" xfId="1612" xr:uid="{00000000-0005-0000-0000-000077070000}"/>
    <cellStyle name="Percent 3 4 13 2 2 12" xfId="1613" xr:uid="{00000000-0005-0000-0000-000078070000}"/>
    <cellStyle name="Percent 3 4 13 2 2 13" xfId="1614" xr:uid="{00000000-0005-0000-0000-000079070000}"/>
    <cellStyle name="Percent 3 4 13 2 2 14" xfId="1615" xr:uid="{00000000-0005-0000-0000-00007A070000}"/>
    <cellStyle name="Percent 3 4 13 2 2 15" xfId="1616" xr:uid="{00000000-0005-0000-0000-00007B070000}"/>
    <cellStyle name="Percent 3 4 13 2 2 16" xfId="1617" xr:uid="{00000000-0005-0000-0000-00007C070000}"/>
    <cellStyle name="Percent 3 4 13 2 2 17" xfId="1618" xr:uid="{00000000-0005-0000-0000-00007D070000}"/>
    <cellStyle name="Percent 3 4 13 2 2 18" xfId="1619" xr:uid="{00000000-0005-0000-0000-00007E070000}"/>
    <cellStyle name="Percent 3 4 13 2 2 19" xfId="1620" xr:uid="{00000000-0005-0000-0000-00007F070000}"/>
    <cellStyle name="Percent 3 4 13 2 2 2" xfId="1621" xr:uid="{00000000-0005-0000-0000-000080070000}"/>
    <cellStyle name="Percent 3 4 13 2 2 2 10" xfId="1622" xr:uid="{00000000-0005-0000-0000-000081070000}"/>
    <cellStyle name="Percent 3 4 13 2 2 2 11" xfId="1623" xr:uid="{00000000-0005-0000-0000-000082070000}"/>
    <cellStyle name="Percent 3 4 13 2 2 2 12" xfId="1624" xr:uid="{00000000-0005-0000-0000-000083070000}"/>
    <cellStyle name="Percent 3 4 13 2 2 2 13" xfId="1625" xr:uid="{00000000-0005-0000-0000-000084070000}"/>
    <cellStyle name="Percent 3 4 13 2 2 2 14" xfId="1626" xr:uid="{00000000-0005-0000-0000-000085070000}"/>
    <cellStyle name="Percent 3 4 13 2 2 2 15" xfId="1627" xr:uid="{00000000-0005-0000-0000-000086070000}"/>
    <cellStyle name="Percent 3 4 13 2 2 2 16" xfId="1628" xr:uid="{00000000-0005-0000-0000-000087070000}"/>
    <cellStyle name="Percent 3 4 13 2 2 2 17" xfId="1629" xr:uid="{00000000-0005-0000-0000-000088070000}"/>
    <cellStyle name="Percent 3 4 13 2 2 2 18" xfId="1630" xr:uid="{00000000-0005-0000-0000-000089070000}"/>
    <cellStyle name="Percent 3 4 13 2 2 2 19" xfId="1631" xr:uid="{00000000-0005-0000-0000-00008A070000}"/>
    <cellStyle name="Percent 3 4 13 2 2 2 2" xfId="1632" xr:uid="{00000000-0005-0000-0000-00008B070000}"/>
    <cellStyle name="Percent 3 4 13 2 2 2 20" xfId="1633" xr:uid="{00000000-0005-0000-0000-00008C070000}"/>
    <cellStyle name="Percent 3 4 13 2 2 2 21" xfId="1634" xr:uid="{00000000-0005-0000-0000-00008D070000}"/>
    <cellStyle name="Percent 3 4 13 2 2 2 3" xfId="1635" xr:uid="{00000000-0005-0000-0000-00008E070000}"/>
    <cellStyle name="Percent 3 4 13 2 2 2 4" xfId="1636" xr:uid="{00000000-0005-0000-0000-00008F070000}"/>
    <cellStyle name="Percent 3 4 13 2 2 2 5" xfId="1637" xr:uid="{00000000-0005-0000-0000-000090070000}"/>
    <cellStyle name="Percent 3 4 13 2 2 2 6" xfId="1638" xr:uid="{00000000-0005-0000-0000-000091070000}"/>
    <cellStyle name="Percent 3 4 13 2 2 2 7" xfId="1639" xr:uid="{00000000-0005-0000-0000-000092070000}"/>
    <cellStyle name="Percent 3 4 13 2 2 2 8" xfId="1640" xr:uid="{00000000-0005-0000-0000-000093070000}"/>
    <cellStyle name="Percent 3 4 13 2 2 2 9" xfId="1641" xr:uid="{00000000-0005-0000-0000-000094070000}"/>
    <cellStyle name="Percent 3 4 13 2 2 20" xfId="1642" xr:uid="{00000000-0005-0000-0000-000095070000}"/>
    <cellStyle name="Percent 3 4 13 2 2 21" xfId="1643" xr:uid="{00000000-0005-0000-0000-000096070000}"/>
    <cellStyle name="Percent 3 4 13 2 2 22" xfId="1644" xr:uid="{00000000-0005-0000-0000-000097070000}"/>
    <cellStyle name="Percent 3 4 13 2 2 3" xfId="1645" xr:uid="{00000000-0005-0000-0000-000098070000}"/>
    <cellStyle name="Percent 3 4 13 2 2 4" xfId="1646" xr:uid="{00000000-0005-0000-0000-000099070000}"/>
    <cellStyle name="Percent 3 4 13 2 2 5" xfId="1647" xr:uid="{00000000-0005-0000-0000-00009A070000}"/>
    <cellStyle name="Percent 3 4 13 2 2 6" xfId="1648" xr:uid="{00000000-0005-0000-0000-00009B070000}"/>
    <cellStyle name="Percent 3 4 13 2 2 7" xfId="1649" xr:uid="{00000000-0005-0000-0000-00009C070000}"/>
    <cellStyle name="Percent 3 4 13 2 2 8" xfId="1650" xr:uid="{00000000-0005-0000-0000-00009D070000}"/>
    <cellStyle name="Percent 3 4 13 2 2 9" xfId="1651" xr:uid="{00000000-0005-0000-0000-00009E070000}"/>
    <cellStyle name="Percent 3 4 13 2 20" xfId="1652" xr:uid="{00000000-0005-0000-0000-00009F070000}"/>
    <cellStyle name="Percent 3 4 13 2 21" xfId="1653" xr:uid="{00000000-0005-0000-0000-0000A0070000}"/>
    <cellStyle name="Percent 3 4 13 2 22" xfId="1654" xr:uid="{00000000-0005-0000-0000-0000A1070000}"/>
    <cellStyle name="Percent 3 4 13 2 23" xfId="1655" xr:uid="{00000000-0005-0000-0000-0000A2070000}"/>
    <cellStyle name="Percent 3 4 13 2 24" xfId="1656" xr:uid="{00000000-0005-0000-0000-0000A3070000}"/>
    <cellStyle name="Percent 3 4 13 2 25" xfId="1657" xr:uid="{00000000-0005-0000-0000-0000A4070000}"/>
    <cellStyle name="Percent 3 4 13 2 3" xfId="1658" xr:uid="{00000000-0005-0000-0000-0000A5070000}"/>
    <cellStyle name="Percent 3 4 13 2 4" xfId="1659" xr:uid="{00000000-0005-0000-0000-0000A6070000}"/>
    <cellStyle name="Percent 3 4 13 2 5" xfId="1660" xr:uid="{00000000-0005-0000-0000-0000A7070000}"/>
    <cellStyle name="Percent 3 4 13 2 6" xfId="1661" xr:uid="{00000000-0005-0000-0000-0000A8070000}"/>
    <cellStyle name="Percent 3 4 13 2 6 10" xfId="1662" xr:uid="{00000000-0005-0000-0000-0000A9070000}"/>
    <cellStyle name="Percent 3 4 13 2 6 11" xfId="1663" xr:uid="{00000000-0005-0000-0000-0000AA070000}"/>
    <cellStyle name="Percent 3 4 13 2 6 12" xfId="1664" xr:uid="{00000000-0005-0000-0000-0000AB070000}"/>
    <cellStyle name="Percent 3 4 13 2 6 13" xfId="1665" xr:uid="{00000000-0005-0000-0000-0000AC070000}"/>
    <cellStyle name="Percent 3 4 13 2 6 14" xfId="1666" xr:uid="{00000000-0005-0000-0000-0000AD070000}"/>
    <cellStyle name="Percent 3 4 13 2 6 15" xfId="1667" xr:uid="{00000000-0005-0000-0000-0000AE070000}"/>
    <cellStyle name="Percent 3 4 13 2 6 16" xfId="1668" xr:uid="{00000000-0005-0000-0000-0000AF070000}"/>
    <cellStyle name="Percent 3 4 13 2 6 17" xfId="1669" xr:uid="{00000000-0005-0000-0000-0000B0070000}"/>
    <cellStyle name="Percent 3 4 13 2 6 18" xfId="1670" xr:uid="{00000000-0005-0000-0000-0000B1070000}"/>
    <cellStyle name="Percent 3 4 13 2 6 19" xfId="1671" xr:uid="{00000000-0005-0000-0000-0000B2070000}"/>
    <cellStyle name="Percent 3 4 13 2 6 2" xfId="1672" xr:uid="{00000000-0005-0000-0000-0000B3070000}"/>
    <cellStyle name="Percent 3 4 13 2 6 20" xfId="1673" xr:uid="{00000000-0005-0000-0000-0000B4070000}"/>
    <cellStyle name="Percent 3 4 13 2 6 21" xfId="1674" xr:uid="{00000000-0005-0000-0000-0000B5070000}"/>
    <cellStyle name="Percent 3 4 13 2 6 3" xfId="1675" xr:uid="{00000000-0005-0000-0000-0000B6070000}"/>
    <cellStyle name="Percent 3 4 13 2 6 4" xfId="1676" xr:uid="{00000000-0005-0000-0000-0000B7070000}"/>
    <cellStyle name="Percent 3 4 13 2 6 5" xfId="1677" xr:uid="{00000000-0005-0000-0000-0000B8070000}"/>
    <cellStyle name="Percent 3 4 13 2 6 6" xfId="1678" xr:uid="{00000000-0005-0000-0000-0000B9070000}"/>
    <cellStyle name="Percent 3 4 13 2 6 7" xfId="1679" xr:uid="{00000000-0005-0000-0000-0000BA070000}"/>
    <cellStyle name="Percent 3 4 13 2 6 8" xfId="1680" xr:uid="{00000000-0005-0000-0000-0000BB070000}"/>
    <cellStyle name="Percent 3 4 13 2 6 9" xfId="1681" xr:uid="{00000000-0005-0000-0000-0000BC070000}"/>
    <cellStyle name="Percent 3 4 13 2 7" xfId="1682" xr:uid="{00000000-0005-0000-0000-0000BD070000}"/>
    <cellStyle name="Percent 3 4 13 2 8" xfId="1683" xr:uid="{00000000-0005-0000-0000-0000BE070000}"/>
    <cellStyle name="Percent 3 4 13 2 9" xfId="1684" xr:uid="{00000000-0005-0000-0000-0000BF070000}"/>
    <cellStyle name="Percent 3 4 13 20" xfId="1685" xr:uid="{00000000-0005-0000-0000-0000C0070000}"/>
    <cellStyle name="Percent 3 4 13 21" xfId="1686" xr:uid="{00000000-0005-0000-0000-0000C1070000}"/>
    <cellStyle name="Percent 3 4 13 22" xfId="1687" xr:uid="{00000000-0005-0000-0000-0000C2070000}"/>
    <cellStyle name="Percent 3 4 13 23" xfId="1688" xr:uid="{00000000-0005-0000-0000-0000C3070000}"/>
    <cellStyle name="Percent 3 4 13 24" xfId="1689" xr:uid="{00000000-0005-0000-0000-0000C4070000}"/>
    <cellStyle name="Percent 3 4 13 25" xfId="1690" xr:uid="{00000000-0005-0000-0000-0000C5070000}"/>
    <cellStyle name="Percent 3 4 13 26" xfId="1691" xr:uid="{00000000-0005-0000-0000-0000C6070000}"/>
    <cellStyle name="Percent 3 4 13 3" xfId="1692" xr:uid="{00000000-0005-0000-0000-0000C7070000}"/>
    <cellStyle name="Percent 3 4 13 4" xfId="1693" xr:uid="{00000000-0005-0000-0000-0000C8070000}"/>
    <cellStyle name="Percent 3 4 13 5" xfId="1694" xr:uid="{00000000-0005-0000-0000-0000C9070000}"/>
    <cellStyle name="Percent 3 4 13 6" xfId="1695" xr:uid="{00000000-0005-0000-0000-0000CA070000}"/>
    <cellStyle name="Percent 3 4 13 7" xfId="1696" xr:uid="{00000000-0005-0000-0000-0000CB070000}"/>
    <cellStyle name="Percent 3 4 13 7 10" xfId="1697" xr:uid="{00000000-0005-0000-0000-0000CC070000}"/>
    <cellStyle name="Percent 3 4 13 7 11" xfId="1698" xr:uid="{00000000-0005-0000-0000-0000CD070000}"/>
    <cellStyle name="Percent 3 4 13 7 12" xfId="1699" xr:uid="{00000000-0005-0000-0000-0000CE070000}"/>
    <cellStyle name="Percent 3 4 13 7 13" xfId="1700" xr:uid="{00000000-0005-0000-0000-0000CF070000}"/>
    <cellStyle name="Percent 3 4 13 7 14" xfId="1701" xr:uid="{00000000-0005-0000-0000-0000D0070000}"/>
    <cellStyle name="Percent 3 4 13 7 15" xfId="1702" xr:uid="{00000000-0005-0000-0000-0000D1070000}"/>
    <cellStyle name="Percent 3 4 13 7 16" xfId="1703" xr:uid="{00000000-0005-0000-0000-0000D2070000}"/>
    <cellStyle name="Percent 3 4 13 7 17" xfId="1704" xr:uid="{00000000-0005-0000-0000-0000D3070000}"/>
    <cellStyle name="Percent 3 4 13 7 18" xfId="1705" xr:uid="{00000000-0005-0000-0000-0000D4070000}"/>
    <cellStyle name="Percent 3 4 13 7 19" xfId="1706" xr:uid="{00000000-0005-0000-0000-0000D5070000}"/>
    <cellStyle name="Percent 3 4 13 7 2" xfId="1707" xr:uid="{00000000-0005-0000-0000-0000D6070000}"/>
    <cellStyle name="Percent 3 4 13 7 20" xfId="1708" xr:uid="{00000000-0005-0000-0000-0000D7070000}"/>
    <cellStyle name="Percent 3 4 13 7 21" xfId="1709" xr:uid="{00000000-0005-0000-0000-0000D8070000}"/>
    <cellStyle name="Percent 3 4 13 7 3" xfId="1710" xr:uid="{00000000-0005-0000-0000-0000D9070000}"/>
    <cellStyle name="Percent 3 4 13 7 4" xfId="1711" xr:uid="{00000000-0005-0000-0000-0000DA070000}"/>
    <cellStyle name="Percent 3 4 13 7 5" xfId="1712" xr:uid="{00000000-0005-0000-0000-0000DB070000}"/>
    <cellStyle name="Percent 3 4 13 7 6" xfId="1713" xr:uid="{00000000-0005-0000-0000-0000DC070000}"/>
    <cellStyle name="Percent 3 4 13 7 7" xfId="1714" xr:uid="{00000000-0005-0000-0000-0000DD070000}"/>
    <cellStyle name="Percent 3 4 13 7 8" xfId="1715" xr:uid="{00000000-0005-0000-0000-0000DE070000}"/>
    <cellStyle name="Percent 3 4 13 7 9" xfId="1716" xr:uid="{00000000-0005-0000-0000-0000DF070000}"/>
    <cellStyle name="Percent 3 4 13 8" xfId="1717" xr:uid="{00000000-0005-0000-0000-0000E0070000}"/>
    <cellStyle name="Percent 3 4 13 9" xfId="1718" xr:uid="{00000000-0005-0000-0000-0000E1070000}"/>
    <cellStyle name="Percent 3 4 14" xfId="1719" xr:uid="{00000000-0005-0000-0000-0000E2070000}"/>
    <cellStyle name="Percent 3 4 15" xfId="1720" xr:uid="{00000000-0005-0000-0000-0000E3070000}"/>
    <cellStyle name="Percent 3 4 16" xfId="1721" xr:uid="{00000000-0005-0000-0000-0000E4070000}"/>
    <cellStyle name="Percent 3 4 17" xfId="1722" xr:uid="{00000000-0005-0000-0000-0000E5070000}"/>
    <cellStyle name="Percent 3 4 18" xfId="1723" xr:uid="{00000000-0005-0000-0000-0000E6070000}"/>
    <cellStyle name="Percent 3 4 19" xfId="1724" xr:uid="{00000000-0005-0000-0000-0000E7070000}"/>
    <cellStyle name="Percent 3 4 19 2" xfId="1725" xr:uid="{00000000-0005-0000-0000-0000E8070000}"/>
    <cellStyle name="Percent 3 4 19 3" xfId="1726" xr:uid="{00000000-0005-0000-0000-0000E9070000}"/>
    <cellStyle name="Percent 3 4 19 4" xfId="1727" xr:uid="{00000000-0005-0000-0000-0000EA070000}"/>
    <cellStyle name="Percent 3 4 19 5" xfId="1728" xr:uid="{00000000-0005-0000-0000-0000EB070000}"/>
    <cellStyle name="Percent 3 4 2" xfId="1729" xr:uid="{00000000-0005-0000-0000-0000EC070000}"/>
    <cellStyle name="Percent 3 4 2 10" xfId="1730" xr:uid="{00000000-0005-0000-0000-0000ED070000}"/>
    <cellStyle name="Percent 3 4 2 11" xfId="1731" xr:uid="{00000000-0005-0000-0000-0000EE070000}"/>
    <cellStyle name="Percent 3 4 2 12" xfId="1732" xr:uid="{00000000-0005-0000-0000-0000EF070000}"/>
    <cellStyle name="Percent 3 4 2 12 10" xfId="1733" xr:uid="{00000000-0005-0000-0000-0000F0070000}"/>
    <cellStyle name="Percent 3 4 2 12 11" xfId="1734" xr:uid="{00000000-0005-0000-0000-0000F1070000}"/>
    <cellStyle name="Percent 3 4 2 12 12" xfId="1735" xr:uid="{00000000-0005-0000-0000-0000F2070000}"/>
    <cellStyle name="Percent 3 4 2 12 13" xfId="1736" xr:uid="{00000000-0005-0000-0000-0000F3070000}"/>
    <cellStyle name="Percent 3 4 2 12 14" xfId="1737" xr:uid="{00000000-0005-0000-0000-0000F4070000}"/>
    <cellStyle name="Percent 3 4 2 12 15" xfId="1738" xr:uid="{00000000-0005-0000-0000-0000F5070000}"/>
    <cellStyle name="Percent 3 4 2 12 16" xfId="1739" xr:uid="{00000000-0005-0000-0000-0000F6070000}"/>
    <cellStyle name="Percent 3 4 2 12 17" xfId="1740" xr:uid="{00000000-0005-0000-0000-0000F7070000}"/>
    <cellStyle name="Percent 3 4 2 12 18" xfId="1741" xr:uid="{00000000-0005-0000-0000-0000F8070000}"/>
    <cellStyle name="Percent 3 4 2 12 19" xfId="1742" xr:uid="{00000000-0005-0000-0000-0000F9070000}"/>
    <cellStyle name="Percent 3 4 2 12 2" xfId="1743" xr:uid="{00000000-0005-0000-0000-0000FA070000}"/>
    <cellStyle name="Percent 3 4 2 12 20" xfId="1744" xr:uid="{00000000-0005-0000-0000-0000FB070000}"/>
    <cellStyle name="Percent 3 4 2 12 21" xfId="1745" xr:uid="{00000000-0005-0000-0000-0000FC070000}"/>
    <cellStyle name="Percent 3 4 2 12 3" xfId="1746" xr:uid="{00000000-0005-0000-0000-0000FD070000}"/>
    <cellStyle name="Percent 3 4 2 12 4" xfId="1747" xr:uid="{00000000-0005-0000-0000-0000FE070000}"/>
    <cellStyle name="Percent 3 4 2 12 5" xfId="1748" xr:uid="{00000000-0005-0000-0000-0000FF070000}"/>
    <cellStyle name="Percent 3 4 2 12 6" xfId="1749" xr:uid="{00000000-0005-0000-0000-000000080000}"/>
    <cellStyle name="Percent 3 4 2 12 7" xfId="1750" xr:uid="{00000000-0005-0000-0000-000001080000}"/>
    <cellStyle name="Percent 3 4 2 12 8" xfId="1751" xr:uid="{00000000-0005-0000-0000-000002080000}"/>
    <cellStyle name="Percent 3 4 2 12 9" xfId="1752" xr:uid="{00000000-0005-0000-0000-000003080000}"/>
    <cellStyle name="Percent 3 4 2 13" xfId="1753" xr:uid="{00000000-0005-0000-0000-000004080000}"/>
    <cellStyle name="Percent 3 4 2 14" xfId="1754" xr:uid="{00000000-0005-0000-0000-000005080000}"/>
    <cellStyle name="Percent 3 4 2 15" xfId="1755" xr:uid="{00000000-0005-0000-0000-000006080000}"/>
    <cellStyle name="Percent 3 4 2 16" xfId="1756" xr:uid="{00000000-0005-0000-0000-000007080000}"/>
    <cellStyle name="Percent 3 4 2 17" xfId="1757" xr:uid="{00000000-0005-0000-0000-000008080000}"/>
    <cellStyle name="Percent 3 4 2 18" xfId="1758" xr:uid="{00000000-0005-0000-0000-000009080000}"/>
    <cellStyle name="Percent 3 4 2 19" xfId="1759" xr:uid="{00000000-0005-0000-0000-00000A080000}"/>
    <cellStyle name="Percent 3 4 2 2" xfId="1760" xr:uid="{00000000-0005-0000-0000-00000B080000}"/>
    <cellStyle name="Percent 3 4 2 2 10" xfId="1761" xr:uid="{00000000-0005-0000-0000-00000C080000}"/>
    <cellStyle name="Percent 3 4 2 2 11" xfId="1762" xr:uid="{00000000-0005-0000-0000-00000D080000}"/>
    <cellStyle name="Percent 3 4 2 2 12" xfId="1763" xr:uid="{00000000-0005-0000-0000-00000E080000}"/>
    <cellStyle name="Percent 3 4 2 2 12 10" xfId="1764" xr:uid="{00000000-0005-0000-0000-00000F080000}"/>
    <cellStyle name="Percent 3 4 2 2 12 11" xfId="1765" xr:uid="{00000000-0005-0000-0000-000010080000}"/>
    <cellStyle name="Percent 3 4 2 2 12 12" xfId="1766" xr:uid="{00000000-0005-0000-0000-000011080000}"/>
    <cellStyle name="Percent 3 4 2 2 12 13" xfId="1767" xr:uid="{00000000-0005-0000-0000-000012080000}"/>
    <cellStyle name="Percent 3 4 2 2 12 14" xfId="1768" xr:uid="{00000000-0005-0000-0000-000013080000}"/>
    <cellStyle name="Percent 3 4 2 2 12 15" xfId="1769" xr:uid="{00000000-0005-0000-0000-000014080000}"/>
    <cellStyle name="Percent 3 4 2 2 12 16" xfId="1770" xr:uid="{00000000-0005-0000-0000-000015080000}"/>
    <cellStyle name="Percent 3 4 2 2 12 17" xfId="1771" xr:uid="{00000000-0005-0000-0000-000016080000}"/>
    <cellStyle name="Percent 3 4 2 2 12 18" xfId="1772" xr:uid="{00000000-0005-0000-0000-000017080000}"/>
    <cellStyle name="Percent 3 4 2 2 12 19" xfId="1773" xr:uid="{00000000-0005-0000-0000-000018080000}"/>
    <cellStyle name="Percent 3 4 2 2 12 2" xfId="1774" xr:uid="{00000000-0005-0000-0000-000019080000}"/>
    <cellStyle name="Percent 3 4 2 2 12 20" xfId="1775" xr:uid="{00000000-0005-0000-0000-00001A080000}"/>
    <cellStyle name="Percent 3 4 2 2 12 21" xfId="1776" xr:uid="{00000000-0005-0000-0000-00001B080000}"/>
    <cellStyle name="Percent 3 4 2 2 12 3" xfId="1777" xr:uid="{00000000-0005-0000-0000-00001C080000}"/>
    <cellStyle name="Percent 3 4 2 2 12 4" xfId="1778" xr:uid="{00000000-0005-0000-0000-00001D080000}"/>
    <cellStyle name="Percent 3 4 2 2 12 5" xfId="1779" xr:uid="{00000000-0005-0000-0000-00001E080000}"/>
    <cellStyle name="Percent 3 4 2 2 12 6" xfId="1780" xr:uid="{00000000-0005-0000-0000-00001F080000}"/>
    <cellStyle name="Percent 3 4 2 2 12 7" xfId="1781" xr:uid="{00000000-0005-0000-0000-000020080000}"/>
    <cellStyle name="Percent 3 4 2 2 12 8" xfId="1782" xr:uid="{00000000-0005-0000-0000-000021080000}"/>
    <cellStyle name="Percent 3 4 2 2 12 9" xfId="1783" xr:uid="{00000000-0005-0000-0000-000022080000}"/>
    <cellStyle name="Percent 3 4 2 2 13" xfId="1784" xr:uid="{00000000-0005-0000-0000-000023080000}"/>
    <cellStyle name="Percent 3 4 2 2 14" xfId="1785" xr:uid="{00000000-0005-0000-0000-000024080000}"/>
    <cellStyle name="Percent 3 4 2 2 15" xfId="1786" xr:uid="{00000000-0005-0000-0000-000025080000}"/>
    <cellStyle name="Percent 3 4 2 2 16" xfId="1787" xr:uid="{00000000-0005-0000-0000-000026080000}"/>
    <cellStyle name="Percent 3 4 2 2 17" xfId="1788" xr:uid="{00000000-0005-0000-0000-000027080000}"/>
    <cellStyle name="Percent 3 4 2 2 18" xfId="1789" xr:uid="{00000000-0005-0000-0000-000028080000}"/>
    <cellStyle name="Percent 3 4 2 2 19" xfId="1790" xr:uid="{00000000-0005-0000-0000-000029080000}"/>
    <cellStyle name="Percent 3 4 2 2 2" xfId="1791" xr:uid="{00000000-0005-0000-0000-00002A080000}"/>
    <cellStyle name="Percent 3 4 2 2 2 10" xfId="1792" xr:uid="{00000000-0005-0000-0000-00002B080000}"/>
    <cellStyle name="Percent 3 4 2 2 2 11" xfId="1793" xr:uid="{00000000-0005-0000-0000-00002C080000}"/>
    <cellStyle name="Percent 3 4 2 2 2 12" xfId="1794" xr:uid="{00000000-0005-0000-0000-00002D080000}"/>
    <cellStyle name="Percent 3 4 2 2 2 13" xfId="1795" xr:uid="{00000000-0005-0000-0000-00002E080000}"/>
    <cellStyle name="Percent 3 4 2 2 2 14" xfId="1796" xr:uid="{00000000-0005-0000-0000-00002F080000}"/>
    <cellStyle name="Percent 3 4 2 2 2 15" xfId="1797" xr:uid="{00000000-0005-0000-0000-000030080000}"/>
    <cellStyle name="Percent 3 4 2 2 2 16" xfId="1798" xr:uid="{00000000-0005-0000-0000-000031080000}"/>
    <cellStyle name="Percent 3 4 2 2 2 17" xfId="1799" xr:uid="{00000000-0005-0000-0000-000032080000}"/>
    <cellStyle name="Percent 3 4 2 2 2 18" xfId="1800" xr:uid="{00000000-0005-0000-0000-000033080000}"/>
    <cellStyle name="Percent 3 4 2 2 2 19" xfId="1801" xr:uid="{00000000-0005-0000-0000-000034080000}"/>
    <cellStyle name="Percent 3 4 2 2 2 2" xfId="1802" xr:uid="{00000000-0005-0000-0000-000035080000}"/>
    <cellStyle name="Percent 3 4 2 2 2 2 10" xfId="1803" xr:uid="{00000000-0005-0000-0000-000036080000}"/>
    <cellStyle name="Percent 3 4 2 2 2 2 11" xfId="1804" xr:uid="{00000000-0005-0000-0000-000037080000}"/>
    <cellStyle name="Percent 3 4 2 2 2 2 12" xfId="1805" xr:uid="{00000000-0005-0000-0000-000038080000}"/>
    <cellStyle name="Percent 3 4 2 2 2 2 13" xfId="1806" xr:uid="{00000000-0005-0000-0000-000039080000}"/>
    <cellStyle name="Percent 3 4 2 2 2 2 14" xfId="1807" xr:uid="{00000000-0005-0000-0000-00003A080000}"/>
    <cellStyle name="Percent 3 4 2 2 2 2 15" xfId="1808" xr:uid="{00000000-0005-0000-0000-00003B080000}"/>
    <cellStyle name="Percent 3 4 2 2 2 2 16" xfId="1809" xr:uid="{00000000-0005-0000-0000-00003C080000}"/>
    <cellStyle name="Percent 3 4 2 2 2 2 17" xfId="1810" xr:uid="{00000000-0005-0000-0000-00003D080000}"/>
    <cellStyle name="Percent 3 4 2 2 2 2 18" xfId="1811" xr:uid="{00000000-0005-0000-0000-00003E080000}"/>
    <cellStyle name="Percent 3 4 2 2 2 2 19" xfId="1812" xr:uid="{00000000-0005-0000-0000-00003F080000}"/>
    <cellStyle name="Percent 3 4 2 2 2 2 2" xfId="1813" xr:uid="{00000000-0005-0000-0000-000040080000}"/>
    <cellStyle name="Percent 3 4 2 2 2 2 2 10" xfId="1814" xr:uid="{00000000-0005-0000-0000-000041080000}"/>
    <cellStyle name="Percent 3 4 2 2 2 2 2 11" xfId="1815" xr:uid="{00000000-0005-0000-0000-000042080000}"/>
    <cellStyle name="Percent 3 4 2 2 2 2 2 12" xfId="1816" xr:uid="{00000000-0005-0000-0000-000043080000}"/>
    <cellStyle name="Percent 3 4 2 2 2 2 2 13" xfId="1817" xr:uid="{00000000-0005-0000-0000-000044080000}"/>
    <cellStyle name="Percent 3 4 2 2 2 2 2 14" xfId="1818" xr:uid="{00000000-0005-0000-0000-000045080000}"/>
    <cellStyle name="Percent 3 4 2 2 2 2 2 15" xfId="1819" xr:uid="{00000000-0005-0000-0000-000046080000}"/>
    <cellStyle name="Percent 3 4 2 2 2 2 2 16" xfId="1820" xr:uid="{00000000-0005-0000-0000-000047080000}"/>
    <cellStyle name="Percent 3 4 2 2 2 2 2 17" xfId="1821" xr:uid="{00000000-0005-0000-0000-000048080000}"/>
    <cellStyle name="Percent 3 4 2 2 2 2 2 18" xfId="1822" xr:uid="{00000000-0005-0000-0000-000049080000}"/>
    <cellStyle name="Percent 3 4 2 2 2 2 2 19" xfId="1823" xr:uid="{00000000-0005-0000-0000-00004A080000}"/>
    <cellStyle name="Percent 3 4 2 2 2 2 2 2" xfId="1824" xr:uid="{00000000-0005-0000-0000-00004B080000}"/>
    <cellStyle name="Percent 3 4 2 2 2 2 2 2 10" xfId="1825" xr:uid="{00000000-0005-0000-0000-00004C080000}"/>
    <cellStyle name="Percent 3 4 2 2 2 2 2 2 11" xfId="1826" xr:uid="{00000000-0005-0000-0000-00004D080000}"/>
    <cellStyle name="Percent 3 4 2 2 2 2 2 2 12" xfId="1827" xr:uid="{00000000-0005-0000-0000-00004E080000}"/>
    <cellStyle name="Percent 3 4 2 2 2 2 2 2 13" xfId="1828" xr:uid="{00000000-0005-0000-0000-00004F080000}"/>
    <cellStyle name="Percent 3 4 2 2 2 2 2 2 14" xfId="1829" xr:uid="{00000000-0005-0000-0000-000050080000}"/>
    <cellStyle name="Percent 3 4 2 2 2 2 2 2 15" xfId="1830" xr:uid="{00000000-0005-0000-0000-000051080000}"/>
    <cellStyle name="Percent 3 4 2 2 2 2 2 2 16" xfId="1831" xr:uid="{00000000-0005-0000-0000-000052080000}"/>
    <cellStyle name="Percent 3 4 2 2 2 2 2 2 17" xfId="1832" xr:uid="{00000000-0005-0000-0000-000053080000}"/>
    <cellStyle name="Percent 3 4 2 2 2 2 2 2 18" xfId="1833" xr:uid="{00000000-0005-0000-0000-000054080000}"/>
    <cellStyle name="Percent 3 4 2 2 2 2 2 2 19" xfId="1834" xr:uid="{00000000-0005-0000-0000-000055080000}"/>
    <cellStyle name="Percent 3 4 2 2 2 2 2 2 2" xfId="1835" xr:uid="{00000000-0005-0000-0000-000056080000}"/>
    <cellStyle name="Percent 3 4 2 2 2 2 2 2 2 2" xfId="1836" xr:uid="{00000000-0005-0000-0000-000057080000}"/>
    <cellStyle name="Percent 3 4 2 2 2 2 2 2 2 3" xfId="1837" xr:uid="{00000000-0005-0000-0000-000058080000}"/>
    <cellStyle name="Percent 3 4 2 2 2 2 2 2 2 4" xfId="1838" xr:uid="{00000000-0005-0000-0000-000059080000}"/>
    <cellStyle name="Percent 3 4 2 2 2 2 2 2 2 5" xfId="1839" xr:uid="{00000000-0005-0000-0000-00005A080000}"/>
    <cellStyle name="Percent 3 4 2 2 2 2 2 2 2 6" xfId="1840" xr:uid="{00000000-0005-0000-0000-00005B080000}"/>
    <cellStyle name="Percent 3 4 2 2 2 2 2 2 2 7" xfId="1841" xr:uid="{00000000-0005-0000-0000-00005C080000}"/>
    <cellStyle name="Percent 3 4 2 2 2 2 2 2 2 8" xfId="1842" xr:uid="{00000000-0005-0000-0000-00005D080000}"/>
    <cellStyle name="Percent 3 4 2 2 2 2 2 2 2 9" xfId="1843" xr:uid="{00000000-0005-0000-0000-00005E080000}"/>
    <cellStyle name="Percent 3 4 2 2 2 2 2 2 20" xfId="1844" xr:uid="{00000000-0005-0000-0000-00005F080000}"/>
    <cellStyle name="Percent 3 4 2 2 2 2 2 2 21" xfId="1845" xr:uid="{00000000-0005-0000-0000-000060080000}"/>
    <cellStyle name="Percent 3 4 2 2 2 2 2 2 22" xfId="1846" xr:uid="{00000000-0005-0000-0000-000061080000}"/>
    <cellStyle name="Percent 3 4 2 2 2 2 2 2 23" xfId="1847" xr:uid="{00000000-0005-0000-0000-000062080000}"/>
    <cellStyle name="Percent 3 4 2 2 2 2 2 2 24" xfId="1848" xr:uid="{00000000-0005-0000-0000-000063080000}"/>
    <cellStyle name="Percent 3 4 2 2 2 2 2 2 25" xfId="1849" xr:uid="{00000000-0005-0000-0000-000064080000}"/>
    <cellStyle name="Percent 3 4 2 2 2 2 2 2 26" xfId="1850" xr:uid="{00000000-0005-0000-0000-000065080000}"/>
    <cellStyle name="Percent 3 4 2 2 2 2 2 2 27" xfId="1851" xr:uid="{00000000-0005-0000-0000-000066080000}"/>
    <cellStyle name="Percent 3 4 2 2 2 2 2 2 28" xfId="1852" xr:uid="{00000000-0005-0000-0000-000067080000}"/>
    <cellStyle name="Percent 3 4 2 2 2 2 2 2 3" xfId="1853" xr:uid="{00000000-0005-0000-0000-000068080000}"/>
    <cellStyle name="Percent 3 4 2 2 2 2 2 2 4" xfId="1854" xr:uid="{00000000-0005-0000-0000-000069080000}"/>
    <cellStyle name="Percent 3 4 2 2 2 2 2 2 5" xfId="1855" xr:uid="{00000000-0005-0000-0000-00006A080000}"/>
    <cellStyle name="Percent 3 4 2 2 2 2 2 2 6" xfId="1856" xr:uid="{00000000-0005-0000-0000-00006B080000}"/>
    <cellStyle name="Percent 3 4 2 2 2 2 2 2 7" xfId="1857" xr:uid="{00000000-0005-0000-0000-00006C080000}"/>
    <cellStyle name="Percent 3 4 2 2 2 2 2 2 8" xfId="1858" xr:uid="{00000000-0005-0000-0000-00006D080000}"/>
    <cellStyle name="Percent 3 4 2 2 2 2 2 2 9" xfId="1859" xr:uid="{00000000-0005-0000-0000-00006E080000}"/>
    <cellStyle name="Percent 3 4 2 2 2 2 2 20" xfId="1860" xr:uid="{00000000-0005-0000-0000-00006F080000}"/>
    <cellStyle name="Percent 3 4 2 2 2 2 2 21" xfId="1861" xr:uid="{00000000-0005-0000-0000-000070080000}"/>
    <cellStyle name="Percent 3 4 2 2 2 2 2 22" xfId="1862" xr:uid="{00000000-0005-0000-0000-000071080000}"/>
    <cellStyle name="Percent 3 4 2 2 2 2 2 23" xfId="1863" xr:uid="{00000000-0005-0000-0000-000072080000}"/>
    <cellStyle name="Percent 3 4 2 2 2 2 2 24" xfId="1864" xr:uid="{00000000-0005-0000-0000-000073080000}"/>
    <cellStyle name="Percent 3 4 2 2 2 2 2 25" xfId="1865" xr:uid="{00000000-0005-0000-0000-000074080000}"/>
    <cellStyle name="Percent 3 4 2 2 2 2 2 26" xfId="1866" xr:uid="{00000000-0005-0000-0000-000075080000}"/>
    <cellStyle name="Percent 3 4 2 2 2 2 2 27" xfId="1867" xr:uid="{00000000-0005-0000-0000-000076080000}"/>
    <cellStyle name="Percent 3 4 2 2 2 2 2 28" xfId="1868" xr:uid="{00000000-0005-0000-0000-000077080000}"/>
    <cellStyle name="Percent 3 4 2 2 2 2 2 29" xfId="1869" xr:uid="{00000000-0005-0000-0000-000078080000}"/>
    <cellStyle name="Percent 3 4 2 2 2 2 2 3" xfId="1870" xr:uid="{00000000-0005-0000-0000-000079080000}"/>
    <cellStyle name="Percent 3 4 2 2 2 2 2 4" xfId="1871" xr:uid="{00000000-0005-0000-0000-00007A080000}"/>
    <cellStyle name="Percent 3 4 2 2 2 2 2 5" xfId="1872" xr:uid="{00000000-0005-0000-0000-00007B080000}"/>
    <cellStyle name="Percent 3 4 2 2 2 2 2 6" xfId="1873" xr:uid="{00000000-0005-0000-0000-00007C080000}"/>
    <cellStyle name="Percent 3 4 2 2 2 2 2 7" xfId="1874" xr:uid="{00000000-0005-0000-0000-00007D080000}"/>
    <cellStyle name="Percent 3 4 2 2 2 2 2 8" xfId="1875" xr:uid="{00000000-0005-0000-0000-00007E080000}"/>
    <cellStyle name="Percent 3 4 2 2 2 2 2 9" xfId="1876" xr:uid="{00000000-0005-0000-0000-00007F080000}"/>
    <cellStyle name="Percent 3 4 2 2 2 2 20" xfId="1877" xr:uid="{00000000-0005-0000-0000-000080080000}"/>
    <cellStyle name="Percent 3 4 2 2 2 2 21" xfId="1878" xr:uid="{00000000-0005-0000-0000-000081080000}"/>
    <cellStyle name="Percent 3 4 2 2 2 2 22" xfId="1879" xr:uid="{00000000-0005-0000-0000-000082080000}"/>
    <cellStyle name="Percent 3 4 2 2 2 2 23" xfId="1880" xr:uid="{00000000-0005-0000-0000-000083080000}"/>
    <cellStyle name="Percent 3 4 2 2 2 2 24" xfId="1881" xr:uid="{00000000-0005-0000-0000-000084080000}"/>
    <cellStyle name="Percent 3 4 2 2 2 2 25" xfId="1882" xr:uid="{00000000-0005-0000-0000-000085080000}"/>
    <cellStyle name="Percent 3 4 2 2 2 2 26" xfId="1883" xr:uid="{00000000-0005-0000-0000-000086080000}"/>
    <cellStyle name="Percent 3 4 2 2 2 2 27" xfId="1884" xr:uid="{00000000-0005-0000-0000-000087080000}"/>
    <cellStyle name="Percent 3 4 2 2 2 2 28" xfId="1885" xr:uid="{00000000-0005-0000-0000-000088080000}"/>
    <cellStyle name="Percent 3 4 2 2 2 2 29" xfId="1886" xr:uid="{00000000-0005-0000-0000-000089080000}"/>
    <cellStyle name="Percent 3 4 2 2 2 2 3" xfId="1887" xr:uid="{00000000-0005-0000-0000-00008A080000}"/>
    <cellStyle name="Percent 3 4 2 2 2 2 30" xfId="1888" xr:uid="{00000000-0005-0000-0000-00008B080000}"/>
    <cellStyle name="Percent 3 4 2 2 2 2 31" xfId="1889" xr:uid="{00000000-0005-0000-0000-00008C080000}"/>
    <cellStyle name="Percent 3 4 2 2 2 2 32" xfId="1890" xr:uid="{00000000-0005-0000-0000-00008D080000}"/>
    <cellStyle name="Percent 3 4 2 2 2 2 4" xfId="1891" xr:uid="{00000000-0005-0000-0000-00008E080000}"/>
    <cellStyle name="Percent 3 4 2 2 2 2 5" xfId="1892" xr:uid="{00000000-0005-0000-0000-00008F080000}"/>
    <cellStyle name="Percent 3 4 2 2 2 2 6" xfId="1893" xr:uid="{00000000-0005-0000-0000-000090080000}"/>
    <cellStyle name="Percent 3 4 2 2 2 2 6 10" xfId="1894" xr:uid="{00000000-0005-0000-0000-000091080000}"/>
    <cellStyle name="Percent 3 4 2 2 2 2 6 11" xfId="1895" xr:uid="{00000000-0005-0000-0000-000092080000}"/>
    <cellStyle name="Percent 3 4 2 2 2 2 6 12" xfId="1896" xr:uid="{00000000-0005-0000-0000-000093080000}"/>
    <cellStyle name="Percent 3 4 2 2 2 2 6 13" xfId="1897" xr:uid="{00000000-0005-0000-0000-000094080000}"/>
    <cellStyle name="Percent 3 4 2 2 2 2 6 14" xfId="1898" xr:uid="{00000000-0005-0000-0000-000095080000}"/>
    <cellStyle name="Percent 3 4 2 2 2 2 6 15" xfId="1899" xr:uid="{00000000-0005-0000-0000-000096080000}"/>
    <cellStyle name="Percent 3 4 2 2 2 2 6 16" xfId="1900" xr:uid="{00000000-0005-0000-0000-000097080000}"/>
    <cellStyle name="Percent 3 4 2 2 2 2 6 17" xfId="1901" xr:uid="{00000000-0005-0000-0000-000098080000}"/>
    <cellStyle name="Percent 3 4 2 2 2 2 6 18" xfId="1902" xr:uid="{00000000-0005-0000-0000-000099080000}"/>
    <cellStyle name="Percent 3 4 2 2 2 2 6 19" xfId="1903" xr:uid="{00000000-0005-0000-0000-00009A080000}"/>
    <cellStyle name="Percent 3 4 2 2 2 2 6 2" xfId="1904" xr:uid="{00000000-0005-0000-0000-00009B080000}"/>
    <cellStyle name="Percent 3 4 2 2 2 2 6 20" xfId="1905" xr:uid="{00000000-0005-0000-0000-00009C080000}"/>
    <cellStyle name="Percent 3 4 2 2 2 2 6 21" xfId="1906" xr:uid="{00000000-0005-0000-0000-00009D080000}"/>
    <cellStyle name="Percent 3 4 2 2 2 2 6 3" xfId="1907" xr:uid="{00000000-0005-0000-0000-00009E080000}"/>
    <cellStyle name="Percent 3 4 2 2 2 2 6 4" xfId="1908" xr:uid="{00000000-0005-0000-0000-00009F080000}"/>
    <cellStyle name="Percent 3 4 2 2 2 2 6 5" xfId="1909" xr:uid="{00000000-0005-0000-0000-0000A0080000}"/>
    <cellStyle name="Percent 3 4 2 2 2 2 6 6" xfId="1910" xr:uid="{00000000-0005-0000-0000-0000A1080000}"/>
    <cellStyle name="Percent 3 4 2 2 2 2 6 7" xfId="1911" xr:uid="{00000000-0005-0000-0000-0000A2080000}"/>
    <cellStyle name="Percent 3 4 2 2 2 2 6 8" xfId="1912" xr:uid="{00000000-0005-0000-0000-0000A3080000}"/>
    <cellStyle name="Percent 3 4 2 2 2 2 6 9" xfId="1913" xr:uid="{00000000-0005-0000-0000-0000A4080000}"/>
    <cellStyle name="Percent 3 4 2 2 2 2 7" xfId="1914" xr:uid="{00000000-0005-0000-0000-0000A5080000}"/>
    <cellStyle name="Percent 3 4 2 2 2 2 8" xfId="1915" xr:uid="{00000000-0005-0000-0000-0000A6080000}"/>
    <cellStyle name="Percent 3 4 2 2 2 2 9" xfId="1916" xr:uid="{00000000-0005-0000-0000-0000A7080000}"/>
    <cellStyle name="Percent 3 4 2 2 2 20" xfId="1917" xr:uid="{00000000-0005-0000-0000-0000A8080000}"/>
    <cellStyle name="Percent 3 4 2 2 2 21" xfId="1918" xr:uid="{00000000-0005-0000-0000-0000A9080000}"/>
    <cellStyle name="Percent 3 4 2 2 2 22" xfId="1919" xr:uid="{00000000-0005-0000-0000-0000AA080000}"/>
    <cellStyle name="Percent 3 4 2 2 2 23" xfId="1920" xr:uid="{00000000-0005-0000-0000-0000AB080000}"/>
    <cellStyle name="Percent 3 4 2 2 2 24" xfId="1921" xr:uid="{00000000-0005-0000-0000-0000AC080000}"/>
    <cellStyle name="Percent 3 4 2 2 2 25" xfId="1922" xr:uid="{00000000-0005-0000-0000-0000AD080000}"/>
    <cellStyle name="Percent 3 4 2 2 2 26" xfId="1923" xr:uid="{00000000-0005-0000-0000-0000AE080000}"/>
    <cellStyle name="Percent 3 4 2 2 2 27" xfId="1924" xr:uid="{00000000-0005-0000-0000-0000AF080000}"/>
    <cellStyle name="Percent 3 4 2 2 2 28" xfId="1925" xr:uid="{00000000-0005-0000-0000-0000B0080000}"/>
    <cellStyle name="Percent 3 4 2 2 2 29" xfId="1926" xr:uid="{00000000-0005-0000-0000-0000B1080000}"/>
    <cellStyle name="Percent 3 4 2 2 2 3" xfId="1927" xr:uid="{00000000-0005-0000-0000-0000B2080000}"/>
    <cellStyle name="Percent 3 4 2 2 2 30" xfId="1928" xr:uid="{00000000-0005-0000-0000-0000B3080000}"/>
    <cellStyle name="Percent 3 4 2 2 2 31" xfId="1929" xr:uid="{00000000-0005-0000-0000-0000B4080000}"/>
    <cellStyle name="Percent 3 4 2 2 2 32" xfId="1930" xr:uid="{00000000-0005-0000-0000-0000B5080000}"/>
    <cellStyle name="Percent 3 4 2 2 2 33" xfId="1931" xr:uid="{00000000-0005-0000-0000-0000B6080000}"/>
    <cellStyle name="Percent 3 4 2 2 2 4" xfId="1932" xr:uid="{00000000-0005-0000-0000-0000B7080000}"/>
    <cellStyle name="Percent 3 4 2 2 2 5" xfId="1933" xr:uid="{00000000-0005-0000-0000-0000B8080000}"/>
    <cellStyle name="Percent 3 4 2 2 2 6" xfId="1934" xr:uid="{00000000-0005-0000-0000-0000B9080000}"/>
    <cellStyle name="Percent 3 4 2 2 2 7" xfId="1935" xr:uid="{00000000-0005-0000-0000-0000BA080000}"/>
    <cellStyle name="Percent 3 4 2 2 2 7 10" xfId="1936" xr:uid="{00000000-0005-0000-0000-0000BB080000}"/>
    <cellStyle name="Percent 3 4 2 2 2 7 11" xfId="1937" xr:uid="{00000000-0005-0000-0000-0000BC080000}"/>
    <cellStyle name="Percent 3 4 2 2 2 7 12" xfId="1938" xr:uid="{00000000-0005-0000-0000-0000BD080000}"/>
    <cellStyle name="Percent 3 4 2 2 2 7 13" xfId="1939" xr:uid="{00000000-0005-0000-0000-0000BE080000}"/>
    <cellStyle name="Percent 3 4 2 2 2 7 14" xfId="1940" xr:uid="{00000000-0005-0000-0000-0000BF080000}"/>
    <cellStyle name="Percent 3 4 2 2 2 7 15" xfId="1941" xr:uid="{00000000-0005-0000-0000-0000C0080000}"/>
    <cellStyle name="Percent 3 4 2 2 2 7 16" xfId="1942" xr:uid="{00000000-0005-0000-0000-0000C1080000}"/>
    <cellStyle name="Percent 3 4 2 2 2 7 17" xfId="1943" xr:uid="{00000000-0005-0000-0000-0000C2080000}"/>
    <cellStyle name="Percent 3 4 2 2 2 7 18" xfId="1944" xr:uid="{00000000-0005-0000-0000-0000C3080000}"/>
    <cellStyle name="Percent 3 4 2 2 2 7 19" xfId="1945" xr:uid="{00000000-0005-0000-0000-0000C4080000}"/>
    <cellStyle name="Percent 3 4 2 2 2 7 2" xfId="1946" xr:uid="{00000000-0005-0000-0000-0000C5080000}"/>
    <cellStyle name="Percent 3 4 2 2 2 7 20" xfId="1947" xr:uid="{00000000-0005-0000-0000-0000C6080000}"/>
    <cellStyle name="Percent 3 4 2 2 2 7 21" xfId="1948" xr:uid="{00000000-0005-0000-0000-0000C7080000}"/>
    <cellStyle name="Percent 3 4 2 2 2 7 3" xfId="1949" xr:uid="{00000000-0005-0000-0000-0000C8080000}"/>
    <cellStyle name="Percent 3 4 2 2 2 7 4" xfId="1950" xr:uid="{00000000-0005-0000-0000-0000C9080000}"/>
    <cellStyle name="Percent 3 4 2 2 2 7 5" xfId="1951" xr:uid="{00000000-0005-0000-0000-0000CA080000}"/>
    <cellStyle name="Percent 3 4 2 2 2 7 6" xfId="1952" xr:uid="{00000000-0005-0000-0000-0000CB080000}"/>
    <cellStyle name="Percent 3 4 2 2 2 7 7" xfId="1953" xr:uid="{00000000-0005-0000-0000-0000CC080000}"/>
    <cellStyle name="Percent 3 4 2 2 2 7 8" xfId="1954" xr:uid="{00000000-0005-0000-0000-0000CD080000}"/>
    <cellStyle name="Percent 3 4 2 2 2 7 9" xfId="1955" xr:uid="{00000000-0005-0000-0000-0000CE080000}"/>
    <cellStyle name="Percent 3 4 2 2 2 8" xfId="1956" xr:uid="{00000000-0005-0000-0000-0000CF080000}"/>
    <cellStyle name="Percent 3 4 2 2 2 9" xfId="1957" xr:uid="{00000000-0005-0000-0000-0000D0080000}"/>
    <cellStyle name="Percent 3 4 2 2 20" xfId="1958" xr:uid="{00000000-0005-0000-0000-0000D1080000}"/>
    <cellStyle name="Percent 3 4 2 2 21" xfId="1959" xr:uid="{00000000-0005-0000-0000-0000D2080000}"/>
    <cellStyle name="Percent 3 4 2 2 22" xfId="1960" xr:uid="{00000000-0005-0000-0000-0000D3080000}"/>
    <cellStyle name="Percent 3 4 2 2 23" xfId="1961" xr:uid="{00000000-0005-0000-0000-0000D4080000}"/>
    <cellStyle name="Percent 3 4 2 2 24" xfId="1962" xr:uid="{00000000-0005-0000-0000-0000D5080000}"/>
    <cellStyle name="Percent 3 4 2 2 25" xfId="1963" xr:uid="{00000000-0005-0000-0000-0000D6080000}"/>
    <cellStyle name="Percent 3 4 2 2 26" xfId="1964" xr:uid="{00000000-0005-0000-0000-0000D7080000}"/>
    <cellStyle name="Percent 3 4 2 2 27" xfId="1965" xr:uid="{00000000-0005-0000-0000-0000D8080000}"/>
    <cellStyle name="Percent 3 4 2 2 28" xfId="1966" xr:uid="{00000000-0005-0000-0000-0000D9080000}"/>
    <cellStyle name="Percent 3 4 2 2 29" xfId="1967" xr:uid="{00000000-0005-0000-0000-0000DA080000}"/>
    <cellStyle name="Percent 3 4 2 2 3" xfId="1968" xr:uid="{00000000-0005-0000-0000-0000DB080000}"/>
    <cellStyle name="Percent 3 4 2 2 30" xfId="1969" xr:uid="{00000000-0005-0000-0000-0000DC080000}"/>
    <cellStyle name="Percent 3 4 2 2 31" xfId="1970" xr:uid="{00000000-0005-0000-0000-0000DD080000}"/>
    <cellStyle name="Percent 3 4 2 2 32" xfId="1971" xr:uid="{00000000-0005-0000-0000-0000DE080000}"/>
    <cellStyle name="Percent 3 4 2 2 33" xfId="1972" xr:uid="{00000000-0005-0000-0000-0000DF080000}"/>
    <cellStyle name="Percent 3 4 2 2 34" xfId="1973" xr:uid="{00000000-0005-0000-0000-0000E0080000}"/>
    <cellStyle name="Percent 3 4 2 2 35" xfId="1974" xr:uid="{00000000-0005-0000-0000-0000E1080000}"/>
    <cellStyle name="Percent 3 4 2 2 36" xfId="1975" xr:uid="{00000000-0005-0000-0000-0000E2080000}"/>
    <cellStyle name="Percent 3 4 2 2 37" xfId="1976" xr:uid="{00000000-0005-0000-0000-0000E3080000}"/>
    <cellStyle name="Percent 3 4 2 2 38" xfId="1977" xr:uid="{00000000-0005-0000-0000-0000E4080000}"/>
    <cellStyle name="Percent 3 4 2 2 4" xfId="1978" xr:uid="{00000000-0005-0000-0000-0000E5080000}"/>
    <cellStyle name="Percent 3 4 2 2 5" xfId="1979" xr:uid="{00000000-0005-0000-0000-0000E6080000}"/>
    <cellStyle name="Percent 3 4 2 2 6" xfId="1980" xr:uid="{00000000-0005-0000-0000-0000E7080000}"/>
    <cellStyle name="Percent 3 4 2 2 7" xfId="1981" xr:uid="{00000000-0005-0000-0000-0000E8080000}"/>
    <cellStyle name="Percent 3 4 2 2 8" xfId="1982" xr:uid="{00000000-0005-0000-0000-0000E9080000}"/>
    <cellStyle name="Percent 3 4 2 2 8 2" xfId="1983" xr:uid="{00000000-0005-0000-0000-0000EA080000}"/>
    <cellStyle name="Percent 3 4 2 2 8 3" xfId="1984" xr:uid="{00000000-0005-0000-0000-0000EB080000}"/>
    <cellStyle name="Percent 3 4 2 2 8 4" xfId="1985" xr:uid="{00000000-0005-0000-0000-0000EC080000}"/>
    <cellStyle name="Percent 3 4 2 2 8 5" xfId="1986" xr:uid="{00000000-0005-0000-0000-0000ED080000}"/>
    <cellStyle name="Percent 3 4 2 2 9" xfId="1987" xr:uid="{00000000-0005-0000-0000-0000EE080000}"/>
    <cellStyle name="Percent 3 4 2 20" xfId="1988" xr:uid="{00000000-0005-0000-0000-0000EF080000}"/>
    <cellStyle name="Percent 3 4 2 21" xfId="1989" xr:uid="{00000000-0005-0000-0000-0000F0080000}"/>
    <cellStyle name="Percent 3 4 2 22" xfId="1990" xr:uid="{00000000-0005-0000-0000-0000F1080000}"/>
    <cellStyle name="Percent 3 4 2 23" xfId="1991" xr:uid="{00000000-0005-0000-0000-0000F2080000}"/>
    <cellStyle name="Percent 3 4 2 24" xfId="1992" xr:uid="{00000000-0005-0000-0000-0000F3080000}"/>
    <cellStyle name="Percent 3 4 2 25" xfId="1993" xr:uid="{00000000-0005-0000-0000-0000F4080000}"/>
    <cellStyle name="Percent 3 4 2 26" xfId="1994" xr:uid="{00000000-0005-0000-0000-0000F5080000}"/>
    <cellStyle name="Percent 3 4 2 27" xfId="1995" xr:uid="{00000000-0005-0000-0000-0000F6080000}"/>
    <cellStyle name="Percent 3 4 2 28" xfId="1996" xr:uid="{00000000-0005-0000-0000-0000F7080000}"/>
    <cellStyle name="Percent 3 4 2 29" xfId="1997" xr:uid="{00000000-0005-0000-0000-0000F8080000}"/>
    <cellStyle name="Percent 3 4 2 3" xfId="1998" xr:uid="{00000000-0005-0000-0000-0000F9080000}"/>
    <cellStyle name="Percent 3 4 2 3 10" xfId="1999" xr:uid="{00000000-0005-0000-0000-0000FA080000}"/>
    <cellStyle name="Percent 3 4 2 3 11" xfId="2000" xr:uid="{00000000-0005-0000-0000-0000FB080000}"/>
    <cellStyle name="Percent 3 4 2 3 12" xfId="2001" xr:uid="{00000000-0005-0000-0000-0000FC080000}"/>
    <cellStyle name="Percent 3 4 2 3 13" xfId="2002" xr:uid="{00000000-0005-0000-0000-0000FD080000}"/>
    <cellStyle name="Percent 3 4 2 3 14" xfId="2003" xr:uid="{00000000-0005-0000-0000-0000FE080000}"/>
    <cellStyle name="Percent 3 4 2 3 15" xfId="2004" xr:uid="{00000000-0005-0000-0000-0000FF080000}"/>
    <cellStyle name="Percent 3 4 2 3 16" xfId="2005" xr:uid="{00000000-0005-0000-0000-000000090000}"/>
    <cellStyle name="Percent 3 4 2 3 17" xfId="2006" xr:uid="{00000000-0005-0000-0000-000001090000}"/>
    <cellStyle name="Percent 3 4 2 3 18" xfId="2007" xr:uid="{00000000-0005-0000-0000-000002090000}"/>
    <cellStyle name="Percent 3 4 2 3 19" xfId="2008" xr:uid="{00000000-0005-0000-0000-000003090000}"/>
    <cellStyle name="Percent 3 4 2 3 2" xfId="2009" xr:uid="{00000000-0005-0000-0000-000004090000}"/>
    <cellStyle name="Percent 3 4 2 3 2 10" xfId="2010" xr:uid="{00000000-0005-0000-0000-000005090000}"/>
    <cellStyle name="Percent 3 4 2 3 2 11" xfId="2011" xr:uid="{00000000-0005-0000-0000-000006090000}"/>
    <cellStyle name="Percent 3 4 2 3 2 12" xfId="2012" xr:uid="{00000000-0005-0000-0000-000007090000}"/>
    <cellStyle name="Percent 3 4 2 3 2 13" xfId="2013" xr:uid="{00000000-0005-0000-0000-000008090000}"/>
    <cellStyle name="Percent 3 4 2 3 2 14" xfId="2014" xr:uid="{00000000-0005-0000-0000-000009090000}"/>
    <cellStyle name="Percent 3 4 2 3 2 15" xfId="2015" xr:uid="{00000000-0005-0000-0000-00000A090000}"/>
    <cellStyle name="Percent 3 4 2 3 2 16" xfId="2016" xr:uid="{00000000-0005-0000-0000-00000B090000}"/>
    <cellStyle name="Percent 3 4 2 3 2 17" xfId="2017" xr:uid="{00000000-0005-0000-0000-00000C090000}"/>
    <cellStyle name="Percent 3 4 2 3 2 18" xfId="2018" xr:uid="{00000000-0005-0000-0000-00000D090000}"/>
    <cellStyle name="Percent 3 4 2 3 2 19" xfId="2019" xr:uid="{00000000-0005-0000-0000-00000E090000}"/>
    <cellStyle name="Percent 3 4 2 3 2 2" xfId="2020" xr:uid="{00000000-0005-0000-0000-00000F090000}"/>
    <cellStyle name="Percent 3 4 2 3 2 2 10" xfId="2021" xr:uid="{00000000-0005-0000-0000-000010090000}"/>
    <cellStyle name="Percent 3 4 2 3 2 2 11" xfId="2022" xr:uid="{00000000-0005-0000-0000-000011090000}"/>
    <cellStyle name="Percent 3 4 2 3 2 2 12" xfId="2023" xr:uid="{00000000-0005-0000-0000-000012090000}"/>
    <cellStyle name="Percent 3 4 2 3 2 2 13" xfId="2024" xr:uid="{00000000-0005-0000-0000-000013090000}"/>
    <cellStyle name="Percent 3 4 2 3 2 2 14" xfId="2025" xr:uid="{00000000-0005-0000-0000-000014090000}"/>
    <cellStyle name="Percent 3 4 2 3 2 2 15" xfId="2026" xr:uid="{00000000-0005-0000-0000-000015090000}"/>
    <cellStyle name="Percent 3 4 2 3 2 2 16" xfId="2027" xr:uid="{00000000-0005-0000-0000-000016090000}"/>
    <cellStyle name="Percent 3 4 2 3 2 2 17" xfId="2028" xr:uid="{00000000-0005-0000-0000-000017090000}"/>
    <cellStyle name="Percent 3 4 2 3 2 2 18" xfId="2029" xr:uid="{00000000-0005-0000-0000-000018090000}"/>
    <cellStyle name="Percent 3 4 2 3 2 2 19" xfId="2030" xr:uid="{00000000-0005-0000-0000-000019090000}"/>
    <cellStyle name="Percent 3 4 2 3 2 2 2" xfId="2031" xr:uid="{00000000-0005-0000-0000-00001A090000}"/>
    <cellStyle name="Percent 3 4 2 3 2 2 2 10" xfId="2032" xr:uid="{00000000-0005-0000-0000-00001B090000}"/>
    <cellStyle name="Percent 3 4 2 3 2 2 2 11" xfId="2033" xr:uid="{00000000-0005-0000-0000-00001C090000}"/>
    <cellStyle name="Percent 3 4 2 3 2 2 2 12" xfId="2034" xr:uid="{00000000-0005-0000-0000-00001D090000}"/>
    <cellStyle name="Percent 3 4 2 3 2 2 2 13" xfId="2035" xr:uid="{00000000-0005-0000-0000-00001E090000}"/>
    <cellStyle name="Percent 3 4 2 3 2 2 2 14" xfId="2036" xr:uid="{00000000-0005-0000-0000-00001F090000}"/>
    <cellStyle name="Percent 3 4 2 3 2 2 2 15" xfId="2037" xr:uid="{00000000-0005-0000-0000-000020090000}"/>
    <cellStyle name="Percent 3 4 2 3 2 2 2 16" xfId="2038" xr:uid="{00000000-0005-0000-0000-000021090000}"/>
    <cellStyle name="Percent 3 4 2 3 2 2 2 17" xfId="2039" xr:uid="{00000000-0005-0000-0000-000022090000}"/>
    <cellStyle name="Percent 3 4 2 3 2 2 2 18" xfId="2040" xr:uid="{00000000-0005-0000-0000-000023090000}"/>
    <cellStyle name="Percent 3 4 2 3 2 2 2 19" xfId="2041" xr:uid="{00000000-0005-0000-0000-000024090000}"/>
    <cellStyle name="Percent 3 4 2 3 2 2 2 2" xfId="2042" xr:uid="{00000000-0005-0000-0000-000025090000}"/>
    <cellStyle name="Percent 3 4 2 3 2 2 2 20" xfId="2043" xr:uid="{00000000-0005-0000-0000-000026090000}"/>
    <cellStyle name="Percent 3 4 2 3 2 2 2 21" xfId="2044" xr:uid="{00000000-0005-0000-0000-000027090000}"/>
    <cellStyle name="Percent 3 4 2 3 2 2 2 3" xfId="2045" xr:uid="{00000000-0005-0000-0000-000028090000}"/>
    <cellStyle name="Percent 3 4 2 3 2 2 2 4" xfId="2046" xr:uid="{00000000-0005-0000-0000-000029090000}"/>
    <cellStyle name="Percent 3 4 2 3 2 2 2 5" xfId="2047" xr:uid="{00000000-0005-0000-0000-00002A090000}"/>
    <cellStyle name="Percent 3 4 2 3 2 2 2 6" xfId="2048" xr:uid="{00000000-0005-0000-0000-00002B090000}"/>
    <cellStyle name="Percent 3 4 2 3 2 2 2 7" xfId="2049" xr:uid="{00000000-0005-0000-0000-00002C090000}"/>
    <cellStyle name="Percent 3 4 2 3 2 2 2 8" xfId="2050" xr:uid="{00000000-0005-0000-0000-00002D090000}"/>
    <cellStyle name="Percent 3 4 2 3 2 2 2 9" xfId="2051" xr:uid="{00000000-0005-0000-0000-00002E090000}"/>
    <cellStyle name="Percent 3 4 2 3 2 2 20" xfId="2052" xr:uid="{00000000-0005-0000-0000-00002F090000}"/>
    <cellStyle name="Percent 3 4 2 3 2 2 21" xfId="2053" xr:uid="{00000000-0005-0000-0000-000030090000}"/>
    <cellStyle name="Percent 3 4 2 3 2 2 22" xfId="2054" xr:uid="{00000000-0005-0000-0000-000031090000}"/>
    <cellStyle name="Percent 3 4 2 3 2 2 3" xfId="2055" xr:uid="{00000000-0005-0000-0000-000032090000}"/>
    <cellStyle name="Percent 3 4 2 3 2 2 4" xfId="2056" xr:uid="{00000000-0005-0000-0000-000033090000}"/>
    <cellStyle name="Percent 3 4 2 3 2 2 5" xfId="2057" xr:uid="{00000000-0005-0000-0000-000034090000}"/>
    <cellStyle name="Percent 3 4 2 3 2 2 6" xfId="2058" xr:uid="{00000000-0005-0000-0000-000035090000}"/>
    <cellStyle name="Percent 3 4 2 3 2 2 7" xfId="2059" xr:uid="{00000000-0005-0000-0000-000036090000}"/>
    <cellStyle name="Percent 3 4 2 3 2 2 8" xfId="2060" xr:uid="{00000000-0005-0000-0000-000037090000}"/>
    <cellStyle name="Percent 3 4 2 3 2 2 9" xfId="2061" xr:uid="{00000000-0005-0000-0000-000038090000}"/>
    <cellStyle name="Percent 3 4 2 3 2 20" xfId="2062" xr:uid="{00000000-0005-0000-0000-000039090000}"/>
    <cellStyle name="Percent 3 4 2 3 2 21" xfId="2063" xr:uid="{00000000-0005-0000-0000-00003A090000}"/>
    <cellStyle name="Percent 3 4 2 3 2 22" xfId="2064" xr:uid="{00000000-0005-0000-0000-00003B090000}"/>
    <cellStyle name="Percent 3 4 2 3 2 23" xfId="2065" xr:uid="{00000000-0005-0000-0000-00003C090000}"/>
    <cellStyle name="Percent 3 4 2 3 2 24" xfId="2066" xr:uid="{00000000-0005-0000-0000-00003D090000}"/>
    <cellStyle name="Percent 3 4 2 3 2 25" xfId="2067" xr:uid="{00000000-0005-0000-0000-00003E090000}"/>
    <cellStyle name="Percent 3 4 2 3 2 3" xfId="2068" xr:uid="{00000000-0005-0000-0000-00003F090000}"/>
    <cellStyle name="Percent 3 4 2 3 2 4" xfId="2069" xr:uid="{00000000-0005-0000-0000-000040090000}"/>
    <cellStyle name="Percent 3 4 2 3 2 5" xfId="2070" xr:uid="{00000000-0005-0000-0000-000041090000}"/>
    <cellStyle name="Percent 3 4 2 3 2 6" xfId="2071" xr:uid="{00000000-0005-0000-0000-000042090000}"/>
    <cellStyle name="Percent 3 4 2 3 2 6 10" xfId="2072" xr:uid="{00000000-0005-0000-0000-000043090000}"/>
    <cellStyle name="Percent 3 4 2 3 2 6 11" xfId="2073" xr:uid="{00000000-0005-0000-0000-000044090000}"/>
    <cellStyle name="Percent 3 4 2 3 2 6 12" xfId="2074" xr:uid="{00000000-0005-0000-0000-000045090000}"/>
    <cellStyle name="Percent 3 4 2 3 2 6 13" xfId="2075" xr:uid="{00000000-0005-0000-0000-000046090000}"/>
    <cellStyle name="Percent 3 4 2 3 2 6 14" xfId="2076" xr:uid="{00000000-0005-0000-0000-000047090000}"/>
    <cellStyle name="Percent 3 4 2 3 2 6 15" xfId="2077" xr:uid="{00000000-0005-0000-0000-000048090000}"/>
    <cellStyle name="Percent 3 4 2 3 2 6 16" xfId="2078" xr:uid="{00000000-0005-0000-0000-000049090000}"/>
    <cellStyle name="Percent 3 4 2 3 2 6 17" xfId="2079" xr:uid="{00000000-0005-0000-0000-00004A090000}"/>
    <cellStyle name="Percent 3 4 2 3 2 6 18" xfId="2080" xr:uid="{00000000-0005-0000-0000-00004B090000}"/>
    <cellStyle name="Percent 3 4 2 3 2 6 19" xfId="2081" xr:uid="{00000000-0005-0000-0000-00004C090000}"/>
    <cellStyle name="Percent 3 4 2 3 2 6 2" xfId="2082" xr:uid="{00000000-0005-0000-0000-00004D090000}"/>
    <cellStyle name="Percent 3 4 2 3 2 6 20" xfId="2083" xr:uid="{00000000-0005-0000-0000-00004E090000}"/>
    <cellStyle name="Percent 3 4 2 3 2 6 21" xfId="2084" xr:uid="{00000000-0005-0000-0000-00004F090000}"/>
    <cellStyle name="Percent 3 4 2 3 2 6 3" xfId="2085" xr:uid="{00000000-0005-0000-0000-000050090000}"/>
    <cellStyle name="Percent 3 4 2 3 2 6 4" xfId="2086" xr:uid="{00000000-0005-0000-0000-000051090000}"/>
    <cellStyle name="Percent 3 4 2 3 2 6 5" xfId="2087" xr:uid="{00000000-0005-0000-0000-000052090000}"/>
    <cellStyle name="Percent 3 4 2 3 2 6 6" xfId="2088" xr:uid="{00000000-0005-0000-0000-000053090000}"/>
    <cellStyle name="Percent 3 4 2 3 2 6 7" xfId="2089" xr:uid="{00000000-0005-0000-0000-000054090000}"/>
    <cellStyle name="Percent 3 4 2 3 2 6 8" xfId="2090" xr:uid="{00000000-0005-0000-0000-000055090000}"/>
    <cellStyle name="Percent 3 4 2 3 2 6 9" xfId="2091" xr:uid="{00000000-0005-0000-0000-000056090000}"/>
    <cellStyle name="Percent 3 4 2 3 2 7" xfId="2092" xr:uid="{00000000-0005-0000-0000-000057090000}"/>
    <cellStyle name="Percent 3 4 2 3 2 8" xfId="2093" xr:uid="{00000000-0005-0000-0000-000058090000}"/>
    <cellStyle name="Percent 3 4 2 3 2 9" xfId="2094" xr:uid="{00000000-0005-0000-0000-000059090000}"/>
    <cellStyle name="Percent 3 4 2 3 20" xfId="2095" xr:uid="{00000000-0005-0000-0000-00005A090000}"/>
    <cellStyle name="Percent 3 4 2 3 21" xfId="2096" xr:uid="{00000000-0005-0000-0000-00005B090000}"/>
    <cellStyle name="Percent 3 4 2 3 22" xfId="2097" xr:uid="{00000000-0005-0000-0000-00005C090000}"/>
    <cellStyle name="Percent 3 4 2 3 23" xfId="2098" xr:uid="{00000000-0005-0000-0000-00005D090000}"/>
    <cellStyle name="Percent 3 4 2 3 24" xfId="2099" xr:uid="{00000000-0005-0000-0000-00005E090000}"/>
    <cellStyle name="Percent 3 4 2 3 25" xfId="2100" xr:uid="{00000000-0005-0000-0000-00005F090000}"/>
    <cellStyle name="Percent 3 4 2 3 26" xfId="2101" xr:uid="{00000000-0005-0000-0000-000060090000}"/>
    <cellStyle name="Percent 3 4 2 3 3" xfId="2102" xr:uid="{00000000-0005-0000-0000-000061090000}"/>
    <cellStyle name="Percent 3 4 2 3 4" xfId="2103" xr:uid="{00000000-0005-0000-0000-000062090000}"/>
    <cellStyle name="Percent 3 4 2 3 5" xfId="2104" xr:uid="{00000000-0005-0000-0000-000063090000}"/>
    <cellStyle name="Percent 3 4 2 3 6" xfId="2105" xr:uid="{00000000-0005-0000-0000-000064090000}"/>
    <cellStyle name="Percent 3 4 2 3 7" xfId="2106" xr:uid="{00000000-0005-0000-0000-000065090000}"/>
    <cellStyle name="Percent 3 4 2 3 7 10" xfId="2107" xr:uid="{00000000-0005-0000-0000-000066090000}"/>
    <cellStyle name="Percent 3 4 2 3 7 11" xfId="2108" xr:uid="{00000000-0005-0000-0000-000067090000}"/>
    <cellStyle name="Percent 3 4 2 3 7 12" xfId="2109" xr:uid="{00000000-0005-0000-0000-000068090000}"/>
    <cellStyle name="Percent 3 4 2 3 7 13" xfId="2110" xr:uid="{00000000-0005-0000-0000-000069090000}"/>
    <cellStyle name="Percent 3 4 2 3 7 14" xfId="2111" xr:uid="{00000000-0005-0000-0000-00006A090000}"/>
    <cellStyle name="Percent 3 4 2 3 7 15" xfId="2112" xr:uid="{00000000-0005-0000-0000-00006B090000}"/>
    <cellStyle name="Percent 3 4 2 3 7 16" xfId="2113" xr:uid="{00000000-0005-0000-0000-00006C090000}"/>
    <cellStyle name="Percent 3 4 2 3 7 17" xfId="2114" xr:uid="{00000000-0005-0000-0000-00006D090000}"/>
    <cellStyle name="Percent 3 4 2 3 7 18" xfId="2115" xr:uid="{00000000-0005-0000-0000-00006E090000}"/>
    <cellStyle name="Percent 3 4 2 3 7 19" xfId="2116" xr:uid="{00000000-0005-0000-0000-00006F090000}"/>
    <cellStyle name="Percent 3 4 2 3 7 2" xfId="2117" xr:uid="{00000000-0005-0000-0000-000070090000}"/>
    <cellStyle name="Percent 3 4 2 3 7 20" xfId="2118" xr:uid="{00000000-0005-0000-0000-000071090000}"/>
    <cellStyle name="Percent 3 4 2 3 7 21" xfId="2119" xr:uid="{00000000-0005-0000-0000-000072090000}"/>
    <cellStyle name="Percent 3 4 2 3 7 3" xfId="2120" xr:uid="{00000000-0005-0000-0000-000073090000}"/>
    <cellStyle name="Percent 3 4 2 3 7 4" xfId="2121" xr:uid="{00000000-0005-0000-0000-000074090000}"/>
    <cellStyle name="Percent 3 4 2 3 7 5" xfId="2122" xr:uid="{00000000-0005-0000-0000-000075090000}"/>
    <cellStyle name="Percent 3 4 2 3 7 6" xfId="2123" xr:uid="{00000000-0005-0000-0000-000076090000}"/>
    <cellStyle name="Percent 3 4 2 3 7 7" xfId="2124" xr:uid="{00000000-0005-0000-0000-000077090000}"/>
    <cellStyle name="Percent 3 4 2 3 7 8" xfId="2125" xr:uid="{00000000-0005-0000-0000-000078090000}"/>
    <cellStyle name="Percent 3 4 2 3 7 9" xfId="2126" xr:uid="{00000000-0005-0000-0000-000079090000}"/>
    <cellStyle name="Percent 3 4 2 3 8" xfId="2127" xr:uid="{00000000-0005-0000-0000-00007A090000}"/>
    <cellStyle name="Percent 3 4 2 3 9" xfId="2128" xr:uid="{00000000-0005-0000-0000-00007B090000}"/>
    <cellStyle name="Percent 3 4 2 30" xfId="2129" xr:uid="{00000000-0005-0000-0000-00007C090000}"/>
    <cellStyle name="Percent 3 4 2 31" xfId="2130" xr:uid="{00000000-0005-0000-0000-00007D090000}"/>
    <cellStyle name="Percent 3 4 2 32" xfId="2131" xr:uid="{00000000-0005-0000-0000-00007E090000}"/>
    <cellStyle name="Percent 3 4 2 33" xfId="2132" xr:uid="{00000000-0005-0000-0000-00007F090000}"/>
    <cellStyle name="Percent 3 4 2 34" xfId="2133" xr:uid="{00000000-0005-0000-0000-000080090000}"/>
    <cellStyle name="Percent 3 4 2 35" xfId="2134" xr:uid="{00000000-0005-0000-0000-000081090000}"/>
    <cellStyle name="Percent 3 4 2 36" xfId="2135" xr:uid="{00000000-0005-0000-0000-000082090000}"/>
    <cellStyle name="Percent 3 4 2 37" xfId="2136" xr:uid="{00000000-0005-0000-0000-000083090000}"/>
    <cellStyle name="Percent 3 4 2 38" xfId="2137" xr:uid="{00000000-0005-0000-0000-000084090000}"/>
    <cellStyle name="Percent 3 4 2 4" xfId="2138" xr:uid="{00000000-0005-0000-0000-000085090000}"/>
    <cellStyle name="Percent 3 4 2 5" xfId="2139" xr:uid="{00000000-0005-0000-0000-000086090000}"/>
    <cellStyle name="Percent 3 4 2 6" xfId="2140" xr:uid="{00000000-0005-0000-0000-000087090000}"/>
    <cellStyle name="Percent 3 4 2 7" xfId="2141" xr:uid="{00000000-0005-0000-0000-000088090000}"/>
    <cellStyle name="Percent 3 4 2 8" xfId="2142" xr:uid="{00000000-0005-0000-0000-000089090000}"/>
    <cellStyle name="Percent 3 4 2 8 2" xfId="2143" xr:uid="{00000000-0005-0000-0000-00008A090000}"/>
    <cellStyle name="Percent 3 4 2 8 3" xfId="2144" xr:uid="{00000000-0005-0000-0000-00008B090000}"/>
    <cellStyle name="Percent 3 4 2 8 4" xfId="2145" xr:uid="{00000000-0005-0000-0000-00008C090000}"/>
    <cellStyle name="Percent 3 4 2 8 5" xfId="2146" xr:uid="{00000000-0005-0000-0000-00008D090000}"/>
    <cellStyle name="Percent 3 4 2 9" xfId="2147" xr:uid="{00000000-0005-0000-0000-00008E090000}"/>
    <cellStyle name="Percent 3 4 20" xfId="2148" xr:uid="{00000000-0005-0000-0000-00008F090000}"/>
    <cellStyle name="Percent 3 4 21" xfId="2149" xr:uid="{00000000-0005-0000-0000-000090090000}"/>
    <cellStyle name="Percent 3 4 22" xfId="2150" xr:uid="{00000000-0005-0000-0000-000091090000}"/>
    <cellStyle name="Percent 3 4 23" xfId="2151" xr:uid="{00000000-0005-0000-0000-000092090000}"/>
    <cellStyle name="Percent 3 4 23 10" xfId="2152" xr:uid="{00000000-0005-0000-0000-000093090000}"/>
    <cellStyle name="Percent 3 4 23 11" xfId="2153" xr:uid="{00000000-0005-0000-0000-000094090000}"/>
    <cellStyle name="Percent 3 4 23 12" xfId="2154" xr:uid="{00000000-0005-0000-0000-000095090000}"/>
    <cellStyle name="Percent 3 4 23 13" xfId="2155" xr:uid="{00000000-0005-0000-0000-000096090000}"/>
    <cellStyle name="Percent 3 4 23 14" xfId="2156" xr:uid="{00000000-0005-0000-0000-000097090000}"/>
    <cellStyle name="Percent 3 4 23 15" xfId="2157" xr:uid="{00000000-0005-0000-0000-000098090000}"/>
    <cellStyle name="Percent 3 4 23 16" xfId="2158" xr:uid="{00000000-0005-0000-0000-000099090000}"/>
    <cellStyle name="Percent 3 4 23 17" xfId="2159" xr:uid="{00000000-0005-0000-0000-00009A090000}"/>
    <cellStyle name="Percent 3 4 23 18" xfId="2160" xr:uid="{00000000-0005-0000-0000-00009B090000}"/>
    <cellStyle name="Percent 3 4 23 19" xfId="2161" xr:uid="{00000000-0005-0000-0000-00009C090000}"/>
    <cellStyle name="Percent 3 4 23 2" xfId="2162" xr:uid="{00000000-0005-0000-0000-00009D090000}"/>
    <cellStyle name="Percent 3 4 23 20" xfId="2163" xr:uid="{00000000-0005-0000-0000-00009E090000}"/>
    <cellStyle name="Percent 3 4 23 21" xfId="2164" xr:uid="{00000000-0005-0000-0000-00009F090000}"/>
    <cellStyle name="Percent 3 4 23 3" xfId="2165" xr:uid="{00000000-0005-0000-0000-0000A0090000}"/>
    <cellStyle name="Percent 3 4 23 4" xfId="2166" xr:uid="{00000000-0005-0000-0000-0000A1090000}"/>
    <cellStyle name="Percent 3 4 23 5" xfId="2167" xr:uid="{00000000-0005-0000-0000-0000A2090000}"/>
    <cellStyle name="Percent 3 4 23 6" xfId="2168" xr:uid="{00000000-0005-0000-0000-0000A3090000}"/>
    <cellStyle name="Percent 3 4 23 7" xfId="2169" xr:uid="{00000000-0005-0000-0000-0000A4090000}"/>
    <cellStyle name="Percent 3 4 23 8" xfId="2170" xr:uid="{00000000-0005-0000-0000-0000A5090000}"/>
    <cellStyle name="Percent 3 4 23 9" xfId="2171" xr:uid="{00000000-0005-0000-0000-0000A6090000}"/>
    <cellStyle name="Percent 3 4 24" xfId="2172" xr:uid="{00000000-0005-0000-0000-0000A7090000}"/>
    <cellStyle name="Percent 3 4 25" xfId="2173" xr:uid="{00000000-0005-0000-0000-0000A8090000}"/>
    <cellStyle name="Percent 3 4 26" xfId="2174" xr:uid="{00000000-0005-0000-0000-0000A9090000}"/>
    <cellStyle name="Percent 3 4 27" xfId="2175" xr:uid="{00000000-0005-0000-0000-0000AA090000}"/>
    <cellStyle name="Percent 3 4 28" xfId="2176" xr:uid="{00000000-0005-0000-0000-0000AB090000}"/>
    <cellStyle name="Percent 3 4 29" xfId="2177" xr:uid="{00000000-0005-0000-0000-0000AC090000}"/>
    <cellStyle name="Percent 3 4 3" xfId="2178" xr:uid="{00000000-0005-0000-0000-0000AD090000}"/>
    <cellStyle name="Percent 3 4 30" xfId="2179" xr:uid="{00000000-0005-0000-0000-0000AE090000}"/>
    <cellStyle name="Percent 3 4 31" xfId="2180" xr:uid="{00000000-0005-0000-0000-0000AF090000}"/>
    <cellStyle name="Percent 3 4 32" xfId="2181" xr:uid="{00000000-0005-0000-0000-0000B0090000}"/>
    <cellStyle name="Percent 3 4 33" xfId="2182" xr:uid="{00000000-0005-0000-0000-0000B1090000}"/>
    <cellStyle name="Percent 3 4 34" xfId="2183" xr:uid="{00000000-0005-0000-0000-0000B2090000}"/>
    <cellStyle name="Percent 3 4 35" xfId="2184" xr:uid="{00000000-0005-0000-0000-0000B3090000}"/>
    <cellStyle name="Percent 3 4 36" xfId="2185" xr:uid="{00000000-0005-0000-0000-0000B4090000}"/>
    <cellStyle name="Percent 3 4 37" xfId="2186" xr:uid="{00000000-0005-0000-0000-0000B5090000}"/>
    <cellStyle name="Percent 3 4 38" xfId="2187" xr:uid="{00000000-0005-0000-0000-0000B6090000}"/>
    <cellStyle name="Percent 3 4 39" xfId="2188" xr:uid="{00000000-0005-0000-0000-0000B7090000}"/>
    <cellStyle name="Percent 3 4 4" xfId="2189" xr:uid="{00000000-0005-0000-0000-0000B8090000}"/>
    <cellStyle name="Percent 3 4 40" xfId="2190" xr:uid="{00000000-0005-0000-0000-0000B9090000}"/>
    <cellStyle name="Percent 3 4 41" xfId="2191" xr:uid="{00000000-0005-0000-0000-0000BA090000}"/>
    <cellStyle name="Percent 3 4 42" xfId="2192" xr:uid="{00000000-0005-0000-0000-0000BB090000}"/>
    <cellStyle name="Percent 3 4 43" xfId="2193" xr:uid="{00000000-0005-0000-0000-0000BC090000}"/>
    <cellStyle name="Percent 3 4 44" xfId="2194" xr:uid="{00000000-0005-0000-0000-0000BD090000}"/>
    <cellStyle name="Percent 3 4 45" xfId="2195" xr:uid="{00000000-0005-0000-0000-0000BE090000}"/>
    <cellStyle name="Percent 3 4 46" xfId="2196" xr:uid="{00000000-0005-0000-0000-0000BF090000}"/>
    <cellStyle name="Percent 3 4 47" xfId="2197" xr:uid="{00000000-0005-0000-0000-0000C0090000}"/>
    <cellStyle name="Percent 3 4 48" xfId="2198" xr:uid="{00000000-0005-0000-0000-0000C1090000}"/>
    <cellStyle name="Percent 3 4 49" xfId="2199" xr:uid="{00000000-0005-0000-0000-0000C2090000}"/>
    <cellStyle name="Percent 3 4 5" xfId="2200" xr:uid="{00000000-0005-0000-0000-0000C3090000}"/>
    <cellStyle name="Percent 3 4 6" xfId="2201" xr:uid="{00000000-0005-0000-0000-0000C4090000}"/>
    <cellStyle name="Percent 3 4 7" xfId="2202" xr:uid="{00000000-0005-0000-0000-0000C5090000}"/>
    <cellStyle name="Percent 3 4 8" xfId="2203" xr:uid="{00000000-0005-0000-0000-0000C6090000}"/>
    <cellStyle name="Percent 3 4 9" xfId="2204" xr:uid="{00000000-0005-0000-0000-0000C7090000}"/>
    <cellStyle name="Percent 3 40" xfId="2205" xr:uid="{00000000-0005-0000-0000-0000C8090000}"/>
    <cellStyle name="Percent 3 41" xfId="2206" xr:uid="{00000000-0005-0000-0000-0000C9090000}"/>
    <cellStyle name="Percent 3 42" xfId="2207" xr:uid="{00000000-0005-0000-0000-0000CA090000}"/>
    <cellStyle name="Percent 3 43" xfId="2208" xr:uid="{00000000-0005-0000-0000-0000CB090000}"/>
    <cellStyle name="Percent 3 44" xfId="2209" xr:uid="{00000000-0005-0000-0000-0000CC090000}"/>
    <cellStyle name="Percent 3 45" xfId="2210" xr:uid="{00000000-0005-0000-0000-0000CD090000}"/>
    <cellStyle name="Percent 3 46" xfId="2211" xr:uid="{00000000-0005-0000-0000-0000CE090000}"/>
    <cellStyle name="Percent 3 47" xfId="2212" xr:uid="{00000000-0005-0000-0000-0000CF090000}"/>
    <cellStyle name="Percent 3 48" xfId="2213" xr:uid="{00000000-0005-0000-0000-0000D0090000}"/>
    <cellStyle name="Percent 3 49" xfId="2214" xr:uid="{00000000-0005-0000-0000-0000D1090000}"/>
    <cellStyle name="Percent 3 5" xfId="2215" xr:uid="{00000000-0005-0000-0000-0000D2090000}"/>
    <cellStyle name="Percent 3 5 10" xfId="2216" xr:uid="{00000000-0005-0000-0000-0000D3090000}"/>
    <cellStyle name="Percent 3 5 11" xfId="2217" xr:uid="{00000000-0005-0000-0000-0000D4090000}"/>
    <cellStyle name="Percent 3 5 12" xfId="2218" xr:uid="{00000000-0005-0000-0000-0000D5090000}"/>
    <cellStyle name="Percent 3 5 12 10" xfId="2219" xr:uid="{00000000-0005-0000-0000-0000D6090000}"/>
    <cellStyle name="Percent 3 5 12 11" xfId="2220" xr:uid="{00000000-0005-0000-0000-0000D7090000}"/>
    <cellStyle name="Percent 3 5 12 12" xfId="2221" xr:uid="{00000000-0005-0000-0000-0000D8090000}"/>
    <cellStyle name="Percent 3 5 12 13" xfId="2222" xr:uid="{00000000-0005-0000-0000-0000D9090000}"/>
    <cellStyle name="Percent 3 5 12 14" xfId="2223" xr:uid="{00000000-0005-0000-0000-0000DA090000}"/>
    <cellStyle name="Percent 3 5 12 15" xfId="2224" xr:uid="{00000000-0005-0000-0000-0000DB090000}"/>
    <cellStyle name="Percent 3 5 12 16" xfId="2225" xr:uid="{00000000-0005-0000-0000-0000DC090000}"/>
    <cellStyle name="Percent 3 5 12 17" xfId="2226" xr:uid="{00000000-0005-0000-0000-0000DD090000}"/>
    <cellStyle name="Percent 3 5 12 18" xfId="2227" xr:uid="{00000000-0005-0000-0000-0000DE090000}"/>
    <cellStyle name="Percent 3 5 12 19" xfId="2228" xr:uid="{00000000-0005-0000-0000-0000DF090000}"/>
    <cellStyle name="Percent 3 5 12 2" xfId="2229" xr:uid="{00000000-0005-0000-0000-0000E0090000}"/>
    <cellStyle name="Percent 3 5 12 20" xfId="2230" xr:uid="{00000000-0005-0000-0000-0000E1090000}"/>
    <cellStyle name="Percent 3 5 12 21" xfId="2231" xr:uid="{00000000-0005-0000-0000-0000E2090000}"/>
    <cellStyle name="Percent 3 5 12 3" xfId="2232" xr:uid="{00000000-0005-0000-0000-0000E3090000}"/>
    <cellStyle name="Percent 3 5 12 4" xfId="2233" xr:uid="{00000000-0005-0000-0000-0000E4090000}"/>
    <cellStyle name="Percent 3 5 12 5" xfId="2234" xr:uid="{00000000-0005-0000-0000-0000E5090000}"/>
    <cellStyle name="Percent 3 5 12 6" xfId="2235" xr:uid="{00000000-0005-0000-0000-0000E6090000}"/>
    <cellStyle name="Percent 3 5 12 7" xfId="2236" xr:uid="{00000000-0005-0000-0000-0000E7090000}"/>
    <cellStyle name="Percent 3 5 12 8" xfId="2237" xr:uid="{00000000-0005-0000-0000-0000E8090000}"/>
    <cellStyle name="Percent 3 5 12 9" xfId="2238" xr:uid="{00000000-0005-0000-0000-0000E9090000}"/>
    <cellStyle name="Percent 3 5 13" xfId="2239" xr:uid="{00000000-0005-0000-0000-0000EA090000}"/>
    <cellStyle name="Percent 3 5 14" xfId="2240" xr:uid="{00000000-0005-0000-0000-0000EB090000}"/>
    <cellStyle name="Percent 3 5 15" xfId="2241" xr:uid="{00000000-0005-0000-0000-0000EC090000}"/>
    <cellStyle name="Percent 3 5 16" xfId="2242" xr:uid="{00000000-0005-0000-0000-0000ED090000}"/>
    <cellStyle name="Percent 3 5 17" xfId="2243" xr:uid="{00000000-0005-0000-0000-0000EE090000}"/>
    <cellStyle name="Percent 3 5 18" xfId="2244" xr:uid="{00000000-0005-0000-0000-0000EF090000}"/>
    <cellStyle name="Percent 3 5 19" xfId="2245" xr:uid="{00000000-0005-0000-0000-0000F0090000}"/>
    <cellStyle name="Percent 3 5 2" xfId="2246" xr:uid="{00000000-0005-0000-0000-0000F1090000}"/>
    <cellStyle name="Percent 3 5 2 10" xfId="2247" xr:uid="{00000000-0005-0000-0000-0000F2090000}"/>
    <cellStyle name="Percent 3 5 2 11" xfId="2248" xr:uid="{00000000-0005-0000-0000-0000F3090000}"/>
    <cellStyle name="Percent 3 5 2 12" xfId="2249" xr:uid="{00000000-0005-0000-0000-0000F4090000}"/>
    <cellStyle name="Percent 3 5 2 12 10" xfId="2250" xr:uid="{00000000-0005-0000-0000-0000F5090000}"/>
    <cellStyle name="Percent 3 5 2 12 11" xfId="2251" xr:uid="{00000000-0005-0000-0000-0000F6090000}"/>
    <cellStyle name="Percent 3 5 2 12 12" xfId="2252" xr:uid="{00000000-0005-0000-0000-0000F7090000}"/>
    <cellStyle name="Percent 3 5 2 12 13" xfId="2253" xr:uid="{00000000-0005-0000-0000-0000F8090000}"/>
    <cellStyle name="Percent 3 5 2 12 14" xfId="2254" xr:uid="{00000000-0005-0000-0000-0000F9090000}"/>
    <cellStyle name="Percent 3 5 2 12 15" xfId="2255" xr:uid="{00000000-0005-0000-0000-0000FA090000}"/>
    <cellStyle name="Percent 3 5 2 12 16" xfId="2256" xr:uid="{00000000-0005-0000-0000-0000FB090000}"/>
    <cellStyle name="Percent 3 5 2 12 17" xfId="2257" xr:uid="{00000000-0005-0000-0000-0000FC090000}"/>
    <cellStyle name="Percent 3 5 2 12 18" xfId="2258" xr:uid="{00000000-0005-0000-0000-0000FD090000}"/>
    <cellStyle name="Percent 3 5 2 12 19" xfId="2259" xr:uid="{00000000-0005-0000-0000-0000FE090000}"/>
    <cellStyle name="Percent 3 5 2 12 2" xfId="2260" xr:uid="{00000000-0005-0000-0000-0000FF090000}"/>
    <cellStyle name="Percent 3 5 2 12 20" xfId="2261" xr:uid="{00000000-0005-0000-0000-0000000A0000}"/>
    <cellStyle name="Percent 3 5 2 12 21" xfId="2262" xr:uid="{00000000-0005-0000-0000-0000010A0000}"/>
    <cellStyle name="Percent 3 5 2 12 3" xfId="2263" xr:uid="{00000000-0005-0000-0000-0000020A0000}"/>
    <cellStyle name="Percent 3 5 2 12 4" xfId="2264" xr:uid="{00000000-0005-0000-0000-0000030A0000}"/>
    <cellStyle name="Percent 3 5 2 12 5" xfId="2265" xr:uid="{00000000-0005-0000-0000-0000040A0000}"/>
    <cellStyle name="Percent 3 5 2 12 6" xfId="2266" xr:uid="{00000000-0005-0000-0000-0000050A0000}"/>
    <cellStyle name="Percent 3 5 2 12 7" xfId="2267" xr:uid="{00000000-0005-0000-0000-0000060A0000}"/>
    <cellStyle name="Percent 3 5 2 12 8" xfId="2268" xr:uid="{00000000-0005-0000-0000-0000070A0000}"/>
    <cellStyle name="Percent 3 5 2 12 9" xfId="2269" xr:uid="{00000000-0005-0000-0000-0000080A0000}"/>
    <cellStyle name="Percent 3 5 2 13" xfId="2270" xr:uid="{00000000-0005-0000-0000-0000090A0000}"/>
    <cellStyle name="Percent 3 5 2 14" xfId="2271" xr:uid="{00000000-0005-0000-0000-00000A0A0000}"/>
    <cellStyle name="Percent 3 5 2 15" xfId="2272" xr:uid="{00000000-0005-0000-0000-00000B0A0000}"/>
    <cellStyle name="Percent 3 5 2 16" xfId="2273" xr:uid="{00000000-0005-0000-0000-00000C0A0000}"/>
    <cellStyle name="Percent 3 5 2 17" xfId="2274" xr:uid="{00000000-0005-0000-0000-00000D0A0000}"/>
    <cellStyle name="Percent 3 5 2 18" xfId="2275" xr:uid="{00000000-0005-0000-0000-00000E0A0000}"/>
    <cellStyle name="Percent 3 5 2 19" xfId="2276" xr:uid="{00000000-0005-0000-0000-00000F0A0000}"/>
    <cellStyle name="Percent 3 5 2 2" xfId="2277" xr:uid="{00000000-0005-0000-0000-0000100A0000}"/>
    <cellStyle name="Percent 3 5 2 2 10" xfId="2278" xr:uid="{00000000-0005-0000-0000-0000110A0000}"/>
    <cellStyle name="Percent 3 5 2 2 11" xfId="2279" xr:uid="{00000000-0005-0000-0000-0000120A0000}"/>
    <cellStyle name="Percent 3 5 2 2 12" xfId="2280" xr:uid="{00000000-0005-0000-0000-0000130A0000}"/>
    <cellStyle name="Percent 3 5 2 2 13" xfId="2281" xr:uid="{00000000-0005-0000-0000-0000140A0000}"/>
    <cellStyle name="Percent 3 5 2 2 14" xfId="2282" xr:uid="{00000000-0005-0000-0000-0000150A0000}"/>
    <cellStyle name="Percent 3 5 2 2 15" xfId="2283" xr:uid="{00000000-0005-0000-0000-0000160A0000}"/>
    <cellStyle name="Percent 3 5 2 2 16" xfId="2284" xr:uid="{00000000-0005-0000-0000-0000170A0000}"/>
    <cellStyle name="Percent 3 5 2 2 17" xfId="2285" xr:uid="{00000000-0005-0000-0000-0000180A0000}"/>
    <cellStyle name="Percent 3 5 2 2 18" xfId="2286" xr:uid="{00000000-0005-0000-0000-0000190A0000}"/>
    <cellStyle name="Percent 3 5 2 2 19" xfId="2287" xr:uid="{00000000-0005-0000-0000-00001A0A0000}"/>
    <cellStyle name="Percent 3 5 2 2 2" xfId="2288" xr:uid="{00000000-0005-0000-0000-00001B0A0000}"/>
    <cellStyle name="Percent 3 5 2 2 2 10" xfId="2289" xr:uid="{00000000-0005-0000-0000-00001C0A0000}"/>
    <cellStyle name="Percent 3 5 2 2 2 11" xfId="2290" xr:uid="{00000000-0005-0000-0000-00001D0A0000}"/>
    <cellStyle name="Percent 3 5 2 2 2 12" xfId="2291" xr:uid="{00000000-0005-0000-0000-00001E0A0000}"/>
    <cellStyle name="Percent 3 5 2 2 2 13" xfId="2292" xr:uid="{00000000-0005-0000-0000-00001F0A0000}"/>
    <cellStyle name="Percent 3 5 2 2 2 14" xfId="2293" xr:uid="{00000000-0005-0000-0000-0000200A0000}"/>
    <cellStyle name="Percent 3 5 2 2 2 15" xfId="2294" xr:uid="{00000000-0005-0000-0000-0000210A0000}"/>
    <cellStyle name="Percent 3 5 2 2 2 16" xfId="2295" xr:uid="{00000000-0005-0000-0000-0000220A0000}"/>
    <cellStyle name="Percent 3 5 2 2 2 17" xfId="2296" xr:uid="{00000000-0005-0000-0000-0000230A0000}"/>
    <cellStyle name="Percent 3 5 2 2 2 18" xfId="2297" xr:uid="{00000000-0005-0000-0000-0000240A0000}"/>
    <cellStyle name="Percent 3 5 2 2 2 19" xfId="2298" xr:uid="{00000000-0005-0000-0000-0000250A0000}"/>
    <cellStyle name="Percent 3 5 2 2 2 2" xfId="2299" xr:uid="{00000000-0005-0000-0000-0000260A0000}"/>
    <cellStyle name="Percent 3 5 2 2 2 2 10" xfId="2300" xr:uid="{00000000-0005-0000-0000-0000270A0000}"/>
    <cellStyle name="Percent 3 5 2 2 2 2 11" xfId="2301" xr:uid="{00000000-0005-0000-0000-0000280A0000}"/>
    <cellStyle name="Percent 3 5 2 2 2 2 12" xfId="2302" xr:uid="{00000000-0005-0000-0000-0000290A0000}"/>
    <cellStyle name="Percent 3 5 2 2 2 2 13" xfId="2303" xr:uid="{00000000-0005-0000-0000-00002A0A0000}"/>
    <cellStyle name="Percent 3 5 2 2 2 2 14" xfId="2304" xr:uid="{00000000-0005-0000-0000-00002B0A0000}"/>
    <cellStyle name="Percent 3 5 2 2 2 2 15" xfId="2305" xr:uid="{00000000-0005-0000-0000-00002C0A0000}"/>
    <cellStyle name="Percent 3 5 2 2 2 2 16" xfId="2306" xr:uid="{00000000-0005-0000-0000-00002D0A0000}"/>
    <cellStyle name="Percent 3 5 2 2 2 2 17" xfId="2307" xr:uid="{00000000-0005-0000-0000-00002E0A0000}"/>
    <cellStyle name="Percent 3 5 2 2 2 2 18" xfId="2308" xr:uid="{00000000-0005-0000-0000-00002F0A0000}"/>
    <cellStyle name="Percent 3 5 2 2 2 2 19" xfId="2309" xr:uid="{00000000-0005-0000-0000-0000300A0000}"/>
    <cellStyle name="Percent 3 5 2 2 2 2 2" xfId="2310" xr:uid="{00000000-0005-0000-0000-0000310A0000}"/>
    <cellStyle name="Percent 3 5 2 2 2 2 2 10" xfId="2311" xr:uid="{00000000-0005-0000-0000-0000320A0000}"/>
    <cellStyle name="Percent 3 5 2 2 2 2 2 11" xfId="2312" xr:uid="{00000000-0005-0000-0000-0000330A0000}"/>
    <cellStyle name="Percent 3 5 2 2 2 2 2 12" xfId="2313" xr:uid="{00000000-0005-0000-0000-0000340A0000}"/>
    <cellStyle name="Percent 3 5 2 2 2 2 2 13" xfId="2314" xr:uid="{00000000-0005-0000-0000-0000350A0000}"/>
    <cellStyle name="Percent 3 5 2 2 2 2 2 14" xfId="2315" xr:uid="{00000000-0005-0000-0000-0000360A0000}"/>
    <cellStyle name="Percent 3 5 2 2 2 2 2 15" xfId="2316" xr:uid="{00000000-0005-0000-0000-0000370A0000}"/>
    <cellStyle name="Percent 3 5 2 2 2 2 2 16" xfId="2317" xr:uid="{00000000-0005-0000-0000-0000380A0000}"/>
    <cellStyle name="Percent 3 5 2 2 2 2 2 17" xfId="2318" xr:uid="{00000000-0005-0000-0000-0000390A0000}"/>
    <cellStyle name="Percent 3 5 2 2 2 2 2 18" xfId="2319" xr:uid="{00000000-0005-0000-0000-00003A0A0000}"/>
    <cellStyle name="Percent 3 5 2 2 2 2 2 19" xfId="2320" xr:uid="{00000000-0005-0000-0000-00003B0A0000}"/>
    <cellStyle name="Percent 3 5 2 2 2 2 2 2" xfId="2321" xr:uid="{00000000-0005-0000-0000-00003C0A0000}"/>
    <cellStyle name="Percent 3 5 2 2 2 2 2 20" xfId="2322" xr:uid="{00000000-0005-0000-0000-00003D0A0000}"/>
    <cellStyle name="Percent 3 5 2 2 2 2 2 21" xfId="2323" xr:uid="{00000000-0005-0000-0000-00003E0A0000}"/>
    <cellStyle name="Percent 3 5 2 2 2 2 2 3" xfId="2324" xr:uid="{00000000-0005-0000-0000-00003F0A0000}"/>
    <cellStyle name="Percent 3 5 2 2 2 2 2 4" xfId="2325" xr:uid="{00000000-0005-0000-0000-0000400A0000}"/>
    <cellStyle name="Percent 3 5 2 2 2 2 2 5" xfId="2326" xr:uid="{00000000-0005-0000-0000-0000410A0000}"/>
    <cellStyle name="Percent 3 5 2 2 2 2 2 6" xfId="2327" xr:uid="{00000000-0005-0000-0000-0000420A0000}"/>
    <cellStyle name="Percent 3 5 2 2 2 2 2 7" xfId="2328" xr:uid="{00000000-0005-0000-0000-0000430A0000}"/>
    <cellStyle name="Percent 3 5 2 2 2 2 2 8" xfId="2329" xr:uid="{00000000-0005-0000-0000-0000440A0000}"/>
    <cellStyle name="Percent 3 5 2 2 2 2 2 9" xfId="2330" xr:uid="{00000000-0005-0000-0000-0000450A0000}"/>
    <cellStyle name="Percent 3 5 2 2 2 2 20" xfId="2331" xr:uid="{00000000-0005-0000-0000-0000460A0000}"/>
    <cellStyle name="Percent 3 5 2 2 2 2 21" xfId="2332" xr:uid="{00000000-0005-0000-0000-0000470A0000}"/>
    <cellStyle name="Percent 3 5 2 2 2 2 22" xfId="2333" xr:uid="{00000000-0005-0000-0000-0000480A0000}"/>
    <cellStyle name="Percent 3 5 2 2 2 2 3" xfId="2334" xr:uid="{00000000-0005-0000-0000-0000490A0000}"/>
    <cellStyle name="Percent 3 5 2 2 2 2 4" xfId="2335" xr:uid="{00000000-0005-0000-0000-00004A0A0000}"/>
    <cellStyle name="Percent 3 5 2 2 2 2 5" xfId="2336" xr:uid="{00000000-0005-0000-0000-00004B0A0000}"/>
    <cellStyle name="Percent 3 5 2 2 2 2 6" xfId="2337" xr:uid="{00000000-0005-0000-0000-00004C0A0000}"/>
    <cellStyle name="Percent 3 5 2 2 2 2 7" xfId="2338" xr:uid="{00000000-0005-0000-0000-00004D0A0000}"/>
    <cellStyle name="Percent 3 5 2 2 2 2 8" xfId="2339" xr:uid="{00000000-0005-0000-0000-00004E0A0000}"/>
    <cellStyle name="Percent 3 5 2 2 2 2 9" xfId="2340" xr:uid="{00000000-0005-0000-0000-00004F0A0000}"/>
    <cellStyle name="Percent 3 5 2 2 2 20" xfId="2341" xr:uid="{00000000-0005-0000-0000-0000500A0000}"/>
    <cellStyle name="Percent 3 5 2 2 2 21" xfId="2342" xr:uid="{00000000-0005-0000-0000-0000510A0000}"/>
    <cellStyle name="Percent 3 5 2 2 2 22" xfId="2343" xr:uid="{00000000-0005-0000-0000-0000520A0000}"/>
    <cellStyle name="Percent 3 5 2 2 2 23" xfId="2344" xr:uid="{00000000-0005-0000-0000-0000530A0000}"/>
    <cellStyle name="Percent 3 5 2 2 2 24" xfId="2345" xr:uid="{00000000-0005-0000-0000-0000540A0000}"/>
    <cellStyle name="Percent 3 5 2 2 2 25" xfId="2346" xr:uid="{00000000-0005-0000-0000-0000550A0000}"/>
    <cellStyle name="Percent 3 5 2 2 2 3" xfId="2347" xr:uid="{00000000-0005-0000-0000-0000560A0000}"/>
    <cellStyle name="Percent 3 5 2 2 2 4" xfId="2348" xr:uid="{00000000-0005-0000-0000-0000570A0000}"/>
    <cellStyle name="Percent 3 5 2 2 2 5" xfId="2349" xr:uid="{00000000-0005-0000-0000-0000580A0000}"/>
    <cellStyle name="Percent 3 5 2 2 2 6" xfId="2350" xr:uid="{00000000-0005-0000-0000-0000590A0000}"/>
    <cellStyle name="Percent 3 5 2 2 2 6 10" xfId="2351" xr:uid="{00000000-0005-0000-0000-00005A0A0000}"/>
    <cellStyle name="Percent 3 5 2 2 2 6 11" xfId="2352" xr:uid="{00000000-0005-0000-0000-00005B0A0000}"/>
    <cellStyle name="Percent 3 5 2 2 2 6 12" xfId="2353" xr:uid="{00000000-0005-0000-0000-00005C0A0000}"/>
    <cellStyle name="Percent 3 5 2 2 2 6 13" xfId="2354" xr:uid="{00000000-0005-0000-0000-00005D0A0000}"/>
    <cellStyle name="Percent 3 5 2 2 2 6 14" xfId="2355" xr:uid="{00000000-0005-0000-0000-00005E0A0000}"/>
    <cellStyle name="Percent 3 5 2 2 2 6 15" xfId="2356" xr:uid="{00000000-0005-0000-0000-00005F0A0000}"/>
    <cellStyle name="Percent 3 5 2 2 2 6 16" xfId="2357" xr:uid="{00000000-0005-0000-0000-0000600A0000}"/>
    <cellStyle name="Percent 3 5 2 2 2 6 17" xfId="2358" xr:uid="{00000000-0005-0000-0000-0000610A0000}"/>
    <cellStyle name="Percent 3 5 2 2 2 6 18" xfId="2359" xr:uid="{00000000-0005-0000-0000-0000620A0000}"/>
    <cellStyle name="Percent 3 5 2 2 2 6 19" xfId="2360" xr:uid="{00000000-0005-0000-0000-0000630A0000}"/>
    <cellStyle name="Percent 3 5 2 2 2 6 2" xfId="2361" xr:uid="{00000000-0005-0000-0000-0000640A0000}"/>
    <cellStyle name="Percent 3 5 2 2 2 6 20" xfId="2362" xr:uid="{00000000-0005-0000-0000-0000650A0000}"/>
    <cellStyle name="Percent 3 5 2 2 2 6 21" xfId="2363" xr:uid="{00000000-0005-0000-0000-0000660A0000}"/>
    <cellStyle name="Percent 3 5 2 2 2 6 3" xfId="2364" xr:uid="{00000000-0005-0000-0000-0000670A0000}"/>
    <cellStyle name="Percent 3 5 2 2 2 6 4" xfId="2365" xr:uid="{00000000-0005-0000-0000-0000680A0000}"/>
    <cellStyle name="Percent 3 5 2 2 2 6 5" xfId="2366" xr:uid="{00000000-0005-0000-0000-0000690A0000}"/>
    <cellStyle name="Percent 3 5 2 2 2 6 6" xfId="2367" xr:uid="{00000000-0005-0000-0000-00006A0A0000}"/>
    <cellStyle name="Percent 3 5 2 2 2 6 7" xfId="2368" xr:uid="{00000000-0005-0000-0000-00006B0A0000}"/>
    <cellStyle name="Percent 3 5 2 2 2 6 8" xfId="2369" xr:uid="{00000000-0005-0000-0000-00006C0A0000}"/>
    <cellStyle name="Percent 3 5 2 2 2 6 9" xfId="2370" xr:uid="{00000000-0005-0000-0000-00006D0A0000}"/>
    <cellStyle name="Percent 3 5 2 2 2 7" xfId="2371" xr:uid="{00000000-0005-0000-0000-00006E0A0000}"/>
    <cellStyle name="Percent 3 5 2 2 2 8" xfId="2372" xr:uid="{00000000-0005-0000-0000-00006F0A0000}"/>
    <cellStyle name="Percent 3 5 2 2 2 9" xfId="2373" xr:uid="{00000000-0005-0000-0000-0000700A0000}"/>
    <cellStyle name="Percent 3 5 2 2 20" xfId="2374" xr:uid="{00000000-0005-0000-0000-0000710A0000}"/>
    <cellStyle name="Percent 3 5 2 2 21" xfId="2375" xr:uid="{00000000-0005-0000-0000-0000720A0000}"/>
    <cellStyle name="Percent 3 5 2 2 22" xfId="2376" xr:uid="{00000000-0005-0000-0000-0000730A0000}"/>
    <cellStyle name="Percent 3 5 2 2 23" xfId="2377" xr:uid="{00000000-0005-0000-0000-0000740A0000}"/>
    <cellStyle name="Percent 3 5 2 2 24" xfId="2378" xr:uid="{00000000-0005-0000-0000-0000750A0000}"/>
    <cellStyle name="Percent 3 5 2 2 25" xfId="2379" xr:uid="{00000000-0005-0000-0000-0000760A0000}"/>
    <cellStyle name="Percent 3 5 2 2 26" xfId="2380" xr:uid="{00000000-0005-0000-0000-0000770A0000}"/>
    <cellStyle name="Percent 3 5 2 2 3" xfId="2381" xr:uid="{00000000-0005-0000-0000-0000780A0000}"/>
    <cellStyle name="Percent 3 5 2 2 4" xfId="2382" xr:uid="{00000000-0005-0000-0000-0000790A0000}"/>
    <cellStyle name="Percent 3 5 2 2 5" xfId="2383" xr:uid="{00000000-0005-0000-0000-00007A0A0000}"/>
    <cellStyle name="Percent 3 5 2 2 6" xfId="2384" xr:uid="{00000000-0005-0000-0000-00007B0A0000}"/>
    <cellStyle name="Percent 3 5 2 2 7" xfId="2385" xr:uid="{00000000-0005-0000-0000-00007C0A0000}"/>
    <cellStyle name="Percent 3 5 2 2 7 10" xfId="2386" xr:uid="{00000000-0005-0000-0000-00007D0A0000}"/>
    <cellStyle name="Percent 3 5 2 2 7 11" xfId="2387" xr:uid="{00000000-0005-0000-0000-00007E0A0000}"/>
    <cellStyle name="Percent 3 5 2 2 7 12" xfId="2388" xr:uid="{00000000-0005-0000-0000-00007F0A0000}"/>
    <cellStyle name="Percent 3 5 2 2 7 13" xfId="2389" xr:uid="{00000000-0005-0000-0000-0000800A0000}"/>
    <cellStyle name="Percent 3 5 2 2 7 14" xfId="2390" xr:uid="{00000000-0005-0000-0000-0000810A0000}"/>
    <cellStyle name="Percent 3 5 2 2 7 15" xfId="2391" xr:uid="{00000000-0005-0000-0000-0000820A0000}"/>
    <cellStyle name="Percent 3 5 2 2 7 16" xfId="2392" xr:uid="{00000000-0005-0000-0000-0000830A0000}"/>
    <cellStyle name="Percent 3 5 2 2 7 17" xfId="2393" xr:uid="{00000000-0005-0000-0000-0000840A0000}"/>
    <cellStyle name="Percent 3 5 2 2 7 18" xfId="2394" xr:uid="{00000000-0005-0000-0000-0000850A0000}"/>
    <cellStyle name="Percent 3 5 2 2 7 19" xfId="2395" xr:uid="{00000000-0005-0000-0000-0000860A0000}"/>
    <cellStyle name="Percent 3 5 2 2 7 2" xfId="2396" xr:uid="{00000000-0005-0000-0000-0000870A0000}"/>
    <cellStyle name="Percent 3 5 2 2 7 20" xfId="2397" xr:uid="{00000000-0005-0000-0000-0000880A0000}"/>
    <cellStyle name="Percent 3 5 2 2 7 21" xfId="2398" xr:uid="{00000000-0005-0000-0000-0000890A0000}"/>
    <cellStyle name="Percent 3 5 2 2 7 3" xfId="2399" xr:uid="{00000000-0005-0000-0000-00008A0A0000}"/>
    <cellStyle name="Percent 3 5 2 2 7 4" xfId="2400" xr:uid="{00000000-0005-0000-0000-00008B0A0000}"/>
    <cellStyle name="Percent 3 5 2 2 7 5" xfId="2401" xr:uid="{00000000-0005-0000-0000-00008C0A0000}"/>
    <cellStyle name="Percent 3 5 2 2 7 6" xfId="2402" xr:uid="{00000000-0005-0000-0000-00008D0A0000}"/>
    <cellStyle name="Percent 3 5 2 2 7 7" xfId="2403" xr:uid="{00000000-0005-0000-0000-00008E0A0000}"/>
    <cellStyle name="Percent 3 5 2 2 7 8" xfId="2404" xr:uid="{00000000-0005-0000-0000-00008F0A0000}"/>
    <cellStyle name="Percent 3 5 2 2 7 9" xfId="2405" xr:uid="{00000000-0005-0000-0000-0000900A0000}"/>
    <cellStyle name="Percent 3 5 2 2 8" xfId="2406" xr:uid="{00000000-0005-0000-0000-0000910A0000}"/>
    <cellStyle name="Percent 3 5 2 2 9" xfId="2407" xr:uid="{00000000-0005-0000-0000-0000920A0000}"/>
    <cellStyle name="Percent 3 5 2 20" xfId="2408" xr:uid="{00000000-0005-0000-0000-0000930A0000}"/>
    <cellStyle name="Percent 3 5 2 21" xfId="2409" xr:uid="{00000000-0005-0000-0000-0000940A0000}"/>
    <cellStyle name="Percent 3 5 2 22" xfId="2410" xr:uid="{00000000-0005-0000-0000-0000950A0000}"/>
    <cellStyle name="Percent 3 5 2 23" xfId="2411" xr:uid="{00000000-0005-0000-0000-0000960A0000}"/>
    <cellStyle name="Percent 3 5 2 24" xfId="2412" xr:uid="{00000000-0005-0000-0000-0000970A0000}"/>
    <cellStyle name="Percent 3 5 2 25" xfId="2413" xr:uid="{00000000-0005-0000-0000-0000980A0000}"/>
    <cellStyle name="Percent 3 5 2 26" xfId="2414" xr:uid="{00000000-0005-0000-0000-0000990A0000}"/>
    <cellStyle name="Percent 3 5 2 27" xfId="2415" xr:uid="{00000000-0005-0000-0000-00009A0A0000}"/>
    <cellStyle name="Percent 3 5 2 28" xfId="2416" xr:uid="{00000000-0005-0000-0000-00009B0A0000}"/>
    <cellStyle name="Percent 3 5 2 29" xfId="2417" xr:uid="{00000000-0005-0000-0000-00009C0A0000}"/>
    <cellStyle name="Percent 3 5 2 3" xfId="2418" xr:uid="{00000000-0005-0000-0000-00009D0A0000}"/>
    <cellStyle name="Percent 3 5 2 30" xfId="2419" xr:uid="{00000000-0005-0000-0000-00009E0A0000}"/>
    <cellStyle name="Percent 3 5 2 31" xfId="2420" xr:uid="{00000000-0005-0000-0000-00009F0A0000}"/>
    <cellStyle name="Percent 3 5 2 4" xfId="2421" xr:uid="{00000000-0005-0000-0000-0000A00A0000}"/>
    <cellStyle name="Percent 3 5 2 5" xfId="2422" xr:uid="{00000000-0005-0000-0000-0000A10A0000}"/>
    <cellStyle name="Percent 3 5 2 6" xfId="2423" xr:uid="{00000000-0005-0000-0000-0000A20A0000}"/>
    <cellStyle name="Percent 3 5 2 7" xfId="2424" xr:uid="{00000000-0005-0000-0000-0000A30A0000}"/>
    <cellStyle name="Percent 3 5 2 8" xfId="2425" xr:uid="{00000000-0005-0000-0000-0000A40A0000}"/>
    <cellStyle name="Percent 3 5 2 8 2" xfId="2426" xr:uid="{00000000-0005-0000-0000-0000A50A0000}"/>
    <cellStyle name="Percent 3 5 2 8 3" xfId="2427" xr:uid="{00000000-0005-0000-0000-0000A60A0000}"/>
    <cellStyle name="Percent 3 5 2 8 4" xfId="2428" xr:uid="{00000000-0005-0000-0000-0000A70A0000}"/>
    <cellStyle name="Percent 3 5 2 8 5" xfId="2429" xr:uid="{00000000-0005-0000-0000-0000A80A0000}"/>
    <cellStyle name="Percent 3 5 2 9" xfId="2430" xr:uid="{00000000-0005-0000-0000-0000A90A0000}"/>
    <cellStyle name="Percent 3 5 20" xfId="2431" xr:uid="{00000000-0005-0000-0000-0000AA0A0000}"/>
    <cellStyle name="Percent 3 5 21" xfId="2432" xr:uid="{00000000-0005-0000-0000-0000AB0A0000}"/>
    <cellStyle name="Percent 3 5 22" xfId="2433" xr:uid="{00000000-0005-0000-0000-0000AC0A0000}"/>
    <cellStyle name="Percent 3 5 23" xfId="2434" xr:uid="{00000000-0005-0000-0000-0000AD0A0000}"/>
    <cellStyle name="Percent 3 5 24" xfId="2435" xr:uid="{00000000-0005-0000-0000-0000AE0A0000}"/>
    <cellStyle name="Percent 3 5 25" xfId="2436" xr:uid="{00000000-0005-0000-0000-0000AF0A0000}"/>
    <cellStyle name="Percent 3 5 26" xfId="2437" xr:uid="{00000000-0005-0000-0000-0000B00A0000}"/>
    <cellStyle name="Percent 3 5 27" xfId="2438" xr:uid="{00000000-0005-0000-0000-0000B10A0000}"/>
    <cellStyle name="Percent 3 5 28" xfId="2439" xr:uid="{00000000-0005-0000-0000-0000B20A0000}"/>
    <cellStyle name="Percent 3 5 29" xfId="2440" xr:uid="{00000000-0005-0000-0000-0000B30A0000}"/>
    <cellStyle name="Percent 3 5 3" xfId="2441" xr:uid="{00000000-0005-0000-0000-0000B40A0000}"/>
    <cellStyle name="Percent 3 5 3 10" xfId="2442" xr:uid="{00000000-0005-0000-0000-0000B50A0000}"/>
    <cellStyle name="Percent 3 5 3 11" xfId="2443" xr:uid="{00000000-0005-0000-0000-0000B60A0000}"/>
    <cellStyle name="Percent 3 5 3 12" xfId="2444" xr:uid="{00000000-0005-0000-0000-0000B70A0000}"/>
    <cellStyle name="Percent 3 5 3 13" xfId="2445" xr:uid="{00000000-0005-0000-0000-0000B80A0000}"/>
    <cellStyle name="Percent 3 5 3 14" xfId="2446" xr:uid="{00000000-0005-0000-0000-0000B90A0000}"/>
    <cellStyle name="Percent 3 5 3 15" xfId="2447" xr:uid="{00000000-0005-0000-0000-0000BA0A0000}"/>
    <cellStyle name="Percent 3 5 3 16" xfId="2448" xr:uid="{00000000-0005-0000-0000-0000BB0A0000}"/>
    <cellStyle name="Percent 3 5 3 17" xfId="2449" xr:uid="{00000000-0005-0000-0000-0000BC0A0000}"/>
    <cellStyle name="Percent 3 5 3 18" xfId="2450" xr:uid="{00000000-0005-0000-0000-0000BD0A0000}"/>
    <cellStyle name="Percent 3 5 3 19" xfId="2451" xr:uid="{00000000-0005-0000-0000-0000BE0A0000}"/>
    <cellStyle name="Percent 3 5 3 2" xfId="2452" xr:uid="{00000000-0005-0000-0000-0000BF0A0000}"/>
    <cellStyle name="Percent 3 5 3 2 10" xfId="2453" xr:uid="{00000000-0005-0000-0000-0000C00A0000}"/>
    <cellStyle name="Percent 3 5 3 2 11" xfId="2454" xr:uid="{00000000-0005-0000-0000-0000C10A0000}"/>
    <cellStyle name="Percent 3 5 3 2 12" xfId="2455" xr:uid="{00000000-0005-0000-0000-0000C20A0000}"/>
    <cellStyle name="Percent 3 5 3 2 13" xfId="2456" xr:uid="{00000000-0005-0000-0000-0000C30A0000}"/>
    <cellStyle name="Percent 3 5 3 2 14" xfId="2457" xr:uid="{00000000-0005-0000-0000-0000C40A0000}"/>
    <cellStyle name="Percent 3 5 3 2 15" xfId="2458" xr:uid="{00000000-0005-0000-0000-0000C50A0000}"/>
    <cellStyle name="Percent 3 5 3 2 16" xfId="2459" xr:uid="{00000000-0005-0000-0000-0000C60A0000}"/>
    <cellStyle name="Percent 3 5 3 2 17" xfId="2460" xr:uid="{00000000-0005-0000-0000-0000C70A0000}"/>
    <cellStyle name="Percent 3 5 3 2 18" xfId="2461" xr:uid="{00000000-0005-0000-0000-0000C80A0000}"/>
    <cellStyle name="Percent 3 5 3 2 19" xfId="2462" xr:uid="{00000000-0005-0000-0000-0000C90A0000}"/>
    <cellStyle name="Percent 3 5 3 2 2" xfId="2463" xr:uid="{00000000-0005-0000-0000-0000CA0A0000}"/>
    <cellStyle name="Percent 3 5 3 2 2 10" xfId="2464" xr:uid="{00000000-0005-0000-0000-0000CB0A0000}"/>
    <cellStyle name="Percent 3 5 3 2 2 11" xfId="2465" xr:uid="{00000000-0005-0000-0000-0000CC0A0000}"/>
    <cellStyle name="Percent 3 5 3 2 2 12" xfId="2466" xr:uid="{00000000-0005-0000-0000-0000CD0A0000}"/>
    <cellStyle name="Percent 3 5 3 2 2 13" xfId="2467" xr:uid="{00000000-0005-0000-0000-0000CE0A0000}"/>
    <cellStyle name="Percent 3 5 3 2 2 14" xfId="2468" xr:uid="{00000000-0005-0000-0000-0000CF0A0000}"/>
    <cellStyle name="Percent 3 5 3 2 2 15" xfId="2469" xr:uid="{00000000-0005-0000-0000-0000D00A0000}"/>
    <cellStyle name="Percent 3 5 3 2 2 16" xfId="2470" xr:uid="{00000000-0005-0000-0000-0000D10A0000}"/>
    <cellStyle name="Percent 3 5 3 2 2 17" xfId="2471" xr:uid="{00000000-0005-0000-0000-0000D20A0000}"/>
    <cellStyle name="Percent 3 5 3 2 2 18" xfId="2472" xr:uid="{00000000-0005-0000-0000-0000D30A0000}"/>
    <cellStyle name="Percent 3 5 3 2 2 19" xfId="2473" xr:uid="{00000000-0005-0000-0000-0000D40A0000}"/>
    <cellStyle name="Percent 3 5 3 2 2 2" xfId="2474" xr:uid="{00000000-0005-0000-0000-0000D50A0000}"/>
    <cellStyle name="Percent 3 5 3 2 2 2 10" xfId="2475" xr:uid="{00000000-0005-0000-0000-0000D60A0000}"/>
    <cellStyle name="Percent 3 5 3 2 2 2 11" xfId="2476" xr:uid="{00000000-0005-0000-0000-0000D70A0000}"/>
    <cellStyle name="Percent 3 5 3 2 2 2 12" xfId="2477" xr:uid="{00000000-0005-0000-0000-0000D80A0000}"/>
    <cellStyle name="Percent 3 5 3 2 2 2 13" xfId="2478" xr:uid="{00000000-0005-0000-0000-0000D90A0000}"/>
    <cellStyle name="Percent 3 5 3 2 2 2 14" xfId="2479" xr:uid="{00000000-0005-0000-0000-0000DA0A0000}"/>
    <cellStyle name="Percent 3 5 3 2 2 2 15" xfId="2480" xr:uid="{00000000-0005-0000-0000-0000DB0A0000}"/>
    <cellStyle name="Percent 3 5 3 2 2 2 16" xfId="2481" xr:uid="{00000000-0005-0000-0000-0000DC0A0000}"/>
    <cellStyle name="Percent 3 5 3 2 2 2 17" xfId="2482" xr:uid="{00000000-0005-0000-0000-0000DD0A0000}"/>
    <cellStyle name="Percent 3 5 3 2 2 2 18" xfId="2483" xr:uid="{00000000-0005-0000-0000-0000DE0A0000}"/>
    <cellStyle name="Percent 3 5 3 2 2 2 19" xfId="2484" xr:uid="{00000000-0005-0000-0000-0000DF0A0000}"/>
    <cellStyle name="Percent 3 5 3 2 2 2 2" xfId="2485" xr:uid="{00000000-0005-0000-0000-0000E00A0000}"/>
    <cellStyle name="Percent 3 5 3 2 2 2 20" xfId="2486" xr:uid="{00000000-0005-0000-0000-0000E10A0000}"/>
    <cellStyle name="Percent 3 5 3 2 2 2 21" xfId="2487" xr:uid="{00000000-0005-0000-0000-0000E20A0000}"/>
    <cellStyle name="Percent 3 5 3 2 2 2 3" xfId="2488" xr:uid="{00000000-0005-0000-0000-0000E30A0000}"/>
    <cellStyle name="Percent 3 5 3 2 2 2 4" xfId="2489" xr:uid="{00000000-0005-0000-0000-0000E40A0000}"/>
    <cellStyle name="Percent 3 5 3 2 2 2 5" xfId="2490" xr:uid="{00000000-0005-0000-0000-0000E50A0000}"/>
    <cellStyle name="Percent 3 5 3 2 2 2 6" xfId="2491" xr:uid="{00000000-0005-0000-0000-0000E60A0000}"/>
    <cellStyle name="Percent 3 5 3 2 2 2 7" xfId="2492" xr:uid="{00000000-0005-0000-0000-0000E70A0000}"/>
    <cellStyle name="Percent 3 5 3 2 2 2 8" xfId="2493" xr:uid="{00000000-0005-0000-0000-0000E80A0000}"/>
    <cellStyle name="Percent 3 5 3 2 2 2 9" xfId="2494" xr:uid="{00000000-0005-0000-0000-0000E90A0000}"/>
    <cellStyle name="Percent 3 5 3 2 2 20" xfId="2495" xr:uid="{00000000-0005-0000-0000-0000EA0A0000}"/>
    <cellStyle name="Percent 3 5 3 2 2 21" xfId="2496" xr:uid="{00000000-0005-0000-0000-0000EB0A0000}"/>
    <cellStyle name="Percent 3 5 3 2 2 22" xfId="2497" xr:uid="{00000000-0005-0000-0000-0000EC0A0000}"/>
    <cellStyle name="Percent 3 5 3 2 2 3" xfId="2498" xr:uid="{00000000-0005-0000-0000-0000ED0A0000}"/>
    <cellStyle name="Percent 3 5 3 2 2 4" xfId="2499" xr:uid="{00000000-0005-0000-0000-0000EE0A0000}"/>
    <cellStyle name="Percent 3 5 3 2 2 5" xfId="2500" xr:uid="{00000000-0005-0000-0000-0000EF0A0000}"/>
    <cellStyle name="Percent 3 5 3 2 2 6" xfId="2501" xr:uid="{00000000-0005-0000-0000-0000F00A0000}"/>
    <cellStyle name="Percent 3 5 3 2 2 7" xfId="2502" xr:uid="{00000000-0005-0000-0000-0000F10A0000}"/>
    <cellStyle name="Percent 3 5 3 2 2 8" xfId="2503" xr:uid="{00000000-0005-0000-0000-0000F20A0000}"/>
    <cellStyle name="Percent 3 5 3 2 2 9" xfId="2504" xr:uid="{00000000-0005-0000-0000-0000F30A0000}"/>
    <cellStyle name="Percent 3 5 3 2 20" xfId="2505" xr:uid="{00000000-0005-0000-0000-0000F40A0000}"/>
    <cellStyle name="Percent 3 5 3 2 21" xfId="2506" xr:uid="{00000000-0005-0000-0000-0000F50A0000}"/>
    <cellStyle name="Percent 3 5 3 2 22" xfId="2507" xr:uid="{00000000-0005-0000-0000-0000F60A0000}"/>
    <cellStyle name="Percent 3 5 3 2 23" xfId="2508" xr:uid="{00000000-0005-0000-0000-0000F70A0000}"/>
    <cellStyle name="Percent 3 5 3 2 24" xfId="2509" xr:uid="{00000000-0005-0000-0000-0000F80A0000}"/>
    <cellStyle name="Percent 3 5 3 2 25" xfId="2510" xr:uid="{00000000-0005-0000-0000-0000F90A0000}"/>
    <cellStyle name="Percent 3 5 3 2 3" xfId="2511" xr:uid="{00000000-0005-0000-0000-0000FA0A0000}"/>
    <cellStyle name="Percent 3 5 3 2 4" xfId="2512" xr:uid="{00000000-0005-0000-0000-0000FB0A0000}"/>
    <cellStyle name="Percent 3 5 3 2 5" xfId="2513" xr:uid="{00000000-0005-0000-0000-0000FC0A0000}"/>
    <cellStyle name="Percent 3 5 3 2 6" xfId="2514" xr:uid="{00000000-0005-0000-0000-0000FD0A0000}"/>
    <cellStyle name="Percent 3 5 3 2 6 10" xfId="2515" xr:uid="{00000000-0005-0000-0000-0000FE0A0000}"/>
    <cellStyle name="Percent 3 5 3 2 6 11" xfId="2516" xr:uid="{00000000-0005-0000-0000-0000FF0A0000}"/>
    <cellStyle name="Percent 3 5 3 2 6 12" xfId="2517" xr:uid="{00000000-0005-0000-0000-0000000B0000}"/>
    <cellStyle name="Percent 3 5 3 2 6 13" xfId="2518" xr:uid="{00000000-0005-0000-0000-0000010B0000}"/>
    <cellStyle name="Percent 3 5 3 2 6 14" xfId="2519" xr:uid="{00000000-0005-0000-0000-0000020B0000}"/>
    <cellStyle name="Percent 3 5 3 2 6 15" xfId="2520" xr:uid="{00000000-0005-0000-0000-0000030B0000}"/>
    <cellStyle name="Percent 3 5 3 2 6 16" xfId="2521" xr:uid="{00000000-0005-0000-0000-0000040B0000}"/>
    <cellStyle name="Percent 3 5 3 2 6 17" xfId="2522" xr:uid="{00000000-0005-0000-0000-0000050B0000}"/>
    <cellStyle name="Percent 3 5 3 2 6 18" xfId="2523" xr:uid="{00000000-0005-0000-0000-0000060B0000}"/>
    <cellStyle name="Percent 3 5 3 2 6 19" xfId="2524" xr:uid="{00000000-0005-0000-0000-0000070B0000}"/>
    <cellStyle name="Percent 3 5 3 2 6 2" xfId="2525" xr:uid="{00000000-0005-0000-0000-0000080B0000}"/>
    <cellStyle name="Percent 3 5 3 2 6 20" xfId="2526" xr:uid="{00000000-0005-0000-0000-0000090B0000}"/>
    <cellStyle name="Percent 3 5 3 2 6 21" xfId="2527" xr:uid="{00000000-0005-0000-0000-00000A0B0000}"/>
    <cellStyle name="Percent 3 5 3 2 6 3" xfId="2528" xr:uid="{00000000-0005-0000-0000-00000B0B0000}"/>
    <cellStyle name="Percent 3 5 3 2 6 4" xfId="2529" xr:uid="{00000000-0005-0000-0000-00000C0B0000}"/>
    <cellStyle name="Percent 3 5 3 2 6 5" xfId="2530" xr:uid="{00000000-0005-0000-0000-00000D0B0000}"/>
    <cellStyle name="Percent 3 5 3 2 6 6" xfId="2531" xr:uid="{00000000-0005-0000-0000-00000E0B0000}"/>
    <cellStyle name="Percent 3 5 3 2 6 7" xfId="2532" xr:uid="{00000000-0005-0000-0000-00000F0B0000}"/>
    <cellStyle name="Percent 3 5 3 2 6 8" xfId="2533" xr:uid="{00000000-0005-0000-0000-0000100B0000}"/>
    <cellStyle name="Percent 3 5 3 2 6 9" xfId="2534" xr:uid="{00000000-0005-0000-0000-0000110B0000}"/>
    <cellStyle name="Percent 3 5 3 2 7" xfId="2535" xr:uid="{00000000-0005-0000-0000-0000120B0000}"/>
    <cellStyle name="Percent 3 5 3 2 8" xfId="2536" xr:uid="{00000000-0005-0000-0000-0000130B0000}"/>
    <cellStyle name="Percent 3 5 3 2 9" xfId="2537" xr:uid="{00000000-0005-0000-0000-0000140B0000}"/>
    <cellStyle name="Percent 3 5 3 20" xfId="2538" xr:uid="{00000000-0005-0000-0000-0000150B0000}"/>
    <cellStyle name="Percent 3 5 3 21" xfId="2539" xr:uid="{00000000-0005-0000-0000-0000160B0000}"/>
    <cellStyle name="Percent 3 5 3 22" xfId="2540" xr:uid="{00000000-0005-0000-0000-0000170B0000}"/>
    <cellStyle name="Percent 3 5 3 23" xfId="2541" xr:uid="{00000000-0005-0000-0000-0000180B0000}"/>
    <cellStyle name="Percent 3 5 3 24" xfId="2542" xr:uid="{00000000-0005-0000-0000-0000190B0000}"/>
    <cellStyle name="Percent 3 5 3 25" xfId="2543" xr:uid="{00000000-0005-0000-0000-00001A0B0000}"/>
    <cellStyle name="Percent 3 5 3 26" xfId="2544" xr:uid="{00000000-0005-0000-0000-00001B0B0000}"/>
    <cellStyle name="Percent 3 5 3 3" xfId="2545" xr:uid="{00000000-0005-0000-0000-00001C0B0000}"/>
    <cellStyle name="Percent 3 5 3 4" xfId="2546" xr:uid="{00000000-0005-0000-0000-00001D0B0000}"/>
    <cellStyle name="Percent 3 5 3 5" xfId="2547" xr:uid="{00000000-0005-0000-0000-00001E0B0000}"/>
    <cellStyle name="Percent 3 5 3 6" xfId="2548" xr:uid="{00000000-0005-0000-0000-00001F0B0000}"/>
    <cellStyle name="Percent 3 5 3 7" xfId="2549" xr:uid="{00000000-0005-0000-0000-0000200B0000}"/>
    <cellStyle name="Percent 3 5 3 7 10" xfId="2550" xr:uid="{00000000-0005-0000-0000-0000210B0000}"/>
    <cellStyle name="Percent 3 5 3 7 11" xfId="2551" xr:uid="{00000000-0005-0000-0000-0000220B0000}"/>
    <cellStyle name="Percent 3 5 3 7 12" xfId="2552" xr:uid="{00000000-0005-0000-0000-0000230B0000}"/>
    <cellStyle name="Percent 3 5 3 7 13" xfId="2553" xr:uid="{00000000-0005-0000-0000-0000240B0000}"/>
    <cellStyle name="Percent 3 5 3 7 14" xfId="2554" xr:uid="{00000000-0005-0000-0000-0000250B0000}"/>
    <cellStyle name="Percent 3 5 3 7 15" xfId="2555" xr:uid="{00000000-0005-0000-0000-0000260B0000}"/>
    <cellStyle name="Percent 3 5 3 7 16" xfId="2556" xr:uid="{00000000-0005-0000-0000-0000270B0000}"/>
    <cellStyle name="Percent 3 5 3 7 17" xfId="2557" xr:uid="{00000000-0005-0000-0000-0000280B0000}"/>
    <cellStyle name="Percent 3 5 3 7 18" xfId="2558" xr:uid="{00000000-0005-0000-0000-0000290B0000}"/>
    <cellStyle name="Percent 3 5 3 7 19" xfId="2559" xr:uid="{00000000-0005-0000-0000-00002A0B0000}"/>
    <cellStyle name="Percent 3 5 3 7 2" xfId="2560" xr:uid="{00000000-0005-0000-0000-00002B0B0000}"/>
    <cellStyle name="Percent 3 5 3 7 20" xfId="2561" xr:uid="{00000000-0005-0000-0000-00002C0B0000}"/>
    <cellStyle name="Percent 3 5 3 7 21" xfId="2562" xr:uid="{00000000-0005-0000-0000-00002D0B0000}"/>
    <cellStyle name="Percent 3 5 3 7 3" xfId="2563" xr:uid="{00000000-0005-0000-0000-00002E0B0000}"/>
    <cellStyle name="Percent 3 5 3 7 4" xfId="2564" xr:uid="{00000000-0005-0000-0000-00002F0B0000}"/>
    <cellStyle name="Percent 3 5 3 7 5" xfId="2565" xr:uid="{00000000-0005-0000-0000-0000300B0000}"/>
    <cellStyle name="Percent 3 5 3 7 6" xfId="2566" xr:uid="{00000000-0005-0000-0000-0000310B0000}"/>
    <cellStyle name="Percent 3 5 3 7 7" xfId="2567" xr:uid="{00000000-0005-0000-0000-0000320B0000}"/>
    <cellStyle name="Percent 3 5 3 7 8" xfId="2568" xr:uid="{00000000-0005-0000-0000-0000330B0000}"/>
    <cellStyle name="Percent 3 5 3 7 9" xfId="2569" xr:uid="{00000000-0005-0000-0000-0000340B0000}"/>
    <cellStyle name="Percent 3 5 3 8" xfId="2570" xr:uid="{00000000-0005-0000-0000-0000350B0000}"/>
    <cellStyle name="Percent 3 5 3 9" xfId="2571" xr:uid="{00000000-0005-0000-0000-0000360B0000}"/>
    <cellStyle name="Percent 3 5 30" xfId="2572" xr:uid="{00000000-0005-0000-0000-0000370B0000}"/>
    <cellStyle name="Percent 3 5 31" xfId="2573" xr:uid="{00000000-0005-0000-0000-0000380B0000}"/>
    <cellStyle name="Percent 3 5 4" xfId="2574" xr:uid="{00000000-0005-0000-0000-0000390B0000}"/>
    <cellStyle name="Percent 3 5 5" xfId="2575" xr:uid="{00000000-0005-0000-0000-00003A0B0000}"/>
    <cellStyle name="Percent 3 5 6" xfId="2576" xr:uid="{00000000-0005-0000-0000-00003B0B0000}"/>
    <cellStyle name="Percent 3 5 7" xfId="2577" xr:uid="{00000000-0005-0000-0000-00003C0B0000}"/>
    <cellStyle name="Percent 3 5 8" xfId="2578" xr:uid="{00000000-0005-0000-0000-00003D0B0000}"/>
    <cellStyle name="Percent 3 5 8 2" xfId="2579" xr:uid="{00000000-0005-0000-0000-00003E0B0000}"/>
    <cellStyle name="Percent 3 5 8 3" xfId="2580" xr:uid="{00000000-0005-0000-0000-00003F0B0000}"/>
    <cellStyle name="Percent 3 5 8 4" xfId="2581" xr:uid="{00000000-0005-0000-0000-0000400B0000}"/>
    <cellStyle name="Percent 3 5 8 5" xfId="2582" xr:uid="{00000000-0005-0000-0000-0000410B0000}"/>
    <cellStyle name="Percent 3 5 9" xfId="2583" xr:uid="{00000000-0005-0000-0000-0000420B0000}"/>
    <cellStyle name="Percent 3 50" xfId="2584" xr:uid="{00000000-0005-0000-0000-0000430B0000}"/>
    <cellStyle name="Percent 3 51" xfId="2585" xr:uid="{00000000-0005-0000-0000-0000440B0000}"/>
    <cellStyle name="Percent 3 6" xfId="2586" xr:uid="{00000000-0005-0000-0000-0000450B0000}"/>
    <cellStyle name="Percent 3 7" xfId="2587" xr:uid="{00000000-0005-0000-0000-0000460B0000}"/>
    <cellStyle name="Percent 3 8" xfId="2588" xr:uid="{00000000-0005-0000-0000-0000470B0000}"/>
    <cellStyle name="Percent 3 9" xfId="2589" xr:uid="{00000000-0005-0000-0000-0000480B0000}"/>
    <cellStyle name="Percent 4" xfId="2590" xr:uid="{00000000-0005-0000-0000-0000490B0000}"/>
    <cellStyle name="Percent 5" xfId="114" xr:uid="{00000000-0005-0000-0000-00004A0B0000}"/>
    <cellStyle name="Percent 6" xfId="2591" xr:uid="{00000000-0005-0000-0000-00004B0B0000}"/>
    <cellStyle name="Percent 7" xfId="2898" xr:uid="{2D54CA22-9F8F-427A-B310-4396A09910EA}"/>
    <cellStyle name="Percent 8" xfId="2592" xr:uid="{00000000-0005-0000-0000-00004C0B0000}"/>
    <cellStyle name="Style 1" xfId="2652" xr:uid="{00000000-0005-0000-0000-00004D0B0000}"/>
    <cellStyle name="Style 1 2" xfId="2703" xr:uid="{00000000-0005-0000-0000-00004E0B0000}"/>
    <cellStyle name="Unprotected" xfId="2593" xr:uid="{00000000-0005-0000-0000-00004F0B0000}"/>
  </cellStyles>
  <dxfs count="320">
    <dxf>
      <numFmt numFmtId="0" formatCode="General"/>
    </dxf>
    <dxf>
      <font>
        <color theme="0"/>
      </font>
    </dxf>
    <dxf>
      <numFmt numFmtId="0" formatCode="General"/>
    </dxf>
    <dxf>
      <font>
        <color theme="0"/>
      </font>
    </dxf>
    <dxf>
      <font>
        <color auto="1"/>
      </font>
    </dxf>
    <dxf>
      <font>
        <color theme="0"/>
      </font>
    </dxf>
    <dxf>
      <font>
        <color theme="0"/>
      </font>
    </dxf>
    <dxf>
      <font>
        <color theme="0"/>
      </font>
    </dxf>
    <dxf>
      <numFmt numFmtId="0" formatCode="General"/>
    </dxf>
    <dxf>
      <font>
        <color theme="0"/>
      </font>
    </dxf>
    <dxf>
      <numFmt numFmtId="0" formatCode="General"/>
    </dxf>
    <dxf>
      <font>
        <color theme="0"/>
      </font>
    </dxf>
    <dxf>
      <font>
        <color auto="1"/>
      </font>
    </dxf>
    <dxf>
      <font>
        <color theme="0"/>
      </font>
    </dxf>
    <dxf>
      <font>
        <color theme="0"/>
      </font>
    </dxf>
    <dxf>
      <font>
        <color theme="0"/>
      </font>
    </dxf>
    <dxf>
      <numFmt numFmtId="0" formatCode="General"/>
    </dxf>
    <dxf>
      <font>
        <color theme="0"/>
      </font>
    </dxf>
    <dxf>
      <numFmt numFmtId="0" formatCode="General"/>
    </dxf>
    <dxf>
      <font>
        <color theme="0"/>
      </font>
    </dxf>
    <dxf>
      <font>
        <color auto="1"/>
      </font>
    </dxf>
    <dxf>
      <font>
        <color theme="0"/>
      </font>
    </dxf>
    <dxf>
      <font>
        <color theme="0"/>
      </font>
    </dxf>
    <dxf>
      <font>
        <color auto="1"/>
      </font>
    </dxf>
    <dxf>
      <font>
        <color theme="0"/>
      </font>
    </dxf>
    <dxf>
      <font>
        <color theme="0"/>
      </font>
    </dxf>
    <dxf>
      <font>
        <color theme="0"/>
      </font>
    </dxf>
    <dxf>
      <numFmt numFmtId="0" formatCode="General"/>
    </dxf>
    <dxf>
      <font>
        <color theme="0"/>
      </font>
    </dxf>
    <dxf>
      <numFmt numFmtId="0" formatCode="General"/>
    </dxf>
    <dxf>
      <font>
        <color theme="0"/>
      </font>
    </dxf>
    <dxf>
      <font>
        <color theme="0"/>
      </font>
    </dxf>
    <dxf>
      <font>
        <color auto="1"/>
      </font>
    </dxf>
    <dxf>
      <font>
        <color theme="0"/>
      </font>
    </dxf>
    <dxf>
      <font>
        <color auto="1"/>
      </font>
    </dxf>
    <dxf>
      <font>
        <color theme="0"/>
      </font>
    </dxf>
    <dxf>
      <font>
        <color theme="0"/>
      </font>
    </dxf>
    <dxf>
      <font>
        <color theme="0"/>
      </font>
    </dxf>
    <dxf>
      <numFmt numFmtId="0" formatCode="General"/>
    </dxf>
    <dxf>
      <font>
        <color theme="0"/>
      </font>
    </dxf>
    <dxf>
      <numFmt numFmtId="0" formatCode="General"/>
    </dxf>
    <dxf>
      <font>
        <color theme="0"/>
      </font>
    </dxf>
    <dxf>
      <font>
        <color theme="0"/>
      </font>
    </dxf>
    <dxf>
      <font>
        <color auto="1"/>
      </font>
    </dxf>
    <dxf>
      <font>
        <color theme="0"/>
      </font>
    </dxf>
    <dxf>
      <font>
        <color auto="1"/>
      </font>
    </dxf>
    <dxf>
      <font>
        <color theme="0"/>
      </font>
    </dxf>
    <dxf>
      <font>
        <color theme="0"/>
      </font>
    </dxf>
    <dxf>
      <font>
        <color theme="0"/>
      </font>
    </dxf>
    <dxf>
      <numFmt numFmtId="0" formatCode="General"/>
    </dxf>
    <dxf>
      <numFmt numFmtId="0" formatCode="General"/>
    </dxf>
    <dxf>
      <numFmt numFmtId="0" formatCode="General"/>
    </dxf>
    <dxf>
      <numFmt numFmtId="0" formatCode="General"/>
    </dxf>
    <dxf>
      <font>
        <color theme="0"/>
      </font>
    </dxf>
    <dxf>
      <font>
        <color theme="0"/>
      </font>
    </dxf>
    <dxf>
      <numFmt numFmtId="0" formatCode="General"/>
    </dxf>
    <dxf>
      <numFmt numFmtId="0" formatCode="General"/>
    </dxf>
    <dxf>
      <numFmt numFmtId="0" formatCode="General"/>
    </dxf>
    <dxf>
      <numFmt numFmtId="0" formatCode="General"/>
    </dxf>
    <dxf>
      <font>
        <color theme="0"/>
      </font>
    </dxf>
    <dxf>
      <font>
        <color theme="0"/>
      </font>
    </dxf>
    <dxf>
      <numFmt numFmtId="0" formatCode="General"/>
    </dxf>
    <dxf>
      <numFmt numFmtId="0" formatCode="General"/>
    </dxf>
    <dxf>
      <font>
        <color theme="0"/>
      </font>
    </dxf>
    <dxf>
      <font>
        <color theme="0"/>
      </font>
    </dxf>
    <dxf>
      <numFmt numFmtId="0" formatCode="General"/>
    </dxf>
    <dxf>
      <numFmt numFmtId="0" formatCode="General"/>
    </dxf>
    <dxf>
      <font>
        <color theme="0"/>
      </font>
    </dxf>
    <dxf>
      <font>
        <color theme="0"/>
      </font>
    </dxf>
    <dxf>
      <numFmt numFmtId="0" formatCode="General"/>
    </dxf>
    <dxf>
      <fill>
        <patternFill>
          <bgColor rgb="FFFFC000"/>
        </patternFill>
      </fill>
    </dxf>
    <dxf>
      <fill>
        <patternFill>
          <bgColor rgb="FF92D050"/>
        </patternFill>
      </fill>
    </dxf>
    <dxf>
      <numFmt numFmtId="0" formatCode="General"/>
    </dxf>
    <dxf>
      <font>
        <color theme="0"/>
      </font>
    </dxf>
    <dxf>
      <numFmt numFmtId="0" formatCode="General"/>
    </dxf>
    <dxf>
      <font>
        <color theme="0"/>
      </font>
    </dxf>
    <dxf>
      <font>
        <color auto="1"/>
      </font>
    </dxf>
    <dxf>
      <font>
        <color theme="0"/>
      </font>
    </dxf>
    <dxf>
      <font>
        <color theme="0"/>
      </font>
    </dxf>
    <dxf>
      <font>
        <color theme="0"/>
      </font>
    </dxf>
    <dxf>
      <numFmt numFmtId="0" formatCode="General"/>
    </dxf>
    <dxf>
      <numFmt numFmtId="0" formatCode="General"/>
    </dxf>
    <dxf>
      <numFmt numFmtId="0" formatCode="General"/>
    </dxf>
    <dxf>
      <font>
        <color theme="0"/>
      </font>
    </dxf>
    <dxf>
      <font>
        <color theme="0"/>
      </font>
    </dxf>
    <dxf>
      <numFmt numFmtId="0" formatCode="General"/>
    </dxf>
    <dxf>
      <numFmt numFmtId="0" formatCode="General"/>
    </dxf>
    <dxf>
      <font>
        <color theme="0"/>
      </font>
    </dxf>
    <dxf>
      <numFmt numFmtId="0" formatCode="General"/>
    </dxf>
    <dxf>
      <font>
        <color theme="0"/>
      </font>
    </dxf>
    <dxf>
      <numFmt numFmtId="0" formatCode="General"/>
    </dxf>
    <dxf>
      <numFmt numFmtId="0" formatCode="General"/>
    </dxf>
    <dxf>
      <font>
        <color theme="0"/>
      </font>
    </dxf>
    <dxf>
      <numFmt numFmtId="0" formatCode="General"/>
    </dxf>
    <dxf>
      <font>
        <color theme="0"/>
      </font>
    </dxf>
    <dxf>
      <numFmt numFmtId="0" formatCode="General"/>
    </dxf>
    <dxf>
      <numFmt numFmtId="0" formatCode="General"/>
    </dxf>
    <dxf>
      <font>
        <color theme="0"/>
      </font>
    </dxf>
    <dxf>
      <numFmt numFmtId="0" formatCode="General"/>
    </dxf>
    <dxf>
      <font>
        <color theme="0"/>
      </font>
    </dxf>
    <dxf>
      <numFmt numFmtId="0" formatCode="General"/>
    </dxf>
    <dxf>
      <numFmt numFmtId="0" formatCode="General"/>
    </dxf>
    <dxf>
      <font>
        <color theme="0"/>
      </font>
    </dxf>
    <dxf>
      <numFmt numFmtId="0" formatCode="General"/>
    </dxf>
    <dxf>
      <numFmt numFmtId="0" formatCode="General"/>
    </dxf>
    <dxf>
      <numFmt numFmtId="0" formatCode="General"/>
    </dxf>
    <dxf>
      <font>
        <color theme="0"/>
      </font>
    </dxf>
    <dxf>
      <numFmt numFmtId="0" formatCode="General"/>
    </dxf>
    <dxf>
      <numFmt numFmtId="0" formatCode="General"/>
    </dxf>
    <dxf>
      <numFmt numFmtId="0" formatCode="General"/>
    </dxf>
    <dxf>
      <font>
        <color theme="0"/>
      </font>
    </dxf>
    <dxf>
      <numFmt numFmtId="0" formatCode="General"/>
    </dxf>
    <dxf>
      <font>
        <color theme="0"/>
      </font>
    </dxf>
    <dxf>
      <numFmt numFmtId="0" formatCode="General"/>
    </dxf>
    <dxf>
      <numFmt numFmtId="0" formatCode="General"/>
    </dxf>
    <dxf>
      <font>
        <color theme="0"/>
      </font>
    </dxf>
    <dxf>
      <numFmt numFmtId="0" formatCode="General"/>
    </dxf>
    <dxf>
      <font>
        <color theme="0"/>
      </font>
    </dxf>
    <dxf>
      <numFmt numFmtId="0" formatCode="General"/>
    </dxf>
    <dxf>
      <numFmt numFmtId="0" formatCode="General"/>
    </dxf>
    <dxf>
      <font>
        <color theme="0"/>
      </font>
    </dxf>
    <dxf>
      <numFmt numFmtId="0" formatCode="General"/>
    </dxf>
    <dxf>
      <font>
        <color theme="0"/>
      </font>
    </dxf>
    <dxf>
      <numFmt numFmtId="0" formatCode="General"/>
    </dxf>
    <dxf>
      <numFmt numFmtId="0" formatCode="General"/>
    </dxf>
    <dxf>
      <font>
        <color theme="0"/>
      </font>
    </dxf>
    <dxf>
      <numFmt numFmtId="0" formatCode="General"/>
    </dxf>
    <dxf>
      <font>
        <color theme="0"/>
      </font>
    </dxf>
    <dxf>
      <numFmt numFmtId="0" formatCode="General"/>
    </dxf>
    <dxf>
      <numFmt numFmtId="0" formatCode="General"/>
    </dxf>
    <dxf>
      <font>
        <color theme="0"/>
      </font>
    </dxf>
    <dxf>
      <numFmt numFmtId="0" formatCode="General"/>
    </dxf>
    <dxf>
      <font>
        <color theme="0"/>
      </font>
    </dxf>
    <dxf>
      <numFmt numFmtId="0" formatCode="General"/>
    </dxf>
    <dxf>
      <numFmt numFmtId="0" formatCode="General"/>
    </dxf>
    <dxf>
      <font>
        <color theme="0"/>
      </font>
    </dxf>
    <dxf>
      <numFmt numFmtId="0" formatCode="General"/>
    </dxf>
    <dxf>
      <font>
        <color theme="0"/>
      </font>
    </dxf>
    <dxf>
      <numFmt numFmtId="0" formatCode="General"/>
    </dxf>
    <dxf>
      <numFmt numFmtId="0" formatCode="General"/>
    </dxf>
    <dxf>
      <font>
        <color theme="0"/>
      </font>
    </dxf>
    <dxf>
      <numFmt numFmtId="0" formatCode="General"/>
    </dxf>
    <dxf>
      <font>
        <color theme="0"/>
      </font>
    </dxf>
    <dxf>
      <numFmt numFmtId="0" formatCode="General"/>
    </dxf>
    <dxf>
      <numFmt numFmtId="0" formatCode="General"/>
    </dxf>
    <dxf>
      <font>
        <color theme="0"/>
      </font>
    </dxf>
    <dxf>
      <numFmt numFmtId="0" formatCode="General"/>
    </dxf>
    <dxf>
      <font>
        <color theme="0"/>
      </font>
    </dxf>
    <dxf>
      <numFmt numFmtId="0" formatCode="General"/>
    </dxf>
    <dxf>
      <numFmt numFmtId="0" formatCode="General"/>
    </dxf>
    <dxf>
      <font>
        <color theme="0"/>
      </font>
    </dxf>
    <dxf>
      <numFmt numFmtId="0" formatCode="General"/>
    </dxf>
    <dxf>
      <font>
        <color theme="0"/>
      </font>
    </dxf>
    <dxf>
      <numFmt numFmtId="0" formatCode="General"/>
    </dxf>
    <dxf>
      <numFmt numFmtId="0" formatCode="General"/>
    </dxf>
    <dxf>
      <font>
        <color theme="0"/>
      </font>
    </dxf>
    <dxf>
      <numFmt numFmtId="0" formatCode="General"/>
    </dxf>
    <dxf>
      <font>
        <color theme="0"/>
      </font>
    </dxf>
    <dxf>
      <numFmt numFmtId="0" formatCode="General"/>
    </dxf>
    <dxf>
      <numFmt numFmtId="0" formatCode="General"/>
    </dxf>
    <dxf>
      <font>
        <color theme="0"/>
      </font>
    </dxf>
    <dxf>
      <font>
        <color theme="0"/>
      </font>
    </dxf>
    <dxf>
      <numFmt numFmtId="0" formatCode="General"/>
    </dxf>
    <dxf>
      <font>
        <color theme="0"/>
      </font>
    </dxf>
    <dxf>
      <numFmt numFmtId="0" formatCode="General"/>
    </dxf>
    <dxf>
      <font>
        <color theme="0"/>
      </font>
    </dxf>
    <dxf>
      <font>
        <color theme="0"/>
      </font>
    </dxf>
    <dxf>
      <font>
        <color theme="0"/>
      </font>
      <numFmt numFmtId="0" formatCode="General"/>
    </dxf>
    <dxf>
      <numFmt numFmtId="0" formatCode="General"/>
    </dxf>
    <dxf>
      <numFmt numFmtId="0" formatCode="General"/>
    </dxf>
    <dxf>
      <font>
        <color theme="0"/>
      </font>
    </dxf>
    <dxf>
      <font>
        <color auto="1"/>
      </font>
    </dxf>
    <dxf>
      <numFmt numFmtId="0" formatCode="General"/>
    </dxf>
    <dxf>
      <numFmt numFmtId="0" formatCode="General"/>
    </dxf>
    <dxf>
      <numFmt numFmtId="0" formatCode="General"/>
    </dxf>
    <dxf>
      <font>
        <color theme="0"/>
      </font>
    </dxf>
    <dxf>
      <numFmt numFmtId="0" formatCode="General"/>
    </dxf>
    <dxf>
      <font>
        <color theme="0"/>
      </font>
    </dxf>
    <dxf>
      <numFmt numFmtId="0" formatCode="General"/>
    </dxf>
    <dxf>
      <numFmt numFmtId="0" formatCode="General"/>
    </dxf>
    <dxf>
      <font>
        <color theme="0"/>
      </font>
    </dxf>
    <dxf>
      <numFmt numFmtId="0" formatCode="General"/>
    </dxf>
    <dxf>
      <font>
        <color theme="0"/>
      </font>
    </dxf>
    <dxf>
      <font>
        <color auto="1"/>
      </font>
    </dxf>
    <dxf>
      <font>
        <color theme="0"/>
      </font>
    </dxf>
    <dxf>
      <font>
        <color theme="0"/>
      </font>
    </dxf>
    <dxf>
      <numFmt numFmtId="0" formatCode="General"/>
    </dxf>
    <dxf>
      <font>
        <color theme="0"/>
      </font>
    </dxf>
    <dxf>
      <font>
        <color theme="0"/>
      </font>
    </dxf>
    <dxf>
      <numFmt numFmtId="0" formatCode="General"/>
    </dxf>
    <dxf>
      <font>
        <color theme="0"/>
      </font>
    </dxf>
    <dxf>
      <numFmt numFmtId="0" formatCode="General"/>
    </dxf>
    <dxf>
      <font>
        <color theme="0"/>
      </font>
    </dxf>
    <dxf>
      <font>
        <color auto="1"/>
      </font>
    </dxf>
    <dxf>
      <font>
        <color theme="0"/>
      </font>
    </dxf>
    <dxf>
      <numFmt numFmtId="0" formatCode="General"/>
    </dxf>
    <dxf>
      <font>
        <color theme="0"/>
      </font>
    </dxf>
    <dxf>
      <font>
        <color theme="0"/>
      </font>
    </dxf>
    <dxf>
      <numFmt numFmtId="0" formatCode="General"/>
    </dxf>
    <dxf>
      <numFmt numFmtId="0" formatCode="General"/>
    </dxf>
    <dxf>
      <font>
        <color theme="0"/>
      </font>
    </dxf>
    <dxf>
      <font>
        <color auto="1"/>
      </font>
    </dxf>
    <dxf>
      <font>
        <color theme="0"/>
      </font>
    </dxf>
    <dxf>
      <font>
        <color theme="0"/>
      </font>
    </dxf>
    <dxf>
      <font>
        <color theme="0"/>
      </font>
    </dxf>
    <dxf>
      <numFmt numFmtId="0" formatCode="General"/>
    </dxf>
    <dxf>
      <font>
        <color theme="0"/>
      </font>
    </dxf>
    <dxf>
      <font>
        <color theme="0"/>
      </font>
    </dxf>
    <dxf>
      <numFmt numFmtId="0" formatCode="General"/>
    </dxf>
    <dxf>
      <font>
        <color theme="0"/>
      </font>
    </dxf>
    <dxf>
      <numFmt numFmtId="0" formatCode="General"/>
    </dxf>
    <dxf>
      <font>
        <color theme="0"/>
      </font>
    </dxf>
    <dxf>
      <font>
        <color auto="1"/>
      </font>
    </dxf>
    <dxf>
      <font>
        <color theme="0"/>
      </font>
    </dxf>
    <dxf>
      <numFmt numFmtId="0" formatCode="General"/>
    </dxf>
    <dxf>
      <font>
        <color theme="0"/>
      </font>
    </dxf>
    <dxf>
      <font>
        <color theme="0"/>
      </font>
    </dxf>
    <dxf>
      <numFmt numFmtId="0" formatCode="General"/>
    </dxf>
    <dxf>
      <font>
        <color theme="0"/>
      </font>
    </dxf>
    <dxf>
      <numFmt numFmtId="0" formatCode="General"/>
    </dxf>
    <dxf>
      <font>
        <color theme="0"/>
      </font>
    </dxf>
    <dxf>
      <font>
        <color auto="1"/>
      </font>
    </dxf>
    <dxf>
      <font>
        <color theme="0"/>
      </font>
    </dxf>
    <dxf>
      <numFmt numFmtId="0" formatCode="General"/>
    </dxf>
    <dxf>
      <font>
        <color theme="0"/>
      </font>
    </dxf>
    <dxf>
      <font>
        <color theme="0"/>
      </font>
    </dxf>
    <dxf>
      <numFmt numFmtId="0" formatCode="General"/>
    </dxf>
    <dxf>
      <numFmt numFmtId="0" formatCode="General"/>
    </dxf>
    <dxf>
      <font>
        <color theme="0"/>
      </font>
    </dxf>
    <dxf>
      <font>
        <color auto="1"/>
      </font>
    </dxf>
    <dxf>
      <numFmt numFmtId="0" formatCode="General"/>
    </dxf>
    <dxf>
      <font>
        <color theme="0"/>
      </font>
    </dxf>
    <dxf>
      <font>
        <color theme="0"/>
      </font>
    </dxf>
    <dxf>
      <numFmt numFmtId="0" formatCode="General"/>
    </dxf>
    <dxf>
      <font>
        <color theme="0"/>
      </font>
    </dxf>
    <dxf>
      <numFmt numFmtId="0" formatCode="General"/>
    </dxf>
    <dxf>
      <font>
        <color theme="0"/>
      </font>
    </dxf>
    <dxf>
      <font>
        <color auto="1"/>
      </font>
    </dxf>
    <dxf>
      <font>
        <color theme="0"/>
      </font>
    </dxf>
    <dxf>
      <font>
        <color theme="0"/>
      </font>
    </dxf>
    <dxf>
      <font>
        <color theme="0"/>
      </font>
    </dxf>
    <dxf>
      <numFmt numFmtId="0" formatCode="General"/>
    </dxf>
    <dxf>
      <font>
        <color theme="0"/>
      </font>
    </dxf>
    <dxf>
      <numFmt numFmtId="0" formatCode="General"/>
    </dxf>
    <dxf>
      <font>
        <color theme="0"/>
      </font>
    </dxf>
    <dxf>
      <font>
        <color auto="1"/>
      </font>
    </dxf>
    <dxf>
      <font>
        <color theme="0"/>
      </font>
    </dxf>
    <dxf>
      <font>
        <color theme="0"/>
      </font>
    </dxf>
    <dxf>
      <font>
        <color theme="0"/>
      </font>
    </dxf>
    <dxf>
      <numFmt numFmtId="0" formatCode="General"/>
    </dxf>
    <dxf>
      <numFmt numFmtId="0" formatCode="General"/>
    </dxf>
    <dxf>
      <numFmt numFmtId="0" formatCode="General"/>
    </dxf>
    <dxf>
      <font>
        <color theme="0"/>
      </font>
    </dxf>
    <dxf>
      <font>
        <color auto="1"/>
      </font>
    </dxf>
    <dxf>
      <numFmt numFmtId="0" formatCode="General"/>
    </dxf>
    <dxf>
      <font>
        <color theme="0"/>
      </font>
    </dxf>
    <dxf>
      <font>
        <color theme="0"/>
      </font>
    </dxf>
    <dxf>
      <numFmt numFmtId="0" formatCode="General"/>
    </dxf>
    <dxf>
      <numFmt numFmtId="0" formatCode="General"/>
    </dxf>
    <dxf>
      <font>
        <color theme="0"/>
      </font>
    </dxf>
    <dxf>
      <font>
        <color auto="1"/>
      </font>
    </dxf>
    <dxf>
      <numFmt numFmtId="0" formatCode="General"/>
    </dxf>
    <dxf>
      <font>
        <color theme="0"/>
      </font>
    </dxf>
    <dxf>
      <font>
        <color theme="0"/>
      </font>
    </dxf>
    <dxf>
      <numFmt numFmtId="0" formatCode="General"/>
    </dxf>
    <dxf>
      <numFmt numFmtId="0" formatCode="General"/>
    </dxf>
    <dxf>
      <font>
        <color theme="0"/>
      </font>
    </dxf>
    <dxf>
      <font>
        <color auto="1"/>
      </font>
    </dxf>
    <dxf>
      <numFmt numFmtId="0" formatCode="General"/>
    </dxf>
    <dxf>
      <font>
        <color theme="0"/>
      </font>
    </dxf>
    <dxf>
      <numFmt numFmtId="0" formatCode="General"/>
    </dxf>
    <dxf>
      <numFmt numFmtId="0" formatCode="General"/>
    </dxf>
    <dxf>
      <font>
        <color theme="0"/>
      </font>
    </dxf>
    <dxf>
      <font>
        <color auto="1"/>
      </font>
    </dxf>
    <dxf>
      <numFmt numFmtId="0" formatCode="General"/>
    </dxf>
    <dxf>
      <font>
        <color theme="0"/>
      </font>
    </dxf>
    <dxf>
      <font>
        <color theme="0"/>
      </font>
    </dxf>
    <dxf>
      <numFmt numFmtId="0" formatCode="General"/>
    </dxf>
    <dxf>
      <numFmt numFmtId="0" formatCode="General"/>
    </dxf>
    <dxf>
      <font>
        <color theme="0"/>
      </font>
    </dxf>
    <dxf>
      <font>
        <color auto="1"/>
      </font>
    </dxf>
    <dxf>
      <numFmt numFmtId="0" formatCode="General"/>
    </dxf>
    <dxf>
      <font>
        <color theme="0"/>
      </font>
    </dxf>
    <dxf>
      <font>
        <color theme="0"/>
      </font>
    </dxf>
    <dxf>
      <numFmt numFmtId="0" formatCode="General"/>
    </dxf>
    <dxf>
      <numFmt numFmtId="0" formatCode="General"/>
    </dxf>
    <dxf>
      <font>
        <color theme="0"/>
      </font>
    </dxf>
    <dxf>
      <font>
        <color auto="1"/>
      </font>
    </dxf>
    <dxf>
      <numFmt numFmtId="0" formatCode="General"/>
    </dxf>
    <dxf>
      <font>
        <color theme="0"/>
      </font>
    </dxf>
    <dxf>
      <font>
        <color theme="0"/>
      </font>
    </dxf>
    <dxf>
      <numFmt numFmtId="0" formatCode="General"/>
    </dxf>
    <dxf>
      <numFmt numFmtId="0" formatCode="General"/>
    </dxf>
    <dxf>
      <font>
        <color theme="0"/>
      </font>
    </dxf>
    <dxf>
      <font>
        <color auto="1"/>
      </font>
    </dxf>
    <dxf>
      <numFmt numFmtId="0" formatCode="General"/>
    </dxf>
    <dxf>
      <font>
        <color theme="0"/>
      </font>
    </dxf>
    <dxf>
      <font>
        <color theme="0"/>
      </font>
    </dxf>
    <dxf>
      <numFmt numFmtId="0" formatCode="General"/>
    </dxf>
    <dxf>
      <numFmt numFmtId="0" formatCode="General"/>
    </dxf>
    <dxf>
      <font>
        <color theme="0"/>
      </font>
    </dxf>
    <dxf>
      <numFmt numFmtId="0" formatCode="General"/>
    </dxf>
    <dxf>
      <font>
        <color theme="0"/>
      </font>
    </dxf>
    <dxf>
      <font>
        <color theme="0"/>
      </font>
    </dxf>
    <dxf>
      <font>
        <color theme="0"/>
      </font>
      <numFmt numFmtId="0" formatCode="General"/>
    </dxf>
    <dxf>
      <numFmt numFmtId="0" formatCode="General"/>
    </dxf>
    <dxf>
      <font>
        <color theme="0"/>
      </font>
    </dxf>
    <dxf>
      <numFmt numFmtId="0" formatCode="General"/>
    </dxf>
    <dxf>
      <font>
        <color theme="0"/>
      </font>
    </dxf>
    <dxf>
      <font>
        <color auto="1"/>
      </font>
    </dxf>
    <dxf>
      <numFmt numFmtId="0" formatCode="General"/>
    </dxf>
    <dxf>
      <numFmt numFmtId="0" formatCode="General"/>
    </dxf>
    <dxf>
      <font>
        <color theme="0"/>
      </font>
    </dxf>
    <dxf>
      <numFmt numFmtId="0" formatCode="General"/>
    </dxf>
    <dxf>
      <font>
        <color theme="0"/>
      </font>
    </dxf>
    <dxf>
      <font>
        <color theme="0"/>
      </font>
    </dxf>
    <dxf>
      <numFmt numFmtId="0" formatCode="General"/>
    </dxf>
    <dxf>
      <numFmt numFmtId="0" formatCode="General"/>
    </dxf>
    <dxf>
      <font>
        <color theme="0"/>
      </font>
    </dxf>
    <dxf>
      <font>
        <color theme="0"/>
      </font>
    </dxf>
  </dxfs>
  <tableStyles count="0" defaultTableStyle="TableStyleMedium2" defaultPivotStyle="PivotStyleLight16"/>
  <colors>
    <mruColors>
      <color rgb="FF0000FF"/>
      <color rgb="FF9966FF"/>
      <color rgb="FFCC99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89"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2.xml"/><Relationship Id="rId79" Type="http://schemas.openxmlformats.org/officeDocument/2006/relationships/externalLink" Target="externalLinks/externalLink7.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8.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3.xml"/><Relationship Id="rId83" Type="http://schemas.openxmlformats.org/officeDocument/2006/relationships/theme" Target="theme/theme1.xml"/><Relationship Id="rId88"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externalLink" Target="externalLinks/externalLink6.xml"/><Relationship Id="rId81" Type="http://schemas.openxmlformats.org/officeDocument/2006/relationships/externalLink" Target="externalLinks/externalLink9.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externalLink" Target="externalLinks/externalLink10.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0.tmp"/><Relationship Id="rId2" Type="http://schemas.openxmlformats.org/officeDocument/2006/relationships/image" Target="../media/image9.tmp"/><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2.tmp"/><Relationship Id="rId2" Type="http://schemas.openxmlformats.org/officeDocument/2006/relationships/image" Target="../media/image11.tmp"/><Relationship Id="rId1" Type="http://schemas.openxmlformats.org/officeDocument/2006/relationships/image" Target="../media/image5.png"/><Relationship Id="rId4" Type="http://schemas.openxmlformats.org/officeDocument/2006/relationships/image" Target="../media/image13.tmp"/></Relationships>
</file>

<file path=xl/drawings/_rels/drawing25.xml.rels><?xml version="1.0" encoding="UTF-8" standalone="yes"?>
<Relationships xmlns="http://schemas.openxmlformats.org/package/2006/relationships"><Relationship Id="rId3" Type="http://schemas.openxmlformats.org/officeDocument/2006/relationships/image" Target="../media/image10.tmp"/><Relationship Id="rId2" Type="http://schemas.openxmlformats.org/officeDocument/2006/relationships/image" Target="../media/image9.tmp"/><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4.tmp"/><Relationship Id="rId1" Type="http://schemas.openxmlformats.org/officeDocument/2006/relationships/image" Target="../media/image3.tmp"/></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3" Type="http://schemas.openxmlformats.org/officeDocument/2006/relationships/image" Target="../media/image12.tmp"/><Relationship Id="rId2" Type="http://schemas.openxmlformats.org/officeDocument/2006/relationships/image" Target="../media/image11.tmp"/><Relationship Id="rId1" Type="http://schemas.openxmlformats.org/officeDocument/2006/relationships/image" Target="../media/image5.png"/><Relationship Id="rId4" Type="http://schemas.openxmlformats.org/officeDocument/2006/relationships/image" Target="../media/image13.tmp"/></Relationships>
</file>

<file path=xl/drawings/_rels/drawing48.xml.rels><?xml version="1.0" encoding="UTF-8" standalone="yes"?>
<Relationships xmlns="http://schemas.openxmlformats.org/package/2006/relationships"><Relationship Id="rId3" Type="http://schemas.openxmlformats.org/officeDocument/2006/relationships/image" Target="../media/image10.tmp"/><Relationship Id="rId2" Type="http://schemas.openxmlformats.org/officeDocument/2006/relationships/image" Target="../media/image9.tmp"/><Relationship Id="rId1" Type="http://schemas.openxmlformats.org/officeDocument/2006/relationships/image" Target="../media/image5.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5.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png"/></Relationships>
</file>

<file path=xl/drawings/_rels/drawing52.xml.rels><?xml version="1.0" encoding="UTF-8" standalone="yes"?>
<Relationships xmlns="http://schemas.openxmlformats.org/package/2006/relationships"><Relationship Id="rId3" Type="http://schemas.openxmlformats.org/officeDocument/2006/relationships/image" Target="../media/image12.tmp"/><Relationship Id="rId2" Type="http://schemas.openxmlformats.org/officeDocument/2006/relationships/image" Target="../media/image11.tmp"/><Relationship Id="rId1" Type="http://schemas.openxmlformats.org/officeDocument/2006/relationships/image" Target="../media/image5.png"/><Relationship Id="rId4" Type="http://schemas.openxmlformats.org/officeDocument/2006/relationships/image" Target="../media/image13.tmp"/></Relationships>
</file>

<file path=xl/drawings/_rels/drawing53.xml.rels><?xml version="1.0" encoding="UTF-8" standalone="yes"?>
<Relationships xmlns="http://schemas.openxmlformats.org/package/2006/relationships"><Relationship Id="rId3" Type="http://schemas.openxmlformats.org/officeDocument/2006/relationships/image" Target="../media/image10.tmp"/><Relationship Id="rId2" Type="http://schemas.openxmlformats.org/officeDocument/2006/relationships/image" Target="../media/image9.tmp"/><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5.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png"/></Relationships>
</file>

<file path=xl/drawings/_rels/drawing58.xml.rels><?xml version="1.0" encoding="UTF-8" standalone="yes"?>
<Relationships xmlns="http://schemas.openxmlformats.org/package/2006/relationships"><Relationship Id="rId1" Type="http://schemas.openxmlformats.org/officeDocument/2006/relationships/image" Target="../media/image5.png"/></Relationships>
</file>

<file path=xl/drawings/_rels/drawing59.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60.xml.rels><?xml version="1.0" encoding="UTF-8" standalone="yes"?>
<Relationships xmlns="http://schemas.openxmlformats.org/package/2006/relationships"><Relationship Id="rId1" Type="http://schemas.openxmlformats.org/officeDocument/2006/relationships/image" Target="../media/image5.png"/></Relationships>
</file>

<file path=xl/drawings/_rels/drawing61.xml.rels><?xml version="1.0" encoding="UTF-8" standalone="yes"?>
<Relationships xmlns="http://schemas.openxmlformats.org/package/2006/relationships"><Relationship Id="rId1" Type="http://schemas.openxmlformats.org/officeDocument/2006/relationships/image" Target="../media/image5.png"/></Relationships>
</file>

<file path=xl/drawings/_rels/drawing6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4.emf"/></Relationships>
</file>

<file path=xl/drawings/_rels/drawing6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238125</xdr:colOff>
      <xdr:row>0</xdr:row>
      <xdr:rowOff>0</xdr:rowOff>
    </xdr:from>
    <xdr:to>
      <xdr:col>5</xdr:col>
      <xdr:colOff>244475</xdr:colOff>
      <xdr:row>5</xdr:row>
      <xdr:rowOff>245745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38525" y="0"/>
          <a:ext cx="0" cy="1464945"/>
        </a:xfrm>
        <a:prstGeom prst="rect">
          <a:avLst/>
        </a:prstGeom>
      </xdr:spPr>
    </xdr:pic>
    <xdr:clientData/>
  </xdr:twoCellAnchor>
  <xdr:twoCellAnchor editAs="oneCell">
    <xdr:from>
      <xdr:col>5</xdr:col>
      <xdr:colOff>228600</xdr:colOff>
      <xdr:row>0</xdr:row>
      <xdr:rowOff>0</xdr:rowOff>
    </xdr:from>
    <xdr:to>
      <xdr:col>5</xdr:col>
      <xdr:colOff>228600</xdr:colOff>
      <xdr:row>5</xdr:row>
      <xdr:rowOff>217805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9000" y="0"/>
          <a:ext cx="0" cy="14497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38C1E98F-CFB6-4A26-BF16-353EE09159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53600" y="0"/>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247649</xdr:colOff>
      <xdr:row>3</xdr:row>
      <xdr:rowOff>42879</xdr:rowOff>
    </xdr:from>
    <xdr:to>
      <xdr:col>51</xdr:col>
      <xdr:colOff>135230</xdr:colOff>
      <xdr:row>10</xdr:row>
      <xdr:rowOff>48305</xdr:rowOff>
    </xdr:to>
    <xdr:pic>
      <xdr:nvPicPr>
        <xdr:cNvPr id="3" name="Picture 2">
          <a:extLst>
            <a:ext uri="{FF2B5EF4-FFF2-40B4-BE49-F238E27FC236}">
              <a16:creationId xmlns:a16="http://schemas.microsoft.com/office/drawing/2014/main" id="{146EE18E-3F4F-43FC-95CB-DC1BC08E8488}"/>
            </a:ext>
          </a:extLst>
        </xdr:cNvPr>
        <xdr:cNvPicPr>
          <a:picLocks noChangeAspect="1"/>
        </xdr:cNvPicPr>
      </xdr:nvPicPr>
      <xdr:blipFill>
        <a:blip xmlns:r="http://schemas.openxmlformats.org/officeDocument/2006/relationships" r:embed="rId2"/>
        <a:stretch>
          <a:fillRect/>
        </a:stretch>
      </xdr:blipFill>
      <xdr:spPr>
        <a:xfrm>
          <a:off x="13735049" y="585804"/>
          <a:ext cx="3621381" cy="13103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53EE8EC8-21CD-4B0A-A7A4-52628A60DC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7425" y="0"/>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247649</xdr:colOff>
      <xdr:row>3</xdr:row>
      <xdr:rowOff>42879</xdr:rowOff>
    </xdr:from>
    <xdr:to>
      <xdr:col>51</xdr:col>
      <xdr:colOff>135230</xdr:colOff>
      <xdr:row>10</xdr:row>
      <xdr:rowOff>45130</xdr:rowOff>
    </xdr:to>
    <xdr:pic>
      <xdr:nvPicPr>
        <xdr:cNvPr id="3" name="Picture 2">
          <a:extLst>
            <a:ext uri="{FF2B5EF4-FFF2-40B4-BE49-F238E27FC236}">
              <a16:creationId xmlns:a16="http://schemas.microsoft.com/office/drawing/2014/main" id="{8C3CD7A6-F872-4BC7-AEE1-5C90C4C0EF30}"/>
            </a:ext>
          </a:extLst>
        </xdr:cNvPr>
        <xdr:cNvPicPr>
          <a:picLocks noChangeAspect="1"/>
        </xdr:cNvPicPr>
      </xdr:nvPicPr>
      <xdr:blipFill>
        <a:blip xmlns:r="http://schemas.openxmlformats.org/officeDocument/2006/relationships" r:embed="rId2"/>
        <a:stretch>
          <a:fillRect/>
        </a:stretch>
      </xdr:blipFill>
      <xdr:spPr>
        <a:xfrm>
          <a:off x="13858874" y="585804"/>
          <a:ext cx="3621381" cy="131035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B6F994CA-CD22-47DF-AC80-E26E142A05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7425" y="0"/>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247649</xdr:colOff>
      <xdr:row>3</xdr:row>
      <xdr:rowOff>42879</xdr:rowOff>
    </xdr:from>
    <xdr:to>
      <xdr:col>51</xdr:col>
      <xdr:colOff>135230</xdr:colOff>
      <xdr:row>10</xdr:row>
      <xdr:rowOff>45130</xdr:rowOff>
    </xdr:to>
    <xdr:pic>
      <xdr:nvPicPr>
        <xdr:cNvPr id="3" name="Picture 2">
          <a:extLst>
            <a:ext uri="{FF2B5EF4-FFF2-40B4-BE49-F238E27FC236}">
              <a16:creationId xmlns:a16="http://schemas.microsoft.com/office/drawing/2014/main" id="{0CD539E5-0520-4267-A08E-8AEFDD25FC05}"/>
            </a:ext>
          </a:extLst>
        </xdr:cNvPr>
        <xdr:cNvPicPr>
          <a:picLocks noChangeAspect="1"/>
        </xdr:cNvPicPr>
      </xdr:nvPicPr>
      <xdr:blipFill>
        <a:blip xmlns:r="http://schemas.openxmlformats.org/officeDocument/2006/relationships" r:embed="rId2"/>
        <a:stretch>
          <a:fillRect/>
        </a:stretch>
      </xdr:blipFill>
      <xdr:spPr>
        <a:xfrm>
          <a:off x="13858874" y="585804"/>
          <a:ext cx="3621381" cy="13103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02693E40-D648-483B-B402-97A3AF0EBC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15625" y="0"/>
          <a:ext cx="0" cy="17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247649</xdr:colOff>
      <xdr:row>3</xdr:row>
      <xdr:rowOff>42879</xdr:rowOff>
    </xdr:from>
    <xdr:to>
      <xdr:col>51</xdr:col>
      <xdr:colOff>135230</xdr:colOff>
      <xdr:row>10</xdr:row>
      <xdr:rowOff>45130</xdr:rowOff>
    </xdr:to>
    <xdr:pic>
      <xdr:nvPicPr>
        <xdr:cNvPr id="3" name="Picture 2">
          <a:extLst>
            <a:ext uri="{FF2B5EF4-FFF2-40B4-BE49-F238E27FC236}">
              <a16:creationId xmlns:a16="http://schemas.microsoft.com/office/drawing/2014/main" id="{3372FB68-017D-426B-9EB2-4ACE5D7E2083}"/>
            </a:ext>
          </a:extLst>
        </xdr:cNvPr>
        <xdr:cNvPicPr>
          <a:picLocks noChangeAspect="1"/>
        </xdr:cNvPicPr>
      </xdr:nvPicPr>
      <xdr:blipFill>
        <a:blip xmlns:r="http://schemas.openxmlformats.org/officeDocument/2006/relationships" r:embed="rId2"/>
        <a:stretch>
          <a:fillRect/>
        </a:stretch>
      </xdr:blipFill>
      <xdr:spPr>
        <a:xfrm>
          <a:off x="14878049" y="588979"/>
          <a:ext cx="3802356" cy="130400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471096B7-9495-4FC3-B93C-A3B57D73B3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48850" y="0"/>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247649</xdr:colOff>
      <xdr:row>3</xdr:row>
      <xdr:rowOff>42879</xdr:rowOff>
    </xdr:from>
    <xdr:to>
      <xdr:col>51</xdr:col>
      <xdr:colOff>135230</xdr:colOff>
      <xdr:row>10</xdr:row>
      <xdr:rowOff>45130</xdr:rowOff>
    </xdr:to>
    <xdr:pic>
      <xdr:nvPicPr>
        <xdr:cNvPr id="3" name="Picture 2">
          <a:extLst>
            <a:ext uri="{FF2B5EF4-FFF2-40B4-BE49-F238E27FC236}">
              <a16:creationId xmlns:a16="http://schemas.microsoft.com/office/drawing/2014/main" id="{A3E5C22A-470B-47C8-AFEB-66BC1594C715}"/>
            </a:ext>
          </a:extLst>
        </xdr:cNvPr>
        <xdr:cNvPicPr>
          <a:picLocks noChangeAspect="1"/>
        </xdr:cNvPicPr>
      </xdr:nvPicPr>
      <xdr:blipFill>
        <a:blip xmlns:r="http://schemas.openxmlformats.org/officeDocument/2006/relationships" r:embed="rId2"/>
        <a:stretch>
          <a:fillRect/>
        </a:stretch>
      </xdr:blipFill>
      <xdr:spPr>
        <a:xfrm>
          <a:off x="13830299" y="585804"/>
          <a:ext cx="3621381" cy="131035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29</xdr:col>
      <xdr:colOff>0</xdr:colOff>
      <xdr:row>0</xdr:row>
      <xdr:rowOff>0</xdr:rowOff>
    </xdr:from>
    <xdr:to>
      <xdr:col>29</xdr:col>
      <xdr:colOff>0</xdr:colOff>
      <xdr:row>0</xdr:row>
      <xdr:rowOff>676275</xdr:rowOff>
    </xdr:to>
    <xdr:pic>
      <xdr:nvPicPr>
        <xdr:cNvPr id="2" name="Picture 8" descr="tamoil5">
          <a:extLst>
            <a:ext uri="{FF2B5EF4-FFF2-40B4-BE49-F238E27FC236}">
              <a16:creationId xmlns:a16="http://schemas.microsoft.com/office/drawing/2014/main" id="{C61FC503-F853-40CF-A1C6-234C38834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684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260350</xdr:colOff>
      <xdr:row>12</xdr:row>
      <xdr:rowOff>19050</xdr:rowOff>
    </xdr:from>
    <xdr:to>
      <xdr:col>23</xdr:col>
      <xdr:colOff>225425</xdr:colOff>
      <xdr:row>26</xdr:row>
      <xdr:rowOff>169545</xdr:rowOff>
    </xdr:to>
    <xdr:pic>
      <xdr:nvPicPr>
        <xdr:cNvPr id="3" name="Picture 2" descr="Table&#10;&#10;Description automatically generated">
          <a:extLst>
            <a:ext uri="{FF2B5EF4-FFF2-40B4-BE49-F238E27FC236}">
              <a16:creationId xmlns:a16="http://schemas.microsoft.com/office/drawing/2014/main" id="{0E5847CA-AACE-4C3B-9E6E-3F5DF43F5FD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5333"/>
        <a:stretch/>
      </xdr:blipFill>
      <xdr:spPr bwMode="auto">
        <a:xfrm>
          <a:off x="7197725" y="2222500"/>
          <a:ext cx="3695700" cy="368744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16</xdr:col>
      <xdr:colOff>254000</xdr:colOff>
      <xdr:row>27</xdr:row>
      <xdr:rowOff>152400</xdr:rowOff>
    </xdr:from>
    <xdr:to>
      <xdr:col>23</xdr:col>
      <xdr:colOff>454025</xdr:colOff>
      <xdr:row>46</xdr:row>
      <xdr:rowOff>60325</xdr:rowOff>
    </xdr:to>
    <xdr:pic>
      <xdr:nvPicPr>
        <xdr:cNvPr id="4" name="Picture 3" descr="Table&#10;&#10;Description automatically generated">
          <a:extLst>
            <a:ext uri="{FF2B5EF4-FFF2-40B4-BE49-F238E27FC236}">
              <a16:creationId xmlns:a16="http://schemas.microsoft.com/office/drawing/2014/main" id="{A4682379-9F95-4772-9B15-0D564F88402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91375" y="6076950"/>
          <a:ext cx="3930650" cy="3330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33</xdr:col>
      <xdr:colOff>0</xdr:colOff>
      <xdr:row>0</xdr:row>
      <xdr:rowOff>0</xdr:rowOff>
    </xdr:from>
    <xdr:to>
      <xdr:col>33</xdr:col>
      <xdr:colOff>0</xdr:colOff>
      <xdr:row>0</xdr:row>
      <xdr:rowOff>676275</xdr:rowOff>
    </xdr:to>
    <xdr:pic>
      <xdr:nvPicPr>
        <xdr:cNvPr id="2" name="Picture 8" descr="tamoil5">
          <a:extLst>
            <a:ext uri="{FF2B5EF4-FFF2-40B4-BE49-F238E27FC236}">
              <a16:creationId xmlns:a16="http://schemas.microsoft.com/office/drawing/2014/main" id="{96595A6D-B12D-47F1-9A1E-7D726FF0F4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04500" y="0"/>
          <a:ext cx="0" cy="17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33</xdr:col>
      <xdr:colOff>0</xdr:colOff>
      <xdr:row>0</xdr:row>
      <xdr:rowOff>0</xdr:rowOff>
    </xdr:from>
    <xdr:to>
      <xdr:col>33</xdr:col>
      <xdr:colOff>0</xdr:colOff>
      <xdr:row>0</xdr:row>
      <xdr:rowOff>676275</xdr:rowOff>
    </xdr:to>
    <xdr:pic>
      <xdr:nvPicPr>
        <xdr:cNvPr id="2" name="Picture 8" descr="tamoil5">
          <a:extLst>
            <a:ext uri="{FF2B5EF4-FFF2-40B4-BE49-F238E27FC236}">
              <a16:creationId xmlns:a16="http://schemas.microsoft.com/office/drawing/2014/main" id="{AE301E08-3996-47A6-9432-8243DF956D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7550" y="0"/>
          <a:ext cx="0" cy="17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FF7E490B-480D-4576-AA77-6A6A238E8A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7425" y="0"/>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247649</xdr:colOff>
      <xdr:row>3</xdr:row>
      <xdr:rowOff>42879</xdr:rowOff>
    </xdr:from>
    <xdr:to>
      <xdr:col>51</xdr:col>
      <xdr:colOff>135230</xdr:colOff>
      <xdr:row>10</xdr:row>
      <xdr:rowOff>45130</xdr:rowOff>
    </xdr:to>
    <xdr:pic>
      <xdr:nvPicPr>
        <xdr:cNvPr id="3" name="Picture 2">
          <a:extLst>
            <a:ext uri="{FF2B5EF4-FFF2-40B4-BE49-F238E27FC236}">
              <a16:creationId xmlns:a16="http://schemas.microsoft.com/office/drawing/2014/main" id="{15540F9F-91A1-4565-820E-64067C10F06B}"/>
            </a:ext>
          </a:extLst>
        </xdr:cNvPr>
        <xdr:cNvPicPr>
          <a:picLocks noChangeAspect="1"/>
        </xdr:cNvPicPr>
      </xdr:nvPicPr>
      <xdr:blipFill>
        <a:blip xmlns:r="http://schemas.openxmlformats.org/officeDocument/2006/relationships" r:embed="rId2"/>
        <a:stretch>
          <a:fillRect/>
        </a:stretch>
      </xdr:blipFill>
      <xdr:spPr>
        <a:xfrm>
          <a:off x="13858874" y="585804"/>
          <a:ext cx="3621381" cy="13103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B3AABDBD-F058-469F-971D-D944B2EF09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875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190500</xdr:colOff>
      <xdr:row>3</xdr:row>
      <xdr:rowOff>28575</xdr:rowOff>
    </xdr:from>
    <xdr:to>
      <xdr:col>50</xdr:col>
      <xdr:colOff>325731</xdr:colOff>
      <xdr:row>10</xdr:row>
      <xdr:rowOff>27651</xdr:rowOff>
    </xdr:to>
    <xdr:pic>
      <xdr:nvPicPr>
        <xdr:cNvPr id="3" name="Picture 2">
          <a:extLst>
            <a:ext uri="{FF2B5EF4-FFF2-40B4-BE49-F238E27FC236}">
              <a16:creationId xmlns:a16="http://schemas.microsoft.com/office/drawing/2014/main" id="{6E07EA71-ADD2-4BA3-AC98-75A1DFB291C1}"/>
            </a:ext>
          </a:extLst>
        </xdr:cNvPr>
        <xdr:cNvPicPr>
          <a:picLocks noChangeAspect="1"/>
        </xdr:cNvPicPr>
      </xdr:nvPicPr>
      <xdr:blipFill>
        <a:blip xmlns:r="http://schemas.openxmlformats.org/officeDocument/2006/relationships" r:embed="rId2"/>
        <a:stretch>
          <a:fillRect/>
        </a:stretch>
      </xdr:blipFill>
      <xdr:spPr>
        <a:xfrm>
          <a:off x="14487525" y="571500"/>
          <a:ext cx="3621381" cy="13103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187325</xdr:colOff>
      <xdr:row>18</xdr:row>
      <xdr:rowOff>209550</xdr:rowOff>
    </xdr:from>
    <xdr:to>
      <xdr:col>10</xdr:col>
      <xdr:colOff>3000375</xdr:colOff>
      <xdr:row>18</xdr:row>
      <xdr:rowOff>215900</xdr:rowOff>
    </xdr:to>
    <xdr:cxnSp macro="">
      <xdr:nvCxnSpPr>
        <xdr:cNvPr id="3" name="Straight Connector 2">
          <a:extLst>
            <a:ext uri="{FF2B5EF4-FFF2-40B4-BE49-F238E27FC236}">
              <a16:creationId xmlns:a16="http://schemas.microsoft.com/office/drawing/2014/main" id="{FAF59732-C8E9-6C74-DEF3-D906D74336BC}"/>
            </a:ext>
          </a:extLst>
        </xdr:cNvPr>
        <xdr:cNvCxnSpPr/>
      </xdr:nvCxnSpPr>
      <xdr:spPr>
        <a:xfrm flipV="1">
          <a:off x="796925" y="5276850"/>
          <a:ext cx="12690475" cy="6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254000</xdr:colOff>
      <xdr:row>17</xdr:row>
      <xdr:rowOff>219075</xdr:rowOff>
    </xdr:from>
    <xdr:to>
      <xdr:col>10</xdr:col>
      <xdr:colOff>2914650</xdr:colOff>
      <xdr:row>17</xdr:row>
      <xdr:rowOff>266700</xdr:rowOff>
    </xdr:to>
    <xdr:cxnSp macro="">
      <xdr:nvCxnSpPr>
        <xdr:cNvPr id="5" name="Straight Connector 4">
          <a:extLst>
            <a:ext uri="{FF2B5EF4-FFF2-40B4-BE49-F238E27FC236}">
              <a16:creationId xmlns:a16="http://schemas.microsoft.com/office/drawing/2014/main" id="{6397F9E0-1776-D621-BEA3-33351948C501}"/>
            </a:ext>
          </a:extLst>
        </xdr:cNvPr>
        <xdr:cNvCxnSpPr/>
      </xdr:nvCxnSpPr>
      <xdr:spPr>
        <a:xfrm flipV="1">
          <a:off x="863600" y="4781550"/>
          <a:ext cx="12538075" cy="476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180975</xdr:colOff>
      <xdr:row>24</xdr:row>
      <xdr:rowOff>152400</xdr:rowOff>
    </xdr:from>
    <xdr:to>
      <xdr:col>10</xdr:col>
      <xdr:colOff>2987675</xdr:colOff>
      <xdr:row>24</xdr:row>
      <xdr:rowOff>158750</xdr:rowOff>
    </xdr:to>
    <xdr:cxnSp macro="">
      <xdr:nvCxnSpPr>
        <xdr:cNvPr id="10" name="Straight Connector 9">
          <a:extLst>
            <a:ext uri="{FF2B5EF4-FFF2-40B4-BE49-F238E27FC236}">
              <a16:creationId xmlns:a16="http://schemas.microsoft.com/office/drawing/2014/main" id="{E50266B9-6EDF-45B6-B701-0B971A5CD1A5}"/>
            </a:ext>
          </a:extLst>
        </xdr:cNvPr>
        <xdr:cNvCxnSpPr/>
      </xdr:nvCxnSpPr>
      <xdr:spPr>
        <a:xfrm flipV="1">
          <a:off x="790575" y="7067550"/>
          <a:ext cx="12684125" cy="6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142875</xdr:colOff>
      <xdr:row>52</xdr:row>
      <xdr:rowOff>85725</xdr:rowOff>
    </xdr:from>
    <xdr:to>
      <xdr:col>10</xdr:col>
      <xdr:colOff>2949575</xdr:colOff>
      <xdr:row>52</xdr:row>
      <xdr:rowOff>92075</xdr:rowOff>
    </xdr:to>
    <xdr:cxnSp macro="">
      <xdr:nvCxnSpPr>
        <xdr:cNvPr id="11" name="Straight Connector 10">
          <a:extLst>
            <a:ext uri="{FF2B5EF4-FFF2-40B4-BE49-F238E27FC236}">
              <a16:creationId xmlns:a16="http://schemas.microsoft.com/office/drawing/2014/main" id="{102B9D5D-709D-4C6C-AC04-AC0456A6F1A4}"/>
            </a:ext>
          </a:extLst>
        </xdr:cNvPr>
        <xdr:cNvCxnSpPr/>
      </xdr:nvCxnSpPr>
      <xdr:spPr>
        <a:xfrm flipV="1">
          <a:off x="752475" y="18459450"/>
          <a:ext cx="12684125" cy="6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161925</xdr:colOff>
      <xdr:row>70</xdr:row>
      <xdr:rowOff>161925</xdr:rowOff>
    </xdr:from>
    <xdr:to>
      <xdr:col>10</xdr:col>
      <xdr:colOff>2968625</xdr:colOff>
      <xdr:row>70</xdr:row>
      <xdr:rowOff>168275</xdr:rowOff>
    </xdr:to>
    <xdr:cxnSp macro="">
      <xdr:nvCxnSpPr>
        <xdr:cNvPr id="12" name="Straight Connector 11">
          <a:extLst>
            <a:ext uri="{FF2B5EF4-FFF2-40B4-BE49-F238E27FC236}">
              <a16:creationId xmlns:a16="http://schemas.microsoft.com/office/drawing/2014/main" id="{0EF9BA5E-86B1-4D54-9A70-DE19E1CAE812}"/>
            </a:ext>
          </a:extLst>
        </xdr:cNvPr>
        <xdr:cNvCxnSpPr/>
      </xdr:nvCxnSpPr>
      <xdr:spPr>
        <a:xfrm flipV="1">
          <a:off x="771525" y="26450925"/>
          <a:ext cx="12684125" cy="6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142875</xdr:colOff>
      <xdr:row>71</xdr:row>
      <xdr:rowOff>161925</xdr:rowOff>
    </xdr:from>
    <xdr:to>
      <xdr:col>10</xdr:col>
      <xdr:colOff>2949575</xdr:colOff>
      <xdr:row>71</xdr:row>
      <xdr:rowOff>168275</xdr:rowOff>
    </xdr:to>
    <xdr:cxnSp macro="">
      <xdr:nvCxnSpPr>
        <xdr:cNvPr id="13" name="Straight Connector 12">
          <a:extLst>
            <a:ext uri="{FF2B5EF4-FFF2-40B4-BE49-F238E27FC236}">
              <a16:creationId xmlns:a16="http://schemas.microsoft.com/office/drawing/2014/main" id="{C10554DD-FBD2-4422-A1D3-0AFF6992CEBF}"/>
            </a:ext>
          </a:extLst>
        </xdr:cNvPr>
        <xdr:cNvCxnSpPr/>
      </xdr:nvCxnSpPr>
      <xdr:spPr>
        <a:xfrm flipV="1">
          <a:off x="752475" y="26784300"/>
          <a:ext cx="12684125" cy="6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473075</xdr:colOff>
      <xdr:row>72</xdr:row>
      <xdr:rowOff>114300</xdr:rowOff>
    </xdr:from>
    <xdr:to>
      <xdr:col>1</xdr:col>
      <xdr:colOff>838200</xdr:colOff>
      <xdr:row>72</xdr:row>
      <xdr:rowOff>114300</xdr:rowOff>
    </xdr:to>
    <xdr:cxnSp macro="">
      <xdr:nvCxnSpPr>
        <xdr:cNvPr id="14" name="Straight Connector 13">
          <a:extLst>
            <a:ext uri="{FF2B5EF4-FFF2-40B4-BE49-F238E27FC236}">
              <a16:creationId xmlns:a16="http://schemas.microsoft.com/office/drawing/2014/main" id="{21C3E569-3536-419D-9188-1CA0AFE60A99}"/>
            </a:ext>
          </a:extLst>
        </xdr:cNvPr>
        <xdr:cNvCxnSpPr/>
      </xdr:nvCxnSpPr>
      <xdr:spPr>
        <a:xfrm>
          <a:off x="1082675" y="27412950"/>
          <a:ext cx="3651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180975</xdr:colOff>
      <xdr:row>73</xdr:row>
      <xdr:rowOff>85725</xdr:rowOff>
    </xdr:from>
    <xdr:to>
      <xdr:col>10</xdr:col>
      <xdr:colOff>2987675</xdr:colOff>
      <xdr:row>73</xdr:row>
      <xdr:rowOff>92075</xdr:rowOff>
    </xdr:to>
    <xdr:cxnSp macro="">
      <xdr:nvCxnSpPr>
        <xdr:cNvPr id="15" name="Straight Connector 14">
          <a:extLst>
            <a:ext uri="{FF2B5EF4-FFF2-40B4-BE49-F238E27FC236}">
              <a16:creationId xmlns:a16="http://schemas.microsoft.com/office/drawing/2014/main" id="{8CB522D6-760D-4C3B-9E9D-803F0D700BE5}"/>
            </a:ext>
          </a:extLst>
        </xdr:cNvPr>
        <xdr:cNvCxnSpPr/>
      </xdr:nvCxnSpPr>
      <xdr:spPr>
        <a:xfrm flipV="1">
          <a:off x="790575" y="27212925"/>
          <a:ext cx="12684125" cy="6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161925</xdr:colOff>
      <xdr:row>87</xdr:row>
      <xdr:rowOff>76200</xdr:rowOff>
    </xdr:from>
    <xdr:to>
      <xdr:col>10</xdr:col>
      <xdr:colOff>2968625</xdr:colOff>
      <xdr:row>87</xdr:row>
      <xdr:rowOff>82550</xdr:rowOff>
    </xdr:to>
    <xdr:cxnSp macro="">
      <xdr:nvCxnSpPr>
        <xdr:cNvPr id="17" name="Straight Connector 16">
          <a:extLst>
            <a:ext uri="{FF2B5EF4-FFF2-40B4-BE49-F238E27FC236}">
              <a16:creationId xmlns:a16="http://schemas.microsoft.com/office/drawing/2014/main" id="{2D25BFEE-8EE0-4B49-812A-7333C67CFE77}"/>
            </a:ext>
          </a:extLst>
        </xdr:cNvPr>
        <xdr:cNvCxnSpPr/>
      </xdr:nvCxnSpPr>
      <xdr:spPr>
        <a:xfrm flipV="1">
          <a:off x="771525" y="32318325"/>
          <a:ext cx="12684125" cy="6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190500</xdr:colOff>
      <xdr:row>106</xdr:row>
      <xdr:rowOff>171450</xdr:rowOff>
    </xdr:from>
    <xdr:to>
      <xdr:col>10</xdr:col>
      <xdr:colOff>2997200</xdr:colOff>
      <xdr:row>106</xdr:row>
      <xdr:rowOff>177800</xdr:rowOff>
    </xdr:to>
    <xdr:cxnSp macro="">
      <xdr:nvCxnSpPr>
        <xdr:cNvPr id="22" name="Straight Connector 21">
          <a:extLst>
            <a:ext uri="{FF2B5EF4-FFF2-40B4-BE49-F238E27FC236}">
              <a16:creationId xmlns:a16="http://schemas.microsoft.com/office/drawing/2014/main" id="{4F5CCA4C-0197-4D6F-9ABF-50020C3D8D22}"/>
            </a:ext>
          </a:extLst>
        </xdr:cNvPr>
        <xdr:cNvCxnSpPr/>
      </xdr:nvCxnSpPr>
      <xdr:spPr>
        <a:xfrm flipV="1">
          <a:off x="800100" y="37509450"/>
          <a:ext cx="12684125" cy="6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95250</xdr:colOff>
      <xdr:row>113</xdr:row>
      <xdr:rowOff>962025</xdr:rowOff>
    </xdr:from>
    <xdr:to>
      <xdr:col>10</xdr:col>
      <xdr:colOff>2901950</xdr:colOff>
      <xdr:row>113</xdr:row>
      <xdr:rowOff>968375</xdr:rowOff>
    </xdr:to>
    <xdr:cxnSp macro="">
      <xdr:nvCxnSpPr>
        <xdr:cNvPr id="2" name="Straight Connector 1">
          <a:extLst>
            <a:ext uri="{FF2B5EF4-FFF2-40B4-BE49-F238E27FC236}">
              <a16:creationId xmlns:a16="http://schemas.microsoft.com/office/drawing/2014/main" id="{A1DB6425-5CF6-4A8E-BA89-215F91B07F83}"/>
            </a:ext>
          </a:extLst>
        </xdr:cNvPr>
        <xdr:cNvCxnSpPr/>
      </xdr:nvCxnSpPr>
      <xdr:spPr>
        <a:xfrm flipV="1">
          <a:off x="704850" y="31318200"/>
          <a:ext cx="12684125" cy="6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108</xdr:row>
      <xdr:rowOff>111125</xdr:rowOff>
    </xdr:from>
    <xdr:to>
      <xdr:col>2</xdr:col>
      <xdr:colOff>66675</xdr:colOff>
      <xdr:row>108</xdr:row>
      <xdr:rowOff>123825</xdr:rowOff>
    </xdr:to>
    <xdr:cxnSp macro="">
      <xdr:nvCxnSpPr>
        <xdr:cNvPr id="4" name="Straight Connector 3">
          <a:extLst>
            <a:ext uri="{FF2B5EF4-FFF2-40B4-BE49-F238E27FC236}">
              <a16:creationId xmlns:a16="http://schemas.microsoft.com/office/drawing/2014/main" id="{7988DA07-48C1-4C2F-9230-6759FB569A45}"/>
            </a:ext>
          </a:extLst>
        </xdr:cNvPr>
        <xdr:cNvCxnSpPr/>
      </xdr:nvCxnSpPr>
      <xdr:spPr>
        <a:xfrm>
          <a:off x="609600" y="29581475"/>
          <a:ext cx="2076450" cy="127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590550</xdr:colOff>
      <xdr:row>109</xdr:row>
      <xdr:rowOff>101600</xdr:rowOff>
    </xdr:from>
    <xdr:to>
      <xdr:col>1</xdr:col>
      <xdr:colOff>590550</xdr:colOff>
      <xdr:row>109</xdr:row>
      <xdr:rowOff>114300</xdr:rowOff>
    </xdr:to>
    <xdr:cxnSp macro="">
      <xdr:nvCxnSpPr>
        <xdr:cNvPr id="7" name="Straight Connector 6">
          <a:extLst>
            <a:ext uri="{FF2B5EF4-FFF2-40B4-BE49-F238E27FC236}">
              <a16:creationId xmlns:a16="http://schemas.microsoft.com/office/drawing/2014/main" id="{E874673D-8D64-4090-998E-FB1DC249B4B8}"/>
            </a:ext>
          </a:extLst>
        </xdr:cNvPr>
        <xdr:cNvCxnSpPr/>
      </xdr:nvCxnSpPr>
      <xdr:spPr>
        <a:xfrm>
          <a:off x="590550" y="29771975"/>
          <a:ext cx="609600" cy="127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581025</xdr:colOff>
      <xdr:row>84</xdr:row>
      <xdr:rowOff>180975</xdr:rowOff>
    </xdr:from>
    <xdr:to>
      <xdr:col>10</xdr:col>
      <xdr:colOff>2778125</xdr:colOff>
      <xdr:row>84</xdr:row>
      <xdr:rowOff>187325</xdr:rowOff>
    </xdr:to>
    <xdr:cxnSp macro="">
      <xdr:nvCxnSpPr>
        <xdr:cNvPr id="6" name="Straight Connector 5">
          <a:extLst>
            <a:ext uri="{FF2B5EF4-FFF2-40B4-BE49-F238E27FC236}">
              <a16:creationId xmlns:a16="http://schemas.microsoft.com/office/drawing/2014/main" id="{F93B36D1-8C25-45BA-8C27-75083F32D9E3}"/>
            </a:ext>
          </a:extLst>
        </xdr:cNvPr>
        <xdr:cNvCxnSpPr/>
      </xdr:nvCxnSpPr>
      <xdr:spPr>
        <a:xfrm flipV="1">
          <a:off x="581025" y="24222075"/>
          <a:ext cx="12684125" cy="6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4C448E4E-06FB-460E-A6D6-57D796976D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875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xdr:row>
      <xdr:rowOff>0</xdr:rowOff>
    </xdr:from>
    <xdr:to>
      <xdr:col>50</xdr:col>
      <xdr:colOff>135231</xdr:colOff>
      <xdr:row>10</xdr:row>
      <xdr:rowOff>11776</xdr:rowOff>
    </xdr:to>
    <xdr:pic>
      <xdr:nvPicPr>
        <xdr:cNvPr id="3" name="Picture 2">
          <a:extLst>
            <a:ext uri="{FF2B5EF4-FFF2-40B4-BE49-F238E27FC236}">
              <a16:creationId xmlns:a16="http://schemas.microsoft.com/office/drawing/2014/main" id="{AB100A83-EBBD-432C-9073-112664EEE478}"/>
            </a:ext>
          </a:extLst>
        </xdr:cNvPr>
        <xdr:cNvPicPr>
          <a:picLocks noChangeAspect="1"/>
        </xdr:cNvPicPr>
      </xdr:nvPicPr>
      <xdr:blipFill>
        <a:blip xmlns:r="http://schemas.openxmlformats.org/officeDocument/2006/relationships" r:embed="rId2"/>
        <a:stretch>
          <a:fillRect/>
        </a:stretch>
      </xdr:blipFill>
      <xdr:spPr>
        <a:xfrm>
          <a:off x="14297025" y="542925"/>
          <a:ext cx="3621381" cy="131035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2E34C6F5-FD03-4DC2-B32F-FC3E96EF14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875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xdr:row>
      <xdr:rowOff>0</xdr:rowOff>
    </xdr:from>
    <xdr:to>
      <xdr:col>50</xdr:col>
      <xdr:colOff>135231</xdr:colOff>
      <xdr:row>10</xdr:row>
      <xdr:rowOff>8601</xdr:rowOff>
    </xdr:to>
    <xdr:pic>
      <xdr:nvPicPr>
        <xdr:cNvPr id="3" name="Picture 2">
          <a:extLst>
            <a:ext uri="{FF2B5EF4-FFF2-40B4-BE49-F238E27FC236}">
              <a16:creationId xmlns:a16="http://schemas.microsoft.com/office/drawing/2014/main" id="{BF8E916A-75CE-4382-A6F0-BB8B7C1D30F2}"/>
            </a:ext>
          </a:extLst>
        </xdr:cNvPr>
        <xdr:cNvPicPr>
          <a:picLocks noChangeAspect="1"/>
        </xdr:cNvPicPr>
      </xdr:nvPicPr>
      <xdr:blipFill>
        <a:blip xmlns:r="http://schemas.openxmlformats.org/officeDocument/2006/relationships" r:embed="rId2"/>
        <a:stretch>
          <a:fillRect/>
        </a:stretch>
      </xdr:blipFill>
      <xdr:spPr>
        <a:xfrm>
          <a:off x="14297025" y="542925"/>
          <a:ext cx="3621381" cy="131035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2B6C68A9-DBE8-470F-B2B5-E3471080D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875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xdr:row>
      <xdr:rowOff>0</xdr:rowOff>
    </xdr:from>
    <xdr:to>
      <xdr:col>50</xdr:col>
      <xdr:colOff>135231</xdr:colOff>
      <xdr:row>10</xdr:row>
      <xdr:rowOff>11776</xdr:rowOff>
    </xdr:to>
    <xdr:pic>
      <xdr:nvPicPr>
        <xdr:cNvPr id="3" name="Picture 2">
          <a:extLst>
            <a:ext uri="{FF2B5EF4-FFF2-40B4-BE49-F238E27FC236}">
              <a16:creationId xmlns:a16="http://schemas.microsoft.com/office/drawing/2014/main" id="{10C677EE-2014-46A4-8EA5-6CCDAF1D2C9C}"/>
            </a:ext>
          </a:extLst>
        </xdr:cNvPr>
        <xdr:cNvPicPr>
          <a:picLocks noChangeAspect="1"/>
        </xdr:cNvPicPr>
      </xdr:nvPicPr>
      <xdr:blipFill>
        <a:blip xmlns:r="http://schemas.openxmlformats.org/officeDocument/2006/relationships" r:embed="rId2"/>
        <a:stretch>
          <a:fillRect/>
        </a:stretch>
      </xdr:blipFill>
      <xdr:spPr>
        <a:xfrm>
          <a:off x="14297025" y="542925"/>
          <a:ext cx="3621381" cy="13103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95BBDFB5-050E-4BB1-A4D2-293E882F86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1875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xdr:row>
      <xdr:rowOff>0</xdr:rowOff>
    </xdr:from>
    <xdr:to>
      <xdr:col>50</xdr:col>
      <xdr:colOff>135231</xdr:colOff>
      <xdr:row>10</xdr:row>
      <xdr:rowOff>11776</xdr:rowOff>
    </xdr:to>
    <xdr:pic>
      <xdr:nvPicPr>
        <xdr:cNvPr id="3" name="Picture 2">
          <a:extLst>
            <a:ext uri="{FF2B5EF4-FFF2-40B4-BE49-F238E27FC236}">
              <a16:creationId xmlns:a16="http://schemas.microsoft.com/office/drawing/2014/main" id="{D0255602-5DBE-4DE8-AE79-E7E3EBECD12C}"/>
            </a:ext>
          </a:extLst>
        </xdr:cNvPr>
        <xdr:cNvPicPr>
          <a:picLocks noChangeAspect="1"/>
        </xdr:cNvPicPr>
      </xdr:nvPicPr>
      <xdr:blipFill>
        <a:blip xmlns:r="http://schemas.openxmlformats.org/officeDocument/2006/relationships" r:embed="rId2"/>
        <a:stretch>
          <a:fillRect/>
        </a:stretch>
      </xdr:blipFill>
      <xdr:spPr>
        <a:xfrm>
          <a:off x="14297025" y="542925"/>
          <a:ext cx="3621381" cy="131035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30</xdr:col>
      <xdr:colOff>0</xdr:colOff>
      <xdr:row>0</xdr:row>
      <xdr:rowOff>0</xdr:rowOff>
    </xdr:from>
    <xdr:to>
      <xdr:col>30</xdr:col>
      <xdr:colOff>0</xdr:colOff>
      <xdr:row>0</xdr:row>
      <xdr:rowOff>676275</xdr:rowOff>
    </xdr:to>
    <xdr:pic>
      <xdr:nvPicPr>
        <xdr:cNvPr id="2" name="Picture 8" descr="tamoil5">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2900" y="0"/>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2</xdr:row>
      <xdr:rowOff>0</xdr:rowOff>
    </xdr:from>
    <xdr:to>
      <xdr:col>28</xdr:col>
      <xdr:colOff>397510</xdr:colOff>
      <xdr:row>18</xdr:row>
      <xdr:rowOff>131445</xdr:rowOff>
    </xdr:to>
    <xdr:pic>
      <xdr:nvPicPr>
        <xdr:cNvPr id="4" name="Picture 3" descr="Table&#10;&#10;Description automatically generated">
          <a:extLst>
            <a:ext uri="{FF2B5EF4-FFF2-40B4-BE49-F238E27FC236}">
              <a16:creationId xmlns:a16="http://schemas.microsoft.com/office/drawing/2014/main" id="{8BD113E0-AA1E-A20B-800C-01310B25D1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04100" y="368300"/>
          <a:ext cx="5731510" cy="3573145"/>
        </a:xfrm>
        <a:prstGeom prst="rect">
          <a:avLst/>
        </a:prstGeom>
      </xdr:spPr>
    </xdr:pic>
    <xdr:clientData/>
  </xdr:twoCellAnchor>
  <xdr:twoCellAnchor editAs="oneCell">
    <xdr:from>
      <xdr:col>18</xdr:col>
      <xdr:colOff>12700</xdr:colOff>
      <xdr:row>19</xdr:row>
      <xdr:rowOff>139700</xdr:rowOff>
    </xdr:from>
    <xdr:to>
      <xdr:col>24</xdr:col>
      <xdr:colOff>320675</xdr:colOff>
      <xdr:row>25</xdr:row>
      <xdr:rowOff>92075</xdr:rowOff>
    </xdr:to>
    <xdr:pic>
      <xdr:nvPicPr>
        <xdr:cNvPr id="5" name="Picture 4" descr="Table&#10;&#10;Description automatically generated">
          <a:extLst>
            <a:ext uri="{FF2B5EF4-FFF2-40B4-BE49-F238E27FC236}">
              <a16:creationId xmlns:a16="http://schemas.microsoft.com/office/drawing/2014/main" id="{28CBC37E-A27D-DD24-31B9-787608F7137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416800" y="4133850"/>
          <a:ext cx="3502025" cy="1238250"/>
        </a:xfrm>
        <a:prstGeom prst="rect">
          <a:avLst/>
        </a:prstGeom>
      </xdr:spPr>
    </xdr:pic>
    <xdr:clientData/>
  </xdr:twoCellAnchor>
  <xdr:twoCellAnchor editAs="oneCell">
    <xdr:from>
      <xdr:col>18</xdr:col>
      <xdr:colOff>15875</xdr:colOff>
      <xdr:row>26</xdr:row>
      <xdr:rowOff>73025</xdr:rowOff>
    </xdr:from>
    <xdr:to>
      <xdr:col>28</xdr:col>
      <xdr:colOff>206375</xdr:colOff>
      <xdr:row>35</xdr:row>
      <xdr:rowOff>92075</xdr:rowOff>
    </xdr:to>
    <xdr:pic>
      <xdr:nvPicPr>
        <xdr:cNvPr id="6" name="Picture 5" descr="Table&#10;&#10;Description automatically generated">
          <a:extLst>
            <a:ext uri="{FF2B5EF4-FFF2-40B4-BE49-F238E27FC236}">
              <a16:creationId xmlns:a16="http://schemas.microsoft.com/office/drawing/2014/main" id="{FC938D3C-F6E5-9AA0-00A6-13C5B84C4C9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70775" y="5546725"/>
          <a:ext cx="5524500" cy="16764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29</xdr:col>
      <xdr:colOff>0</xdr:colOff>
      <xdr:row>0</xdr:row>
      <xdr:rowOff>0</xdr:rowOff>
    </xdr:from>
    <xdr:to>
      <xdr:col>29</xdr:col>
      <xdr:colOff>0</xdr:colOff>
      <xdr:row>0</xdr:row>
      <xdr:rowOff>676275</xdr:rowOff>
    </xdr:to>
    <xdr:pic>
      <xdr:nvPicPr>
        <xdr:cNvPr id="2" name="Picture 8" descr="tamoil5">
          <a:extLst>
            <a:ext uri="{FF2B5EF4-FFF2-40B4-BE49-F238E27FC236}">
              <a16:creationId xmlns:a16="http://schemas.microsoft.com/office/drawing/2014/main" id="{43DC92A0-958A-4F13-85A8-3422468031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684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260350</xdr:colOff>
      <xdr:row>12</xdr:row>
      <xdr:rowOff>19050</xdr:rowOff>
    </xdr:from>
    <xdr:to>
      <xdr:col>23</xdr:col>
      <xdr:colOff>225425</xdr:colOff>
      <xdr:row>26</xdr:row>
      <xdr:rowOff>169545</xdr:rowOff>
    </xdr:to>
    <xdr:pic>
      <xdr:nvPicPr>
        <xdr:cNvPr id="3" name="Picture 2" descr="Table&#10;&#10;Description automatically generated">
          <a:extLst>
            <a:ext uri="{FF2B5EF4-FFF2-40B4-BE49-F238E27FC236}">
              <a16:creationId xmlns:a16="http://schemas.microsoft.com/office/drawing/2014/main" id="{0E382CB2-B6EB-4051-9B54-DE6D0C20357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5333"/>
        <a:stretch/>
      </xdr:blipFill>
      <xdr:spPr bwMode="auto">
        <a:xfrm>
          <a:off x="7197725" y="2222500"/>
          <a:ext cx="3695700" cy="368744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16</xdr:col>
      <xdr:colOff>254000</xdr:colOff>
      <xdr:row>27</xdr:row>
      <xdr:rowOff>152400</xdr:rowOff>
    </xdr:from>
    <xdr:to>
      <xdr:col>23</xdr:col>
      <xdr:colOff>454025</xdr:colOff>
      <xdr:row>46</xdr:row>
      <xdr:rowOff>60325</xdr:rowOff>
    </xdr:to>
    <xdr:pic>
      <xdr:nvPicPr>
        <xdr:cNvPr id="4" name="Picture 3" descr="Table&#10;&#10;Description automatically generated">
          <a:extLst>
            <a:ext uri="{FF2B5EF4-FFF2-40B4-BE49-F238E27FC236}">
              <a16:creationId xmlns:a16="http://schemas.microsoft.com/office/drawing/2014/main" id="{BEE79038-E8D9-4B24-8A81-F9BDE948103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91375" y="6076950"/>
          <a:ext cx="3930650" cy="33305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312C33F7-9BAF-4AA0-9D90-685B2BAFE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5675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1C112A4B-07F2-4401-B660-DBF2A48D92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2345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C24FC1F0-1832-4D81-974F-9EE49E81DA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5675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16F16499-F53D-4BC0-BBD2-0C9CA1C5C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171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3</xdr:row>
      <xdr:rowOff>95250</xdr:rowOff>
    </xdr:from>
    <xdr:to>
      <xdr:col>19</xdr:col>
      <xdr:colOff>66675</xdr:colOff>
      <xdr:row>30</xdr:row>
      <xdr:rowOff>44450</xdr:rowOff>
    </xdr:to>
    <xdr:pic>
      <xdr:nvPicPr>
        <xdr:cNvPr id="3" name="Picture 2" descr="Table&#10;&#10;Description automatically generated">
          <a:extLst>
            <a:ext uri="{FF2B5EF4-FFF2-40B4-BE49-F238E27FC236}">
              <a16:creationId xmlns:a16="http://schemas.microsoft.com/office/drawing/2014/main" id="{FB311323-03BC-63BE-C77A-954F2D3DFE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34438" y="571500"/>
          <a:ext cx="4953000" cy="4286250"/>
        </a:xfrm>
        <a:prstGeom prst="rect">
          <a:avLst/>
        </a:prstGeom>
      </xdr:spPr>
    </xdr:pic>
    <xdr:clientData/>
  </xdr:twoCellAnchor>
  <xdr:twoCellAnchor editAs="oneCell">
    <xdr:from>
      <xdr:col>10</xdr:col>
      <xdr:colOff>523876</xdr:colOff>
      <xdr:row>31</xdr:row>
      <xdr:rowOff>142875</xdr:rowOff>
    </xdr:from>
    <xdr:to>
      <xdr:col>19</xdr:col>
      <xdr:colOff>576105</xdr:colOff>
      <xdr:row>57</xdr:row>
      <xdr:rowOff>100965</xdr:rowOff>
    </xdr:to>
    <xdr:pic>
      <xdr:nvPicPr>
        <xdr:cNvPr id="4" name="Picture 3" descr="A picture containing table&#10;&#10;Description automatically generated">
          <a:extLst>
            <a:ext uri="{FF2B5EF4-FFF2-40B4-BE49-F238E27FC236}">
              <a16:creationId xmlns:a16="http://schemas.microsoft.com/office/drawing/2014/main" id="{E050A2E1-E996-425A-1502-524C9C31A9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84407" y="5357813"/>
          <a:ext cx="5695792" cy="430387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BACF95A3-0AA6-493B-8172-6ED83E71F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028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2A8449A6-64A3-4527-A71E-64D19C9659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028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D0B2A44F-B54B-42A1-8A88-5DB4334ADC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028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447DEA76-E48E-4591-9813-5711C68C23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028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9BA382B2-48E1-4139-9832-A79B86819C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028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C84C72ED-4420-4B26-95EF-767975003D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028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8F6A9BD9-E5FA-44F7-8CE3-891801B5D4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028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0B7B6FC3-9510-463E-9B63-3345325374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028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D5B49BBD-0E43-46A6-A8A9-EF8479F1BB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028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AD73ADCC-A5FC-4558-8F00-39A748710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028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5050" y="0"/>
          <a:ext cx="0" cy="17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14323B7F-0E1B-4CEA-9A92-808BC19A2B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3600" y="0"/>
          <a:ext cx="0" cy="17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247649</xdr:colOff>
      <xdr:row>3</xdr:row>
      <xdr:rowOff>42879</xdr:rowOff>
    </xdr:from>
    <xdr:to>
      <xdr:col>51</xdr:col>
      <xdr:colOff>135230</xdr:colOff>
      <xdr:row>10</xdr:row>
      <xdr:rowOff>48305</xdr:rowOff>
    </xdr:to>
    <xdr:pic>
      <xdr:nvPicPr>
        <xdr:cNvPr id="3" name="Picture 2">
          <a:extLst>
            <a:ext uri="{FF2B5EF4-FFF2-40B4-BE49-F238E27FC236}">
              <a16:creationId xmlns:a16="http://schemas.microsoft.com/office/drawing/2014/main" id="{4F96AA11-E34F-4233-9733-9279FB596044}"/>
            </a:ext>
          </a:extLst>
        </xdr:cNvPr>
        <xdr:cNvPicPr>
          <a:picLocks noChangeAspect="1"/>
        </xdr:cNvPicPr>
      </xdr:nvPicPr>
      <xdr:blipFill>
        <a:blip xmlns:r="http://schemas.openxmlformats.org/officeDocument/2006/relationships" r:embed="rId2"/>
        <a:stretch>
          <a:fillRect/>
        </a:stretch>
      </xdr:blipFill>
      <xdr:spPr>
        <a:xfrm>
          <a:off x="15189199" y="576279"/>
          <a:ext cx="3805531" cy="130082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0A952645-E56B-45F6-B382-A92F5A177D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3600" y="0"/>
          <a:ext cx="0" cy="17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247649</xdr:colOff>
      <xdr:row>3</xdr:row>
      <xdr:rowOff>42879</xdr:rowOff>
    </xdr:from>
    <xdr:to>
      <xdr:col>51</xdr:col>
      <xdr:colOff>135230</xdr:colOff>
      <xdr:row>10</xdr:row>
      <xdr:rowOff>48305</xdr:rowOff>
    </xdr:to>
    <xdr:pic>
      <xdr:nvPicPr>
        <xdr:cNvPr id="3" name="Picture 2">
          <a:extLst>
            <a:ext uri="{FF2B5EF4-FFF2-40B4-BE49-F238E27FC236}">
              <a16:creationId xmlns:a16="http://schemas.microsoft.com/office/drawing/2014/main" id="{9076F9A9-EF85-436B-94F5-A22B32BD2052}"/>
            </a:ext>
          </a:extLst>
        </xdr:cNvPr>
        <xdr:cNvPicPr>
          <a:picLocks noChangeAspect="1"/>
        </xdr:cNvPicPr>
      </xdr:nvPicPr>
      <xdr:blipFill>
        <a:blip xmlns:r="http://schemas.openxmlformats.org/officeDocument/2006/relationships" r:embed="rId2"/>
        <a:stretch>
          <a:fillRect/>
        </a:stretch>
      </xdr:blipFill>
      <xdr:spPr>
        <a:xfrm>
          <a:off x="15189199" y="576279"/>
          <a:ext cx="3805531" cy="130082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6CDB3E89-03F6-4E8D-94BC-0B95C08DFC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028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25469079-1AE1-41DD-947D-F707B1C071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028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B8757A3E-14DC-42A3-A6E1-669C2E441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028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CE743EB8-DD2D-4685-8587-8E97779402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171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33</xdr:col>
      <xdr:colOff>0</xdr:colOff>
      <xdr:row>0</xdr:row>
      <xdr:rowOff>0</xdr:rowOff>
    </xdr:from>
    <xdr:to>
      <xdr:col>33</xdr:col>
      <xdr:colOff>0</xdr:colOff>
      <xdr:row>0</xdr:row>
      <xdr:rowOff>676275</xdr:rowOff>
    </xdr:to>
    <xdr:pic>
      <xdr:nvPicPr>
        <xdr:cNvPr id="2" name="Picture 8" descr="tamoil5">
          <a:extLst>
            <a:ext uri="{FF2B5EF4-FFF2-40B4-BE49-F238E27FC236}">
              <a16:creationId xmlns:a16="http://schemas.microsoft.com/office/drawing/2014/main" id="{DA5F5A6B-D620-44FA-B57D-22AE763584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12300" y="0"/>
          <a:ext cx="0" cy="17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30</xdr:col>
      <xdr:colOff>0</xdr:colOff>
      <xdr:row>0</xdr:row>
      <xdr:rowOff>0</xdr:rowOff>
    </xdr:from>
    <xdr:to>
      <xdr:col>30</xdr:col>
      <xdr:colOff>0</xdr:colOff>
      <xdr:row>0</xdr:row>
      <xdr:rowOff>676275</xdr:rowOff>
    </xdr:to>
    <xdr:pic>
      <xdr:nvPicPr>
        <xdr:cNvPr id="2" name="Picture 8" descr="tamoil5">
          <a:extLst>
            <a:ext uri="{FF2B5EF4-FFF2-40B4-BE49-F238E27FC236}">
              <a16:creationId xmlns:a16="http://schemas.microsoft.com/office/drawing/2014/main" id="{91B0C18B-FCC2-4F05-8C1F-4BEC0ECE9E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557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2</xdr:row>
      <xdr:rowOff>0</xdr:rowOff>
    </xdr:from>
    <xdr:to>
      <xdr:col>28</xdr:col>
      <xdr:colOff>397510</xdr:colOff>
      <xdr:row>18</xdr:row>
      <xdr:rowOff>131445</xdr:rowOff>
    </xdr:to>
    <xdr:pic>
      <xdr:nvPicPr>
        <xdr:cNvPr id="3" name="Picture 2" descr="Table&#10;&#10;Description automatically generated">
          <a:extLst>
            <a:ext uri="{FF2B5EF4-FFF2-40B4-BE49-F238E27FC236}">
              <a16:creationId xmlns:a16="http://schemas.microsoft.com/office/drawing/2014/main" id="{C6DAA456-89FF-46C6-9F25-955A515BBC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54900" y="368300"/>
          <a:ext cx="5731510" cy="3573145"/>
        </a:xfrm>
        <a:prstGeom prst="rect">
          <a:avLst/>
        </a:prstGeom>
      </xdr:spPr>
    </xdr:pic>
    <xdr:clientData/>
  </xdr:twoCellAnchor>
  <xdr:twoCellAnchor editAs="oneCell">
    <xdr:from>
      <xdr:col>18</xdr:col>
      <xdr:colOff>12700</xdr:colOff>
      <xdr:row>19</xdr:row>
      <xdr:rowOff>139700</xdr:rowOff>
    </xdr:from>
    <xdr:to>
      <xdr:col>24</xdr:col>
      <xdr:colOff>320675</xdr:colOff>
      <xdr:row>25</xdr:row>
      <xdr:rowOff>92075</xdr:rowOff>
    </xdr:to>
    <xdr:pic>
      <xdr:nvPicPr>
        <xdr:cNvPr id="4" name="Picture 3" descr="Table&#10;&#10;Description automatically generated">
          <a:extLst>
            <a:ext uri="{FF2B5EF4-FFF2-40B4-BE49-F238E27FC236}">
              <a16:creationId xmlns:a16="http://schemas.microsoft.com/office/drawing/2014/main" id="{2E8104F8-5735-4791-816A-3F8390F243A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470775" y="4137025"/>
          <a:ext cx="3505200" cy="1244600"/>
        </a:xfrm>
        <a:prstGeom prst="rect">
          <a:avLst/>
        </a:prstGeom>
      </xdr:spPr>
    </xdr:pic>
    <xdr:clientData/>
  </xdr:twoCellAnchor>
  <xdr:twoCellAnchor editAs="oneCell">
    <xdr:from>
      <xdr:col>18</xdr:col>
      <xdr:colOff>15875</xdr:colOff>
      <xdr:row>26</xdr:row>
      <xdr:rowOff>73025</xdr:rowOff>
    </xdr:from>
    <xdr:to>
      <xdr:col>28</xdr:col>
      <xdr:colOff>206375</xdr:colOff>
      <xdr:row>35</xdr:row>
      <xdr:rowOff>92075</xdr:rowOff>
    </xdr:to>
    <xdr:pic>
      <xdr:nvPicPr>
        <xdr:cNvPr id="5" name="Picture 4" descr="Table&#10;&#10;Description automatically generated">
          <a:extLst>
            <a:ext uri="{FF2B5EF4-FFF2-40B4-BE49-F238E27FC236}">
              <a16:creationId xmlns:a16="http://schemas.microsoft.com/office/drawing/2014/main" id="{FEFB8FF0-EDB6-4E33-8182-51FE3C61121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70775" y="5546725"/>
          <a:ext cx="5524500" cy="16764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36</xdr:col>
      <xdr:colOff>0</xdr:colOff>
      <xdr:row>0</xdr:row>
      <xdr:rowOff>0</xdr:rowOff>
    </xdr:from>
    <xdr:to>
      <xdr:col>36</xdr:col>
      <xdr:colOff>0</xdr:colOff>
      <xdr:row>0</xdr:row>
      <xdr:rowOff>676275</xdr:rowOff>
    </xdr:to>
    <xdr:pic>
      <xdr:nvPicPr>
        <xdr:cNvPr id="2" name="Picture 8" descr="tamoil5">
          <a:extLst>
            <a:ext uri="{FF2B5EF4-FFF2-40B4-BE49-F238E27FC236}">
              <a16:creationId xmlns:a16="http://schemas.microsoft.com/office/drawing/2014/main" id="{53C97A7D-4422-4FDB-8A19-15D31FA371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557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260350</xdr:colOff>
      <xdr:row>12</xdr:row>
      <xdr:rowOff>19050</xdr:rowOff>
    </xdr:from>
    <xdr:to>
      <xdr:col>30</xdr:col>
      <xdr:colOff>225425</xdr:colOff>
      <xdr:row>26</xdr:row>
      <xdr:rowOff>169545</xdr:rowOff>
    </xdr:to>
    <xdr:pic>
      <xdr:nvPicPr>
        <xdr:cNvPr id="7" name="Picture 6" descr="Table&#10;&#10;Description automatically generated">
          <a:extLst>
            <a:ext uri="{FF2B5EF4-FFF2-40B4-BE49-F238E27FC236}">
              <a16:creationId xmlns:a16="http://schemas.microsoft.com/office/drawing/2014/main" id="{45546BC0-DB55-4A56-AFC7-BB7CCB9B242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5333"/>
        <a:stretch/>
      </xdr:blipFill>
      <xdr:spPr bwMode="auto">
        <a:xfrm>
          <a:off x="10553700" y="2222500"/>
          <a:ext cx="3692525" cy="368744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23</xdr:col>
      <xdr:colOff>254000</xdr:colOff>
      <xdr:row>27</xdr:row>
      <xdr:rowOff>152400</xdr:rowOff>
    </xdr:from>
    <xdr:to>
      <xdr:col>30</xdr:col>
      <xdr:colOff>454025</xdr:colOff>
      <xdr:row>46</xdr:row>
      <xdr:rowOff>60325</xdr:rowOff>
    </xdr:to>
    <xdr:pic>
      <xdr:nvPicPr>
        <xdr:cNvPr id="8" name="Picture 7" descr="Table&#10;&#10;Description automatically generated">
          <a:extLst>
            <a:ext uri="{FF2B5EF4-FFF2-40B4-BE49-F238E27FC236}">
              <a16:creationId xmlns:a16="http://schemas.microsoft.com/office/drawing/2014/main" id="{D98D0323-2E73-8C4E-4884-75B1D069F7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547350" y="6076950"/>
          <a:ext cx="3924300" cy="333057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61F2E73D-CB68-45C2-B45D-106D87A46A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171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5050" y="0"/>
          <a:ext cx="0" cy="17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351B39CE-E416-4DC0-95F6-16B034EB1B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06050" y="0"/>
          <a:ext cx="0" cy="17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FBAFF231-684A-43B6-AC51-24F88869D7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06050" y="0"/>
          <a:ext cx="0" cy="17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30</xdr:col>
      <xdr:colOff>0</xdr:colOff>
      <xdr:row>0</xdr:row>
      <xdr:rowOff>0</xdr:rowOff>
    </xdr:from>
    <xdr:to>
      <xdr:col>30</xdr:col>
      <xdr:colOff>0</xdr:colOff>
      <xdr:row>0</xdr:row>
      <xdr:rowOff>676275</xdr:rowOff>
    </xdr:to>
    <xdr:pic>
      <xdr:nvPicPr>
        <xdr:cNvPr id="2" name="Picture 8" descr="tamoil5">
          <a:extLst>
            <a:ext uri="{FF2B5EF4-FFF2-40B4-BE49-F238E27FC236}">
              <a16:creationId xmlns:a16="http://schemas.microsoft.com/office/drawing/2014/main" id="{28F55472-3593-4017-9DE3-7885485B5C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557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2</xdr:row>
      <xdr:rowOff>0</xdr:rowOff>
    </xdr:from>
    <xdr:to>
      <xdr:col>28</xdr:col>
      <xdr:colOff>397510</xdr:colOff>
      <xdr:row>18</xdr:row>
      <xdr:rowOff>131445</xdr:rowOff>
    </xdr:to>
    <xdr:pic>
      <xdr:nvPicPr>
        <xdr:cNvPr id="3" name="Picture 2" descr="Table&#10;&#10;Description automatically generated">
          <a:extLst>
            <a:ext uri="{FF2B5EF4-FFF2-40B4-BE49-F238E27FC236}">
              <a16:creationId xmlns:a16="http://schemas.microsoft.com/office/drawing/2014/main" id="{5BCBCF1A-EAE7-4148-86F4-BC7FEA8A57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54900" y="368300"/>
          <a:ext cx="5731510" cy="3573145"/>
        </a:xfrm>
        <a:prstGeom prst="rect">
          <a:avLst/>
        </a:prstGeom>
      </xdr:spPr>
    </xdr:pic>
    <xdr:clientData/>
  </xdr:twoCellAnchor>
  <xdr:twoCellAnchor editAs="oneCell">
    <xdr:from>
      <xdr:col>18</xdr:col>
      <xdr:colOff>12700</xdr:colOff>
      <xdr:row>19</xdr:row>
      <xdr:rowOff>139700</xdr:rowOff>
    </xdr:from>
    <xdr:to>
      <xdr:col>24</xdr:col>
      <xdr:colOff>320675</xdr:colOff>
      <xdr:row>25</xdr:row>
      <xdr:rowOff>92075</xdr:rowOff>
    </xdr:to>
    <xdr:pic>
      <xdr:nvPicPr>
        <xdr:cNvPr id="4" name="Picture 3" descr="Table&#10;&#10;Description automatically generated">
          <a:extLst>
            <a:ext uri="{FF2B5EF4-FFF2-40B4-BE49-F238E27FC236}">
              <a16:creationId xmlns:a16="http://schemas.microsoft.com/office/drawing/2014/main" id="{3EA2E30C-07B5-4F83-83AA-506A219ED4B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470775" y="4137025"/>
          <a:ext cx="3505200" cy="1244600"/>
        </a:xfrm>
        <a:prstGeom prst="rect">
          <a:avLst/>
        </a:prstGeom>
      </xdr:spPr>
    </xdr:pic>
    <xdr:clientData/>
  </xdr:twoCellAnchor>
  <xdr:twoCellAnchor editAs="oneCell">
    <xdr:from>
      <xdr:col>18</xdr:col>
      <xdr:colOff>15875</xdr:colOff>
      <xdr:row>26</xdr:row>
      <xdr:rowOff>73025</xdr:rowOff>
    </xdr:from>
    <xdr:to>
      <xdr:col>28</xdr:col>
      <xdr:colOff>206375</xdr:colOff>
      <xdr:row>35</xdr:row>
      <xdr:rowOff>92075</xdr:rowOff>
    </xdr:to>
    <xdr:pic>
      <xdr:nvPicPr>
        <xdr:cNvPr id="5" name="Picture 4" descr="Table&#10;&#10;Description automatically generated">
          <a:extLst>
            <a:ext uri="{FF2B5EF4-FFF2-40B4-BE49-F238E27FC236}">
              <a16:creationId xmlns:a16="http://schemas.microsoft.com/office/drawing/2014/main" id="{9371A5FC-A0AB-4CDC-AFD3-A64109FAEB4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70775" y="5546725"/>
          <a:ext cx="5524500" cy="16764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29</xdr:col>
      <xdr:colOff>0</xdr:colOff>
      <xdr:row>0</xdr:row>
      <xdr:rowOff>0</xdr:rowOff>
    </xdr:from>
    <xdr:to>
      <xdr:col>29</xdr:col>
      <xdr:colOff>0</xdr:colOff>
      <xdr:row>0</xdr:row>
      <xdr:rowOff>676275</xdr:rowOff>
    </xdr:to>
    <xdr:pic>
      <xdr:nvPicPr>
        <xdr:cNvPr id="2" name="Picture 8" descr="tamoil5">
          <a:extLst>
            <a:ext uri="{FF2B5EF4-FFF2-40B4-BE49-F238E27FC236}">
              <a16:creationId xmlns:a16="http://schemas.microsoft.com/office/drawing/2014/main" id="{E4A4CEC1-F751-4266-B48B-AF6D7C08FB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2755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260350</xdr:colOff>
      <xdr:row>12</xdr:row>
      <xdr:rowOff>19050</xdr:rowOff>
    </xdr:from>
    <xdr:to>
      <xdr:col>23</xdr:col>
      <xdr:colOff>225425</xdr:colOff>
      <xdr:row>26</xdr:row>
      <xdr:rowOff>169545</xdr:rowOff>
    </xdr:to>
    <xdr:pic>
      <xdr:nvPicPr>
        <xdr:cNvPr id="3" name="Picture 2" descr="Table&#10;&#10;Description automatically generated">
          <a:extLst>
            <a:ext uri="{FF2B5EF4-FFF2-40B4-BE49-F238E27FC236}">
              <a16:creationId xmlns:a16="http://schemas.microsoft.com/office/drawing/2014/main" id="{224E033A-5386-4581-B6C2-3181D3AEC89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5333"/>
        <a:stretch/>
      </xdr:blipFill>
      <xdr:spPr bwMode="auto">
        <a:xfrm>
          <a:off x="10556875" y="2222500"/>
          <a:ext cx="3692525" cy="368744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16</xdr:col>
      <xdr:colOff>254000</xdr:colOff>
      <xdr:row>27</xdr:row>
      <xdr:rowOff>152400</xdr:rowOff>
    </xdr:from>
    <xdr:to>
      <xdr:col>23</xdr:col>
      <xdr:colOff>454025</xdr:colOff>
      <xdr:row>46</xdr:row>
      <xdr:rowOff>60325</xdr:rowOff>
    </xdr:to>
    <xdr:pic>
      <xdr:nvPicPr>
        <xdr:cNvPr id="4" name="Picture 3" descr="Table&#10;&#10;Description automatically generated">
          <a:extLst>
            <a:ext uri="{FF2B5EF4-FFF2-40B4-BE49-F238E27FC236}">
              <a16:creationId xmlns:a16="http://schemas.microsoft.com/office/drawing/2014/main" id="{FFD65DAF-2B6B-47A0-B5A5-AFEDB7B0927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550525" y="6076950"/>
          <a:ext cx="3924300" cy="333057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C0D5B882-6806-48F3-A6BE-E7E1846ACF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56850" y="0"/>
          <a:ext cx="0" cy="17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31</xdr:col>
      <xdr:colOff>0</xdr:colOff>
      <xdr:row>0</xdr:row>
      <xdr:rowOff>0</xdr:rowOff>
    </xdr:from>
    <xdr:to>
      <xdr:col>31</xdr:col>
      <xdr:colOff>0</xdr:colOff>
      <xdr:row>0</xdr:row>
      <xdr:rowOff>676275</xdr:rowOff>
    </xdr:to>
    <xdr:pic>
      <xdr:nvPicPr>
        <xdr:cNvPr id="2" name="Picture 8" descr="tamoil5">
          <a:extLst>
            <a:ext uri="{FF2B5EF4-FFF2-40B4-BE49-F238E27FC236}">
              <a16:creationId xmlns:a16="http://schemas.microsoft.com/office/drawing/2014/main" id="{61EB933C-B6E9-48A0-B21E-2AFC23F7D4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557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33</xdr:col>
      <xdr:colOff>0</xdr:colOff>
      <xdr:row>0</xdr:row>
      <xdr:rowOff>0</xdr:rowOff>
    </xdr:from>
    <xdr:to>
      <xdr:col>33</xdr:col>
      <xdr:colOff>0</xdr:colOff>
      <xdr:row>0</xdr:row>
      <xdr:rowOff>676275</xdr:rowOff>
    </xdr:to>
    <xdr:pic>
      <xdr:nvPicPr>
        <xdr:cNvPr id="2" name="Picture 8" descr="tamoil5">
          <a:extLst>
            <a:ext uri="{FF2B5EF4-FFF2-40B4-BE49-F238E27FC236}">
              <a16:creationId xmlns:a16="http://schemas.microsoft.com/office/drawing/2014/main" id="{12D6C3A8-7554-4118-9FF7-6B553F3C8F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12300" y="0"/>
          <a:ext cx="0" cy="17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33</xdr:col>
      <xdr:colOff>0</xdr:colOff>
      <xdr:row>0</xdr:row>
      <xdr:rowOff>0</xdr:rowOff>
    </xdr:from>
    <xdr:to>
      <xdr:col>33</xdr:col>
      <xdr:colOff>0</xdr:colOff>
      <xdr:row>0</xdr:row>
      <xdr:rowOff>676275</xdr:rowOff>
    </xdr:to>
    <xdr:pic>
      <xdr:nvPicPr>
        <xdr:cNvPr id="2" name="Picture 8" descr="tamoil5">
          <a:extLst>
            <a:ext uri="{FF2B5EF4-FFF2-40B4-BE49-F238E27FC236}">
              <a16:creationId xmlns:a16="http://schemas.microsoft.com/office/drawing/2014/main" id="{ABB8B595-D53E-4E19-99C2-7E6F50E92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12300" y="0"/>
          <a:ext cx="0" cy="17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33</xdr:col>
      <xdr:colOff>0</xdr:colOff>
      <xdr:row>0</xdr:row>
      <xdr:rowOff>0</xdr:rowOff>
    </xdr:from>
    <xdr:to>
      <xdr:col>33</xdr:col>
      <xdr:colOff>0</xdr:colOff>
      <xdr:row>0</xdr:row>
      <xdr:rowOff>676275</xdr:rowOff>
    </xdr:to>
    <xdr:pic>
      <xdr:nvPicPr>
        <xdr:cNvPr id="2" name="Picture 8" descr="tamoil5">
          <a:extLst>
            <a:ext uri="{FF2B5EF4-FFF2-40B4-BE49-F238E27FC236}">
              <a16:creationId xmlns:a16="http://schemas.microsoft.com/office/drawing/2014/main" id="{EDF61199-C97B-45B8-BD9D-36BCAE646B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12300" y="0"/>
          <a:ext cx="0" cy="17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33</xdr:col>
      <xdr:colOff>0</xdr:colOff>
      <xdr:row>0</xdr:row>
      <xdr:rowOff>0</xdr:rowOff>
    </xdr:from>
    <xdr:to>
      <xdr:col>33</xdr:col>
      <xdr:colOff>0</xdr:colOff>
      <xdr:row>0</xdr:row>
      <xdr:rowOff>676275</xdr:rowOff>
    </xdr:to>
    <xdr:pic>
      <xdr:nvPicPr>
        <xdr:cNvPr id="2" name="Picture 8" descr="tamoil5">
          <a:extLst>
            <a:ext uri="{FF2B5EF4-FFF2-40B4-BE49-F238E27FC236}">
              <a16:creationId xmlns:a16="http://schemas.microsoft.com/office/drawing/2014/main" id="{652BA8D5-5111-4E05-BF43-76856AFD3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12300" y="0"/>
          <a:ext cx="0" cy="17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96075" y="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494867</xdr:colOff>
      <xdr:row>10</xdr:row>
      <xdr:rowOff>85724</xdr:rowOff>
    </xdr:from>
    <xdr:to>
      <xdr:col>57</xdr:col>
      <xdr:colOff>372243</xdr:colOff>
      <xdr:row>40</xdr:row>
      <xdr:rowOff>20043</xdr:rowOff>
    </xdr:to>
    <xdr:pic>
      <xdr:nvPicPr>
        <xdr:cNvPr id="3" name="Picture 2">
          <a:extLst>
            <a:ext uri="{FF2B5EF4-FFF2-40B4-BE49-F238E27FC236}">
              <a16:creationId xmlns:a16="http://schemas.microsoft.com/office/drawing/2014/main" id="{FBF497B3-6025-A3D0-6975-A6963AF2A3AA}"/>
            </a:ext>
          </a:extLst>
        </xdr:cNvPr>
        <xdr:cNvPicPr>
          <a:picLocks noChangeAspect="1"/>
        </xdr:cNvPicPr>
      </xdr:nvPicPr>
      <xdr:blipFill>
        <a:blip xmlns:r="http://schemas.openxmlformats.org/officeDocument/2006/relationships" r:embed="rId2"/>
        <a:stretch>
          <a:fillRect/>
        </a:stretch>
      </xdr:blipFill>
      <xdr:spPr>
        <a:xfrm>
          <a:off x="17420792" y="1933574"/>
          <a:ext cx="4144576" cy="5363569"/>
        </a:xfrm>
        <a:prstGeom prst="rect">
          <a:avLst/>
        </a:prstGeom>
      </xdr:spPr>
    </xdr:pic>
    <xdr:clientData/>
  </xdr:twoCellAnchor>
  <xdr:twoCellAnchor editAs="oneCell">
    <xdr:from>
      <xdr:col>57</xdr:col>
      <xdr:colOff>438150</xdr:colOff>
      <xdr:row>10</xdr:row>
      <xdr:rowOff>100111</xdr:rowOff>
    </xdr:from>
    <xdr:to>
      <xdr:col>64</xdr:col>
      <xdr:colOff>200741</xdr:colOff>
      <xdr:row>39</xdr:row>
      <xdr:rowOff>161925</xdr:rowOff>
    </xdr:to>
    <xdr:pic>
      <xdr:nvPicPr>
        <xdr:cNvPr id="4" name="Picture 3">
          <a:extLst>
            <a:ext uri="{FF2B5EF4-FFF2-40B4-BE49-F238E27FC236}">
              <a16:creationId xmlns:a16="http://schemas.microsoft.com/office/drawing/2014/main" id="{F817EAD5-3C0D-61EF-9C38-D876A886B22D}"/>
            </a:ext>
          </a:extLst>
        </xdr:cNvPr>
        <xdr:cNvPicPr>
          <a:picLocks noChangeAspect="1"/>
        </xdr:cNvPicPr>
      </xdr:nvPicPr>
      <xdr:blipFill>
        <a:blip xmlns:r="http://schemas.openxmlformats.org/officeDocument/2006/relationships" r:embed="rId3"/>
        <a:stretch>
          <a:fillRect/>
        </a:stretch>
      </xdr:blipFill>
      <xdr:spPr>
        <a:xfrm>
          <a:off x="21631275" y="1947961"/>
          <a:ext cx="4029791" cy="531008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33</xdr:col>
      <xdr:colOff>0</xdr:colOff>
      <xdr:row>0</xdr:row>
      <xdr:rowOff>0</xdr:rowOff>
    </xdr:from>
    <xdr:to>
      <xdr:col>33</xdr:col>
      <xdr:colOff>0</xdr:colOff>
      <xdr:row>0</xdr:row>
      <xdr:rowOff>676275</xdr:rowOff>
    </xdr:to>
    <xdr:pic>
      <xdr:nvPicPr>
        <xdr:cNvPr id="2" name="Picture 8" descr="tamoil5">
          <a:extLst>
            <a:ext uri="{FF2B5EF4-FFF2-40B4-BE49-F238E27FC236}">
              <a16:creationId xmlns:a16="http://schemas.microsoft.com/office/drawing/2014/main" id="{D21077C2-4219-4EC7-AA44-429289FBC0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12300" y="0"/>
          <a:ext cx="0" cy="17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30</xdr:col>
      <xdr:colOff>0</xdr:colOff>
      <xdr:row>0</xdr:row>
      <xdr:rowOff>0</xdr:rowOff>
    </xdr:from>
    <xdr:to>
      <xdr:col>30</xdr:col>
      <xdr:colOff>0</xdr:colOff>
      <xdr:row>0</xdr:row>
      <xdr:rowOff>676275</xdr:rowOff>
    </xdr:to>
    <xdr:pic>
      <xdr:nvPicPr>
        <xdr:cNvPr id="2" name="Picture 8" descr="tamoil5">
          <a:extLst>
            <a:ext uri="{FF2B5EF4-FFF2-40B4-BE49-F238E27FC236}">
              <a16:creationId xmlns:a16="http://schemas.microsoft.com/office/drawing/2014/main" id="{8785EEB4-2999-4EAC-93A7-D6F8C4238F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04900" y="0"/>
          <a:ext cx="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3</xdr:col>
      <xdr:colOff>12700</xdr:colOff>
      <xdr:row>16</xdr:row>
      <xdr:rowOff>19050</xdr:rowOff>
    </xdr:from>
    <xdr:to>
      <xdr:col>30</xdr:col>
      <xdr:colOff>28575</xdr:colOff>
      <xdr:row>44</xdr:row>
      <xdr:rowOff>0</xdr:rowOff>
    </xdr:to>
    <xdr:pic>
      <xdr:nvPicPr>
        <xdr:cNvPr id="2" name="Picture 1">
          <a:extLst>
            <a:ext uri="{FF2B5EF4-FFF2-40B4-BE49-F238E27FC236}">
              <a16:creationId xmlns:a16="http://schemas.microsoft.com/office/drawing/2014/main" id="{8C0D8BFA-5876-4D8E-A495-D2F48712EE4E}"/>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455" r="1515"/>
        <a:stretch/>
      </xdr:blipFill>
      <xdr:spPr bwMode="auto">
        <a:xfrm>
          <a:off x="584200" y="2857500"/>
          <a:ext cx="5159375" cy="45148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0</xdr:row>
      <xdr:rowOff>0</xdr:rowOff>
    </xdr:from>
    <xdr:to>
      <xdr:col>36</xdr:col>
      <xdr:colOff>0</xdr:colOff>
      <xdr:row>0</xdr:row>
      <xdr:rowOff>676275</xdr:rowOff>
    </xdr:to>
    <xdr:pic>
      <xdr:nvPicPr>
        <xdr:cNvPr id="3" name="Picture 8" descr="tamoil5">
          <a:extLst>
            <a:ext uri="{FF2B5EF4-FFF2-40B4-BE49-F238E27FC236}">
              <a16:creationId xmlns:a16="http://schemas.microsoft.com/office/drawing/2014/main" id="{BE46C3A7-DE40-4237-90DA-9BDD0FC921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86900" y="0"/>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114300</xdr:colOff>
      <xdr:row>1</xdr:row>
      <xdr:rowOff>76201</xdr:rowOff>
    </xdr:from>
    <xdr:to>
      <xdr:col>11</xdr:col>
      <xdr:colOff>443090</xdr:colOff>
      <xdr:row>26</xdr:row>
      <xdr:rowOff>66676</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14300" y="238126"/>
          <a:ext cx="7034390" cy="4038600"/>
        </a:xfrm>
        <a:prstGeom prst="rect">
          <a:avLst/>
        </a:prstGeom>
      </xdr:spPr>
    </xdr:pic>
    <xdr:clientData/>
  </xdr:twoCellAnchor>
  <xdr:twoCellAnchor editAs="oneCell">
    <xdr:from>
      <xdr:col>12</xdr:col>
      <xdr:colOff>366060</xdr:colOff>
      <xdr:row>3</xdr:row>
      <xdr:rowOff>39817</xdr:rowOff>
    </xdr:from>
    <xdr:to>
      <xdr:col>21</xdr:col>
      <xdr:colOff>323104</xdr:colOff>
      <xdr:row>24</xdr:row>
      <xdr:rowOff>112032</xdr:rowOff>
    </xdr:to>
    <xdr:pic>
      <xdr:nvPicPr>
        <xdr:cNvPr id="4" name="Picture 3">
          <a:extLst>
            <a:ext uri="{FF2B5EF4-FFF2-40B4-BE49-F238E27FC236}">
              <a16:creationId xmlns:a16="http://schemas.microsoft.com/office/drawing/2014/main" id="{368CEBF6-0E62-E62A-82BF-D0B428EF2D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7119" y="517935"/>
          <a:ext cx="5470338" cy="3366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400438</xdr:colOff>
      <xdr:row>26</xdr:row>
      <xdr:rowOff>142733</xdr:rowOff>
    </xdr:from>
    <xdr:to>
      <xdr:col>20</xdr:col>
      <xdr:colOff>545351</xdr:colOff>
      <xdr:row>45</xdr:row>
      <xdr:rowOff>36232</xdr:rowOff>
    </xdr:to>
    <xdr:pic>
      <xdr:nvPicPr>
        <xdr:cNvPr id="5" name="Picture 2">
          <a:extLst>
            <a:ext uri="{FF2B5EF4-FFF2-40B4-BE49-F238E27FC236}">
              <a16:creationId xmlns:a16="http://schemas.microsoft.com/office/drawing/2014/main" id="{AFBC34E4-7834-1D9C-5003-79EEC85C73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51497" y="4229145"/>
          <a:ext cx="5045619" cy="2881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224118</xdr:colOff>
      <xdr:row>29</xdr:row>
      <xdr:rowOff>42724</xdr:rowOff>
    </xdr:from>
    <xdr:to>
      <xdr:col>10</xdr:col>
      <xdr:colOff>373530</xdr:colOff>
      <xdr:row>47</xdr:row>
      <xdr:rowOff>56777</xdr:rowOff>
    </xdr:to>
    <xdr:pic>
      <xdr:nvPicPr>
        <xdr:cNvPr id="6" name="Picture 5">
          <a:extLst>
            <a:ext uri="{FF2B5EF4-FFF2-40B4-BE49-F238E27FC236}">
              <a16:creationId xmlns:a16="http://schemas.microsoft.com/office/drawing/2014/main" id="{C049DC89-148A-A269-68F2-B41FAE4918E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4118" y="4599783"/>
          <a:ext cx="6275294" cy="2845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DF76A031-06C2-4924-B998-88FCF6DA74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39350" y="0"/>
          <a:ext cx="0" cy="17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0" y="0"/>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247649</xdr:colOff>
      <xdr:row>3</xdr:row>
      <xdr:rowOff>42879</xdr:rowOff>
    </xdr:from>
    <xdr:to>
      <xdr:col>51</xdr:col>
      <xdr:colOff>135230</xdr:colOff>
      <xdr:row>10</xdr:row>
      <xdr:rowOff>48305</xdr:rowOff>
    </xdr:to>
    <xdr:pic>
      <xdr:nvPicPr>
        <xdr:cNvPr id="3" name="Picture 2">
          <a:extLst>
            <a:ext uri="{FF2B5EF4-FFF2-40B4-BE49-F238E27FC236}">
              <a16:creationId xmlns:a16="http://schemas.microsoft.com/office/drawing/2014/main" id="{E45B62D1-B731-A226-320D-C90EE324CD8C}"/>
            </a:ext>
          </a:extLst>
        </xdr:cNvPr>
        <xdr:cNvPicPr>
          <a:picLocks noChangeAspect="1"/>
        </xdr:cNvPicPr>
      </xdr:nvPicPr>
      <xdr:blipFill>
        <a:blip xmlns:r="http://schemas.openxmlformats.org/officeDocument/2006/relationships" r:embed="rId2"/>
        <a:stretch>
          <a:fillRect/>
        </a:stretch>
      </xdr:blipFill>
      <xdr:spPr>
        <a:xfrm>
          <a:off x="13735049" y="585804"/>
          <a:ext cx="3621381" cy="13103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37</xdr:col>
      <xdr:colOff>0</xdr:colOff>
      <xdr:row>0</xdr:row>
      <xdr:rowOff>0</xdr:rowOff>
    </xdr:from>
    <xdr:to>
      <xdr:col>37</xdr:col>
      <xdr:colOff>0</xdr:colOff>
      <xdr:row>0</xdr:row>
      <xdr:rowOff>676275</xdr:rowOff>
    </xdr:to>
    <xdr:pic>
      <xdr:nvPicPr>
        <xdr:cNvPr id="2" name="Picture 8" descr="tamoil5">
          <a:extLst>
            <a:ext uri="{FF2B5EF4-FFF2-40B4-BE49-F238E27FC236}">
              <a16:creationId xmlns:a16="http://schemas.microsoft.com/office/drawing/2014/main" id="{543B3195-7886-43D3-9C65-17F2377BA3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53600" y="0"/>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247649</xdr:colOff>
      <xdr:row>3</xdr:row>
      <xdr:rowOff>42879</xdr:rowOff>
    </xdr:from>
    <xdr:to>
      <xdr:col>51</xdr:col>
      <xdr:colOff>135230</xdr:colOff>
      <xdr:row>10</xdr:row>
      <xdr:rowOff>48305</xdr:rowOff>
    </xdr:to>
    <xdr:pic>
      <xdr:nvPicPr>
        <xdr:cNvPr id="3" name="Picture 2">
          <a:extLst>
            <a:ext uri="{FF2B5EF4-FFF2-40B4-BE49-F238E27FC236}">
              <a16:creationId xmlns:a16="http://schemas.microsoft.com/office/drawing/2014/main" id="{45BC4891-E223-4EEF-8022-9134C6B5E184}"/>
            </a:ext>
          </a:extLst>
        </xdr:cNvPr>
        <xdr:cNvPicPr>
          <a:picLocks noChangeAspect="1"/>
        </xdr:cNvPicPr>
      </xdr:nvPicPr>
      <xdr:blipFill>
        <a:blip xmlns:r="http://schemas.openxmlformats.org/officeDocument/2006/relationships" r:embed="rId2"/>
        <a:stretch>
          <a:fillRect/>
        </a:stretch>
      </xdr:blipFill>
      <xdr:spPr>
        <a:xfrm>
          <a:off x="13735049" y="585804"/>
          <a:ext cx="3621381" cy="13103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reliefvalv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Shared\03_Projects\001030_OMV%20Petrom-Neptun%20Deep%20PreFID%20Support\4.0%20Deliverables%20WIP\J-001030-EV-REP-0001%20Emissions%20Inventory\Comments\Copy%20of%20J001030-EV-REP-001%20Emissions%20Inventory%2001_NP%20upd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ooilandgas.sharepoint.com/Shared/03_Projects/000445_JODCO-Ramhan%20Dev%20Assess%20Study/Economics/Economic%20Model/0445%20JODCO%20Ramhan%20ASSESS%20Economic%20Model%20(00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ooilandgas.sharepoint.com/Field%20Development%20Library/Facilities/Facilities%20base%20calculations/Draft/Vessel%20Weight%20(Simplified)_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projects\adept\ReleaseVersion\Ver1_06\Proc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ooilandgas.sharepoint.com/Documents%20and%20Settings/sjivraj/Local%20Settings/Temporary%20Internet%20Files/OLK12/Dumping%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iooilandgas.sharepoint.com/TEMP/WINDOWS/TEMP/relief-calc-008-rev%20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SKILLSGP\PROCESS\02.0%20Process%20Systems%20&amp;%20Equipment\2.19%20Pumps%20and%20Valves\Pumps\Pump%20Adept%20Cal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iooilandgas.sharepoint.com/SKILLSGP/PROCESS/02.0%20Process%20Systems%20&amp;%20Equipment/2.19%20Pumps%20and%20Valves/Pumps/Pump%20Adept%20Cal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iooilandgas.sharepoint.com/TEMP/sizing/Spread/Thermalexp-calc%20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Guidance Notes"/>
      <sheetName val="Valve Sizes"/>
      <sheetName val="Gas or Vapor Relief (not Steam)"/>
      <sheetName val="Liquid Relief"/>
      <sheetName val="Two-Phase Liquid-Vapor Relief"/>
      <sheetName val="Appendix C - Hydraulic Expans'n"/>
      <sheetName val="App D - Fire Relief (unwetted)"/>
      <sheetName val="Tube Rupture"/>
      <sheetName val="Lookup Tables &amp; Graphs"/>
      <sheetName val="App D - Fire Relief (wet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References"/>
      <sheetName val="Emiss. Const. Offsh."/>
      <sheetName val="Emiss. Drilling"/>
      <sheetName val="Emiss. Onshore"/>
      <sheetName val="Emiss. Ops"/>
      <sheetName val="Emiss. Ab Ops"/>
      <sheetName val="Wastes"/>
      <sheetName val="Effluents"/>
      <sheetName val="Diesel F"/>
      <sheetName val="ESG"/>
      <sheetName val="BSG"/>
      <sheetName val="GTGs"/>
      <sheetName val="TEMPSC"/>
      <sheetName val="LPF P&amp;P"/>
      <sheetName val="HPF P&amp;P"/>
      <sheetName val="HPF TAR"/>
      <sheetName val="HPF pig"/>
      <sheetName val="MeOHBGF"/>
      <sheetName val="FE PL F"/>
      <sheetName val="LPFConTEG"/>
      <sheetName val="OT V"/>
      <sheetName val="FE FL V"/>
      <sheetName val="VA"/>
      <sheetName val="HPF ICSS"/>
      <sheetName val="PSD WR"/>
      <sheetName val="ESD CR"/>
      <sheetName val="ESD CR SS"/>
      <sheetName val="PBD PP"/>
      <sheetName val="PBD DP"/>
      <sheetName val="T H (E-M)"/>
      <sheetName val="AOT V"/>
      <sheetName val="SWP HU"/>
      <sheetName val="M P"/>
      <sheetName val="BSG - C"/>
      <sheetName val="ESG -C"/>
      <sheetName val="Precom F P"/>
      <sheetName val="Precom H P"/>
      <sheetName val="Precom DP P"/>
      <sheetName val="Precom F D"/>
      <sheetName val="Precom H D"/>
      <sheetName val="Precom DP D"/>
      <sheetName val="Precom F GPP"/>
      <sheetName val="Precom L GPP"/>
      <sheetName val="LP FP"/>
      <sheetName val="HP FP"/>
      <sheetName val="HP ICS"/>
      <sheetName val="DFP"/>
      <sheetName val="Precom F O"/>
      <sheetName val="Precom H O"/>
      <sheetName val="Precom D O"/>
      <sheetName val="OPE"/>
      <sheetName val="V SUG"/>
      <sheetName val="T H"/>
      <sheetName val="T Vs"/>
      <sheetName val="DG"/>
      <sheetName val="D TP"/>
      <sheetName val="DC"/>
      <sheetName val="DT H"/>
      <sheetName val="DT V"/>
      <sheetName val="O SPG"/>
      <sheetName val="C E"/>
      <sheetName val="OV FR"/>
      <sheetName val="OV IPC"/>
      <sheetName val="OV PT"/>
      <sheetName val="OV PSVL"/>
      <sheetName val="O FE"/>
      <sheetName val="O V"/>
      <sheetName val="CO2eEF"/>
      <sheetName val="Fugitive Emissions"/>
      <sheetName val="LHV HHV"/>
      <sheetName val="Standard density calc"/>
    </sheetNames>
    <sheetDataSet>
      <sheetData sheetId="0" refreshError="1"/>
      <sheetData sheetId="1" refreshError="1"/>
      <sheetData sheetId="2" refreshError="1"/>
      <sheetData sheetId="3" refreshError="1"/>
      <sheetData sheetId="4" refreshError="1"/>
      <sheetData sheetId="5">
        <row r="2">
          <cell r="C2" t="str">
            <v>OMVP</v>
          </cell>
        </row>
        <row r="3">
          <cell r="C3" t="str">
            <v>OMV Neptun BAT Study &amp; ESIA</v>
          </cell>
        </row>
        <row r="4">
          <cell r="C4" t="str">
            <v>Emissions Inventory</v>
          </cell>
          <cell r="I4" t="str">
            <v>Normal Operations</v>
          </cell>
        </row>
      </sheetData>
      <sheetData sheetId="6" refreshError="1"/>
      <sheetData sheetId="7" refreshError="1"/>
      <sheetData sheetId="8">
        <row r="2">
          <cell r="J2" t="str">
            <v>PRJ-001030</v>
          </cell>
        </row>
      </sheetData>
      <sheetData sheetId="9" refreshError="1"/>
      <sheetData sheetId="10" refreshError="1"/>
      <sheetData sheetId="11" refreshError="1"/>
      <sheetData sheetId="12">
        <row r="15">
          <cell r="Q15">
            <v>37.956295834166582</v>
          </cell>
        </row>
      </sheetData>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12">
          <cell r="P12">
            <v>0.69879999999999998</v>
          </cell>
        </row>
        <row r="16">
          <cell r="P16">
            <v>16.12</v>
          </cell>
        </row>
        <row r="19">
          <cell r="P19">
            <v>49.78</v>
          </cell>
        </row>
        <row r="21">
          <cell r="P21">
            <v>37.770000000000003</v>
          </cell>
        </row>
        <row r="24">
          <cell r="P24">
            <v>1.5E-3</v>
          </cell>
        </row>
        <row r="25">
          <cell r="P25">
            <v>8.0000000000000004E-4</v>
          </cell>
        </row>
        <row r="26">
          <cell r="P26">
            <v>0.99629999999999996</v>
          </cell>
        </row>
        <row r="27">
          <cell r="P27">
            <v>7.000000000000001E-4</v>
          </cell>
        </row>
        <row r="28">
          <cell r="I28">
            <v>2.7328461668273527</v>
          </cell>
          <cell r="P28">
            <v>2.0000000000000001E-4</v>
          </cell>
        </row>
        <row r="29">
          <cell r="P29">
            <v>1E-4</v>
          </cell>
        </row>
        <row r="30">
          <cell r="P30">
            <v>0</v>
          </cell>
        </row>
        <row r="31">
          <cell r="P31">
            <v>1E-4</v>
          </cell>
        </row>
        <row r="33">
          <cell r="P33">
            <v>1E-4</v>
          </cell>
        </row>
        <row r="47">
          <cell r="P47">
            <v>0</v>
          </cell>
        </row>
      </sheetData>
      <sheetData sheetId="69" refreshError="1"/>
      <sheetData sheetId="70" refreshError="1"/>
      <sheetData sheetId="7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Profiles"/>
      <sheetName val="NPV=0.Chart"/>
      <sheetName val="NPV=0.Data"/>
      <sheetName val="Dashboard"/>
      <sheetName val="Map"/>
      <sheetName val="Key"/>
      <sheetName val="Input"/>
      <sheetName val="FinStat"/>
      <sheetName val="Time"/>
      <sheetName val="Esc"/>
      <sheetName val="Production"/>
      <sheetName val="OpRev"/>
      <sheetName val="OpCost"/>
      <sheetName val="Capex"/>
      <sheetName val="Tax"/>
      <sheetName val="Analysis"/>
      <sheetName val="Track"/>
      <sheetName val="Check"/>
    </sheetNames>
    <sheetDataSet>
      <sheetData sheetId="0"/>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 val="Weight Calculation"/>
      <sheetName val="Data Tables"/>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sheet"/>
      <sheetName val="Facilities Definition"/>
      <sheetName val="Wellbay"/>
      <sheetName val="Wellbay2"/>
      <sheetName val="M_B"/>
      <sheetName val="Production Separation"/>
      <sheetName val="Elect Coalescer"/>
      <sheetName val="Liquid Export"/>
      <sheetName val="Re-Compressor Calc"/>
      <sheetName val="Re-Compression"/>
      <sheetName val="Gas Dehydration"/>
      <sheetName val="Exp-Compression"/>
      <sheetName val="Exp-Compressor Calc"/>
      <sheetName val="Input-Output Values"/>
      <sheetName val="Version No."/>
      <sheetName val="Page 6 of 10"/>
      <sheetName val="Facilities_Definition3"/>
      <sheetName val="Production_Separation3"/>
      <sheetName val="Elect_Coalescer3"/>
      <sheetName val="Liquid_Export3"/>
      <sheetName val="Re-Compressor_Calc3"/>
      <sheetName val="Gas_Dehydration3"/>
      <sheetName val="Exp-Compressor_Calc3"/>
      <sheetName val="Input-Output_Values3"/>
      <sheetName val="Version_No_3"/>
      <sheetName val="Page_6_of_103"/>
      <sheetName val="Facilities_Definition"/>
      <sheetName val="Production_Separation"/>
      <sheetName val="Elect_Coalescer"/>
      <sheetName val="Liquid_Export"/>
      <sheetName val="Re-Compressor_Calc"/>
      <sheetName val="Gas_Dehydration"/>
      <sheetName val="Exp-Compressor_Calc"/>
      <sheetName val="Input-Output_Values"/>
      <sheetName val="Version_No_"/>
      <sheetName val="Page_6_of_10"/>
      <sheetName val="Facilities_Definition1"/>
      <sheetName val="Production_Separation1"/>
      <sheetName val="Elect_Coalescer1"/>
      <sheetName val="Liquid_Export1"/>
      <sheetName val="Re-Compressor_Calc1"/>
      <sheetName val="Gas_Dehydration1"/>
      <sheetName val="Exp-Compressor_Calc1"/>
      <sheetName val="Input-Output_Values1"/>
      <sheetName val="Version_No_1"/>
      <sheetName val="Page_6_of_101"/>
      <sheetName val="Facilities_Definition2"/>
      <sheetName val="Production_Separation2"/>
      <sheetName val="Elect_Coalescer2"/>
      <sheetName val="Liquid_Export2"/>
      <sheetName val="Re-Compressor_Calc2"/>
      <sheetName val="Gas_Dehydration2"/>
      <sheetName val="Exp-Compressor_Calc2"/>
      <sheetName val="Input-Output_Values2"/>
      <sheetName val="Version_No_2"/>
      <sheetName val="Page_6_of_102"/>
      <sheetName val="Facilities_Definition4"/>
      <sheetName val="Production_Separation4"/>
      <sheetName val="Elect_Coalescer4"/>
      <sheetName val="Liquid_Export4"/>
      <sheetName val="Re-Compressor_Calc4"/>
      <sheetName val="Gas_Dehydration4"/>
      <sheetName val="Exp-Compressor_Calc4"/>
      <sheetName val="Input-Output_Values4"/>
      <sheetName val="Version_No_4"/>
      <sheetName val="Page_6_of_104"/>
      <sheetName val="Process"/>
      <sheetName val="OIL SYST DATA SHTS"/>
      <sheetName val="Facilities_Definition5"/>
      <sheetName val="Production_Separation5"/>
      <sheetName val="Elect_Coalescer5"/>
      <sheetName val="Liquid_Export5"/>
      <sheetName val="Re-Compressor_Calc5"/>
      <sheetName val="Gas_Dehydration5"/>
      <sheetName val="Exp-Compressor_Calc5"/>
      <sheetName val="Input-Output_Values5"/>
      <sheetName val="Version_No_5"/>
      <sheetName val="Page_6_of_105"/>
      <sheetName val="Facilities_Definition6"/>
      <sheetName val="Production_Separation6"/>
      <sheetName val="Elect_Coalescer6"/>
      <sheetName val="Liquid_Export6"/>
      <sheetName val="Re-Compressor_Calc6"/>
      <sheetName val="Gas_Dehydration6"/>
      <sheetName val="Exp-Compressor_Calc6"/>
      <sheetName val="Input-Output_Values6"/>
      <sheetName val="Version_No_6"/>
      <sheetName val="Page_6_of_106"/>
      <sheetName val="OIL_SYST_DATA_SHTS"/>
      <sheetName val="Settings"/>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sheetName val="Flows"/>
      <sheetName val="Capex"/>
      <sheetName val="DCF"/>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ap"/>
      <sheetName val="not"/>
      <sheetName val="critsub"/>
      <sheetName val="horizontal surface"/>
      <sheetName val="vertical surface"/>
      <sheetName val="Thermal relief"/>
      <sheetName val="unwetted"/>
      <sheetName val="HEM"/>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mp"/>
      <sheetName val="Front sheet"/>
      <sheetName val="summary sheet"/>
      <sheetName val="page_2"/>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summary sheet"/>
      <sheetName val="page_2"/>
      <sheetName val="Pump"/>
      <sheetName val="Front Cover"/>
    </sheetNames>
    <sheetDataSet>
      <sheetData sheetId="0"/>
      <sheetData sheetId="1"/>
      <sheetData sheetId="2"/>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WP">
  <a:themeElements>
    <a:clrScheme name="WorleyParsons">
      <a:dk1>
        <a:sysClr val="windowText" lastClr="000000"/>
      </a:dk1>
      <a:lt1>
        <a:sysClr val="window" lastClr="FFFFFF"/>
      </a:lt1>
      <a:dk2>
        <a:srgbClr val="808080"/>
      </a:dk2>
      <a:lt2>
        <a:srgbClr val="E7E8E9"/>
      </a:lt2>
      <a:accent1>
        <a:srgbClr val="DA291C"/>
      </a:accent1>
      <a:accent2>
        <a:srgbClr val="BFBFBF"/>
      </a:accent2>
      <a:accent3>
        <a:srgbClr val="000000"/>
      </a:accent3>
      <a:accent4>
        <a:srgbClr val="A31E15"/>
      </a:accent4>
      <a:accent5>
        <a:srgbClr val="EA635C"/>
      </a:accent5>
      <a:accent6>
        <a:srgbClr val="FBE2E1"/>
      </a:accent6>
      <a:hlink>
        <a:srgbClr val="000000"/>
      </a:hlink>
      <a:folHlink>
        <a:srgbClr val="000000"/>
      </a:folHlink>
    </a:clrScheme>
    <a:fontScheme name="Office">
      <a:majorFont>
        <a:latin typeface="Cal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a:srgbClr val="0085CA"/>
    </a:custClr>
    <a:custClr>
      <a:srgbClr val="F2A900"/>
    </a:custClr>
    <a:custClr>
      <a:srgbClr val="64A70B"/>
    </a:custClr>
    <a:custClr>
      <a:srgbClr val="236192"/>
    </a:custClr>
    <a:custClr>
      <a:srgbClr val="FE5000"/>
    </a:custClr>
    <a:custClr>
      <a:srgbClr val="4A7729"/>
    </a:custClr>
  </a:custClr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verifavia.com/greenhouse-gas-verification/fq-how-are-aircraft-co2-emissions-calculated-11.php" TargetMode="External"/><Relationship Id="rId3" Type="http://schemas.openxmlformats.org/officeDocument/2006/relationships/hyperlink" Target="https://oilandgasuk.co.uk/atmospheric-emissions/" TargetMode="External"/><Relationship Id="rId7" Type="http://schemas.openxmlformats.org/officeDocument/2006/relationships/hyperlink" Target="https://www.marineinsight.com/guidelines/a-guide-to-marine-gas-oil-and-lsfo-used-on-ships" TargetMode="External"/><Relationship Id="rId2" Type="http://schemas.openxmlformats.org/officeDocument/2006/relationships/hyperlink" Target="https://www.epa.gov/air-emissions-factors-and-quantification/ap-42-compilation-air-emissions-factors" TargetMode="External"/><Relationship Id="rId1" Type="http://schemas.openxmlformats.org/officeDocument/2006/relationships/hyperlink" Target="https://naei.beis.gov.uk/resources/RoadtransportEFs_NAEI17_v1.1.xlsx" TargetMode="External"/><Relationship Id="rId6" Type="http://schemas.openxmlformats.org/officeDocument/2006/relationships/hyperlink" Target="https://www.engineeringtoolbox.com/fuels-higher-calorific-values-d_169.html" TargetMode="External"/><Relationship Id="rId5" Type="http://schemas.openxmlformats.org/officeDocument/2006/relationships/hyperlink" Target="https://www.gov.uk/government/publications/greenhouse-gas-reporting-conversion-factors-2019" TargetMode="External"/><Relationship Id="rId10" Type="http://schemas.openxmlformats.org/officeDocument/2006/relationships/printerSettings" Target="../printerSettings/printerSettings1.bin"/><Relationship Id="rId4" Type="http://schemas.openxmlformats.org/officeDocument/2006/relationships/hyperlink" Target="https://www.api.org/~/media/files/ehs/climate-change/2009_ghg_compendium.ashx" TargetMode="External"/><Relationship Id="rId9" Type="http://schemas.openxmlformats.org/officeDocument/2006/relationships/hyperlink" Target="https://www.verifavia-shipping.com/shipping-carbon-emissions-verification/faq-which-emission-factors-shall-be-used-110.php"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www.engineeringtoolbox.com/co2-emission-fuels-d_1085.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8.bin"/><Relationship Id="rId1" Type="http://schemas.openxmlformats.org/officeDocument/2006/relationships/hyperlink" Target="https://www.api.org/~/media/files/ehs/climate-change/2009_ghg_compendium.ashx" TargetMode="Externa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6"/>
  <sheetViews>
    <sheetView showGridLines="0" zoomScaleNormal="100" zoomScaleSheetLayoutView="80" workbookViewId="0">
      <pane ySplit="1" topLeftCell="A2" activePane="bottomLeft" state="frozen"/>
      <selection activeCell="E6" sqref="E6"/>
      <selection pane="bottomLeft" activeCell="E6" sqref="E6"/>
    </sheetView>
  </sheetViews>
  <sheetFormatPr defaultColWidth="0" defaultRowHeight="12.75" customHeight="1" zeroHeight="1"/>
  <cols>
    <col min="1" max="1" width="1.7109375" style="838" customWidth="1"/>
    <col min="2" max="2" width="5.7109375" style="837" customWidth="1"/>
    <col min="3" max="3" width="15.28515625" style="838" customWidth="1"/>
    <col min="4" max="4" width="15" style="838" customWidth="1"/>
    <col min="5" max="5" width="13" style="838" customWidth="1"/>
    <col min="6" max="7" width="15.28515625" style="838" customWidth="1"/>
    <col min="8" max="8" width="16.5703125" style="838" customWidth="1"/>
    <col min="9" max="9" width="2.28515625" style="838" customWidth="1"/>
    <col min="10" max="16384" width="9.28515625" style="838" hidden="1"/>
  </cols>
  <sheetData>
    <row r="1" spans="1:8" ht="26.25">
      <c r="A1" s="836" t="str">
        <f ca="1" xml:space="preserve"> RIGHT(CELL("filename", $A$1), LEN(CELL("filename", $A$1)) - SEARCH("]", CELL("filename", $A$1)))</f>
        <v>Revision</v>
      </c>
    </row>
    <row r="2" spans="1:8"/>
    <row r="3" spans="1:8" ht="19.899999999999999" customHeight="1">
      <c r="B3" s="839" t="s">
        <v>0</v>
      </c>
      <c r="C3" s="840"/>
      <c r="D3" s="841" t="s">
        <v>1</v>
      </c>
      <c r="E3" s="840"/>
      <c r="F3" s="840"/>
      <c r="G3" s="840"/>
      <c r="H3" s="840"/>
    </row>
    <row r="4" spans="1:8" ht="19.899999999999999" customHeight="1">
      <c r="B4" s="839" t="s">
        <v>2</v>
      </c>
      <c r="C4" s="840"/>
      <c r="D4" s="841" t="s">
        <v>3</v>
      </c>
      <c r="E4" s="840"/>
      <c r="F4" s="840"/>
      <c r="G4" s="840"/>
      <c r="H4" s="840"/>
    </row>
    <row r="5" spans="1:8" ht="18.75" customHeight="1">
      <c r="B5" s="839" t="s">
        <v>4</v>
      </c>
      <c r="D5" s="841" t="s">
        <v>5</v>
      </c>
    </row>
    <row r="6" spans="1:8" ht="19.899999999999999" customHeight="1">
      <c r="B6" s="839" t="s">
        <v>6</v>
      </c>
      <c r="D6" s="841" t="str">
        <f ca="1" xml:space="preserve"> MID(CELL("filename",$A$1), SEARCH("[", CELL("filename",$A$1)) + 1, SEARCH("]", CELL("filename",$A$1)) - SEARCH("[", CELL("filename",$A$1)) - 1)</f>
        <v>ND-D-IO-00-EV-REIS-0006-0001_P02.xlsx</v>
      </c>
    </row>
    <row r="7" spans="1:8" ht="19.899999999999999" customHeight="1">
      <c r="B7" s="839" t="s">
        <v>7</v>
      </c>
      <c r="D7" s="842">
        <v>45070</v>
      </c>
    </row>
    <row r="8" spans="1:8" ht="19.899999999999999" customHeight="1">
      <c r="A8" s="843"/>
    </row>
    <row r="9" spans="1:8" ht="19.899999999999999" customHeight="1">
      <c r="B9" s="844" t="s">
        <v>8</v>
      </c>
      <c r="C9" s="845" t="s">
        <v>9</v>
      </c>
      <c r="D9" s="854" t="s">
        <v>10</v>
      </c>
      <c r="E9" s="855"/>
      <c r="F9" s="845" t="s">
        <v>11</v>
      </c>
      <c r="G9" s="845" t="s">
        <v>12</v>
      </c>
      <c r="H9" s="845" t="s">
        <v>13</v>
      </c>
    </row>
    <row r="10" spans="1:8" ht="19.899999999999999" customHeight="1">
      <c r="B10" s="846" t="s">
        <v>14</v>
      </c>
      <c r="C10" s="847">
        <v>45013</v>
      </c>
      <c r="D10" s="856" t="s">
        <v>15</v>
      </c>
      <c r="E10" s="857"/>
      <c r="F10" s="848" t="s">
        <v>3</v>
      </c>
      <c r="G10" s="848" t="s">
        <v>16</v>
      </c>
      <c r="H10" s="849"/>
    </row>
    <row r="11" spans="1:8" ht="19.899999999999999" customHeight="1">
      <c r="B11" s="846" t="s">
        <v>17</v>
      </c>
      <c r="C11" s="847">
        <v>45043</v>
      </c>
      <c r="D11" s="856" t="s">
        <v>18</v>
      </c>
      <c r="E11" s="857"/>
      <c r="F11" s="848" t="s">
        <v>3</v>
      </c>
      <c r="G11" s="848" t="s">
        <v>16</v>
      </c>
      <c r="H11" s="849"/>
    </row>
    <row r="12" spans="1:8" ht="19.899999999999999" customHeight="1">
      <c r="B12" s="846" t="s">
        <v>19</v>
      </c>
      <c r="C12" s="847">
        <v>45077</v>
      </c>
      <c r="D12" s="856" t="s">
        <v>20</v>
      </c>
      <c r="E12" s="857"/>
      <c r="F12" s="848" t="s">
        <v>3</v>
      </c>
      <c r="G12" s="848" t="s">
        <v>16</v>
      </c>
      <c r="H12" s="849"/>
    </row>
    <row r="13" spans="1:8" ht="19.899999999999999" customHeight="1">
      <c r="B13" s="846"/>
      <c r="C13" s="850"/>
      <c r="D13" s="851"/>
      <c r="E13" s="852"/>
      <c r="F13" s="849"/>
      <c r="G13" s="849"/>
      <c r="H13" s="849"/>
    </row>
    <row r="14" spans="1:8"/>
    <row r="15" spans="1:8" hidden="1">
      <c r="C15" s="853"/>
      <c r="D15" s="853"/>
      <c r="E15" s="853"/>
      <c r="F15" s="853"/>
      <c r="G15" s="853"/>
      <c r="H15" s="853"/>
    </row>
    <row r="16" spans="1:8" ht="12.75" customHeight="1"/>
  </sheetData>
  <sheetProtection algorithmName="SHA-512" hashValue="jpqzpAX7iopx4+lnOT+uYXmQp0qSQxj2Mk0EyPmLMysEyPLRmWN0sfv+Opm0oXSdW3Zzx4ltNPInmi0UZyCcZg==" saltValue="qAob/Z9rqtXeclpi17heHA==" spinCount="100000" sheet="1" objects="1" scenarios="1" selectLockedCells="1" selectUnlockedCells="1"/>
  <mergeCells count="4">
    <mergeCell ref="D9:E9"/>
    <mergeCell ref="D10:E10"/>
    <mergeCell ref="D11:E11"/>
    <mergeCell ref="D12:E12"/>
  </mergeCells>
  <pageMargins left="0.7" right="0.7" top="0.75" bottom="0.75" header="0.3" footer="0.3"/>
  <headerFooter>
    <oddFooter>&amp;C_x000D_&amp;1#&amp;"Calibri"&amp;10&amp;K000000 Internal</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E2694-5AC7-4ABB-A631-ED34E9DCDDF2}">
  <sheetPr>
    <tabColor rgb="FF0070C0"/>
  </sheetPr>
  <dimension ref="B1:K87"/>
  <sheetViews>
    <sheetView zoomScaleNormal="100" workbookViewId="0">
      <selection activeCell="E6" sqref="E6"/>
    </sheetView>
  </sheetViews>
  <sheetFormatPr defaultColWidth="8.7109375" defaultRowHeight="12.75"/>
  <cols>
    <col min="1" max="1" width="8.7109375" style="624"/>
    <col min="2" max="2" width="28.7109375" style="624" customWidth="1"/>
    <col min="3" max="4" width="11.28515625" style="624" customWidth="1"/>
    <col min="5" max="5" width="10.5703125" style="624" customWidth="1"/>
    <col min="6" max="6" width="13.28515625" style="624" customWidth="1"/>
    <col min="7" max="7" width="17.5703125" style="635" customWidth="1"/>
    <col min="8" max="8" width="10.28515625" style="635" customWidth="1"/>
    <col min="9" max="9" width="22.5703125" style="624" customWidth="1"/>
    <col min="10" max="10" width="16.7109375" style="624" customWidth="1"/>
    <col min="11" max="11" width="43.7109375" style="624" customWidth="1"/>
    <col min="12" max="12" width="8.7109375" style="624"/>
    <col min="13" max="13" width="8.7109375" style="624" customWidth="1"/>
    <col min="14" max="14" width="8.7109375" style="624"/>
    <col min="15" max="15" width="10.7109375" style="624" bestFit="1" customWidth="1"/>
    <col min="16" max="16384" width="8.7109375" style="624"/>
  </cols>
  <sheetData>
    <row r="1" spans="2:11">
      <c r="G1" s="625"/>
      <c r="H1" s="625"/>
      <c r="I1" s="626"/>
    </row>
    <row r="2" spans="2:11">
      <c r="B2" s="627" t="s">
        <v>22</v>
      </c>
      <c r="C2" s="628" t="s">
        <v>1</v>
      </c>
      <c r="D2" s="628"/>
      <c r="E2" s="628"/>
      <c r="F2" s="628"/>
      <c r="G2" s="629"/>
      <c r="H2" s="629"/>
      <c r="I2" s="630"/>
      <c r="J2" s="631" t="s">
        <v>23</v>
      </c>
      <c r="K2" s="632" t="str">
        <f>'Emiss. Const. Offsh.'!$I$2</f>
        <v>PRJ-001030</v>
      </c>
    </row>
    <row r="3" spans="2:11">
      <c r="B3" s="633" t="s">
        <v>24</v>
      </c>
      <c r="C3" s="628" t="s">
        <v>5</v>
      </c>
      <c r="D3" s="634"/>
      <c r="E3" s="634"/>
      <c r="F3" s="634"/>
      <c r="J3" s="636" t="s">
        <v>25</v>
      </c>
      <c r="K3" s="637"/>
    </row>
    <row r="4" spans="2:11" ht="12.6" customHeight="1">
      <c r="B4" s="633" t="s">
        <v>26</v>
      </c>
      <c r="C4" s="634" t="s">
        <v>96</v>
      </c>
      <c r="D4" s="634"/>
      <c r="E4" s="634"/>
      <c r="F4" s="634"/>
      <c r="J4" s="636" t="s">
        <v>27</v>
      </c>
      <c r="K4" s="638" t="s">
        <v>223</v>
      </c>
    </row>
    <row r="5" spans="2:11">
      <c r="B5" s="639" t="s">
        <v>98</v>
      </c>
      <c r="C5" s="640"/>
      <c r="D5" s="640"/>
      <c r="E5" s="640"/>
      <c r="F5" s="640"/>
      <c r="J5" s="641"/>
      <c r="K5" s="642"/>
    </row>
    <row r="6" spans="2:11">
      <c r="B6" s="639"/>
      <c r="C6" s="640"/>
      <c r="D6" s="640"/>
      <c r="E6" s="640"/>
      <c r="F6" s="640"/>
      <c r="J6" s="641"/>
      <c r="K6" s="642"/>
    </row>
    <row r="7" spans="2:11">
      <c r="B7" s="643" t="s">
        <v>99</v>
      </c>
      <c r="C7" s="626"/>
      <c r="D7" s="626"/>
      <c r="E7" s="644"/>
      <c r="F7" s="644"/>
      <c r="G7" s="625"/>
      <c r="H7" s="625"/>
      <c r="I7" s="626"/>
      <c r="J7" s="645" t="s">
        <v>28</v>
      </c>
      <c r="K7" s="646"/>
    </row>
    <row r="8" spans="2:11">
      <c r="B8" s="1013" t="s">
        <v>224</v>
      </c>
      <c r="C8" s="1014"/>
      <c r="D8" s="1014"/>
      <c r="E8" s="1014"/>
      <c r="F8" s="1014"/>
      <c r="G8" s="1014"/>
      <c r="H8" s="1014"/>
      <c r="I8" s="1014"/>
      <c r="J8" s="1014"/>
      <c r="K8" s="1015"/>
    </row>
    <row r="9" spans="2:11">
      <c r="B9" s="1004"/>
      <c r="C9" s="1005"/>
      <c r="D9" s="1005"/>
      <c r="E9" s="1005"/>
      <c r="F9" s="1005"/>
      <c r="G9" s="1005"/>
      <c r="H9" s="1005"/>
      <c r="I9" s="1005"/>
      <c r="J9" s="1005"/>
      <c r="K9" s="1006"/>
    </row>
    <row r="10" spans="2:11" ht="15.75" thickBot="1">
      <c r="B10" s="1007" t="s">
        <v>440</v>
      </c>
      <c r="C10" s="1008"/>
      <c r="D10" s="1008"/>
      <c r="E10" s="1008"/>
      <c r="F10" s="1008"/>
      <c r="G10" s="1008"/>
      <c r="H10" s="1008"/>
      <c r="I10" s="1008"/>
      <c r="J10" s="1008"/>
      <c r="K10" s="1009"/>
    </row>
    <row r="11" spans="2:11">
      <c r="B11" s="888" t="s">
        <v>106</v>
      </c>
      <c r="C11" s="888" t="s">
        <v>107</v>
      </c>
      <c r="D11" s="980" t="s">
        <v>441</v>
      </c>
      <c r="E11" s="888" t="s">
        <v>108</v>
      </c>
      <c r="F11" s="888" t="s">
        <v>109</v>
      </c>
      <c r="G11" s="1010" t="s">
        <v>227</v>
      </c>
      <c r="H11" s="1012" t="s">
        <v>442</v>
      </c>
      <c r="I11" s="888" t="s">
        <v>111</v>
      </c>
      <c r="J11" s="888" t="s">
        <v>112</v>
      </c>
      <c r="K11" s="888" t="s">
        <v>113</v>
      </c>
    </row>
    <row r="12" spans="2:11">
      <c r="B12" s="889"/>
      <c r="C12" s="889"/>
      <c r="D12" s="981"/>
      <c r="E12" s="889"/>
      <c r="F12" s="889"/>
      <c r="G12" s="1011"/>
      <c r="H12" s="978"/>
      <c r="I12" s="889"/>
      <c r="J12" s="889"/>
      <c r="K12" s="889"/>
    </row>
    <row r="13" spans="2:11" ht="13.5" thickBot="1">
      <c r="B13" s="889"/>
      <c r="C13" s="889"/>
      <c r="D13" s="981"/>
      <c r="E13" s="889"/>
      <c r="F13" s="889"/>
      <c r="G13" s="1011"/>
      <c r="H13" s="979"/>
      <c r="I13" s="889"/>
      <c r="J13" s="889"/>
      <c r="K13" s="889"/>
    </row>
    <row r="14" spans="2:11" ht="13.5" thickBot="1">
      <c r="B14" s="647" t="s">
        <v>443</v>
      </c>
      <c r="C14" s="648" t="s">
        <v>444</v>
      </c>
      <c r="D14" s="648"/>
      <c r="E14" s="648" t="s">
        <v>231</v>
      </c>
      <c r="F14" s="648" t="s">
        <v>119</v>
      </c>
      <c r="G14" s="649">
        <v>26</v>
      </c>
      <c r="H14" s="650" t="s">
        <v>445</v>
      </c>
      <c r="I14" s="648" t="s">
        <v>105</v>
      </c>
      <c r="J14" s="647" t="s">
        <v>312</v>
      </c>
      <c r="K14" s="651" t="s">
        <v>446</v>
      </c>
    </row>
    <row r="15" spans="2:11" ht="115.5" thickBot="1">
      <c r="B15" s="647" t="s">
        <v>447</v>
      </c>
      <c r="C15" s="647" t="s">
        <v>448</v>
      </c>
      <c r="D15" s="652" t="s">
        <v>449</v>
      </c>
      <c r="E15" s="647" t="s">
        <v>231</v>
      </c>
      <c r="F15" s="647" t="s">
        <v>232</v>
      </c>
      <c r="G15" s="649">
        <v>1.0204</v>
      </c>
      <c r="H15" s="650" t="s">
        <v>246</v>
      </c>
      <c r="I15" s="647" t="s">
        <v>105</v>
      </c>
      <c r="J15" s="647" t="s">
        <v>312</v>
      </c>
      <c r="K15" s="651" t="s">
        <v>450</v>
      </c>
    </row>
    <row r="16" spans="2:11" ht="141" thickBot="1">
      <c r="B16" s="648" t="s">
        <v>451</v>
      </c>
      <c r="C16" s="648" t="s">
        <v>452</v>
      </c>
      <c r="D16" s="652" t="s">
        <v>449</v>
      </c>
      <c r="E16" s="648" t="s">
        <v>231</v>
      </c>
      <c r="F16" s="648" t="s">
        <v>232</v>
      </c>
      <c r="G16" s="649">
        <f>40*90</f>
        <v>3600</v>
      </c>
      <c r="H16" s="653" t="s">
        <v>445</v>
      </c>
      <c r="I16" s="648" t="s">
        <v>105</v>
      </c>
      <c r="J16" s="647" t="s">
        <v>453</v>
      </c>
      <c r="K16" s="651" t="s">
        <v>454</v>
      </c>
    </row>
    <row r="17" spans="2:11" ht="51.75" thickBot="1">
      <c r="B17" s="648" t="s">
        <v>455</v>
      </c>
      <c r="C17" s="648" t="s">
        <v>452</v>
      </c>
      <c r="D17" s="652" t="s">
        <v>449</v>
      </c>
      <c r="E17" s="648" t="s">
        <v>231</v>
      </c>
      <c r="F17" s="648" t="s">
        <v>232</v>
      </c>
      <c r="G17" s="649">
        <v>400</v>
      </c>
      <c r="H17" s="653" t="s">
        <v>246</v>
      </c>
      <c r="I17" s="648" t="s">
        <v>105</v>
      </c>
      <c r="J17" s="647" t="s">
        <v>456</v>
      </c>
      <c r="K17" s="651" t="s">
        <v>457</v>
      </c>
    </row>
    <row r="18" spans="2:11" ht="26.25" thickBot="1">
      <c r="B18" s="648" t="s">
        <v>458</v>
      </c>
      <c r="C18" s="648" t="s">
        <v>459</v>
      </c>
      <c r="D18" s="652" t="s">
        <v>449</v>
      </c>
      <c r="E18" s="648" t="s">
        <v>231</v>
      </c>
      <c r="F18" s="648" t="s">
        <v>232</v>
      </c>
      <c r="G18" s="649">
        <f>10080*7</f>
        <v>70560</v>
      </c>
      <c r="H18" s="653" t="s">
        <v>246</v>
      </c>
      <c r="I18" s="648" t="s">
        <v>105</v>
      </c>
      <c r="J18" s="647" t="s">
        <v>460</v>
      </c>
      <c r="K18" s="651" t="s">
        <v>461</v>
      </c>
    </row>
    <row r="19" spans="2:11" ht="26.25" thickBot="1">
      <c r="B19" s="648" t="s">
        <v>462</v>
      </c>
      <c r="C19" s="648" t="s">
        <v>459</v>
      </c>
      <c r="D19" s="652" t="s">
        <v>449</v>
      </c>
      <c r="E19" s="648" t="s">
        <v>231</v>
      </c>
      <c r="F19" s="648" t="s">
        <v>232</v>
      </c>
      <c r="G19" s="649">
        <v>5</v>
      </c>
      <c r="H19" s="653" t="s">
        <v>246</v>
      </c>
      <c r="I19" s="648" t="s">
        <v>105</v>
      </c>
      <c r="J19" s="647" t="s">
        <v>312</v>
      </c>
      <c r="K19" s="651" t="s">
        <v>463</v>
      </c>
    </row>
    <row r="20" spans="2:11" ht="102.75" thickBot="1">
      <c r="B20" s="648" t="s">
        <v>464</v>
      </c>
      <c r="C20" s="648" t="s">
        <v>465</v>
      </c>
      <c r="D20" s="652" t="s">
        <v>449</v>
      </c>
      <c r="E20" s="648" t="s">
        <v>231</v>
      </c>
      <c r="F20" s="648" t="s">
        <v>232</v>
      </c>
      <c r="G20" s="649">
        <v>130</v>
      </c>
      <c r="H20" s="653" t="s">
        <v>246</v>
      </c>
      <c r="I20" s="648" t="s">
        <v>105</v>
      </c>
      <c r="J20" s="647" t="s">
        <v>312</v>
      </c>
      <c r="K20" s="651" t="s">
        <v>466</v>
      </c>
    </row>
    <row r="21" spans="2:11" ht="26.25" thickBot="1">
      <c r="B21" s="648" t="s">
        <v>467</v>
      </c>
      <c r="C21" s="648" t="s">
        <v>468</v>
      </c>
      <c r="D21" s="654" t="s">
        <v>469</v>
      </c>
      <c r="E21" s="648" t="s">
        <v>231</v>
      </c>
      <c r="F21" s="648" t="s">
        <v>119</v>
      </c>
      <c r="G21" s="649">
        <f>450*200/1000*240</f>
        <v>21600</v>
      </c>
      <c r="H21" s="650" t="s">
        <v>233</v>
      </c>
      <c r="I21" s="648" t="s">
        <v>104</v>
      </c>
      <c r="J21" s="648" t="s">
        <v>470</v>
      </c>
      <c r="K21" s="651" t="s">
        <v>471</v>
      </c>
    </row>
    <row r="22" spans="2:11" ht="26.25" thickBot="1">
      <c r="B22" s="648" t="s">
        <v>472</v>
      </c>
      <c r="C22" s="648" t="s">
        <v>473</v>
      </c>
      <c r="D22" s="652" t="s">
        <v>449</v>
      </c>
      <c r="E22" s="648" t="s">
        <v>231</v>
      </c>
      <c r="F22" s="648" t="s">
        <v>119</v>
      </c>
      <c r="G22" s="649">
        <v>73152</v>
      </c>
      <c r="H22" s="650" t="s">
        <v>246</v>
      </c>
      <c r="I22" s="648" t="s">
        <v>105</v>
      </c>
      <c r="J22" s="647" t="s">
        <v>312</v>
      </c>
      <c r="K22" s="651" t="s">
        <v>474</v>
      </c>
    </row>
    <row r="23" spans="2:11" ht="39" thickBot="1">
      <c r="B23" s="648" t="s">
        <v>475</v>
      </c>
      <c r="C23" s="648" t="s">
        <v>444</v>
      </c>
      <c r="D23" s="652" t="s">
        <v>449</v>
      </c>
      <c r="E23" s="648" t="s">
        <v>231</v>
      </c>
      <c r="F23" s="648" t="s">
        <v>119</v>
      </c>
      <c r="G23" s="649">
        <v>150000</v>
      </c>
      <c r="H23" s="650" t="s">
        <v>246</v>
      </c>
      <c r="I23" s="648" t="s">
        <v>105</v>
      </c>
      <c r="J23" s="647" t="s">
        <v>312</v>
      </c>
      <c r="K23" s="651" t="s">
        <v>476</v>
      </c>
    </row>
    <row r="24" spans="2:11" ht="13.15" customHeight="1">
      <c r="B24" s="1001" t="s">
        <v>297</v>
      </c>
      <c r="C24" s="1016"/>
      <c r="D24" s="1016"/>
      <c r="E24" s="1016"/>
      <c r="F24" s="1016"/>
      <c r="G24" s="1016"/>
      <c r="H24" s="1016"/>
      <c r="I24" s="1016"/>
      <c r="J24" s="1016"/>
      <c r="K24" s="1017"/>
    </row>
    <row r="25" spans="2:11" ht="13.15" customHeight="1">
      <c r="B25" s="1018"/>
      <c r="C25" s="1019"/>
      <c r="D25" s="1019"/>
      <c r="E25" s="1019"/>
      <c r="F25" s="1019"/>
      <c r="G25" s="1019"/>
      <c r="H25" s="1019"/>
      <c r="I25" s="1019"/>
      <c r="J25" s="1019"/>
      <c r="K25" s="1020"/>
    </row>
    <row r="26" spans="2:11" ht="15.75" thickBot="1">
      <c r="B26" s="1007" t="s">
        <v>440</v>
      </c>
      <c r="C26" s="1008"/>
      <c r="D26" s="1008"/>
      <c r="E26" s="1008"/>
      <c r="F26" s="1008"/>
      <c r="G26" s="1008"/>
      <c r="H26" s="1008"/>
      <c r="I26" s="1008"/>
      <c r="J26" s="1008"/>
      <c r="K26" s="1009"/>
    </row>
    <row r="27" spans="2:11" ht="13.15" customHeight="1">
      <c r="B27" s="888" t="s">
        <v>106</v>
      </c>
      <c r="C27" s="888" t="s">
        <v>107</v>
      </c>
      <c r="D27" s="980" t="s">
        <v>441</v>
      </c>
      <c r="E27" s="888" t="s">
        <v>108</v>
      </c>
      <c r="F27" s="888" t="s">
        <v>109</v>
      </c>
      <c r="G27" s="1010" t="s">
        <v>227</v>
      </c>
      <c r="H27" s="1012" t="s">
        <v>442</v>
      </c>
      <c r="I27" s="888" t="s">
        <v>111</v>
      </c>
      <c r="J27" s="888" t="s">
        <v>112</v>
      </c>
      <c r="K27" s="888" t="s">
        <v>113</v>
      </c>
    </row>
    <row r="28" spans="2:11" ht="13.15" customHeight="1">
      <c r="B28" s="889"/>
      <c r="C28" s="889"/>
      <c r="D28" s="981"/>
      <c r="E28" s="889"/>
      <c r="F28" s="889"/>
      <c r="G28" s="1011"/>
      <c r="H28" s="978"/>
      <c r="I28" s="889"/>
      <c r="J28" s="889"/>
      <c r="K28" s="889"/>
    </row>
    <row r="29" spans="2:11" ht="13.5" customHeight="1" thickBot="1">
      <c r="B29" s="889"/>
      <c r="C29" s="889"/>
      <c r="D29" s="981"/>
      <c r="E29" s="889"/>
      <c r="F29" s="889"/>
      <c r="G29" s="1011"/>
      <c r="H29" s="979"/>
      <c r="I29" s="889"/>
      <c r="J29" s="889"/>
      <c r="K29" s="889"/>
    </row>
    <row r="30" spans="2:11" ht="39" thickBot="1">
      <c r="B30" s="648" t="s">
        <v>477</v>
      </c>
      <c r="C30" s="655" t="s">
        <v>478</v>
      </c>
      <c r="D30" s="655" t="s">
        <v>479</v>
      </c>
      <c r="E30" s="648" t="s">
        <v>231</v>
      </c>
      <c r="F30" s="648" t="s">
        <v>232</v>
      </c>
      <c r="G30" s="649">
        <v>3140</v>
      </c>
      <c r="H30" s="648" t="s">
        <v>246</v>
      </c>
      <c r="I30" s="648" t="s">
        <v>105</v>
      </c>
      <c r="J30" s="648" t="s">
        <v>480</v>
      </c>
      <c r="K30" s="648" t="s">
        <v>481</v>
      </c>
    </row>
    <row r="31" spans="2:11" ht="26.25" thickBot="1">
      <c r="B31" s="648" t="s">
        <v>482</v>
      </c>
      <c r="C31" s="655" t="s">
        <v>478</v>
      </c>
      <c r="D31" s="655" t="s">
        <v>479</v>
      </c>
      <c r="E31" s="648" t="s">
        <v>231</v>
      </c>
      <c r="F31" s="648" t="s">
        <v>232</v>
      </c>
      <c r="G31" s="648">
        <v>200</v>
      </c>
      <c r="H31" s="648" t="s">
        <v>246</v>
      </c>
      <c r="I31" s="648" t="s">
        <v>105</v>
      </c>
      <c r="J31" s="648" t="s">
        <v>480</v>
      </c>
      <c r="K31" s="656" t="s">
        <v>483</v>
      </c>
    </row>
    <row r="32" spans="2:11" ht="26.25" thickBot="1">
      <c r="B32" s="647" t="s">
        <v>484</v>
      </c>
      <c r="C32" s="654" t="s">
        <v>485</v>
      </c>
      <c r="D32" s="655" t="s">
        <v>486</v>
      </c>
      <c r="E32" s="648" t="s">
        <v>231</v>
      </c>
      <c r="F32" s="648" t="s">
        <v>232</v>
      </c>
      <c r="G32" s="654">
        <v>5</v>
      </c>
      <c r="H32" s="657" t="s">
        <v>487</v>
      </c>
      <c r="I32" s="648" t="s">
        <v>105</v>
      </c>
      <c r="J32" s="647" t="s">
        <v>312</v>
      </c>
      <c r="K32" s="656" t="s">
        <v>488</v>
      </c>
    </row>
    <row r="33" spans="2:11" ht="26.25" thickBot="1">
      <c r="B33" s="647" t="s">
        <v>489</v>
      </c>
      <c r="C33" s="655" t="s">
        <v>478</v>
      </c>
      <c r="D33" s="655" t="s">
        <v>479</v>
      </c>
      <c r="E33" s="647" t="s">
        <v>231</v>
      </c>
      <c r="F33" s="647" t="s">
        <v>232</v>
      </c>
      <c r="G33" s="649">
        <v>3250</v>
      </c>
      <c r="H33" s="650" t="s">
        <v>246</v>
      </c>
      <c r="I33" s="647" t="s">
        <v>105</v>
      </c>
      <c r="J33" s="647" t="s">
        <v>480</v>
      </c>
      <c r="K33" s="651" t="s">
        <v>490</v>
      </c>
    </row>
    <row r="34" spans="2:11" ht="39" thickBot="1">
      <c r="B34" s="648" t="s">
        <v>491</v>
      </c>
      <c r="C34" s="655" t="s">
        <v>485</v>
      </c>
      <c r="D34" s="655" t="s">
        <v>245</v>
      </c>
      <c r="E34" s="648" t="s">
        <v>231</v>
      </c>
      <c r="F34" s="648" t="s">
        <v>232</v>
      </c>
      <c r="G34" s="649">
        <v>980</v>
      </c>
      <c r="H34" s="653" t="s">
        <v>246</v>
      </c>
      <c r="I34" s="648" t="s">
        <v>105</v>
      </c>
      <c r="J34" s="647" t="s">
        <v>492</v>
      </c>
      <c r="K34" s="656" t="s">
        <v>493</v>
      </c>
    </row>
    <row r="35" spans="2:11" ht="39" thickBot="1">
      <c r="B35" s="648" t="s">
        <v>494</v>
      </c>
      <c r="C35" s="655" t="s">
        <v>495</v>
      </c>
      <c r="D35" s="655" t="s">
        <v>245</v>
      </c>
      <c r="E35" s="648" t="s">
        <v>231</v>
      </c>
      <c r="F35" s="648" t="s">
        <v>232</v>
      </c>
      <c r="G35" s="649">
        <v>80</v>
      </c>
      <c r="H35" s="653" t="s">
        <v>246</v>
      </c>
      <c r="I35" s="648" t="s">
        <v>105</v>
      </c>
      <c r="J35" s="647" t="s">
        <v>496</v>
      </c>
      <c r="K35" s="656" t="s">
        <v>497</v>
      </c>
    </row>
    <row r="36" spans="2:11" ht="77.25" thickBot="1">
      <c r="B36" s="648" t="s">
        <v>498</v>
      </c>
      <c r="C36" s="648" t="s">
        <v>465</v>
      </c>
      <c r="D36" s="652" t="s">
        <v>449</v>
      </c>
      <c r="E36" s="648" t="s">
        <v>231</v>
      </c>
      <c r="F36" s="648" t="s">
        <v>232</v>
      </c>
      <c r="G36" s="649">
        <v>4000</v>
      </c>
      <c r="H36" s="653" t="s">
        <v>246</v>
      </c>
      <c r="I36" s="648" t="s">
        <v>105</v>
      </c>
      <c r="J36" s="647" t="s">
        <v>499</v>
      </c>
      <c r="K36" s="651" t="s">
        <v>500</v>
      </c>
    </row>
    <row r="37" spans="2:11" ht="39" thickBot="1">
      <c r="B37" s="648" t="s">
        <v>501</v>
      </c>
      <c r="C37" s="648" t="s">
        <v>468</v>
      </c>
      <c r="D37" s="654" t="s">
        <v>469</v>
      </c>
      <c r="E37" s="648" t="s">
        <v>231</v>
      </c>
      <c r="F37" s="648" t="s">
        <v>119</v>
      </c>
      <c r="G37" s="649">
        <f>40*40/1000*120</f>
        <v>192</v>
      </c>
      <c r="H37" s="650" t="s">
        <v>233</v>
      </c>
      <c r="I37" s="648" t="s">
        <v>104</v>
      </c>
      <c r="J37" s="648" t="s">
        <v>502</v>
      </c>
      <c r="K37" s="651" t="s">
        <v>503</v>
      </c>
    </row>
    <row r="38" spans="2:11" ht="39" thickBot="1">
      <c r="B38" s="648" t="s">
        <v>504</v>
      </c>
      <c r="C38" s="648" t="s">
        <v>468</v>
      </c>
      <c r="D38" s="654" t="s">
        <v>469</v>
      </c>
      <c r="E38" s="648" t="s">
        <v>231</v>
      </c>
      <c r="F38" s="648" t="s">
        <v>119</v>
      </c>
      <c r="G38" s="649">
        <f>70*40/1000*500</f>
        <v>1400</v>
      </c>
      <c r="H38" s="650" t="s">
        <v>233</v>
      </c>
      <c r="I38" s="648" t="s">
        <v>104</v>
      </c>
      <c r="J38" s="648" t="s">
        <v>502</v>
      </c>
      <c r="K38" s="651" t="s">
        <v>505</v>
      </c>
    </row>
    <row r="39" spans="2:11">
      <c r="B39" s="1001" t="s">
        <v>191</v>
      </c>
      <c r="C39" s="1002"/>
      <c r="D39" s="1002"/>
      <c r="E39" s="1002"/>
      <c r="F39" s="1002"/>
      <c r="G39" s="1002"/>
      <c r="H39" s="1002"/>
      <c r="I39" s="1002"/>
      <c r="J39" s="1002"/>
      <c r="K39" s="1003"/>
    </row>
    <row r="40" spans="2:11">
      <c r="B40" s="1004"/>
      <c r="C40" s="1005"/>
      <c r="D40" s="1005"/>
      <c r="E40" s="1005"/>
      <c r="F40" s="1005"/>
      <c r="G40" s="1005"/>
      <c r="H40" s="1005"/>
      <c r="I40" s="1005"/>
      <c r="J40" s="1005"/>
      <c r="K40" s="1006"/>
    </row>
    <row r="41" spans="2:11" ht="15.75" thickBot="1">
      <c r="B41" s="1007" t="s">
        <v>440</v>
      </c>
      <c r="C41" s="1008"/>
      <c r="D41" s="1008"/>
      <c r="E41" s="1008"/>
      <c r="F41" s="1008"/>
      <c r="G41" s="1008"/>
      <c r="H41" s="1008"/>
      <c r="I41" s="1008"/>
      <c r="J41" s="1008"/>
      <c r="K41" s="1009"/>
    </row>
    <row r="42" spans="2:11" ht="13.15" customHeight="1">
      <c r="B42" s="888" t="s">
        <v>106</v>
      </c>
      <c r="C42" s="888" t="s">
        <v>107</v>
      </c>
      <c r="D42" s="980" t="s">
        <v>441</v>
      </c>
      <c r="E42" s="888" t="s">
        <v>108</v>
      </c>
      <c r="F42" s="888" t="s">
        <v>109</v>
      </c>
      <c r="G42" s="1010" t="s">
        <v>227</v>
      </c>
      <c r="H42" s="1012" t="s">
        <v>442</v>
      </c>
      <c r="I42" s="888" t="s">
        <v>111</v>
      </c>
      <c r="J42" s="888" t="s">
        <v>112</v>
      </c>
      <c r="K42" s="888" t="s">
        <v>113</v>
      </c>
    </row>
    <row r="43" spans="2:11" ht="13.15" customHeight="1">
      <c r="B43" s="889"/>
      <c r="C43" s="889"/>
      <c r="D43" s="981"/>
      <c r="E43" s="889"/>
      <c r="F43" s="889"/>
      <c r="G43" s="1011"/>
      <c r="H43" s="978"/>
      <c r="I43" s="889"/>
      <c r="J43" s="889"/>
      <c r="K43" s="889"/>
    </row>
    <row r="44" spans="2:11" ht="13.5" customHeight="1" thickBot="1">
      <c r="B44" s="889"/>
      <c r="C44" s="889"/>
      <c r="D44" s="981"/>
      <c r="E44" s="889"/>
      <c r="F44" s="889"/>
      <c r="G44" s="1011"/>
      <c r="H44" s="979"/>
      <c r="I44" s="889"/>
      <c r="J44" s="889"/>
      <c r="K44" s="889"/>
    </row>
    <row r="45" spans="2:11" ht="26.25" thickBot="1">
      <c r="B45" s="648" t="s">
        <v>506</v>
      </c>
      <c r="C45" s="655" t="s">
        <v>507</v>
      </c>
      <c r="D45" s="655" t="s">
        <v>508</v>
      </c>
      <c r="E45" s="648" t="s">
        <v>231</v>
      </c>
      <c r="F45" s="648" t="s">
        <v>232</v>
      </c>
      <c r="G45" s="658">
        <v>15000</v>
      </c>
      <c r="H45" s="659" t="s">
        <v>509</v>
      </c>
      <c r="I45" s="648" t="s">
        <v>105</v>
      </c>
      <c r="J45" s="648" t="s">
        <v>312</v>
      </c>
      <c r="K45" s="660" t="s">
        <v>510</v>
      </c>
    </row>
    <row r="46" spans="2:11" ht="13.5" thickBot="1">
      <c r="B46" s="648" t="s">
        <v>511</v>
      </c>
      <c r="C46" s="648" t="s">
        <v>512</v>
      </c>
      <c r="D46" s="655" t="s">
        <v>449</v>
      </c>
      <c r="E46" s="648" t="s">
        <v>231</v>
      </c>
      <c r="F46" s="648" t="s">
        <v>232</v>
      </c>
      <c r="G46" s="648">
        <f>50*10</f>
        <v>500</v>
      </c>
      <c r="H46" s="648" t="s">
        <v>246</v>
      </c>
      <c r="I46" s="648" t="s">
        <v>105</v>
      </c>
      <c r="J46" s="648" t="s">
        <v>312</v>
      </c>
      <c r="K46" s="660" t="s">
        <v>513</v>
      </c>
    </row>
    <row r="47" spans="2:11" ht="77.25" thickBot="1">
      <c r="B47" s="647" t="s">
        <v>514</v>
      </c>
      <c r="C47" s="655" t="s">
        <v>515</v>
      </c>
      <c r="D47" s="655" t="s">
        <v>516</v>
      </c>
      <c r="E47" s="648" t="s">
        <v>231</v>
      </c>
      <c r="F47" s="648" t="s">
        <v>232</v>
      </c>
      <c r="G47" s="658">
        <v>350</v>
      </c>
      <c r="H47" s="650" t="s">
        <v>246</v>
      </c>
      <c r="I47" s="648" t="s">
        <v>105</v>
      </c>
      <c r="J47" s="647" t="s">
        <v>312</v>
      </c>
      <c r="K47" s="651" t="s">
        <v>517</v>
      </c>
    </row>
    <row r="48" spans="2:11" ht="51.75" thickBot="1">
      <c r="B48" s="647" t="s">
        <v>518</v>
      </c>
      <c r="C48" s="648" t="s">
        <v>519</v>
      </c>
      <c r="D48" s="655" t="s">
        <v>508</v>
      </c>
      <c r="E48" s="647" t="s">
        <v>231</v>
      </c>
      <c r="F48" s="647" t="s">
        <v>119</v>
      </c>
      <c r="G48" s="649">
        <v>7500</v>
      </c>
      <c r="H48" s="650" t="s">
        <v>246</v>
      </c>
      <c r="I48" s="647" t="s">
        <v>105</v>
      </c>
      <c r="J48" s="647" t="s">
        <v>520</v>
      </c>
      <c r="K48" s="651" t="s">
        <v>521</v>
      </c>
    </row>
    <row r="49" spans="2:11" ht="26.25" thickBot="1">
      <c r="B49" s="648" t="s">
        <v>522</v>
      </c>
      <c r="C49" s="648" t="s">
        <v>468</v>
      </c>
      <c r="D49" s="655" t="s">
        <v>469</v>
      </c>
      <c r="E49" s="648" t="s">
        <v>231</v>
      </c>
      <c r="F49" s="648" t="s">
        <v>119</v>
      </c>
      <c r="G49" s="649">
        <f>194*200/1000*800</f>
        <v>31039.999999999996</v>
      </c>
      <c r="H49" s="650" t="s">
        <v>233</v>
      </c>
      <c r="I49" s="648" t="s">
        <v>104</v>
      </c>
      <c r="J49" s="648" t="s">
        <v>470</v>
      </c>
      <c r="K49" s="651" t="s">
        <v>523</v>
      </c>
    </row>
    <row r="50" spans="2:11">
      <c r="B50" s="1001" t="s">
        <v>328</v>
      </c>
      <c r="C50" s="1002"/>
      <c r="D50" s="1002"/>
      <c r="E50" s="1002"/>
      <c r="F50" s="1002"/>
      <c r="G50" s="1002"/>
      <c r="H50" s="1002"/>
      <c r="I50" s="1002"/>
      <c r="J50" s="1002"/>
      <c r="K50" s="1003"/>
    </row>
    <row r="51" spans="2:11">
      <c r="B51" s="1004"/>
      <c r="C51" s="1005"/>
      <c r="D51" s="1005"/>
      <c r="E51" s="1005"/>
      <c r="F51" s="1005"/>
      <c r="G51" s="1005"/>
      <c r="H51" s="1005"/>
      <c r="I51" s="1005"/>
      <c r="J51" s="1005"/>
      <c r="K51" s="1006"/>
    </row>
    <row r="52" spans="2:11" ht="15.75" thickBot="1">
      <c r="B52" s="1007" t="s">
        <v>440</v>
      </c>
      <c r="C52" s="1008"/>
      <c r="D52" s="1008"/>
      <c r="E52" s="1008"/>
      <c r="F52" s="1008"/>
      <c r="G52" s="1008"/>
      <c r="H52" s="1008"/>
      <c r="I52" s="1008"/>
      <c r="J52" s="1008"/>
      <c r="K52" s="1009"/>
    </row>
    <row r="53" spans="2:11">
      <c r="B53" s="888" t="s">
        <v>106</v>
      </c>
      <c r="C53" s="888" t="s">
        <v>107</v>
      </c>
      <c r="D53" s="980" t="s">
        <v>441</v>
      </c>
      <c r="E53" s="888" t="s">
        <v>108</v>
      </c>
      <c r="F53" s="888" t="s">
        <v>109</v>
      </c>
      <c r="G53" s="1010" t="s">
        <v>227</v>
      </c>
      <c r="H53" s="1012" t="s">
        <v>442</v>
      </c>
      <c r="I53" s="888" t="s">
        <v>111</v>
      </c>
      <c r="J53" s="888" t="s">
        <v>112</v>
      </c>
      <c r="K53" s="888" t="s">
        <v>113</v>
      </c>
    </row>
    <row r="54" spans="2:11">
      <c r="B54" s="889"/>
      <c r="C54" s="889"/>
      <c r="D54" s="981"/>
      <c r="E54" s="889"/>
      <c r="F54" s="889"/>
      <c r="G54" s="1011"/>
      <c r="H54" s="978"/>
      <c r="I54" s="889"/>
      <c r="J54" s="889"/>
      <c r="K54" s="889"/>
    </row>
    <row r="55" spans="2:11" ht="13.5" thickBot="1">
      <c r="B55" s="889"/>
      <c r="C55" s="889"/>
      <c r="D55" s="981"/>
      <c r="E55" s="889"/>
      <c r="F55" s="889"/>
      <c r="G55" s="1011"/>
      <c r="H55" s="979"/>
      <c r="I55" s="889"/>
      <c r="J55" s="889"/>
      <c r="K55" s="889"/>
    </row>
    <row r="56" spans="2:11" ht="64.5" thickBot="1">
      <c r="B56" s="647" t="s">
        <v>443</v>
      </c>
      <c r="C56" s="655" t="s">
        <v>524</v>
      </c>
      <c r="D56" s="655" t="s">
        <v>245</v>
      </c>
      <c r="E56" s="648" t="s">
        <v>231</v>
      </c>
      <c r="F56" s="648" t="s">
        <v>119</v>
      </c>
      <c r="G56" s="649">
        <v>200</v>
      </c>
      <c r="H56" s="650" t="s">
        <v>246</v>
      </c>
      <c r="I56" s="648" t="s">
        <v>105</v>
      </c>
      <c r="J56" s="647" t="s">
        <v>525</v>
      </c>
      <c r="K56" s="656" t="s">
        <v>526</v>
      </c>
    </row>
    <row r="57" spans="2:11" ht="39" thickBot="1">
      <c r="B57" s="647" t="s">
        <v>527</v>
      </c>
      <c r="C57" s="648" t="s">
        <v>524</v>
      </c>
      <c r="D57" s="652" t="s">
        <v>449</v>
      </c>
      <c r="E57" s="648" t="s">
        <v>231</v>
      </c>
      <c r="F57" s="648" t="s">
        <v>119</v>
      </c>
      <c r="G57" s="649">
        <f>9*2</f>
        <v>18</v>
      </c>
      <c r="H57" s="650" t="s">
        <v>246</v>
      </c>
      <c r="I57" s="648" t="s">
        <v>105</v>
      </c>
      <c r="J57" s="647" t="s">
        <v>528</v>
      </c>
      <c r="K57" s="651" t="s">
        <v>529</v>
      </c>
    </row>
    <row r="58" spans="2:11" ht="217.5" thickBot="1">
      <c r="B58" s="647" t="s">
        <v>530</v>
      </c>
      <c r="C58" s="647" t="s">
        <v>448</v>
      </c>
      <c r="D58" s="652" t="s">
        <v>449</v>
      </c>
      <c r="E58" s="647" t="s">
        <v>231</v>
      </c>
      <c r="F58" s="647" t="s">
        <v>232</v>
      </c>
      <c r="G58" s="649">
        <v>0.78</v>
      </c>
      <c r="H58" s="650" t="s">
        <v>239</v>
      </c>
      <c r="I58" s="647" t="s">
        <v>105</v>
      </c>
      <c r="J58" s="647" t="s">
        <v>312</v>
      </c>
      <c r="K58" s="651" t="s">
        <v>531</v>
      </c>
    </row>
    <row r="59" spans="2:11" ht="26.25" thickBot="1">
      <c r="B59" s="648" t="s">
        <v>532</v>
      </c>
      <c r="C59" s="648" t="s">
        <v>452</v>
      </c>
      <c r="D59" s="652" t="s">
        <v>449</v>
      </c>
      <c r="E59" s="648" t="s">
        <v>231</v>
      </c>
      <c r="F59" s="648" t="s">
        <v>232</v>
      </c>
      <c r="G59" s="649">
        <v>5292500</v>
      </c>
      <c r="H59" s="653" t="s">
        <v>246</v>
      </c>
      <c r="I59" s="648" t="s">
        <v>104</v>
      </c>
      <c r="J59" s="647" t="s">
        <v>453</v>
      </c>
      <c r="K59" s="651" t="s">
        <v>533</v>
      </c>
    </row>
    <row r="60" spans="2:11" ht="26.25" thickBot="1">
      <c r="B60" s="648" t="s">
        <v>534</v>
      </c>
      <c r="C60" s="648" t="s">
        <v>452</v>
      </c>
      <c r="D60" s="652" t="s">
        <v>449</v>
      </c>
      <c r="E60" s="648" t="s">
        <v>231</v>
      </c>
      <c r="F60" s="648" t="s">
        <v>232</v>
      </c>
      <c r="G60" s="649">
        <f>50*365*10</f>
        <v>182500</v>
      </c>
      <c r="H60" s="653" t="s">
        <v>246</v>
      </c>
      <c r="I60" s="648" t="s">
        <v>104</v>
      </c>
      <c r="J60" s="647" t="s">
        <v>453</v>
      </c>
      <c r="K60" s="651" t="s">
        <v>535</v>
      </c>
    </row>
    <row r="61" spans="2:11" ht="26.25" thickBot="1">
      <c r="B61" s="648" t="s">
        <v>536</v>
      </c>
      <c r="C61" s="648" t="s">
        <v>452</v>
      </c>
      <c r="D61" s="652" t="s">
        <v>449</v>
      </c>
      <c r="E61" s="648" t="s">
        <v>231</v>
      </c>
      <c r="F61" s="648" t="s">
        <v>232</v>
      </c>
      <c r="G61" s="649">
        <f>1400*365*10</f>
        <v>5110000</v>
      </c>
      <c r="H61" s="653" t="s">
        <v>246</v>
      </c>
      <c r="I61" s="648" t="s">
        <v>104</v>
      </c>
      <c r="J61" s="647" t="s">
        <v>453</v>
      </c>
      <c r="K61" s="651" t="s">
        <v>537</v>
      </c>
    </row>
    <row r="62" spans="2:11" ht="115.5" thickBot="1">
      <c r="B62" s="648" t="s">
        <v>538</v>
      </c>
      <c r="C62" s="648" t="s">
        <v>459</v>
      </c>
      <c r="D62" s="652" t="s">
        <v>449</v>
      </c>
      <c r="E62" s="648" t="s">
        <v>231</v>
      </c>
      <c r="F62" s="648" t="s">
        <v>232</v>
      </c>
      <c r="G62" s="649">
        <v>420</v>
      </c>
      <c r="H62" s="653" t="s">
        <v>539</v>
      </c>
      <c r="I62" s="648" t="s">
        <v>105</v>
      </c>
      <c r="J62" s="647" t="s">
        <v>460</v>
      </c>
      <c r="K62" s="651" t="s">
        <v>540</v>
      </c>
    </row>
    <row r="63" spans="2:11" ht="51.75" thickBot="1">
      <c r="B63" s="648" t="s">
        <v>541</v>
      </c>
      <c r="C63" s="648" t="s">
        <v>459</v>
      </c>
      <c r="D63" s="652" t="s">
        <v>449</v>
      </c>
      <c r="E63" s="648" t="s">
        <v>231</v>
      </c>
      <c r="F63" s="648" t="s">
        <v>232</v>
      </c>
      <c r="G63" s="649">
        <v>100</v>
      </c>
      <c r="H63" s="653" t="s">
        <v>539</v>
      </c>
      <c r="I63" s="648" t="s">
        <v>105</v>
      </c>
      <c r="J63" s="647" t="s">
        <v>460</v>
      </c>
      <c r="K63" s="651" t="s">
        <v>542</v>
      </c>
    </row>
    <row r="64" spans="2:11" ht="77.25" thickBot="1">
      <c r="B64" s="648" t="s">
        <v>543</v>
      </c>
      <c r="C64" s="647" t="s">
        <v>448</v>
      </c>
      <c r="D64" s="652" t="s">
        <v>449</v>
      </c>
      <c r="E64" s="647" t="s">
        <v>231</v>
      </c>
      <c r="F64" s="647" t="s">
        <v>232</v>
      </c>
      <c r="G64" s="661">
        <v>6.3071999999999999</v>
      </c>
      <c r="H64" s="653" t="s">
        <v>239</v>
      </c>
      <c r="I64" s="648" t="s">
        <v>105</v>
      </c>
      <c r="J64" s="647" t="s">
        <v>312</v>
      </c>
      <c r="K64" s="651" t="s">
        <v>544</v>
      </c>
    </row>
    <row r="65" spans="2:11" ht="26.25" thickBot="1">
      <c r="B65" s="648" t="s">
        <v>545</v>
      </c>
      <c r="C65" s="648" t="s">
        <v>465</v>
      </c>
      <c r="D65" s="655" t="s">
        <v>245</v>
      </c>
      <c r="E65" s="648" t="s">
        <v>231</v>
      </c>
      <c r="F65" s="648" t="s">
        <v>232</v>
      </c>
      <c r="G65" s="662">
        <v>130</v>
      </c>
      <c r="H65" s="663" t="s">
        <v>246</v>
      </c>
      <c r="I65" s="648" t="s">
        <v>105</v>
      </c>
      <c r="J65" s="647" t="s">
        <v>546</v>
      </c>
      <c r="K65" s="656" t="s">
        <v>547</v>
      </c>
    </row>
    <row r="66" spans="2:11" ht="51.75" thickBot="1">
      <c r="B66" s="648" t="s">
        <v>548</v>
      </c>
      <c r="C66" s="648" t="s">
        <v>468</v>
      </c>
      <c r="D66" s="655" t="s">
        <v>469</v>
      </c>
      <c r="E66" s="648" t="s">
        <v>231</v>
      </c>
      <c r="F66" s="648" t="s">
        <v>119</v>
      </c>
      <c r="G66" s="649">
        <f>40*200/1000*60</f>
        <v>480</v>
      </c>
      <c r="H66" s="650" t="s">
        <v>233</v>
      </c>
      <c r="I66" s="648" t="s">
        <v>105</v>
      </c>
      <c r="J66" s="648" t="s">
        <v>470</v>
      </c>
      <c r="K66" s="651" t="s">
        <v>549</v>
      </c>
    </row>
    <row r="67" spans="2:11" ht="90" thickBot="1">
      <c r="B67" s="648" t="s">
        <v>550</v>
      </c>
      <c r="C67" s="648" t="s">
        <v>551</v>
      </c>
      <c r="D67" s="652" t="s">
        <v>449</v>
      </c>
      <c r="E67" s="648" t="s">
        <v>231</v>
      </c>
      <c r="F67" s="648" t="s">
        <v>232</v>
      </c>
      <c r="G67" s="649">
        <v>1</v>
      </c>
      <c r="H67" s="650" t="s">
        <v>239</v>
      </c>
      <c r="I67" s="648" t="s">
        <v>105</v>
      </c>
      <c r="J67" s="647" t="s">
        <v>312</v>
      </c>
      <c r="K67" s="651" t="s">
        <v>552</v>
      </c>
    </row>
    <row r="68" spans="2:11" ht="26.25" thickBot="1">
      <c r="B68" s="648" t="s">
        <v>553</v>
      </c>
      <c r="C68" s="648" t="s">
        <v>255</v>
      </c>
      <c r="D68" s="652" t="s">
        <v>449</v>
      </c>
      <c r="E68" s="648" t="s">
        <v>231</v>
      </c>
      <c r="F68" s="648" t="s">
        <v>232</v>
      </c>
      <c r="G68" s="649">
        <f>159*6</f>
        <v>954</v>
      </c>
      <c r="H68" s="650" t="s">
        <v>239</v>
      </c>
      <c r="I68" s="648" t="s">
        <v>105</v>
      </c>
      <c r="J68" s="647" t="s">
        <v>460</v>
      </c>
      <c r="K68" s="651" t="s">
        <v>554</v>
      </c>
    </row>
    <row r="69" spans="2:11" ht="102.75" thickBot="1">
      <c r="B69" s="648" t="s">
        <v>555</v>
      </c>
      <c r="C69" s="648" t="s">
        <v>255</v>
      </c>
      <c r="D69" s="652" t="s">
        <v>449</v>
      </c>
      <c r="E69" s="648" t="s">
        <v>231</v>
      </c>
      <c r="F69" s="648" t="s">
        <v>232</v>
      </c>
      <c r="G69" s="649">
        <f>12.4*13</f>
        <v>161.20000000000002</v>
      </c>
      <c r="H69" s="650" t="s">
        <v>239</v>
      </c>
      <c r="I69" s="648" t="s">
        <v>105</v>
      </c>
      <c r="J69" s="647" t="s">
        <v>460</v>
      </c>
      <c r="K69" s="651" t="s">
        <v>556</v>
      </c>
    </row>
    <row r="70" spans="2:11" ht="26.25" thickBot="1">
      <c r="B70" s="648" t="s">
        <v>557</v>
      </c>
      <c r="C70" s="648" t="s">
        <v>255</v>
      </c>
      <c r="D70" s="652" t="s">
        <v>449</v>
      </c>
      <c r="E70" s="648" t="s">
        <v>231</v>
      </c>
      <c r="F70" s="648" t="s">
        <v>232</v>
      </c>
      <c r="G70" s="649">
        <f>159*2</f>
        <v>318</v>
      </c>
      <c r="H70" s="650" t="s">
        <v>558</v>
      </c>
      <c r="I70" s="648" t="s">
        <v>105</v>
      </c>
      <c r="J70" s="647" t="s">
        <v>460</v>
      </c>
      <c r="K70" s="651" t="s">
        <v>559</v>
      </c>
    </row>
    <row r="71" spans="2:11" ht="39" thickBot="1">
      <c r="B71" s="648" t="s">
        <v>560</v>
      </c>
      <c r="C71" s="648" t="s">
        <v>255</v>
      </c>
      <c r="D71" s="652" t="s">
        <v>449</v>
      </c>
      <c r="E71" s="648" t="s">
        <v>231</v>
      </c>
      <c r="F71" s="648" t="s">
        <v>232</v>
      </c>
      <c r="G71" s="649">
        <v>159</v>
      </c>
      <c r="H71" s="650" t="s">
        <v>239</v>
      </c>
      <c r="I71" s="648" t="s">
        <v>105</v>
      </c>
      <c r="J71" s="647" t="s">
        <v>460</v>
      </c>
      <c r="K71" s="651" t="s">
        <v>561</v>
      </c>
    </row>
    <row r="72" spans="2:11">
      <c r="B72" s="1001" t="s">
        <v>331</v>
      </c>
      <c r="C72" s="1002"/>
      <c r="D72" s="1002"/>
      <c r="E72" s="1002"/>
      <c r="F72" s="1002"/>
      <c r="G72" s="1002"/>
      <c r="H72" s="1002"/>
      <c r="I72" s="1002"/>
      <c r="J72" s="1002"/>
      <c r="K72" s="1003"/>
    </row>
    <row r="73" spans="2:11">
      <c r="B73" s="1004"/>
      <c r="C73" s="1005"/>
      <c r="D73" s="1005"/>
      <c r="E73" s="1005"/>
      <c r="F73" s="1005"/>
      <c r="G73" s="1005"/>
      <c r="H73" s="1005"/>
      <c r="I73" s="1005"/>
      <c r="J73" s="1005"/>
      <c r="K73" s="1006"/>
    </row>
    <row r="74" spans="2:11" ht="15.75" thickBot="1">
      <c r="B74" s="1007" t="s">
        <v>440</v>
      </c>
      <c r="C74" s="1008"/>
      <c r="D74" s="1008"/>
      <c r="E74" s="1008"/>
      <c r="F74" s="1008"/>
      <c r="G74" s="1008"/>
      <c r="H74" s="1008"/>
      <c r="I74" s="1008"/>
      <c r="J74" s="1008"/>
      <c r="K74" s="1009"/>
    </row>
    <row r="75" spans="2:11">
      <c r="B75" s="888" t="s">
        <v>106</v>
      </c>
      <c r="C75" s="888" t="s">
        <v>107</v>
      </c>
      <c r="D75" s="980" t="s">
        <v>441</v>
      </c>
      <c r="E75" s="888" t="s">
        <v>108</v>
      </c>
      <c r="F75" s="888" t="s">
        <v>109</v>
      </c>
      <c r="G75" s="1010" t="s">
        <v>227</v>
      </c>
      <c r="H75" s="1012" t="s">
        <v>442</v>
      </c>
      <c r="I75" s="888" t="s">
        <v>111</v>
      </c>
      <c r="J75" s="888" t="s">
        <v>112</v>
      </c>
      <c r="K75" s="888" t="s">
        <v>113</v>
      </c>
    </row>
    <row r="76" spans="2:11">
      <c r="B76" s="889"/>
      <c r="C76" s="889"/>
      <c r="D76" s="981"/>
      <c r="E76" s="889"/>
      <c r="F76" s="889"/>
      <c r="G76" s="1011"/>
      <c r="H76" s="978"/>
      <c r="I76" s="889"/>
      <c r="J76" s="889"/>
      <c r="K76" s="889"/>
    </row>
    <row r="77" spans="2:11" ht="13.5" thickBot="1">
      <c r="B77" s="889"/>
      <c r="C77" s="889"/>
      <c r="D77" s="981"/>
      <c r="E77" s="889"/>
      <c r="F77" s="889"/>
      <c r="G77" s="1011"/>
      <c r="H77" s="979"/>
      <c r="I77" s="889"/>
      <c r="J77" s="889"/>
      <c r="K77" s="889"/>
    </row>
    <row r="78" spans="2:11" ht="26.25" thickBot="1">
      <c r="B78" s="648" t="s">
        <v>562</v>
      </c>
      <c r="C78" s="648" t="s">
        <v>452</v>
      </c>
      <c r="D78" s="655" t="s">
        <v>245</v>
      </c>
      <c r="E78" s="648" t="s">
        <v>231</v>
      </c>
      <c r="F78" s="648" t="s">
        <v>232</v>
      </c>
      <c r="G78" s="649">
        <f>10*2</f>
        <v>20</v>
      </c>
      <c r="H78" s="653" t="s">
        <v>246</v>
      </c>
      <c r="I78" s="648" t="s">
        <v>104</v>
      </c>
      <c r="J78" s="647" t="s">
        <v>563</v>
      </c>
      <c r="K78" s="651" t="s">
        <v>564</v>
      </c>
    </row>
    <row r="79" spans="2:11" ht="64.5" thickBot="1">
      <c r="B79" s="648" t="s">
        <v>498</v>
      </c>
      <c r="C79" s="648" t="s">
        <v>465</v>
      </c>
      <c r="D79" s="652" t="s">
        <v>449</v>
      </c>
      <c r="E79" s="648" t="s">
        <v>231</v>
      </c>
      <c r="F79" s="648" t="s">
        <v>232</v>
      </c>
      <c r="G79" s="649">
        <v>4000</v>
      </c>
      <c r="H79" s="653" t="s">
        <v>239</v>
      </c>
      <c r="I79" s="648" t="s">
        <v>105</v>
      </c>
      <c r="J79" s="647" t="s">
        <v>565</v>
      </c>
      <c r="K79" s="651" t="s">
        <v>566</v>
      </c>
    </row>
    <row r="80" spans="2:11" ht="39" thickBot="1">
      <c r="B80" s="648" t="s">
        <v>522</v>
      </c>
      <c r="C80" s="648" t="s">
        <v>468</v>
      </c>
      <c r="D80" s="655" t="s">
        <v>469</v>
      </c>
      <c r="E80" s="648" t="s">
        <v>231</v>
      </c>
      <c r="F80" s="648" t="s">
        <v>119</v>
      </c>
      <c r="G80" s="649">
        <f>6*75/1000*365.25</f>
        <v>164.36250000000001</v>
      </c>
      <c r="H80" s="650" t="s">
        <v>332</v>
      </c>
      <c r="I80" s="648" t="s">
        <v>105</v>
      </c>
      <c r="J80" s="648" t="s">
        <v>567</v>
      </c>
      <c r="K80" s="651" t="s">
        <v>568</v>
      </c>
    </row>
    <row r="81" spans="2:11">
      <c r="B81" s="1001" t="s">
        <v>336</v>
      </c>
      <c r="C81" s="1002"/>
      <c r="D81" s="1002"/>
      <c r="E81" s="1002"/>
      <c r="F81" s="1002"/>
      <c r="G81" s="1002"/>
      <c r="H81" s="1002"/>
      <c r="I81" s="1002"/>
      <c r="J81" s="1002"/>
      <c r="K81" s="1003"/>
    </row>
    <row r="82" spans="2:11">
      <c r="B82" s="1004"/>
      <c r="C82" s="1005"/>
      <c r="D82" s="1005"/>
      <c r="E82" s="1005"/>
      <c r="F82" s="1005"/>
      <c r="G82" s="1005"/>
      <c r="H82" s="1005"/>
      <c r="I82" s="1005"/>
      <c r="J82" s="1005"/>
      <c r="K82" s="1006"/>
    </row>
    <row r="83" spans="2:11" ht="15.75" thickBot="1">
      <c r="B83" s="1007" t="s">
        <v>440</v>
      </c>
      <c r="C83" s="1008"/>
      <c r="D83" s="1008"/>
      <c r="E83" s="1008"/>
      <c r="F83" s="1008"/>
      <c r="G83" s="1008"/>
      <c r="H83" s="1008"/>
      <c r="I83" s="1008"/>
      <c r="J83" s="1008"/>
      <c r="K83" s="1009"/>
    </row>
    <row r="84" spans="2:11">
      <c r="B84" s="888" t="s">
        <v>106</v>
      </c>
      <c r="C84" s="888" t="s">
        <v>107</v>
      </c>
      <c r="D84" s="980" t="s">
        <v>441</v>
      </c>
      <c r="E84" s="888" t="s">
        <v>108</v>
      </c>
      <c r="F84" s="888" t="s">
        <v>109</v>
      </c>
      <c r="G84" s="1010" t="s">
        <v>227</v>
      </c>
      <c r="H84" s="1012" t="s">
        <v>442</v>
      </c>
      <c r="I84" s="888" t="s">
        <v>111</v>
      </c>
      <c r="J84" s="888" t="s">
        <v>112</v>
      </c>
      <c r="K84" s="888" t="s">
        <v>113</v>
      </c>
    </row>
    <row r="85" spans="2:11">
      <c r="B85" s="889"/>
      <c r="C85" s="889"/>
      <c r="D85" s="981"/>
      <c r="E85" s="889"/>
      <c r="F85" s="889"/>
      <c r="G85" s="1011"/>
      <c r="H85" s="978"/>
      <c r="I85" s="889"/>
      <c r="J85" s="889"/>
      <c r="K85" s="889"/>
    </row>
    <row r="86" spans="2:11" ht="13.5" thickBot="1">
      <c r="B86" s="889"/>
      <c r="C86" s="889"/>
      <c r="D86" s="981"/>
      <c r="E86" s="889"/>
      <c r="F86" s="889"/>
      <c r="G86" s="1011"/>
      <c r="H86" s="979"/>
      <c r="I86" s="889"/>
      <c r="J86" s="889"/>
      <c r="K86" s="889"/>
    </row>
    <row r="87" spans="2:11" ht="64.5" thickBot="1">
      <c r="B87" s="648" t="s">
        <v>569</v>
      </c>
      <c r="C87" s="648" t="s">
        <v>255</v>
      </c>
      <c r="D87" s="652" t="s">
        <v>449</v>
      </c>
      <c r="E87" s="648" t="s">
        <v>231</v>
      </c>
      <c r="F87" s="648" t="s">
        <v>232</v>
      </c>
      <c r="G87" s="649">
        <f>241*6</f>
        <v>1446</v>
      </c>
      <c r="H87" s="653" t="s">
        <v>246</v>
      </c>
      <c r="I87" s="648" t="s">
        <v>105</v>
      </c>
      <c r="J87" s="647" t="s">
        <v>570</v>
      </c>
      <c r="K87" s="651" t="s">
        <v>571</v>
      </c>
    </row>
  </sheetData>
  <sheetProtection algorithmName="SHA-512" hashValue="DGDCSnf9MoSBV7XJGpl1i2ayeOKhN3YsJ7bC0+4udthuBycaRQmgY+TeBMvavMV1PaFdHDjOZezF6Wgql8udug==" saltValue="lcyuR3H5zah/bOAbeonvfw==" spinCount="100000" sheet="1" objects="1" scenarios="1" selectLockedCells="1" selectUnlockedCells="1"/>
  <mergeCells count="72">
    <mergeCell ref="H84:H86"/>
    <mergeCell ref="I84:I86"/>
    <mergeCell ref="H75:H77"/>
    <mergeCell ref="J84:J86"/>
    <mergeCell ref="K84:K86"/>
    <mergeCell ref="I75:I77"/>
    <mergeCell ref="J75:J77"/>
    <mergeCell ref="K75:K77"/>
    <mergeCell ref="B81:K82"/>
    <mergeCell ref="B83:K83"/>
    <mergeCell ref="B75:B77"/>
    <mergeCell ref="C75:C77"/>
    <mergeCell ref="E75:E77"/>
    <mergeCell ref="F75:F77"/>
    <mergeCell ref="G75:G77"/>
    <mergeCell ref="B84:B86"/>
    <mergeCell ref="K53:K55"/>
    <mergeCell ref="E42:E44"/>
    <mergeCell ref="F42:F44"/>
    <mergeCell ref="G42:G44"/>
    <mergeCell ref="H42:H44"/>
    <mergeCell ref="I42:I44"/>
    <mergeCell ref="F53:F55"/>
    <mergeCell ref="G53:G55"/>
    <mergeCell ref="H53:H55"/>
    <mergeCell ref="I53:I55"/>
    <mergeCell ref="J53:J55"/>
    <mergeCell ref="B8:K9"/>
    <mergeCell ref="B10:K10"/>
    <mergeCell ref="B24:K25"/>
    <mergeCell ref="J11:J13"/>
    <mergeCell ref="K11:K13"/>
    <mergeCell ref="H11:H13"/>
    <mergeCell ref="B11:B13"/>
    <mergeCell ref="C11:C13"/>
    <mergeCell ref="E11:E13"/>
    <mergeCell ref="F11:F13"/>
    <mergeCell ref="G11:G13"/>
    <mergeCell ref="I11:I13"/>
    <mergeCell ref="D11:D13"/>
    <mergeCell ref="B26:K26"/>
    <mergeCell ref="B39:K40"/>
    <mergeCell ref="B41:K41"/>
    <mergeCell ref="B50:K51"/>
    <mergeCell ref="B52:K52"/>
    <mergeCell ref="B27:B29"/>
    <mergeCell ref="C27:C29"/>
    <mergeCell ref="E27:E29"/>
    <mergeCell ref="F27:F29"/>
    <mergeCell ref="G27:G29"/>
    <mergeCell ref="H27:H29"/>
    <mergeCell ref="I27:I29"/>
    <mergeCell ref="J27:J29"/>
    <mergeCell ref="K27:K29"/>
    <mergeCell ref="B42:B44"/>
    <mergeCell ref="C42:C44"/>
    <mergeCell ref="D27:D29"/>
    <mergeCell ref="D42:D44"/>
    <mergeCell ref="D53:D55"/>
    <mergeCell ref="D75:D77"/>
    <mergeCell ref="D84:D86"/>
    <mergeCell ref="B72:K73"/>
    <mergeCell ref="B74:K74"/>
    <mergeCell ref="C84:C86"/>
    <mergeCell ref="E84:E86"/>
    <mergeCell ref="F84:F86"/>
    <mergeCell ref="G84:G86"/>
    <mergeCell ref="J42:J44"/>
    <mergeCell ref="K42:K44"/>
    <mergeCell ref="B53:B55"/>
    <mergeCell ref="C53:C55"/>
    <mergeCell ref="E53:E55"/>
  </mergeCells>
  <pageMargins left="0.7" right="0.7" top="0.75" bottom="0.75" header="0.3" footer="0.3"/>
  <pageSetup paperSize="9" orientation="portrait" r:id="rId1"/>
  <headerFooter>
    <oddFooter>&amp;C_x000D_&amp;1#&amp;"Calibri"&amp;10&amp;K000000 Internal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11" width="3.7109375" style="404"/>
    <col min="12" max="12" width="5.5703125" style="404" bestFit="1" customWidth="1"/>
    <col min="13" max="14" width="3.7109375" style="404"/>
    <col min="15" max="15" width="6.7109375" style="404" customWidth="1"/>
    <col min="16" max="18" width="3.7109375" style="404"/>
    <col min="19" max="19" width="5.42578125" style="404" customWidth="1"/>
    <col min="20" max="23" width="3.7109375" style="404"/>
    <col min="24" max="24" width="6" style="404" bestFit="1"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Effluents!$K$2</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tr">
        <f>'Emiss. Ops'!$I$4</f>
        <v>Normal Operations</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584</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0</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588</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'Diesel F'!G20</f>
        <v>44.890193469756099</v>
      </c>
      <c r="R16" s="1144"/>
      <c r="S16" s="1145"/>
      <c r="T16" s="1073">
        <f>'Diesel F'!H5</f>
        <v>55161.599999999999</v>
      </c>
      <c r="U16" s="1109"/>
      <c r="V16" s="1074"/>
      <c r="W16" s="1076" t="s">
        <v>604</v>
      </c>
      <c r="X16" s="1075"/>
      <c r="Y16" s="1077"/>
      <c r="Z16" s="1073">
        <f>'Diesel F'!H6</f>
        <v>14652.3</v>
      </c>
      <c r="AA16" s="1109"/>
      <c r="AB16" s="1074"/>
      <c r="AC16" s="1076" t="s">
        <v>604</v>
      </c>
      <c r="AD16" s="1075"/>
      <c r="AE16" s="1077"/>
      <c r="AF16" s="1146">
        <f>'Diesel F'!H8</f>
        <v>1723.8</v>
      </c>
      <c r="AG16" s="1147"/>
      <c r="AH16" s="1148"/>
      <c r="AI16" s="1076" t="s">
        <v>604</v>
      </c>
      <c r="AJ16" s="1075"/>
      <c r="AK16" s="1077"/>
      <c r="AL16" s="303"/>
      <c r="AM16" s="303" t="s">
        <v>605</v>
      </c>
      <c r="AN16" s="303"/>
      <c r="AO16" s="303"/>
      <c r="AP16" s="351"/>
      <c r="AQ16" s="352"/>
      <c r="AR16" s="353"/>
      <c r="AS16" s="354"/>
      <c r="AT16" s="355"/>
      <c r="AU16" s="356"/>
      <c r="AV16" s="354"/>
      <c r="AW16" s="355"/>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1">
        <v>305.24099999999999</v>
      </c>
      <c r="I17" s="1132"/>
      <c r="J17" s="1133"/>
      <c r="K17" s="1134">
        <v>832.5</v>
      </c>
      <c r="L17" s="1135"/>
      <c r="M17" s="1136"/>
      <c r="N17" s="1137">
        <v>42.588000000000001</v>
      </c>
      <c r="O17" s="1138"/>
      <c r="P17" s="1139"/>
      <c r="Q17" s="1137">
        <v>45.612000000000002</v>
      </c>
      <c r="R17" s="1138"/>
      <c r="S17" s="1139"/>
      <c r="T17" s="1066">
        <f>$Q$17/$Q$16*T16</f>
        <v>56048.564390686515</v>
      </c>
      <c r="U17" s="1110"/>
      <c r="V17" s="1067"/>
      <c r="W17" s="1114">
        <f>T17/1000000/K17</f>
        <v>6.7325602871695514E-5</v>
      </c>
      <c r="X17" s="1115"/>
      <c r="Y17" s="1116"/>
      <c r="Z17" s="1066">
        <f>$Q$17/$Q$16*Z16</f>
        <v>14887.899916276105</v>
      </c>
      <c r="AA17" s="1110"/>
      <c r="AB17" s="1067"/>
      <c r="AC17" s="1114">
        <f>Z17/1000000/K17</f>
        <v>1.7883363262794121E-5</v>
      </c>
      <c r="AD17" s="1115"/>
      <c r="AE17" s="1116"/>
      <c r="AF17" s="1066">
        <f>$Q$17/$Q$16*AF16</f>
        <v>1751.5176372089536</v>
      </c>
      <c r="AG17" s="1110"/>
      <c r="AH17" s="1067"/>
      <c r="AI17" s="1114">
        <f>AF17/1000000/K17</f>
        <v>2.1039250897404848E-6</v>
      </c>
      <c r="AJ17" s="1115"/>
      <c r="AK17" s="1116"/>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123"/>
      <c r="O18" s="1069"/>
      <c r="P18" s="1124"/>
      <c r="Q18" s="1125"/>
      <c r="R18" s="1126"/>
      <c r="S18" s="112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125</v>
      </c>
      <c r="AA19" s="1118"/>
      <c r="AB19" s="1119"/>
      <c r="AC19" s="1117" t="s">
        <v>125</v>
      </c>
      <c r="AD19" s="1118"/>
      <c r="AE19" s="1119"/>
      <c r="AF19" s="1100" t="s">
        <v>610</v>
      </c>
      <c r="AG19" s="1101"/>
      <c r="AH19" s="1101"/>
      <c r="AI19" s="1101"/>
      <c r="AJ19" s="1101"/>
      <c r="AK19" s="1102"/>
      <c r="AL19" s="303"/>
      <c r="AM19" s="24" t="s">
        <v>611</v>
      </c>
      <c r="AN19" s="24">
        <v>15.6</v>
      </c>
      <c r="AO19" s="23" t="s">
        <v>609</v>
      </c>
      <c r="AP19" s="303"/>
      <c r="AQ19" s="303"/>
      <c r="AR19" s="356"/>
      <c r="AS19" s="354"/>
      <c r="AT19" s="355"/>
      <c r="AU19" s="351"/>
      <c r="AV19" s="354"/>
      <c r="AW19" s="355"/>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1103"/>
      <c r="AG20" s="1104"/>
      <c r="AH20" s="1104"/>
      <c r="AI20" s="1104"/>
      <c r="AJ20" s="1104"/>
      <c r="AK20" s="1105"/>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c r="I21" s="1109"/>
      <c r="J21" s="1074"/>
      <c r="K21" s="1076" t="s">
        <v>604</v>
      </c>
      <c r="L21" s="1075"/>
      <c r="M21" s="1077"/>
      <c r="N21" s="1073">
        <f>'Diesel F'!H7</f>
        <v>17410.38</v>
      </c>
      <c r="O21" s="1109"/>
      <c r="P21" s="1074"/>
      <c r="Q21" s="1076" t="s">
        <v>604</v>
      </c>
      <c r="R21" s="1075"/>
      <c r="S21" s="1077"/>
      <c r="T21" s="1073"/>
      <c r="U21" s="1109"/>
      <c r="V21" s="1074"/>
      <c r="W21" s="1111" t="s">
        <v>604</v>
      </c>
      <c r="X21" s="1112"/>
      <c r="Y21" s="1113"/>
      <c r="Z21" s="1073"/>
      <c r="AA21" s="1109"/>
      <c r="AB21" s="1074"/>
      <c r="AC21" s="1076" t="s">
        <v>604</v>
      </c>
      <c r="AD21" s="1075"/>
      <c r="AE21" s="1077"/>
      <c r="AF21" s="1103"/>
      <c r="AG21" s="1104"/>
      <c r="AH21" s="1104"/>
      <c r="AI21" s="1104"/>
      <c r="AJ21" s="1104"/>
      <c r="AK21" s="1105"/>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6"/>
      <c r="I22" s="1110"/>
      <c r="J22" s="1067"/>
      <c r="K22" s="1111"/>
      <c r="L22" s="1112"/>
      <c r="M22" s="1113"/>
      <c r="N22" s="1066">
        <f>$Q$17/$Q$16*N21</f>
        <v>17690.328135810432</v>
      </c>
      <c r="O22" s="1110"/>
      <c r="P22" s="1067"/>
      <c r="Q22" s="1114">
        <f>N22/1000000/K17</f>
        <v>2.1249643406378895E-5</v>
      </c>
      <c r="R22" s="1115"/>
      <c r="S22" s="1116"/>
      <c r="T22" s="1099"/>
      <c r="U22" s="1048"/>
      <c r="V22" s="1058"/>
      <c r="W22" s="1111"/>
      <c r="X22" s="1112"/>
      <c r="Y22" s="1113"/>
      <c r="Z22" s="1066"/>
      <c r="AA22" s="1110"/>
      <c r="AB22" s="1067"/>
      <c r="AC22" s="1111"/>
      <c r="AD22" s="1112"/>
      <c r="AE22" s="1113"/>
      <c r="AF22" s="1103"/>
      <c r="AG22" s="1104"/>
      <c r="AH22" s="1104"/>
      <c r="AI22" s="1104"/>
      <c r="AJ22" s="1104"/>
      <c r="AK22" s="1105"/>
      <c r="AL22" s="303"/>
      <c r="AM22" s="303"/>
      <c r="AN22" s="303"/>
      <c r="AO22" s="303"/>
      <c r="AP22" s="303"/>
      <c r="AQ22" s="303"/>
      <c r="AR22" s="356"/>
      <c r="AS22" s="354"/>
      <c r="AT22" s="355"/>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045"/>
      <c r="I23" s="1033"/>
      <c r="J23" s="1046"/>
      <c r="K23" s="1089"/>
      <c r="L23" s="1090"/>
      <c r="M23" s="1091"/>
      <c r="N23" s="1045"/>
      <c r="O23" s="1033"/>
      <c r="P23" s="1046"/>
      <c r="Q23" s="1096"/>
      <c r="R23" s="1097"/>
      <c r="S23" s="1098"/>
      <c r="T23" s="1099"/>
      <c r="U23" s="1048"/>
      <c r="V23" s="1058"/>
      <c r="W23" s="1096"/>
      <c r="X23" s="1097"/>
      <c r="Y23" s="1098"/>
      <c r="Z23" s="1086"/>
      <c r="AA23" s="1087"/>
      <c r="AB23" s="1088"/>
      <c r="AC23" s="1089"/>
      <c r="AD23" s="1090"/>
      <c r="AE23" s="1091"/>
      <c r="AF23" s="1106"/>
      <c r="AG23" s="1107"/>
      <c r="AH23" s="1107"/>
      <c r="AI23" s="1107"/>
      <c r="AJ23" s="1107"/>
      <c r="AK23" s="1108"/>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v>1</v>
      </c>
      <c r="I25" s="31" t="s">
        <v>590</v>
      </c>
      <c r="J25" s="31"/>
      <c r="K25" s="31"/>
      <c r="L25" s="31" t="s">
        <v>615</v>
      </c>
      <c r="M25" s="31"/>
      <c r="N25" s="31"/>
      <c r="O25" s="31"/>
      <c r="P25" s="31"/>
      <c r="Q25" s="31"/>
      <c r="R25" s="31"/>
      <c r="S25" s="32" t="s">
        <v>616</v>
      </c>
      <c r="T25" s="1092" t="str">
        <f>A17</f>
        <v>Diesel</v>
      </c>
      <c r="U25" s="1093"/>
      <c r="V25" s="1093"/>
      <c r="W25" s="1093"/>
      <c r="X25" s="1094">
        <v>319</v>
      </c>
      <c r="Y25" s="1094"/>
      <c r="Z25" s="1094"/>
      <c r="AA25" s="1093" t="s">
        <v>617</v>
      </c>
      <c r="AB25" s="1093"/>
      <c r="AC25" s="1095">
        <f>X25/H17</f>
        <v>1.0450758580924582</v>
      </c>
      <c r="AD25" s="1095"/>
      <c r="AE25" s="1093" t="s">
        <v>618</v>
      </c>
      <c r="AF25" s="1093"/>
      <c r="AG25" s="1093"/>
      <c r="AH25" s="1083">
        <f>X25*N17/3600</f>
        <v>3.7737699999999998</v>
      </c>
      <c r="AI25" s="1083"/>
      <c r="AJ25" s="361" t="s">
        <v>590</v>
      </c>
      <c r="AK25" s="362"/>
      <c r="AL25" s="303"/>
      <c r="AM25" s="363">
        <f>X25*W22</f>
        <v>0</v>
      </c>
      <c r="AN25" s="303"/>
      <c r="AO25" s="303"/>
      <c r="AP25" s="303"/>
      <c r="AQ25" s="303"/>
      <c r="AR25" s="351"/>
      <c r="AS25" s="354"/>
      <c r="AT25" s="355"/>
      <c r="AU25" s="356"/>
      <c r="AV25" s="354"/>
      <c r="AW25" s="355"/>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0</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c r="B27" s="1081"/>
      <c r="C27" s="1081"/>
      <c r="D27" s="1081"/>
      <c r="E27" s="1081"/>
      <c r="F27" s="1042" t="str">
        <f>A17</f>
        <v>Diesel</v>
      </c>
      <c r="G27" s="1043"/>
      <c r="H27" s="1043"/>
      <c r="I27" s="1043"/>
      <c r="J27" s="1043"/>
      <c r="K27" s="1043"/>
      <c r="L27" s="1043"/>
      <c r="M27" s="1043"/>
      <c r="N27" s="1043"/>
      <c r="O27" s="1043"/>
      <c r="P27" s="1043"/>
      <c r="Q27" s="1043"/>
      <c r="R27" s="1043"/>
      <c r="S27" s="1043"/>
      <c r="T27" s="1043"/>
      <c r="U27" s="1080"/>
      <c r="V27" s="31"/>
      <c r="W27" s="31"/>
      <c r="X27" s="270">
        <f>AH25</f>
        <v>3.7737699999999998</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1">
        <v>104</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1">
        <f>X27*X28</f>
        <v>392.47208000000001</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1">
        <f>X29*3600/1000</f>
        <v>1412.899488</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049">
        <v>0</v>
      </c>
      <c r="G31" s="1050"/>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BF33</f>
        <v>3.7672634101823899E-6</v>
      </c>
      <c r="G32" s="1050"/>
      <c r="H32" s="1051">
        <f>F32*$AC$25</f>
        <v>3.9370760410566815E-6</v>
      </c>
      <c r="I32" s="1052"/>
      <c r="J32" s="1059"/>
      <c r="K32" s="1059"/>
      <c r="L32" s="1060"/>
      <c r="M32" s="1059"/>
      <c r="N32" s="1054">
        <f t="shared" si="2"/>
        <v>6.3158573850631287E-5</v>
      </c>
      <c r="O32" s="1055"/>
      <c r="P32" s="1061">
        <f>R32/$R$53</f>
        <v>0</v>
      </c>
      <c r="Q32" s="1062"/>
      <c r="R32" s="1060">
        <f>T32/$AR32</f>
        <v>0</v>
      </c>
      <c r="S32" s="1059"/>
      <c r="T32" s="1064">
        <f>$K$22*$X$25</f>
        <v>0</v>
      </c>
      <c r="U32" s="1065"/>
      <c r="V32" s="31"/>
      <c r="W32" s="31"/>
      <c r="X32" s="272"/>
      <c r="Y32" s="1183" t="s">
        <v>640</v>
      </c>
      <c r="Z32" s="1184"/>
      <c r="AA32" s="1184"/>
      <c r="AB32" s="1184"/>
      <c r="AC32" s="1184"/>
      <c r="AD32" s="1184"/>
      <c r="AE32" s="1184"/>
      <c r="AF32" s="1184"/>
      <c r="AG32" s="1184"/>
      <c r="AH32" s="1184"/>
      <c r="AI32" s="1184"/>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31"/>
      <c r="W33" s="31"/>
      <c r="X33" s="272"/>
      <c r="Y33" s="1184"/>
      <c r="Z33" s="1184"/>
      <c r="AA33" s="1184"/>
      <c r="AB33" s="1184"/>
      <c r="AC33" s="1184"/>
      <c r="AD33" s="1184"/>
      <c r="AE33" s="1184"/>
      <c r="AF33" s="1184"/>
      <c r="AG33" s="1184"/>
      <c r="AH33" s="1184"/>
      <c r="AI33" s="1184"/>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BF34</f>
        <v>2.32021919756754E-4</v>
      </c>
      <c r="G34" s="1050"/>
      <c r="H34" s="1051">
        <f t="shared" si="1"/>
        <v>2.4248050688604916E-4</v>
      </c>
      <c r="I34" s="1052"/>
      <c r="J34" s="1059"/>
      <c r="K34" s="1059"/>
      <c r="L34" s="1060"/>
      <c r="M34" s="1059"/>
      <c r="N34" s="1054">
        <f t="shared" si="2"/>
        <v>7.2909038810497259E-3</v>
      </c>
      <c r="O34" s="1055"/>
      <c r="P34" s="1061">
        <f t="shared" si="10"/>
        <v>0</v>
      </c>
      <c r="Q34" s="1062"/>
      <c r="R34" s="1059">
        <f>T34/$AR34</f>
        <v>0</v>
      </c>
      <c r="S34" s="1059"/>
      <c r="T34" s="1061">
        <f t="shared" si="11"/>
        <v>0</v>
      </c>
      <c r="U34" s="1062"/>
      <c r="V34" s="31"/>
      <c r="W34" s="31"/>
      <c r="X34" s="272"/>
      <c r="Y34" s="1184"/>
      <c r="Z34" s="1184"/>
      <c r="AA34" s="1184"/>
      <c r="AB34" s="1184"/>
      <c r="AC34" s="1184"/>
      <c r="AD34" s="1184"/>
      <c r="AE34" s="1184"/>
      <c r="AF34" s="1184"/>
      <c r="AG34" s="1184"/>
      <c r="AH34" s="1184"/>
      <c r="AI34" s="1184"/>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31"/>
      <c r="W35" s="31"/>
      <c r="X35" s="272"/>
      <c r="Y35" s="1184"/>
      <c r="Z35" s="1184"/>
      <c r="AA35" s="1184"/>
      <c r="AB35" s="1184"/>
      <c r="AC35" s="1184"/>
      <c r="AD35" s="1184"/>
      <c r="AE35" s="1184"/>
      <c r="AF35" s="1184"/>
      <c r="AG35" s="1184"/>
      <c r="AH35" s="1184"/>
      <c r="AI35" s="1184"/>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BF35</f>
        <v>4.1140406723645098E-3</v>
      </c>
      <c r="G36" s="1050"/>
      <c r="H36" s="1051">
        <f t="shared" si="1"/>
        <v>4.2994845858986136E-3</v>
      </c>
      <c r="I36" s="1052"/>
      <c r="J36" s="1059"/>
      <c r="K36" s="1059"/>
      <c r="L36" s="1060"/>
      <c r="M36" s="1059"/>
      <c r="N36" s="1054">
        <f t="shared" si="2"/>
        <v>0.18958147333061348</v>
      </c>
      <c r="O36" s="1055"/>
      <c r="P36" s="1061">
        <f t="shared" si="10"/>
        <v>0</v>
      </c>
      <c r="Q36" s="1062"/>
      <c r="R36" s="1059">
        <f t="shared" si="12"/>
        <v>0</v>
      </c>
      <c r="S36" s="1059"/>
      <c r="T36" s="1061">
        <f t="shared" si="11"/>
        <v>0</v>
      </c>
      <c r="U36" s="1062"/>
      <c r="V36" s="31"/>
      <c r="W36" s="31"/>
      <c r="X36" s="272"/>
      <c r="Y36" s="1184"/>
      <c r="Z36" s="1184"/>
      <c r="AA36" s="1184"/>
      <c r="AB36" s="1184"/>
      <c r="AC36" s="1184"/>
      <c r="AD36" s="1184"/>
      <c r="AE36" s="1184"/>
      <c r="AF36" s="1184"/>
      <c r="AG36" s="1184"/>
      <c r="AH36" s="1184"/>
      <c r="AI36" s="1184"/>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31"/>
      <c r="W37" s="31"/>
      <c r="X37" s="272"/>
      <c r="Y37" s="1184"/>
      <c r="Z37" s="1184"/>
      <c r="AA37" s="1184"/>
      <c r="AB37" s="1184"/>
      <c r="AC37" s="1184"/>
      <c r="AD37" s="1184"/>
      <c r="AE37" s="1184"/>
      <c r="AF37" s="1184"/>
      <c r="AG37" s="1184"/>
      <c r="AH37" s="1184"/>
      <c r="AI37" s="1184"/>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BF36</f>
        <v>4.2987554978870402E-3</v>
      </c>
      <c r="G38" s="1050"/>
      <c r="H38" s="1051">
        <f t="shared" si="1"/>
        <v>4.4925255906839712E-3</v>
      </c>
      <c r="I38" s="1052"/>
      <c r="J38" s="1059"/>
      <c r="K38" s="1059"/>
      <c r="L38" s="1060"/>
      <c r="M38" s="1059"/>
      <c r="N38" s="1054">
        <f t="shared" si="2"/>
        <v>0.26110558733055239</v>
      </c>
      <c r="O38" s="1055"/>
      <c r="P38" s="1061">
        <f t="shared" si="10"/>
        <v>0</v>
      </c>
      <c r="Q38" s="1062"/>
      <c r="R38" s="1059">
        <f t="shared" si="12"/>
        <v>0</v>
      </c>
      <c r="S38" s="1059"/>
      <c r="T38" s="1061">
        <f t="shared" si="11"/>
        <v>0</v>
      </c>
      <c r="U38" s="1062"/>
      <c r="V38" s="31"/>
      <c r="W38" s="31"/>
      <c r="X38" s="272"/>
      <c r="Y38" s="272"/>
      <c r="Z38" s="31"/>
      <c r="AA38" s="31"/>
      <c r="AB38" s="31"/>
      <c r="AC38" s="31"/>
      <c r="AD38" s="272"/>
      <c r="AE38" s="272"/>
      <c r="AF38" s="382"/>
      <c r="AG38" s="382"/>
      <c r="AH38" s="31"/>
      <c r="AI38" s="31"/>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f>BF37</f>
        <v>1.33109664079022E-2</v>
      </c>
      <c r="G39" s="1050"/>
      <c r="H39" s="1051">
        <f t="shared" si="1"/>
        <v>1.3910969640778278E-2</v>
      </c>
      <c r="I39" s="1052"/>
      <c r="J39" s="1059"/>
      <c r="K39" s="1059"/>
      <c r="L39" s="1060"/>
      <c r="M39" s="1059"/>
      <c r="N39" s="1054">
        <f t="shared" si="2"/>
        <v>0.80850555552203351</v>
      </c>
      <c r="O39" s="1055"/>
      <c r="P39" s="1061">
        <f t="shared" si="10"/>
        <v>0</v>
      </c>
      <c r="Q39" s="1062"/>
      <c r="R39" s="1059">
        <f t="shared" si="12"/>
        <v>0</v>
      </c>
      <c r="S39" s="1059"/>
      <c r="T39" s="1061">
        <f t="shared" si="11"/>
        <v>0</v>
      </c>
      <c r="U39" s="1062"/>
      <c r="V39" s="31"/>
      <c r="W39" s="31"/>
      <c r="X39" s="272"/>
      <c r="Y39" s="272"/>
      <c r="Z39" s="31"/>
      <c r="AA39" s="31"/>
      <c r="AB39" s="31"/>
      <c r="AC39" s="31"/>
      <c r="AD39" s="272"/>
      <c r="AE39" s="272"/>
      <c r="AF39" s="382"/>
      <c r="AG39" s="382"/>
      <c r="AH39" s="31"/>
      <c r="AI39" s="31"/>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BF38</f>
        <v>1.4450640107125301E-2</v>
      </c>
      <c r="G40" s="1050"/>
      <c r="H40" s="1051">
        <f t="shared" si="1"/>
        <v>1.5102015109939266E-2</v>
      </c>
      <c r="I40" s="1052"/>
      <c r="J40" s="1059"/>
      <c r="K40" s="1059"/>
      <c r="L40" s="1060"/>
      <c r="M40" s="1059"/>
      <c r="N40" s="1054">
        <f t="shared" si="2"/>
        <v>1.0895499821216783</v>
      </c>
      <c r="O40" s="1055"/>
      <c r="P40" s="1061">
        <f t="shared" si="10"/>
        <v>0</v>
      </c>
      <c r="Q40" s="1062"/>
      <c r="R40" s="1059">
        <f t="shared" si="12"/>
        <v>0</v>
      </c>
      <c r="S40" s="1059"/>
      <c r="T40" s="1061">
        <f t="shared" si="11"/>
        <v>0</v>
      </c>
      <c r="U40" s="1062"/>
      <c r="V40" s="31"/>
      <c r="W40" s="31"/>
      <c r="X40" s="272"/>
      <c r="Y40" s="272"/>
      <c r="Z40" s="31"/>
      <c r="AA40" s="31"/>
      <c r="AB40" s="31"/>
      <c r="AC40" s="31"/>
      <c r="AD40" s="272"/>
      <c r="AE40" s="272"/>
      <c r="AF40" s="382"/>
      <c r="AG40" s="382"/>
      <c r="AH40" s="31"/>
      <c r="AI40" s="31"/>
      <c r="AJ40" s="380"/>
      <c r="AK40" s="381"/>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BF40</f>
        <v>1.8657920075756399E-2</v>
      </c>
      <c r="G41" s="1050"/>
      <c r="H41" s="1051">
        <f t="shared" si="1"/>
        <v>1.9498941833391622E-2</v>
      </c>
      <c r="I41" s="1052"/>
      <c r="J41" s="1059"/>
      <c r="K41" s="1059"/>
      <c r="L41" s="1060"/>
      <c r="M41" s="1059"/>
      <c r="N41" s="1054">
        <f t="shared" si="2"/>
        <v>1.4067706575118719</v>
      </c>
      <c r="O41" s="1055"/>
      <c r="P41" s="1061">
        <f t="shared" si="10"/>
        <v>0</v>
      </c>
      <c r="Q41" s="1062"/>
      <c r="R41" s="1059">
        <f t="shared" si="12"/>
        <v>0</v>
      </c>
      <c r="S41" s="1059"/>
      <c r="T41" s="1061">
        <f t="shared" si="11"/>
        <v>0</v>
      </c>
      <c r="U41" s="1062"/>
      <c r="V41" s="31"/>
      <c r="W41" s="31"/>
      <c r="X41" s="272"/>
      <c r="Y41" s="272"/>
      <c r="Z41" s="31"/>
      <c r="AA41" s="31"/>
      <c r="AB41" s="31"/>
      <c r="AC41" s="31"/>
      <c r="AD41" s="272"/>
      <c r="AE41" s="272"/>
      <c r="AF41" s="382"/>
      <c r="AG41" s="382"/>
      <c r="AH41" s="31"/>
      <c r="AI41" s="31"/>
      <c r="AJ41" s="380"/>
      <c r="AK41" s="381"/>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425</v>
      </c>
      <c r="B42" s="376"/>
      <c r="C42" s="376"/>
      <c r="D42" s="376"/>
      <c r="E42" s="377"/>
      <c r="F42" s="1049">
        <f>SUM(BF41:BF75)</f>
        <v>0.94337200608568694</v>
      </c>
      <c r="G42" s="1050"/>
      <c r="H42" s="1064">
        <f t="shared" si="1"/>
        <v>0.98589530876040299</v>
      </c>
      <c r="I42" s="1065"/>
      <c r="J42" s="1059"/>
      <c r="K42" s="1059"/>
      <c r="L42" s="1060"/>
      <c r="M42" s="1059"/>
      <c r="N42" s="1054">
        <f t="shared" si="2"/>
        <v>315.19556109771378</v>
      </c>
      <c r="O42" s="1055"/>
      <c r="P42" s="1061">
        <f t="shared" si="10"/>
        <v>0</v>
      </c>
      <c r="Q42" s="1062"/>
      <c r="R42" s="1059">
        <f t="shared" si="12"/>
        <v>0</v>
      </c>
      <c r="S42" s="1059"/>
      <c r="T42" s="1061">
        <f t="shared" si="11"/>
        <v>0</v>
      </c>
      <c r="U42" s="1062"/>
      <c r="V42" s="31"/>
      <c r="W42" s="31"/>
      <c r="X42" s="272"/>
      <c r="Y42" s="272"/>
      <c r="Z42" s="31"/>
      <c r="AA42" s="31"/>
      <c r="AB42" s="31"/>
      <c r="AC42" s="31"/>
      <c r="AD42" s="272"/>
      <c r="AE42" s="272"/>
      <c r="AF42" s="382"/>
      <c r="AG42" s="382"/>
      <c r="AH42" s="31"/>
      <c r="AI42" s="31"/>
      <c r="AJ42" s="270"/>
      <c r="AK42" s="37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34.407525122921719</v>
      </c>
      <c r="K45" s="1070"/>
      <c r="L45" s="1060">
        <f>0.15*J45</f>
        <v>5.1611287684382576</v>
      </c>
      <c r="M45" s="1059"/>
      <c r="N45" s="1066">
        <f t="shared" si="2"/>
        <v>1266.1969245235193</v>
      </c>
      <c r="O45" s="1067"/>
      <c r="P45" s="1061">
        <f t="shared" si="10"/>
        <v>2.6677875190595297E-2</v>
      </c>
      <c r="Q45" s="1062"/>
      <c r="R45" s="1059">
        <f>L45+SUMPRODUCT(R32:R44,$AS32:$AS44)</f>
        <v>5.1611287684382576</v>
      </c>
      <c r="S45" s="1059"/>
      <c r="T45" s="1071">
        <f>R45*$AR45</f>
        <v>165.15612059002424</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BF31</f>
        <v>1.4415226502516399E-10</v>
      </c>
      <c r="G46" s="1050"/>
      <c r="H46" s="1061">
        <f t="shared" si="1"/>
        <v>1.506500520671447E-10</v>
      </c>
      <c r="I46" s="1062"/>
      <c r="J46" s="1059">
        <f>0.79/0.21*J45</f>
        <v>129.43783260527695</v>
      </c>
      <c r="K46" s="1063"/>
      <c r="L46" s="1060">
        <f>0.71/0.29*L45</f>
        <v>12.635866984797115</v>
      </c>
      <c r="M46" s="1059"/>
      <c r="N46" s="1066">
        <f>SUM(H46,J46,L46)*AR46</f>
        <v>3978.0635885262923</v>
      </c>
      <c r="O46" s="1067"/>
      <c r="P46" s="1064">
        <f t="shared" si="10"/>
        <v>0.73437655598158191</v>
      </c>
      <c r="Q46" s="1065"/>
      <c r="R46" s="1064">
        <f>$H46+J46+L46-R49</f>
        <v>142.07323270180481</v>
      </c>
      <c r="S46" s="1065"/>
      <c r="T46" s="1066">
        <f>R46*$AR46</f>
        <v>3978.0505156505346</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1.0527695483520146E-6</v>
      </c>
      <c r="Q47" s="1062"/>
      <c r="R47" s="1059">
        <f>T47/$AR$47</f>
        <v>2.0366986364981526E-4</v>
      </c>
      <c r="S47" s="1059"/>
      <c r="T47" s="1064">
        <f>$AC17*$X25</f>
        <v>5.7047928808313247E-3</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BF32</f>
        <v>1.04835044112351E-6</v>
      </c>
      <c r="G48" s="1050"/>
      <c r="H48" s="1061">
        <f t="shared" si="1"/>
        <v>1.0956057368387593E-6</v>
      </c>
      <c r="I48" s="1062"/>
      <c r="J48" s="1059"/>
      <c r="K48" s="1059"/>
      <c r="L48" s="1060"/>
      <c r="M48" s="1059"/>
      <c r="N48" s="1061">
        <f t="shared" si="2"/>
        <v>4.8217608478273799E-5</v>
      </c>
      <c r="O48" s="1062"/>
      <c r="P48" s="1064">
        <f t="shared" si="10"/>
        <v>0.11676943015700558</v>
      </c>
      <c r="Q48" s="1065"/>
      <c r="R48" s="1068">
        <f>SUMPRODUCT($H31:$H52,$AU31:$AU52)+$H48-R47-SUMPRODUCT(R32:R42,$AU32:$AU42)</f>
        <v>22.590332286655226</v>
      </c>
      <c r="S48" s="1059"/>
      <c r="T48" s="1066">
        <f>R48*$AR48</f>
        <v>994.20052393569642</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2.413346295598152E-6</v>
      </c>
      <c r="Q49" s="1062"/>
      <c r="R49" s="1060">
        <f>T49/$AR49</f>
        <v>4.6688841991458405E-4</v>
      </c>
      <c r="S49" s="1063"/>
      <c r="T49" s="1064">
        <f>$W17*$X25</f>
        <v>2.1476867316070868E-2</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5.4748080514399484E-7</v>
      </c>
      <c r="Q51" s="1062"/>
      <c r="R51" s="1066">
        <f>T51/$AR51</f>
        <v>1.059161913536698E-4</v>
      </c>
      <c r="S51" s="1067"/>
      <c r="T51" s="1060">
        <f>Q22*X25</f>
        <v>6.7786362466348673E-3</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049">
        <f>BF76</f>
        <v>1.4951987737782399E-3</v>
      </c>
      <c r="G52" s="1050"/>
      <c r="H52" s="1051">
        <f t="shared" si="1"/>
        <v>1.5625961415250854E-3</v>
      </c>
      <c r="I52" s="1052"/>
      <c r="J52" s="1032"/>
      <c r="K52" s="1032"/>
      <c r="L52" s="1053"/>
      <c r="M52" s="1032"/>
      <c r="N52" s="1054">
        <f t="shared" si="2"/>
        <v>2.8151732085715937E-2</v>
      </c>
      <c r="O52" s="1055"/>
      <c r="P52" s="1056">
        <f t="shared" si="10"/>
        <v>0.12217212507416823</v>
      </c>
      <c r="Q52" s="1057"/>
      <c r="R52" s="1044">
        <f>SUMPRODUCT(H31:H52,$AV31:$AV52)+H52-SUMPRODUCT(R32:R42,$AV32:$AV42)</f>
        <v>23.635543120158683</v>
      </c>
      <c r="S52" s="1044"/>
      <c r="T52" s="1045">
        <f>R52*$AR52</f>
        <v>425.81794485277879</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0.99993636529826091</v>
      </c>
      <c r="G53" s="1038"/>
      <c r="H53" s="1039">
        <f>SUM(H31:H52)</f>
        <v>1.0450093550019339</v>
      </c>
      <c r="I53" s="1040"/>
      <c r="J53" s="1041">
        <f>SUM(J31:J52)</f>
        <v>163.84535772819868</v>
      </c>
      <c r="K53" s="1041"/>
      <c r="L53" s="1042">
        <f>SUM(L31:L52)</f>
        <v>17.796995753235372</v>
      </c>
      <c r="M53" s="1043"/>
      <c r="N53" s="1030">
        <f>SUM(N31:N52)</f>
        <v>5563.2471414154907</v>
      </c>
      <c r="O53" s="1031"/>
      <c r="P53" s="1028">
        <f>SUM(P31:P52)</f>
        <v>1</v>
      </c>
      <c r="Q53" s="1029"/>
      <c r="R53" s="1030">
        <f>SUM(R31:R52)</f>
        <v>193.46101335153188</v>
      </c>
      <c r="S53" s="1031"/>
      <c r="T53" s="1030">
        <f>SUM(T31:T52)</f>
        <v>5563.2590653254783</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5.9657964766863516E-3</v>
      </c>
      <c r="M55" s="1186"/>
      <c r="N55" s="1026">
        <f>W17*$X$25</f>
        <v>2.1476867316070868E-2</v>
      </c>
      <c r="O55" s="1026"/>
      <c r="P55" s="31" t="s">
        <v>617</v>
      </c>
      <c r="Q55" s="31"/>
      <c r="R55" s="1024">
        <f>N55*26*4/1000</f>
        <v>2.2335942008713701E-3</v>
      </c>
      <c r="S55" s="1024"/>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185">
        <f t="shared" ref="L56:L61" si="13">N56*1000/3600</f>
        <v>1.5846646891198124E-3</v>
      </c>
      <c r="M56" s="1186"/>
      <c r="N56" s="1026">
        <f>AC17*$X$25</f>
        <v>5.7047928808313247E-3</v>
      </c>
      <c r="O56" s="1026"/>
      <c r="P56" s="31" t="s">
        <v>617</v>
      </c>
      <c r="Q56" s="31"/>
      <c r="R56" s="1024">
        <f t="shared" ref="R56:R61" si="14">N56*26*4/1000</f>
        <v>5.9329845960645773E-4</v>
      </c>
      <c r="S56" s="1024"/>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185">
        <f t="shared" si="13"/>
        <v>1.8643113989644849E-4</v>
      </c>
      <c r="M57" s="1186"/>
      <c r="N57" s="1026">
        <f>AI17*$X$25</f>
        <v>6.7115210362721461E-4</v>
      </c>
      <c r="O57" s="1026"/>
      <c r="P57" s="31" t="s">
        <v>617</v>
      </c>
      <c r="Q57" s="31"/>
      <c r="R57" s="1024">
        <f t="shared" si="14"/>
        <v>6.9799818777230315E-5</v>
      </c>
      <c r="S57" s="1024"/>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185">
        <f t="shared" si="13"/>
        <v>0</v>
      </c>
      <c r="M58" s="1186"/>
      <c r="N58" s="1023">
        <f>K22*$X$25</f>
        <v>0</v>
      </c>
      <c r="O58" s="1023"/>
      <c r="P58" s="31" t="s">
        <v>617</v>
      </c>
      <c r="Q58" s="31"/>
      <c r="R58" s="1024">
        <f t="shared" si="14"/>
        <v>0</v>
      </c>
      <c r="S58" s="1024"/>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185">
        <f t="shared" si="13"/>
        <v>0</v>
      </c>
      <c r="M59" s="1186"/>
      <c r="N59" s="1026">
        <f>X25*W22</f>
        <v>0</v>
      </c>
      <c r="O59" s="1026"/>
      <c r="P59" s="31" t="s">
        <v>617</v>
      </c>
      <c r="Q59" s="31"/>
      <c r="R59" s="1024">
        <f t="shared" si="14"/>
        <v>0</v>
      </c>
      <c r="S59" s="1024"/>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1.8829545129541297E-3</v>
      </c>
      <c r="M60" s="1186"/>
      <c r="N60" s="1023">
        <f>Q22*$X$25</f>
        <v>6.7786362466348673E-3</v>
      </c>
      <c r="O60" s="1023"/>
      <c r="P60" s="31" t="s">
        <v>617</v>
      </c>
      <c r="Q60" s="31"/>
      <c r="R60" s="1024">
        <f t="shared" si="14"/>
        <v>7.0497816965002622E-4</v>
      </c>
      <c r="S60" s="1024"/>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0</v>
      </c>
      <c r="M61" s="1186"/>
      <c r="N61" s="1023">
        <f>AC22*$X$25</f>
        <v>0</v>
      </c>
      <c r="O61" s="1023"/>
      <c r="P61" s="31" t="s">
        <v>617</v>
      </c>
      <c r="Q61" s="31"/>
      <c r="R61" s="1024">
        <f t="shared" si="14"/>
        <v>0</v>
      </c>
      <c r="S61" s="1024"/>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187">
        <f>O62*1000/3600</f>
        <v>268.25559318785184</v>
      </c>
      <c r="M62" s="1188"/>
      <c r="N62" s="31"/>
      <c r="O62" s="394">
        <f>'Diesel F'!I56*X25</f>
        <v>965.72013547626671</v>
      </c>
      <c r="P62" s="395" t="s">
        <v>617</v>
      </c>
      <c r="Q62" s="395"/>
      <c r="R62" s="1025">
        <f>O62*26*4/1000</f>
        <v>100.43489408953174</v>
      </c>
      <c r="S62" s="1025"/>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680</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682</v>
      </c>
      <c r="B65" s="31" t="s">
        <v>683</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685</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415" t="s">
        <v>38</v>
      </c>
      <c r="B67" s="31" t="s">
        <v>687</v>
      </c>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32" t="s">
        <v>41</v>
      </c>
      <c r="B68" s="147" t="s">
        <v>689</v>
      </c>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pgfVH+RwKLMdeB1KJUjpd3mM8e86saeu2cy9Dug/X0FuKH+47G1gUoO9b8iHWxhDzI4WORgno+7/Wr3OkRfiSw==" saltValue="APbFhWj5awXS35zuIMiS0Q==" spinCount="100000" sheet="1" objects="1" scenarios="1" selectLockedCells="1" selectUnlockedCells="1"/>
  <mergeCells count="450">
    <mergeCell ref="Y32:AI37"/>
    <mergeCell ref="L55:M55"/>
    <mergeCell ref="L56:M56"/>
    <mergeCell ref="L57:M57"/>
    <mergeCell ref="L58:M58"/>
    <mergeCell ref="L59:M59"/>
    <mergeCell ref="L60:M60"/>
    <mergeCell ref="L61:M61"/>
    <mergeCell ref="L62:M62"/>
    <mergeCell ref="L54:M54"/>
    <mergeCell ref="R33:S33"/>
    <mergeCell ref="T33:U33"/>
    <mergeCell ref="R34:S34"/>
    <mergeCell ref="T34:U34"/>
    <mergeCell ref="R37:S37"/>
    <mergeCell ref="T37:U37"/>
    <mergeCell ref="R39:S39"/>
    <mergeCell ref="T39:U39"/>
    <mergeCell ref="R38:S38"/>
    <mergeCell ref="T38:U38"/>
    <mergeCell ref="R41:S41"/>
    <mergeCell ref="T41:U41"/>
    <mergeCell ref="R40:S40"/>
    <mergeCell ref="T40:U40"/>
    <mergeCell ref="A1:AK4"/>
    <mergeCell ref="A5:G5"/>
    <mergeCell ref="Y5:AB5"/>
    <mergeCell ref="AC5:AK5"/>
    <mergeCell ref="A6:G6"/>
    <mergeCell ref="Y6:AB6"/>
    <mergeCell ref="AC6:AK6"/>
    <mergeCell ref="A10:H10"/>
    <mergeCell ref="I10:X10"/>
    <mergeCell ref="Y10:AB10"/>
    <mergeCell ref="AC10:AE10"/>
    <mergeCell ref="AF10:AH10"/>
    <mergeCell ref="AI10:AK10"/>
    <mergeCell ref="A7:G7"/>
    <mergeCell ref="Y7:AB7"/>
    <mergeCell ref="A8:G9"/>
    <mergeCell ref="H8:AK9"/>
    <mergeCell ref="A11:AK12"/>
    <mergeCell ref="A13:G13"/>
    <mergeCell ref="H13:AK13"/>
    <mergeCell ref="H14:J14"/>
    <mergeCell ref="K14:M14"/>
    <mergeCell ref="N14:P14"/>
    <mergeCell ref="Q14:S14"/>
    <mergeCell ref="T14:V14"/>
    <mergeCell ref="W14:Y14"/>
    <mergeCell ref="Z14:AB14"/>
    <mergeCell ref="AC14:AE14"/>
    <mergeCell ref="AF14:AH14"/>
    <mergeCell ref="AI14:AK14"/>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Z19:AB19"/>
    <mergeCell ref="AC19:AE19"/>
    <mergeCell ref="H20:J20"/>
    <mergeCell ref="K20:M20"/>
    <mergeCell ref="N20:P20"/>
    <mergeCell ref="Q20:S20"/>
    <mergeCell ref="T20:V20"/>
    <mergeCell ref="W20:Y20"/>
    <mergeCell ref="Z20:AB20"/>
    <mergeCell ref="AC20:AE20"/>
    <mergeCell ref="H21:J21"/>
    <mergeCell ref="K21:M21"/>
    <mergeCell ref="N21:P21"/>
    <mergeCell ref="Q21:S21"/>
    <mergeCell ref="T21:V21"/>
    <mergeCell ref="W21:Y21"/>
    <mergeCell ref="H19:J19"/>
    <mergeCell ref="K19:M19"/>
    <mergeCell ref="N19:P19"/>
    <mergeCell ref="Q19:S19"/>
    <mergeCell ref="T19:V19"/>
    <mergeCell ref="W19:Y19"/>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AF19:AK23"/>
    <mergeCell ref="Z21:AB21"/>
    <mergeCell ref="AC21:AE21"/>
    <mergeCell ref="H22:J22"/>
    <mergeCell ref="K22:M22"/>
    <mergeCell ref="N22:P22"/>
    <mergeCell ref="Q22:S22"/>
    <mergeCell ref="T22:V22"/>
    <mergeCell ref="W22:Y22"/>
    <mergeCell ref="Z22:AB22"/>
    <mergeCell ref="AC22:AE22"/>
    <mergeCell ref="A27:E27"/>
    <mergeCell ref="F27:U27"/>
    <mergeCell ref="F28:I29"/>
    <mergeCell ref="J28:M28"/>
    <mergeCell ref="N28:O29"/>
    <mergeCell ref="P28:U29"/>
    <mergeCell ref="J29:K29"/>
    <mergeCell ref="L29:M29"/>
    <mergeCell ref="AH25:AI25"/>
    <mergeCell ref="T26:W26"/>
    <mergeCell ref="X26:Z26"/>
    <mergeCell ref="AA26:AB26"/>
    <mergeCell ref="AC26:AD26"/>
    <mergeCell ref="AE26:AG26"/>
    <mergeCell ref="AH26:AI26"/>
    <mergeCell ref="A30:E30"/>
    <mergeCell ref="F30:G30"/>
    <mergeCell ref="H30:I30"/>
    <mergeCell ref="J30:K30"/>
    <mergeCell ref="L30:M30"/>
    <mergeCell ref="N30:O30"/>
    <mergeCell ref="P30:Q30"/>
    <mergeCell ref="R30:S30"/>
    <mergeCell ref="T30:U30"/>
    <mergeCell ref="F31:G31"/>
    <mergeCell ref="H31:I31"/>
    <mergeCell ref="J31:K31"/>
    <mergeCell ref="L31:M31"/>
    <mergeCell ref="N31:O31"/>
    <mergeCell ref="P31:Q31"/>
    <mergeCell ref="R31:S31"/>
    <mergeCell ref="T31:U31"/>
    <mergeCell ref="F32:G32"/>
    <mergeCell ref="R32:S32"/>
    <mergeCell ref="T32:U32"/>
    <mergeCell ref="H32:I32"/>
    <mergeCell ref="J32:K32"/>
    <mergeCell ref="L32:M32"/>
    <mergeCell ref="N32:O32"/>
    <mergeCell ref="P32:Q32"/>
    <mergeCell ref="F34:G34"/>
    <mergeCell ref="H34:I34"/>
    <mergeCell ref="F33:G33"/>
    <mergeCell ref="H33:I33"/>
    <mergeCell ref="J33:K33"/>
    <mergeCell ref="L33:M33"/>
    <mergeCell ref="N33:O33"/>
    <mergeCell ref="P33:Q33"/>
    <mergeCell ref="J34:K34"/>
    <mergeCell ref="L34:M34"/>
    <mergeCell ref="N34:O34"/>
    <mergeCell ref="P34:Q34"/>
    <mergeCell ref="F35:G35"/>
    <mergeCell ref="H35:I35"/>
    <mergeCell ref="J35:K35"/>
    <mergeCell ref="L35:M35"/>
    <mergeCell ref="N35:O35"/>
    <mergeCell ref="P35:Q35"/>
    <mergeCell ref="R36:S36"/>
    <mergeCell ref="T36:U36"/>
    <mergeCell ref="F36:G36"/>
    <mergeCell ref="H36:I36"/>
    <mergeCell ref="J36:K36"/>
    <mergeCell ref="L36:M36"/>
    <mergeCell ref="N36:O36"/>
    <mergeCell ref="P36:Q36"/>
    <mergeCell ref="R35:S35"/>
    <mergeCell ref="T35:U35"/>
    <mergeCell ref="F37:G37"/>
    <mergeCell ref="H37:I37"/>
    <mergeCell ref="J37:K37"/>
    <mergeCell ref="L37:M37"/>
    <mergeCell ref="N37:O37"/>
    <mergeCell ref="P37:Q37"/>
    <mergeCell ref="F39:G39"/>
    <mergeCell ref="H39:I39"/>
    <mergeCell ref="J39:K39"/>
    <mergeCell ref="L39:M39"/>
    <mergeCell ref="N39:O39"/>
    <mergeCell ref="P39:Q39"/>
    <mergeCell ref="F38:G38"/>
    <mergeCell ref="H38:I38"/>
    <mergeCell ref="J38:K38"/>
    <mergeCell ref="L38:M38"/>
    <mergeCell ref="N38:O38"/>
    <mergeCell ref="P38:Q38"/>
    <mergeCell ref="J40:K40"/>
    <mergeCell ref="L40:M40"/>
    <mergeCell ref="N40:O40"/>
    <mergeCell ref="P40:Q40"/>
    <mergeCell ref="F41:G41"/>
    <mergeCell ref="H41:I41"/>
    <mergeCell ref="J41:K41"/>
    <mergeCell ref="L41:M41"/>
    <mergeCell ref="N41:O41"/>
    <mergeCell ref="P41:Q41"/>
    <mergeCell ref="F40:G40"/>
    <mergeCell ref="H40:I40"/>
    <mergeCell ref="AF43:AG43"/>
    <mergeCell ref="AH43:AI43"/>
    <mergeCell ref="AJ43:AK43"/>
    <mergeCell ref="X43:Y43"/>
    <mergeCell ref="Z43:AA43"/>
    <mergeCell ref="AB43:AC43"/>
    <mergeCell ref="F42:G42"/>
    <mergeCell ref="H42:I42"/>
    <mergeCell ref="J42:K42"/>
    <mergeCell ref="L42:M42"/>
    <mergeCell ref="N42:O42"/>
    <mergeCell ref="P42:Q42"/>
    <mergeCell ref="F43:G43"/>
    <mergeCell ref="H43:I43"/>
    <mergeCell ref="J43:K43"/>
    <mergeCell ref="L43:M43"/>
    <mergeCell ref="N43:O43"/>
    <mergeCell ref="P43:Q43"/>
    <mergeCell ref="R42:S42"/>
    <mergeCell ref="T42:U42"/>
    <mergeCell ref="AD43:AE43"/>
    <mergeCell ref="H44:I44"/>
    <mergeCell ref="J44:K44"/>
    <mergeCell ref="L44:M44"/>
    <mergeCell ref="N44:O44"/>
    <mergeCell ref="P44:Q44"/>
    <mergeCell ref="R43:S43"/>
    <mergeCell ref="T43:U43"/>
    <mergeCell ref="V43:W43"/>
    <mergeCell ref="R45:S45"/>
    <mergeCell ref="T45:U45"/>
    <mergeCell ref="V45:W45"/>
    <mergeCell ref="AD44:AE44"/>
    <mergeCell ref="AF44:AG44"/>
    <mergeCell ref="AH44:AI44"/>
    <mergeCell ref="AJ44:AK44"/>
    <mergeCell ref="F45:G45"/>
    <mergeCell ref="H45:I45"/>
    <mergeCell ref="J45:K45"/>
    <mergeCell ref="L45:M45"/>
    <mergeCell ref="N45:O45"/>
    <mergeCell ref="P45:Q45"/>
    <mergeCell ref="R44:S44"/>
    <mergeCell ref="T44:U44"/>
    <mergeCell ref="V44:W44"/>
    <mergeCell ref="X44:Y44"/>
    <mergeCell ref="Z44:AA44"/>
    <mergeCell ref="AB44:AC44"/>
    <mergeCell ref="AD45:AE45"/>
    <mergeCell ref="AF45:AG45"/>
    <mergeCell ref="AH45:AI45"/>
    <mergeCell ref="AJ45:AK45"/>
    <mergeCell ref="X45:Y45"/>
    <mergeCell ref="Z45:AA45"/>
    <mergeCell ref="AB45:AC45"/>
    <mergeCell ref="F44:G44"/>
    <mergeCell ref="AF46:AG46"/>
    <mergeCell ref="AH46:AI46"/>
    <mergeCell ref="AJ46:AK46"/>
    <mergeCell ref="F47:G47"/>
    <mergeCell ref="H47:I47"/>
    <mergeCell ref="J47:K47"/>
    <mergeCell ref="L47:M47"/>
    <mergeCell ref="N47:O47"/>
    <mergeCell ref="P47:Q47"/>
    <mergeCell ref="R46:S46"/>
    <mergeCell ref="T46:U46"/>
    <mergeCell ref="V46:W46"/>
    <mergeCell ref="X46:Y46"/>
    <mergeCell ref="Z46:AA46"/>
    <mergeCell ref="AB46:AC46"/>
    <mergeCell ref="AD47:AE47"/>
    <mergeCell ref="AF47:AG47"/>
    <mergeCell ref="AH47:AI47"/>
    <mergeCell ref="AJ47:AK47"/>
    <mergeCell ref="X47:Y47"/>
    <mergeCell ref="Z47:AA47"/>
    <mergeCell ref="AB47:AC47"/>
    <mergeCell ref="F46:G46"/>
    <mergeCell ref="H46:I46"/>
    <mergeCell ref="J48:K48"/>
    <mergeCell ref="L48:M48"/>
    <mergeCell ref="N48:O48"/>
    <mergeCell ref="P48:Q48"/>
    <mergeCell ref="R47:S47"/>
    <mergeCell ref="T47:U47"/>
    <mergeCell ref="V47:W47"/>
    <mergeCell ref="AD46:AE46"/>
    <mergeCell ref="J46:K46"/>
    <mergeCell ref="L46:M46"/>
    <mergeCell ref="N46:O46"/>
    <mergeCell ref="P46:Q46"/>
    <mergeCell ref="AD48:AE48"/>
    <mergeCell ref="AF48:AG48"/>
    <mergeCell ref="AH48:AI48"/>
    <mergeCell ref="AJ48:AK48"/>
    <mergeCell ref="F49:G49"/>
    <mergeCell ref="H49:I49"/>
    <mergeCell ref="J49:K49"/>
    <mergeCell ref="L49:M49"/>
    <mergeCell ref="N49:O49"/>
    <mergeCell ref="P49:Q49"/>
    <mergeCell ref="R48:S48"/>
    <mergeCell ref="T48:U48"/>
    <mergeCell ref="V48:W48"/>
    <mergeCell ref="X48:Y48"/>
    <mergeCell ref="Z48:AA48"/>
    <mergeCell ref="AB48:AC48"/>
    <mergeCell ref="AD49:AE49"/>
    <mergeCell ref="AF49:AG49"/>
    <mergeCell ref="AH49:AI49"/>
    <mergeCell ref="AJ49:AK49"/>
    <mergeCell ref="X49:Y49"/>
    <mergeCell ref="Z49:AA49"/>
    <mergeCell ref="AB49:AC49"/>
    <mergeCell ref="F48:G48"/>
    <mergeCell ref="H48:I48"/>
    <mergeCell ref="H50:I50"/>
    <mergeCell ref="J50:K50"/>
    <mergeCell ref="L50:M50"/>
    <mergeCell ref="N50:O50"/>
    <mergeCell ref="P50:Q50"/>
    <mergeCell ref="R49:S49"/>
    <mergeCell ref="T49:U49"/>
    <mergeCell ref="V49:W49"/>
    <mergeCell ref="R51:S51"/>
    <mergeCell ref="T51:U51"/>
    <mergeCell ref="V51:W51"/>
    <mergeCell ref="AD50:AE50"/>
    <mergeCell ref="AF50:AG50"/>
    <mergeCell ref="AH50:AI50"/>
    <mergeCell ref="AJ50:AK50"/>
    <mergeCell ref="F51:G51"/>
    <mergeCell ref="H51:I51"/>
    <mergeCell ref="J51:K51"/>
    <mergeCell ref="L51:M51"/>
    <mergeCell ref="N51:O51"/>
    <mergeCell ref="P51:Q51"/>
    <mergeCell ref="R50:S50"/>
    <mergeCell ref="T50:U50"/>
    <mergeCell ref="V50:W50"/>
    <mergeCell ref="X50:Y50"/>
    <mergeCell ref="Z50:AA50"/>
    <mergeCell ref="AB50:AC50"/>
    <mergeCell ref="AD51:AE51"/>
    <mergeCell ref="AF51:AG51"/>
    <mergeCell ref="AH51:AI51"/>
    <mergeCell ref="AJ51:AK51"/>
    <mergeCell ref="X51:Y51"/>
    <mergeCell ref="Z51:AA51"/>
    <mergeCell ref="AB51:AC51"/>
    <mergeCell ref="F50:G50"/>
    <mergeCell ref="AJ52:AK52"/>
    <mergeCell ref="A53:E53"/>
    <mergeCell ref="F53:G53"/>
    <mergeCell ref="H53:I53"/>
    <mergeCell ref="J53:K53"/>
    <mergeCell ref="L53:M53"/>
    <mergeCell ref="N53:O53"/>
    <mergeCell ref="R52:S52"/>
    <mergeCell ref="T52:U52"/>
    <mergeCell ref="V52:W52"/>
    <mergeCell ref="X52:Y52"/>
    <mergeCell ref="Z52:AA52"/>
    <mergeCell ref="AB52:AC52"/>
    <mergeCell ref="AB53:AC53"/>
    <mergeCell ref="AD53:AE53"/>
    <mergeCell ref="AF53:AG53"/>
    <mergeCell ref="AH53:AI53"/>
    <mergeCell ref="AJ53:AK53"/>
    <mergeCell ref="F52:G52"/>
    <mergeCell ref="H52:I52"/>
    <mergeCell ref="J52:K52"/>
    <mergeCell ref="L52:M52"/>
    <mergeCell ref="N52:O52"/>
    <mergeCell ref="P52:Q52"/>
    <mergeCell ref="P53:Q53"/>
    <mergeCell ref="R53:S53"/>
    <mergeCell ref="T53:U53"/>
    <mergeCell ref="V53:W53"/>
    <mergeCell ref="X53:Y53"/>
    <mergeCell ref="Z53:AA53"/>
    <mergeCell ref="AD52:AE52"/>
    <mergeCell ref="AF52:AG52"/>
    <mergeCell ref="AH52:AI52"/>
    <mergeCell ref="AE55:AF55"/>
    <mergeCell ref="N56:O56"/>
    <mergeCell ref="R56:S56"/>
    <mergeCell ref="N57:O57"/>
    <mergeCell ref="R57:S57"/>
    <mergeCell ref="T57:U57"/>
    <mergeCell ref="Y57:Z57"/>
    <mergeCell ref="AC57:AD57"/>
    <mergeCell ref="AE57:AF57"/>
    <mergeCell ref="N55:O55"/>
    <mergeCell ref="R55:S55"/>
    <mergeCell ref="T55:U55"/>
    <mergeCell ref="Y55:Z55"/>
    <mergeCell ref="AC55:AD55"/>
    <mergeCell ref="AC59:AD59"/>
    <mergeCell ref="AE59:AF59"/>
    <mergeCell ref="N60:O60"/>
    <mergeCell ref="R60:S60"/>
    <mergeCell ref="N61:O61"/>
    <mergeCell ref="R62:S62"/>
    <mergeCell ref="N58:O58"/>
    <mergeCell ref="R58:S58"/>
    <mergeCell ref="N59:O59"/>
    <mergeCell ref="R59:S59"/>
    <mergeCell ref="T59:U59"/>
    <mergeCell ref="Y59:Z59"/>
    <mergeCell ref="R61:S61"/>
  </mergeCells>
  <conditionalFormatting sqref="H31:U52">
    <cfRule type="expression" dxfId="319" priority="1">
      <formula>H31=0</formula>
    </cfRule>
  </conditionalFormatting>
  <conditionalFormatting sqref="V31:AK31 V32:Y32 AJ32:AK37 V33:X37 V38:AK52">
    <cfRule type="expression" dxfId="318" priority="3">
      <formula>V31=0</formula>
    </cfRule>
  </conditionalFormatting>
  <conditionalFormatting sqref="V53:AK53">
    <cfRule type="expression" dxfId="317" priority="4" stopIfTrue="1">
      <formula>V53=0</formula>
    </cfRule>
  </conditionalFormatting>
  <conditionalFormatting sqref="Y56:Y62 AC56:AD62 N57 N59">
    <cfRule type="expression" dxfId="316" priority="6" stopIfTrue="1">
      <formula>N56=0</formula>
    </cfRule>
  </conditionalFormatting>
  <pageMargins left="0.74803149606299213" right="0.19685039370078741" top="0.39370078740157483" bottom="0.39370078740157483" header="0.19685039370078741" footer="0.19685039370078741"/>
  <pageSetup paperSize="9" scale="64"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14" width="3.7109375" style="404"/>
    <col min="15" max="15" width="6.7109375" style="404" customWidth="1"/>
    <col min="16" max="18" width="3.7109375" style="404"/>
    <col min="19" max="19" width="5.42578125" style="404" bestFit="1" customWidth="1"/>
    <col min="20" max="23" width="3.7109375" style="404"/>
    <col min="24" max="24" width="4" style="404" bestFit="1"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Effluents!$K$2</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tr">
        <f>'Emiss. Ops'!$I$4</f>
        <v>Normal Operations</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698</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0</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588</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'Diesel F'!G20</f>
        <v>44.890193469756099</v>
      </c>
      <c r="R16" s="1144"/>
      <c r="S16" s="1145"/>
      <c r="T16" s="1073">
        <f>'Diesel F'!H5</f>
        <v>55161.599999999999</v>
      </c>
      <c r="U16" s="1109"/>
      <c r="V16" s="1074"/>
      <c r="W16" s="1076" t="s">
        <v>604</v>
      </c>
      <c r="X16" s="1075"/>
      <c r="Y16" s="1077"/>
      <c r="Z16" s="1073">
        <f>'Diesel F'!H6</f>
        <v>14652.3</v>
      </c>
      <c r="AA16" s="1109"/>
      <c r="AB16" s="1074"/>
      <c r="AC16" s="1076" t="s">
        <v>604</v>
      </c>
      <c r="AD16" s="1075"/>
      <c r="AE16" s="1077"/>
      <c r="AF16" s="1146">
        <f>'Diesel F'!H8</f>
        <v>1723.8</v>
      </c>
      <c r="AG16" s="1147"/>
      <c r="AH16" s="1148"/>
      <c r="AI16" s="1076" t="s">
        <v>604</v>
      </c>
      <c r="AJ16" s="1075"/>
      <c r="AK16" s="1077"/>
      <c r="AL16" s="303"/>
      <c r="AM16" s="303" t="s">
        <v>605</v>
      </c>
      <c r="AN16" s="303"/>
      <c r="AO16" s="303"/>
      <c r="AP16" s="351"/>
      <c r="AQ16" s="352"/>
      <c r="AR16" s="353"/>
      <c r="AS16" s="354"/>
      <c r="AT16" s="355"/>
      <c r="AU16" s="356"/>
      <c r="AV16" s="354"/>
      <c r="AW16" s="355"/>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1">
        <v>305.24099999999999</v>
      </c>
      <c r="I17" s="1132"/>
      <c r="J17" s="1133"/>
      <c r="K17" s="1134">
        <v>832.5</v>
      </c>
      <c r="L17" s="1135"/>
      <c r="M17" s="1136"/>
      <c r="N17" s="1137">
        <v>42.588000000000001</v>
      </c>
      <c r="O17" s="1138"/>
      <c r="P17" s="1139"/>
      <c r="Q17" s="1137">
        <v>45.612000000000002</v>
      </c>
      <c r="R17" s="1138"/>
      <c r="S17" s="1139"/>
      <c r="T17" s="1066">
        <f>$Q$17/$Q$16*T16</f>
        <v>56048.564390686515</v>
      </c>
      <c r="U17" s="1110"/>
      <c r="V17" s="1067"/>
      <c r="W17" s="1114">
        <f>T17/1000000/K17</f>
        <v>6.7325602871695514E-5</v>
      </c>
      <c r="X17" s="1115"/>
      <c r="Y17" s="1116"/>
      <c r="Z17" s="1066">
        <f>$Q$17/$Q$16*Z16</f>
        <v>14887.899916276105</v>
      </c>
      <c r="AA17" s="1110"/>
      <c r="AB17" s="1067"/>
      <c r="AC17" s="1114">
        <f>Z17/1000000/K17</f>
        <v>1.7883363262794121E-5</v>
      </c>
      <c r="AD17" s="1115"/>
      <c r="AE17" s="1116"/>
      <c r="AF17" s="1066">
        <f>$Q$17/$Q$16*AF16</f>
        <v>1751.5176372089536</v>
      </c>
      <c r="AG17" s="1110"/>
      <c r="AH17" s="1067"/>
      <c r="AI17" s="1060">
        <f>AF17/1000000/K17</f>
        <v>2.1039250897404848E-6</v>
      </c>
      <c r="AJ17" s="1059"/>
      <c r="AK17" s="1063"/>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202"/>
      <c r="I18" s="1203"/>
      <c r="J18" s="1204"/>
      <c r="K18" s="1217"/>
      <c r="L18" s="1218"/>
      <c r="M18" s="1219"/>
      <c r="N18" s="1220"/>
      <c r="O18" s="1221"/>
      <c r="P18" s="1222"/>
      <c r="Q18" s="1220"/>
      <c r="R18" s="1221"/>
      <c r="S18" s="1222"/>
      <c r="T18" s="1199"/>
      <c r="U18" s="1200"/>
      <c r="V18" s="1201"/>
      <c r="W18" s="1202"/>
      <c r="X18" s="1203"/>
      <c r="Y18" s="1204"/>
      <c r="Z18" s="1199"/>
      <c r="AA18" s="1200"/>
      <c r="AB18" s="1201"/>
      <c r="AC18" s="1202"/>
      <c r="AD18" s="1203"/>
      <c r="AE18" s="1204"/>
      <c r="AF18" s="1223"/>
      <c r="AG18" s="1224"/>
      <c r="AH18" s="1225"/>
      <c r="AI18" s="1202"/>
      <c r="AJ18" s="1203"/>
      <c r="AK18" s="1204"/>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125</v>
      </c>
      <c r="AA19" s="1118"/>
      <c r="AB19" s="1119"/>
      <c r="AC19" s="1117" t="s">
        <v>125</v>
      </c>
      <c r="AD19" s="1118"/>
      <c r="AE19" s="1119"/>
      <c r="AF19" s="1100" t="s">
        <v>610</v>
      </c>
      <c r="AG19" s="1101"/>
      <c r="AH19" s="1101"/>
      <c r="AI19" s="1101"/>
      <c r="AJ19" s="1101"/>
      <c r="AK19" s="1102"/>
      <c r="AL19" s="303"/>
      <c r="AM19" s="24" t="s">
        <v>699</v>
      </c>
      <c r="AN19" s="24">
        <v>15.6</v>
      </c>
      <c r="AO19" s="23" t="s">
        <v>609</v>
      </c>
      <c r="AP19" s="303"/>
      <c r="AQ19" s="303"/>
      <c r="AR19" s="356"/>
      <c r="AS19" s="354"/>
      <c r="AT19" s="355"/>
      <c r="AU19" s="351"/>
      <c r="AV19" s="354"/>
      <c r="AW19" s="355"/>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1103"/>
      <c r="AG20" s="1104"/>
      <c r="AH20" s="1104"/>
      <c r="AI20" s="1104"/>
      <c r="AJ20" s="1104"/>
      <c r="AK20" s="1105"/>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c r="I21" s="1109"/>
      <c r="J21" s="1074"/>
      <c r="K21" s="1076" t="s">
        <v>604</v>
      </c>
      <c r="L21" s="1075"/>
      <c r="M21" s="1077"/>
      <c r="N21" s="1073">
        <f>'Diesel F'!H7</f>
        <v>17410.38</v>
      </c>
      <c r="O21" s="1109"/>
      <c r="P21" s="1074"/>
      <c r="Q21" s="1076" t="s">
        <v>604</v>
      </c>
      <c r="R21" s="1075"/>
      <c r="S21" s="1077"/>
      <c r="T21" s="1073"/>
      <c r="U21" s="1109"/>
      <c r="V21" s="1074"/>
      <c r="W21" s="1214" t="s">
        <v>604</v>
      </c>
      <c r="X21" s="1215"/>
      <c r="Y21" s="1216"/>
      <c r="Z21" s="1073"/>
      <c r="AA21" s="1109"/>
      <c r="AB21" s="1074"/>
      <c r="AC21" s="1076" t="s">
        <v>604</v>
      </c>
      <c r="AD21" s="1075"/>
      <c r="AE21" s="1077"/>
      <c r="AF21" s="1103"/>
      <c r="AG21" s="1104"/>
      <c r="AH21" s="1104"/>
      <c r="AI21" s="1104"/>
      <c r="AJ21" s="1104"/>
      <c r="AK21" s="1105"/>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6"/>
      <c r="I22" s="1110"/>
      <c r="J22" s="1067"/>
      <c r="K22" s="1114"/>
      <c r="L22" s="1115"/>
      <c r="M22" s="1116"/>
      <c r="N22" s="1066">
        <f>$Q$17/$Q$16*N21</f>
        <v>17690.328135810432</v>
      </c>
      <c r="O22" s="1110"/>
      <c r="P22" s="1067"/>
      <c r="Q22" s="1114">
        <f>N22/1000000/K17</f>
        <v>2.1249643406378895E-5</v>
      </c>
      <c r="R22" s="1115"/>
      <c r="S22" s="1116"/>
      <c r="T22" s="1208"/>
      <c r="U22" s="1209"/>
      <c r="V22" s="1210"/>
      <c r="W22" s="1211"/>
      <c r="X22" s="1212"/>
      <c r="Y22" s="1213"/>
      <c r="Z22" s="1066"/>
      <c r="AA22" s="1110"/>
      <c r="AB22" s="1067"/>
      <c r="AC22" s="1114"/>
      <c r="AD22" s="1115"/>
      <c r="AE22" s="1116"/>
      <c r="AF22" s="1103"/>
      <c r="AG22" s="1104"/>
      <c r="AH22" s="1104"/>
      <c r="AI22" s="1104"/>
      <c r="AJ22" s="1104"/>
      <c r="AK22" s="1105"/>
      <c r="AL22" s="303"/>
      <c r="AM22" s="303"/>
      <c r="AN22" s="303"/>
      <c r="AO22" s="303"/>
      <c r="AP22" s="303"/>
      <c r="AQ22" s="303"/>
      <c r="AR22" s="356"/>
      <c r="AS22" s="354"/>
      <c r="AT22" s="355"/>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199"/>
      <c r="I23" s="1200"/>
      <c r="J23" s="1201"/>
      <c r="K23" s="1202"/>
      <c r="L23" s="1203"/>
      <c r="M23" s="1204"/>
      <c r="N23" s="1199"/>
      <c r="O23" s="1200"/>
      <c r="P23" s="1201"/>
      <c r="Q23" s="1205"/>
      <c r="R23" s="1206"/>
      <c r="S23" s="1207"/>
      <c r="T23" s="1128"/>
      <c r="U23" s="1129"/>
      <c r="V23" s="1130"/>
      <c r="W23" s="1096"/>
      <c r="X23" s="1097"/>
      <c r="Y23" s="1098"/>
      <c r="Z23" s="1199"/>
      <c r="AA23" s="1200"/>
      <c r="AB23" s="1201"/>
      <c r="AC23" s="1202"/>
      <c r="AD23" s="1203"/>
      <c r="AE23" s="1204"/>
      <c r="AF23" s="1106"/>
      <c r="AG23" s="1107"/>
      <c r="AH23" s="1107"/>
      <c r="AI23" s="1107"/>
      <c r="AJ23" s="1107"/>
      <c r="AK23" s="1108"/>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v>0.8</v>
      </c>
      <c r="I25" s="31" t="s">
        <v>590</v>
      </c>
      <c r="J25" s="31"/>
      <c r="K25" s="31"/>
      <c r="L25" s="31" t="s">
        <v>615</v>
      </c>
      <c r="M25" s="31"/>
      <c r="N25" s="31"/>
      <c r="O25" s="31"/>
      <c r="P25" s="31"/>
      <c r="Q25" s="31"/>
      <c r="R25" s="31"/>
      <c r="S25" s="32" t="s">
        <v>616</v>
      </c>
      <c r="T25" s="1092" t="str">
        <f>A17</f>
        <v>Diesel</v>
      </c>
      <c r="U25" s="1093"/>
      <c r="V25" s="1093"/>
      <c r="W25" s="1093"/>
      <c r="X25" s="1094">
        <v>50</v>
      </c>
      <c r="Y25" s="1094"/>
      <c r="Z25" s="1094"/>
      <c r="AA25" s="1093" t="s">
        <v>617</v>
      </c>
      <c r="AB25" s="1093"/>
      <c r="AC25" s="1095">
        <f>X25/H17</f>
        <v>0.16380499343141977</v>
      </c>
      <c r="AD25" s="1095"/>
      <c r="AE25" s="1093" t="s">
        <v>618</v>
      </c>
      <c r="AF25" s="1093"/>
      <c r="AG25" s="1093"/>
      <c r="AH25" s="1198">
        <f>X25*N17/3600</f>
        <v>0.59150000000000003</v>
      </c>
      <c r="AI25" s="1198"/>
      <c r="AJ25" s="361" t="s">
        <v>590</v>
      </c>
      <c r="AK25" s="362"/>
      <c r="AL25" s="303"/>
      <c r="AM25" s="363"/>
      <c r="AN25" s="303"/>
      <c r="AO25" s="303"/>
      <c r="AP25" s="303"/>
      <c r="AQ25" s="303"/>
      <c r="AR25" s="351"/>
      <c r="AS25" s="354"/>
      <c r="AT25" s="355"/>
      <c r="AU25" s="356"/>
      <c r="AV25" s="354"/>
      <c r="AW25" s="355"/>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c r="B27" s="1081"/>
      <c r="C27" s="1081"/>
      <c r="D27" s="1081"/>
      <c r="E27" s="1081"/>
      <c r="F27" s="1042" t="str">
        <f>A17</f>
        <v>Diesel</v>
      </c>
      <c r="G27" s="1043"/>
      <c r="H27" s="1043"/>
      <c r="I27" s="1043"/>
      <c r="J27" s="1043"/>
      <c r="K27" s="1043"/>
      <c r="L27" s="1043"/>
      <c r="M27" s="1043"/>
      <c r="N27" s="1043"/>
      <c r="O27" s="1043"/>
      <c r="P27" s="1043"/>
      <c r="Q27" s="1043"/>
      <c r="R27" s="1043"/>
      <c r="S27" s="1043"/>
      <c r="T27" s="1043"/>
      <c r="U27" s="1080"/>
      <c r="V27" s="31"/>
      <c r="W27" s="31"/>
      <c r="X27" s="270">
        <f>AH25</f>
        <v>0.59150000000000003</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1">
        <v>104</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1">
        <f>X27*X28</f>
        <v>61.516000000000005</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1">
        <f>X29*3600/1000</f>
        <v>221.45760000000001</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196">
        <v>0</v>
      </c>
      <c r="G31" s="1197"/>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BF33</f>
        <v>3.7672634101823899E-6</v>
      </c>
      <c r="G32" s="1195"/>
      <c r="H32" s="1051">
        <f>F32*$AC$25</f>
        <v>6.1709655815935442E-7</v>
      </c>
      <c r="I32" s="1052"/>
      <c r="J32" s="1059"/>
      <c r="K32" s="1059"/>
      <c r="L32" s="1060"/>
      <c r="M32" s="1059"/>
      <c r="N32" s="1054">
        <f t="shared" si="2"/>
        <v>9.8994629859923649E-6</v>
      </c>
      <c r="O32" s="1055"/>
      <c r="P32" s="1061">
        <f>R32/$R$53</f>
        <v>0</v>
      </c>
      <c r="Q32" s="1062"/>
      <c r="R32" s="1060">
        <f>T32/$AR32</f>
        <v>0</v>
      </c>
      <c r="S32" s="1059"/>
      <c r="T32" s="1064">
        <f>$K$22*$X$25</f>
        <v>0</v>
      </c>
      <c r="U32" s="1065"/>
      <c r="V32" s="31"/>
      <c r="W32" s="31"/>
      <c r="X32" s="272"/>
      <c r="Y32" s="272"/>
      <c r="Z32" s="31"/>
      <c r="AA32" s="31"/>
      <c r="AB32" s="31"/>
      <c r="AC32" s="31"/>
      <c r="AD32" s="272"/>
      <c r="AE32" s="272"/>
      <c r="AF32" s="382"/>
      <c r="AG32" s="382"/>
      <c r="AH32" s="31"/>
      <c r="AI32" s="31"/>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31"/>
      <c r="W33" s="31"/>
      <c r="X33" s="272"/>
      <c r="Y33" s="1183" t="s">
        <v>700</v>
      </c>
      <c r="Z33" s="1184"/>
      <c r="AA33" s="1184"/>
      <c r="AB33" s="1184"/>
      <c r="AC33" s="1184"/>
      <c r="AD33" s="1184"/>
      <c r="AE33" s="1184"/>
      <c r="AF33" s="1184"/>
      <c r="AG33" s="1184"/>
      <c r="AH33" s="1184"/>
      <c r="AI33" s="1184"/>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BF34</f>
        <v>2.32021919756754E-4</v>
      </c>
      <c r="G34" s="1050"/>
      <c r="H34" s="1051">
        <f t="shared" si="1"/>
        <v>3.8006349041700492E-5</v>
      </c>
      <c r="I34" s="1052"/>
      <c r="J34" s="1059"/>
      <c r="K34" s="1059"/>
      <c r="L34" s="1060"/>
      <c r="M34" s="1059"/>
      <c r="N34" s="1054">
        <f t="shared" si="2"/>
        <v>1.1427749029858504E-3</v>
      </c>
      <c r="O34" s="1055"/>
      <c r="P34" s="1061">
        <f t="shared" si="10"/>
        <v>0</v>
      </c>
      <c r="Q34" s="1062"/>
      <c r="R34" s="1059">
        <f>T34/$AR34</f>
        <v>0</v>
      </c>
      <c r="S34" s="1059"/>
      <c r="T34" s="1061">
        <f t="shared" si="11"/>
        <v>0</v>
      </c>
      <c r="U34" s="1062"/>
      <c r="V34" s="31"/>
      <c r="W34" s="31"/>
      <c r="X34" s="272"/>
      <c r="Y34" s="1184"/>
      <c r="Z34" s="1184"/>
      <c r="AA34" s="1184"/>
      <c r="AB34" s="1184"/>
      <c r="AC34" s="1184"/>
      <c r="AD34" s="1184"/>
      <c r="AE34" s="1184"/>
      <c r="AF34" s="1184"/>
      <c r="AG34" s="1184"/>
      <c r="AH34" s="1184"/>
      <c r="AI34" s="1184"/>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31"/>
      <c r="W35" s="31"/>
      <c r="X35" s="272"/>
      <c r="Y35" s="1184"/>
      <c r="Z35" s="1184"/>
      <c r="AA35" s="1184"/>
      <c r="AB35" s="1184"/>
      <c r="AC35" s="1184"/>
      <c r="AD35" s="1184"/>
      <c r="AE35" s="1184"/>
      <c r="AF35" s="1184"/>
      <c r="AG35" s="1184"/>
      <c r="AH35" s="1184"/>
      <c r="AI35" s="1184"/>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BF35</f>
        <v>4.1140406723645098E-3</v>
      </c>
      <c r="G36" s="1050"/>
      <c r="H36" s="1051">
        <f t="shared" si="1"/>
        <v>6.7390040531326229E-4</v>
      </c>
      <c r="I36" s="1052"/>
      <c r="J36" s="1059"/>
      <c r="K36" s="1059"/>
      <c r="L36" s="1060"/>
      <c r="M36" s="1059"/>
      <c r="N36" s="1054">
        <f t="shared" si="2"/>
        <v>2.9714964471882988E-2</v>
      </c>
      <c r="O36" s="1055"/>
      <c r="P36" s="1061">
        <f t="shared" si="10"/>
        <v>0</v>
      </c>
      <c r="Q36" s="1062"/>
      <c r="R36" s="1059">
        <f t="shared" si="12"/>
        <v>0</v>
      </c>
      <c r="S36" s="1059"/>
      <c r="T36" s="1061">
        <f t="shared" si="11"/>
        <v>0</v>
      </c>
      <c r="U36" s="1062"/>
      <c r="V36" s="31"/>
      <c r="W36" s="31"/>
      <c r="X36" s="272"/>
      <c r="Y36" s="1184"/>
      <c r="Z36" s="1184"/>
      <c r="AA36" s="1184"/>
      <c r="AB36" s="1184"/>
      <c r="AC36" s="1184"/>
      <c r="AD36" s="1184"/>
      <c r="AE36" s="1184"/>
      <c r="AF36" s="1184"/>
      <c r="AG36" s="1184"/>
      <c r="AH36" s="1184"/>
      <c r="AI36" s="1184"/>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31"/>
      <c r="W37" s="31"/>
      <c r="X37" s="272"/>
      <c r="Y37" s="1184"/>
      <c r="Z37" s="1184"/>
      <c r="AA37" s="1184"/>
      <c r="AB37" s="1184"/>
      <c r="AC37" s="1184"/>
      <c r="AD37" s="1184"/>
      <c r="AE37" s="1184"/>
      <c r="AF37" s="1184"/>
      <c r="AG37" s="1184"/>
      <c r="AH37" s="1184"/>
      <c r="AI37" s="1184"/>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BF36</f>
        <v>4.2987554978870402E-3</v>
      </c>
      <c r="G38" s="1050"/>
      <c r="H38" s="1051">
        <f t="shared" si="1"/>
        <v>7.0415761609466624E-4</v>
      </c>
      <c r="I38" s="1052"/>
      <c r="J38" s="1059"/>
      <c r="K38" s="1059"/>
      <c r="L38" s="1060"/>
      <c r="M38" s="1059"/>
      <c r="N38" s="1054">
        <f t="shared" si="2"/>
        <v>4.0925640647421997E-2</v>
      </c>
      <c r="O38" s="1055"/>
      <c r="P38" s="1061">
        <f t="shared" si="10"/>
        <v>0</v>
      </c>
      <c r="Q38" s="1062"/>
      <c r="R38" s="1059">
        <f t="shared" si="12"/>
        <v>0</v>
      </c>
      <c r="S38" s="1059"/>
      <c r="T38" s="1061">
        <f t="shared" si="11"/>
        <v>0</v>
      </c>
      <c r="U38" s="1062"/>
      <c r="V38" s="31"/>
      <c r="W38" s="31"/>
      <c r="X38" s="272"/>
      <c r="Y38" s="1184"/>
      <c r="Z38" s="1184"/>
      <c r="AA38" s="1184"/>
      <c r="AB38" s="1184"/>
      <c r="AC38" s="1184"/>
      <c r="AD38" s="1184"/>
      <c r="AE38" s="1184"/>
      <c r="AF38" s="1184"/>
      <c r="AG38" s="1184"/>
      <c r="AH38" s="1184"/>
      <c r="AI38" s="1184"/>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f>BF37</f>
        <v>1.33109664079022E-2</v>
      </c>
      <c r="G39" s="1050"/>
      <c r="H39" s="1051">
        <f t="shared" si="1"/>
        <v>2.1804027650122689E-3</v>
      </c>
      <c r="I39" s="1052"/>
      <c r="J39" s="1059"/>
      <c r="K39" s="1059"/>
      <c r="L39" s="1060"/>
      <c r="M39" s="1059"/>
      <c r="N39" s="1054">
        <f t="shared" si="2"/>
        <v>0.12672500870251308</v>
      </c>
      <c r="O39" s="1055"/>
      <c r="P39" s="1061">
        <f t="shared" si="10"/>
        <v>0</v>
      </c>
      <c r="Q39" s="1062"/>
      <c r="R39" s="1059">
        <f t="shared" si="12"/>
        <v>0</v>
      </c>
      <c r="S39" s="1059"/>
      <c r="T39" s="1061">
        <f t="shared" si="11"/>
        <v>0</v>
      </c>
      <c r="U39" s="1062"/>
      <c r="V39" s="31"/>
      <c r="W39" s="31"/>
      <c r="X39" s="272"/>
      <c r="Y39" s="272"/>
      <c r="Z39" s="31"/>
      <c r="AA39" s="31"/>
      <c r="AB39" s="31"/>
      <c r="AC39" s="31"/>
      <c r="AD39" s="272"/>
      <c r="AE39" s="272"/>
      <c r="AF39" s="382"/>
      <c r="AG39" s="382"/>
      <c r="AH39" s="31"/>
      <c r="AI39" s="31"/>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BF38</f>
        <v>1.4450640107125301E-2</v>
      </c>
      <c r="G40" s="1050"/>
      <c r="H40" s="1051">
        <f t="shared" si="1"/>
        <v>2.3670870078274708E-3</v>
      </c>
      <c r="I40" s="1052"/>
      <c r="J40" s="1059"/>
      <c r="K40" s="1059"/>
      <c r="L40" s="1060"/>
      <c r="M40" s="1059"/>
      <c r="N40" s="1054">
        <f t="shared" si="2"/>
        <v>0.1707758592667207</v>
      </c>
      <c r="O40" s="1055"/>
      <c r="P40" s="1061">
        <f t="shared" si="10"/>
        <v>0</v>
      </c>
      <c r="Q40" s="1062"/>
      <c r="R40" s="1059">
        <f t="shared" si="12"/>
        <v>0</v>
      </c>
      <c r="S40" s="1059"/>
      <c r="T40" s="1061">
        <f t="shared" si="11"/>
        <v>0</v>
      </c>
      <c r="U40" s="1062"/>
      <c r="V40" s="1032"/>
      <c r="W40" s="1032"/>
      <c r="X40" s="1033"/>
      <c r="Y40" s="1033"/>
      <c r="Z40" s="1032"/>
      <c r="AA40" s="1032"/>
      <c r="AB40" s="1032"/>
      <c r="AC40" s="1032"/>
      <c r="AD40" s="1033"/>
      <c r="AE40" s="1033"/>
      <c r="AF40" s="1047"/>
      <c r="AG40" s="1047"/>
      <c r="AH40" s="1032"/>
      <c r="AI40" s="1032"/>
      <c r="AJ40" s="1069"/>
      <c r="AK40" s="1124"/>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BF40</f>
        <v>1.8657920075756399E-2</v>
      </c>
      <c r="G41" s="1050"/>
      <c r="H41" s="1051">
        <f t="shared" si="1"/>
        <v>3.0562604754532322E-3</v>
      </c>
      <c r="I41" s="1052"/>
      <c r="J41" s="1059"/>
      <c r="K41" s="1059"/>
      <c r="L41" s="1060"/>
      <c r="M41" s="1059"/>
      <c r="N41" s="1054">
        <f t="shared" si="2"/>
        <v>0.2204969682620489</v>
      </c>
      <c r="O41" s="1055"/>
      <c r="P41" s="1061">
        <f t="shared" si="10"/>
        <v>0</v>
      </c>
      <c r="Q41" s="1062"/>
      <c r="R41" s="1059">
        <f t="shared" si="12"/>
        <v>0</v>
      </c>
      <c r="S41" s="1059"/>
      <c r="T41" s="1061">
        <f t="shared" si="11"/>
        <v>0</v>
      </c>
      <c r="U41" s="1062"/>
      <c r="V41" s="1032"/>
      <c r="W41" s="1032"/>
      <c r="X41" s="1033"/>
      <c r="Y41" s="1033"/>
      <c r="Z41" s="1032"/>
      <c r="AA41" s="1032"/>
      <c r="AB41" s="1032"/>
      <c r="AC41" s="1032"/>
      <c r="AD41" s="1033"/>
      <c r="AE41" s="1033"/>
      <c r="AF41" s="1047"/>
      <c r="AG41" s="1047"/>
      <c r="AH41" s="1032"/>
      <c r="AI41" s="1032"/>
      <c r="AJ41" s="1069"/>
      <c r="AK41" s="1124"/>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425</v>
      </c>
      <c r="B42" s="376"/>
      <c r="C42" s="376"/>
      <c r="D42" s="376"/>
      <c r="E42" s="377"/>
      <c r="F42" s="1049">
        <f>SUM(BF41:BF75)</f>
        <v>0.94337200608568694</v>
      </c>
      <c r="G42" s="1050"/>
      <c r="H42" s="1064">
        <f t="shared" si="1"/>
        <v>0.15452904526025124</v>
      </c>
      <c r="I42" s="1065"/>
      <c r="J42" s="1059"/>
      <c r="K42" s="1059"/>
      <c r="L42" s="1060"/>
      <c r="M42" s="1059"/>
      <c r="N42" s="1054">
        <f t="shared" si="2"/>
        <v>49.403692962024095</v>
      </c>
      <c r="O42" s="1055"/>
      <c r="P42" s="1061">
        <f t="shared" si="10"/>
        <v>0</v>
      </c>
      <c r="Q42" s="1062"/>
      <c r="R42" s="1059">
        <f t="shared" si="12"/>
        <v>0</v>
      </c>
      <c r="S42" s="1059"/>
      <c r="T42" s="1061">
        <f t="shared" si="11"/>
        <v>0</v>
      </c>
      <c r="U42" s="1062"/>
      <c r="V42" s="1032"/>
      <c r="W42" s="1032"/>
      <c r="X42" s="1033"/>
      <c r="Y42" s="1033"/>
      <c r="Z42" s="1032"/>
      <c r="AA42" s="1032"/>
      <c r="AB42" s="1032"/>
      <c r="AC42" s="1032"/>
      <c r="AD42" s="1033"/>
      <c r="AE42" s="1033"/>
      <c r="AF42" s="1047"/>
      <c r="AG42" s="1047"/>
      <c r="AH42" s="1032"/>
      <c r="AI42" s="1032"/>
      <c r="AJ42" s="1048"/>
      <c r="AK42" s="105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5.3930290161319299</v>
      </c>
      <c r="K45" s="1070"/>
      <c r="L45" s="1060">
        <f>0.15*J45</f>
        <v>0.80895435241978941</v>
      </c>
      <c r="M45" s="1059"/>
      <c r="N45" s="1066">
        <f t="shared" si="2"/>
        <v>198.46346779365501</v>
      </c>
      <c r="O45" s="1067"/>
      <c r="P45" s="1061">
        <f t="shared" si="10"/>
        <v>2.66778751905953E-2</v>
      </c>
      <c r="Q45" s="1062"/>
      <c r="R45" s="1059">
        <f>L45+SUMPRODUCT(R32:R44,$AS32:$AS44)</f>
        <v>0.80895435241978941</v>
      </c>
      <c r="S45" s="1059"/>
      <c r="T45" s="1071">
        <f>R45*$AR45</f>
        <v>25.886539277433261</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BF31</f>
        <v>1.4415226502516399E-10</v>
      </c>
      <c r="G46" s="1195"/>
      <c r="H46" s="1061">
        <f t="shared" si="1"/>
        <v>2.3612860825571271E-11</v>
      </c>
      <c r="I46" s="1062"/>
      <c r="J46" s="1059">
        <f>0.79/0.21*J45</f>
        <v>20.288061536877262</v>
      </c>
      <c r="K46" s="1063"/>
      <c r="L46" s="1060">
        <f>0.71/0.29*L45</f>
        <v>1.9805434145450018</v>
      </c>
      <c r="M46" s="1059"/>
      <c r="N46" s="1066">
        <f>SUM(H46,J46,L46)*AR46</f>
        <v>623.52093864048447</v>
      </c>
      <c r="O46" s="1067"/>
      <c r="P46" s="1064">
        <f t="shared" si="10"/>
        <v>0.73437655598158191</v>
      </c>
      <c r="Q46" s="1065"/>
      <c r="R46" s="1064">
        <f>$H46+J46+L46-R49</f>
        <v>22.268531771442753</v>
      </c>
      <c r="S46" s="1065"/>
      <c r="T46" s="1066">
        <f>R46*$AR46</f>
        <v>623.51888960039707</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1.0527695483520148E-6</v>
      </c>
      <c r="Q47" s="1062"/>
      <c r="R47" s="1059">
        <f>T47/$AR$47</f>
        <v>3.1923176120660698E-5</v>
      </c>
      <c r="S47" s="1059"/>
      <c r="T47" s="1064">
        <f>$AC17*$X25</f>
        <v>8.9416816313970604E-4</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BF32</f>
        <v>1.04835044112351E-6</v>
      </c>
      <c r="G48" s="1195"/>
      <c r="H48" s="1061">
        <f t="shared" si="1"/>
        <v>1.7172503712206257E-7</v>
      </c>
      <c r="I48" s="1062"/>
      <c r="J48" s="1059"/>
      <c r="K48" s="1059"/>
      <c r="L48" s="1060"/>
      <c r="M48" s="1059"/>
      <c r="N48" s="1061">
        <f t="shared" si="2"/>
        <v>7.5576188837419732E-6</v>
      </c>
      <c r="O48" s="1062"/>
      <c r="P48" s="1064">
        <f t="shared" si="10"/>
        <v>0.11676943015700561</v>
      </c>
      <c r="Q48" s="1065"/>
      <c r="R48" s="1068">
        <f>SUMPRODUCT($H31:$H52,$AU31:$AU52)+$H48-R47-SUMPRODUCT(R32:R42,$AU32:$AU42)</f>
        <v>3.5408044336450195</v>
      </c>
      <c r="S48" s="1059"/>
      <c r="T48" s="1066">
        <f>R48*$AR48</f>
        <v>155.83080312471731</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2.4133462955981528E-6</v>
      </c>
      <c r="Q49" s="1062"/>
      <c r="R49" s="1060">
        <f>T49/$AR49</f>
        <v>7.3180003121408162E-5</v>
      </c>
      <c r="S49" s="1063"/>
      <c r="T49" s="1064">
        <f>$W17*$X25</f>
        <v>3.3662801435847757E-3</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5.4748080514399495E-7</v>
      </c>
      <c r="Q51" s="1062"/>
      <c r="R51" s="1066">
        <f>T51/$AR51</f>
        <v>1.6601283911233511E-5</v>
      </c>
      <c r="S51" s="1067"/>
      <c r="T51" s="1060">
        <f>Q22*X25</f>
        <v>1.0624821703189447E-3</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193">
        <f>BF76</f>
        <v>1.4951987737782399E-3</v>
      </c>
      <c r="G52" s="1194"/>
      <c r="H52" s="1051">
        <f t="shared" si="1"/>
        <v>2.4492102531741147E-4</v>
      </c>
      <c r="I52" s="1052"/>
      <c r="J52" s="1032"/>
      <c r="K52" s="1032"/>
      <c r="L52" s="1053"/>
      <c r="M52" s="1032"/>
      <c r="N52" s="1054">
        <f t="shared" si="2"/>
        <v>4.4124971921184848E-3</v>
      </c>
      <c r="O52" s="1055"/>
      <c r="P52" s="1056">
        <f t="shared" si="10"/>
        <v>0.12217212507416828</v>
      </c>
      <c r="Q52" s="1057"/>
      <c r="R52" s="1044">
        <f>SUMPRODUCT(H31:H52,$AV31:$AV52)+H52-SUMPRODUCT(R32:R42,$AV32:$AV42)</f>
        <v>3.7046305830969724</v>
      </c>
      <c r="S52" s="1044"/>
      <c r="T52" s="1045">
        <f>R52*$AR52</f>
        <v>66.742624585075049</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0.99993636529826091</v>
      </c>
      <c r="G53" s="1038"/>
      <c r="H53" s="1039">
        <f>SUM(H31:H52)</f>
        <v>0.16379456974951942</v>
      </c>
      <c r="I53" s="1040"/>
      <c r="J53" s="1041">
        <f>SUM(J31:J52)</f>
        <v>25.681090553009192</v>
      </c>
      <c r="K53" s="1041"/>
      <c r="L53" s="1042">
        <f>SUM(L31:L52)</f>
        <v>2.7894977669647911</v>
      </c>
      <c r="M53" s="1043"/>
      <c r="N53" s="1030">
        <f>SUM(N31:N52)</f>
        <v>871.98231056669113</v>
      </c>
      <c r="O53" s="1031"/>
      <c r="P53" s="1028">
        <f>SUM(P31:P52)</f>
        <v>1</v>
      </c>
      <c r="Q53" s="1029"/>
      <c r="R53" s="1030">
        <f>SUM(R31:R52)</f>
        <v>30.323042845067683</v>
      </c>
      <c r="S53" s="1031"/>
      <c r="T53" s="1030">
        <f>SUM(T31:T52)</f>
        <v>871.98417951809984</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9.3507781766243774E-4</v>
      </c>
      <c r="M55" s="1186"/>
      <c r="N55" s="1192">
        <f>W17*$X$25</f>
        <v>3.3662801435847757E-3</v>
      </c>
      <c r="O55" s="1192"/>
      <c r="P55" s="31" t="s">
        <v>617</v>
      </c>
      <c r="Q55" s="31"/>
      <c r="R55" s="1024">
        <f>N55*26*4/1000</f>
        <v>3.5009313493281671E-4</v>
      </c>
      <c r="S55" s="1024"/>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185">
        <f t="shared" ref="L56:L61" si="13">N56*1000/3600</f>
        <v>2.4838004531658499E-4</v>
      </c>
      <c r="M56" s="1186"/>
      <c r="N56" s="1192">
        <f>AC17*$X$25</f>
        <v>8.9416816313970604E-4</v>
      </c>
      <c r="O56" s="1192"/>
      <c r="P56" s="31" t="s">
        <v>617</v>
      </c>
      <c r="Q56" s="31"/>
      <c r="R56" s="1024">
        <f t="shared" ref="R56:R61" si="14">N56*26*4/1000</f>
        <v>9.2993488966529425E-5</v>
      </c>
      <c r="S56" s="1024"/>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185">
        <f t="shared" si="13"/>
        <v>2.9221181801951179E-5</v>
      </c>
      <c r="M57" s="1186"/>
      <c r="N57" s="1192">
        <f>AI17*$X$25</f>
        <v>1.0519625448702424E-4</v>
      </c>
      <c r="O57" s="1192"/>
      <c r="P57" s="31" t="s">
        <v>617</v>
      </c>
      <c r="Q57" s="31"/>
      <c r="R57" s="1024">
        <f t="shared" si="14"/>
        <v>1.0940410466650522E-5</v>
      </c>
      <c r="S57" s="1024"/>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185">
        <f t="shared" si="13"/>
        <v>0</v>
      </c>
      <c r="M58" s="1186"/>
      <c r="N58" s="1191">
        <f>K22*$X$25</f>
        <v>0</v>
      </c>
      <c r="O58" s="1191"/>
      <c r="P58" s="31" t="s">
        <v>617</v>
      </c>
      <c r="Q58" s="31"/>
      <c r="R58" s="1024">
        <f t="shared" si="14"/>
        <v>0</v>
      </c>
      <c r="S58" s="1024"/>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185">
        <f t="shared" si="13"/>
        <v>0</v>
      </c>
      <c r="M59" s="1186"/>
      <c r="N59" s="1192">
        <f>X25*W22</f>
        <v>0</v>
      </c>
      <c r="O59" s="1192"/>
      <c r="P59" s="31" t="s">
        <v>617</v>
      </c>
      <c r="Q59" s="31"/>
      <c r="R59" s="1024">
        <f t="shared" si="14"/>
        <v>0</v>
      </c>
      <c r="S59" s="1024"/>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2.9513393619970684E-4</v>
      </c>
      <c r="M60" s="1186"/>
      <c r="N60" s="1191">
        <f>Q22*$X$25</f>
        <v>1.0624821703189447E-3</v>
      </c>
      <c r="O60" s="1191"/>
      <c r="P60" s="31" t="s">
        <v>617</v>
      </c>
      <c r="Q60" s="31"/>
      <c r="R60" s="1024">
        <f t="shared" si="14"/>
        <v>1.1049814571317025E-4</v>
      </c>
      <c r="S60" s="1024"/>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0</v>
      </c>
      <c r="M61" s="1186"/>
      <c r="N61" s="1191">
        <f>AC22*$X$25</f>
        <v>0</v>
      </c>
      <c r="O61" s="1191"/>
      <c r="P61" s="31" t="s">
        <v>617</v>
      </c>
      <c r="Q61" s="31"/>
      <c r="R61" s="1024">
        <f t="shared" si="14"/>
        <v>0</v>
      </c>
      <c r="S61" s="1024"/>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187">
        <f>O62*1000/3600</f>
        <v>42.046331220666438</v>
      </c>
      <c r="M62" s="1188"/>
      <c r="N62" s="31"/>
      <c r="O62" s="394">
        <f>'Diesel F'!I56*X25</f>
        <v>151.36679239439917</v>
      </c>
      <c r="P62" s="395" t="s">
        <v>617</v>
      </c>
      <c r="Q62" s="395"/>
      <c r="R62" s="1024">
        <f>O62*26*4/1000</f>
        <v>15.742146409017515</v>
      </c>
      <c r="S62" s="1024"/>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680</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682</v>
      </c>
      <c r="B65" s="31" t="s">
        <v>683</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701</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415" t="s">
        <v>38</v>
      </c>
      <c r="B67" s="31" t="s">
        <v>687</v>
      </c>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32" t="s">
        <v>41</v>
      </c>
      <c r="B68" s="147" t="s">
        <v>689</v>
      </c>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quqTcanHLQJ3hjpzjiirNstshxWlfnNLu4nHGi/M0gvOoexXtgORmIa5XKvxPA+kxXQYOrUC0Xb+e7i3Xv2Xig==" saltValue="+TjS8XwppIRBJRcPp0fUAg==" spinCount="100000" sheet="1" objects="1" scenarios="1" selectLockedCells="1" selectUnlockedCells="1"/>
  <mergeCells count="474">
    <mergeCell ref="Y33:AI38"/>
    <mergeCell ref="L54:M54"/>
    <mergeCell ref="L55:M55"/>
    <mergeCell ref="L56:M56"/>
    <mergeCell ref="L57:M57"/>
    <mergeCell ref="L58:M58"/>
    <mergeCell ref="L59:M59"/>
    <mergeCell ref="L60:M60"/>
    <mergeCell ref="L61:M61"/>
    <mergeCell ref="R33:S33"/>
    <mergeCell ref="T33:U33"/>
    <mergeCell ref="R34:S34"/>
    <mergeCell ref="T34:U34"/>
    <mergeCell ref="R37:S37"/>
    <mergeCell ref="T37:U37"/>
    <mergeCell ref="R39:S39"/>
    <mergeCell ref="T39:U39"/>
    <mergeCell ref="R38:S38"/>
    <mergeCell ref="T38:U38"/>
    <mergeCell ref="AF40:AG40"/>
    <mergeCell ref="AH40:AI40"/>
    <mergeCell ref="AF42:AG42"/>
    <mergeCell ref="AH42:AI42"/>
    <mergeCell ref="AD44:AE44"/>
    <mergeCell ref="L62:M62"/>
    <mergeCell ref="A1:AK4"/>
    <mergeCell ref="A5:G5"/>
    <mergeCell ref="Y5:AB5"/>
    <mergeCell ref="AC5:AK5"/>
    <mergeCell ref="A6:G6"/>
    <mergeCell ref="Y6:AB6"/>
    <mergeCell ref="AC6:AK6"/>
    <mergeCell ref="A10:H10"/>
    <mergeCell ref="I10:X10"/>
    <mergeCell ref="Y10:AB10"/>
    <mergeCell ref="AC10:AE10"/>
    <mergeCell ref="AF10:AH10"/>
    <mergeCell ref="AI10:AK10"/>
    <mergeCell ref="A7:G7"/>
    <mergeCell ref="Y7:AB7"/>
    <mergeCell ref="A8:G9"/>
    <mergeCell ref="H8:AK9"/>
    <mergeCell ref="A11:AK12"/>
    <mergeCell ref="A13:G13"/>
    <mergeCell ref="H13:AK13"/>
    <mergeCell ref="H14:J14"/>
    <mergeCell ref="K14:M14"/>
    <mergeCell ref="N14:P14"/>
    <mergeCell ref="Q14:S14"/>
    <mergeCell ref="T14:V14"/>
    <mergeCell ref="W14:Y14"/>
    <mergeCell ref="Z14:AB14"/>
    <mergeCell ref="AC14:AE14"/>
    <mergeCell ref="AF14:AH14"/>
    <mergeCell ref="AI14:AK14"/>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Z19:AB19"/>
    <mergeCell ref="AC19:AE19"/>
    <mergeCell ref="H20:J20"/>
    <mergeCell ref="K20:M20"/>
    <mergeCell ref="N20:P20"/>
    <mergeCell ref="Q20:S20"/>
    <mergeCell ref="T20:V20"/>
    <mergeCell ref="W20:Y20"/>
    <mergeCell ref="Z20:AB20"/>
    <mergeCell ref="AC20:AE20"/>
    <mergeCell ref="H21:J21"/>
    <mergeCell ref="K21:M21"/>
    <mergeCell ref="N21:P21"/>
    <mergeCell ref="Q21:S21"/>
    <mergeCell ref="T21:V21"/>
    <mergeCell ref="W21:Y21"/>
    <mergeCell ref="H19:J19"/>
    <mergeCell ref="K19:M19"/>
    <mergeCell ref="N19:P19"/>
    <mergeCell ref="Q19:S19"/>
    <mergeCell ref="T19:V19"/>
    <mergeCell ref="W19:Y19"/>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AF19:AK23"/>
    <mergeCell ref="Z21:AB21"/>
    <mergeCell ref="AC21:AE21"/>
    <mergeCell ref="H22:J22"/>
    <mergeCell ref="K22:M22"/>
    <mergeCell ref="N22:P22"/>
    <mergeCell ref="Q22:S22"/>
    <mergeCell ref="T22:V22"/>
    <mergeCell ref="W22:Y22"/>
    <mergeCell ref="Z22:AB22"/>
    <mergeCell ref="AC22:AE22"/>
    <mergeCell ref="A27:E27"/>
    <mergeCell ref="F27:U27"/>
    <mergeCell ref="F28:I29"/>
    <mergeCell ref="J28:M28"/>
    <mergeCell ref="N28:O29"/>
    <mergeCell ref="P28:U29"/>
    <mergeCell ref="J29:K29"/>
    <mergeCell ref="L29:M29"/>
    <mergeCell ref="AH25:AI25"/>
    <mergeCell ref="T26:W26"/>
    <mergeCell ref="X26:Z26"/>
    <mergeCell ref="AA26:AB26"/>
    <mergeCell ref="AC26:AD26"/>
    <mergeCell ref="AE26:AG26"/>
    <mergeCell ref="AH26:AI26"/>
    <mergeCell ref="A30:E30"/>
    <mergeCell ref="F30:G30"/>
    <mergeCell ref="H30:I30"/>
    <mergeCell ref="J30:K30"/>
    <mergeCell ref="L30:M30"/>
    <mergeCell ref="N30:O30"/>
    <mergeCell ref="P30:Q30"/>
    <mergeCell ref="R30:S30"/>
    <mergeCell ref="T30:U30"/>
    <mergeCell ref="F31:G31"/>
    <mergeCell ref="H31:I31"/>
    <mergeCell ref="J31:K31"/>
    <mergeCell ref="L31:M31"/>
    <mergeCell ref="N31:O31"/>
    <mergeCell ref="P31:Q31"/>
    <mergeCell ref="R31:S31"/>
    <mergeCell ref="T31:U31"/>
    <mergeCell ref="F32:G32"/>
    <mergeCell ref="R32:S32"/>
    <mergeCell ref="T32:U32"/>
    <mergeCell ref="H32:I32"/>
    <mergeCell ref="J32:K32"/>
    <mergeCell ref="L32:M32"/>
    <mergeCell ref="N32:O32"/>
    <mergeCell ref="P32:Q32"/>
    <mergeCell ref="F34:G34"/>
    <mergeCell ref="H34:I34"/>
    <mergeCell ref="F33:G33"/>
    <mergeCell ref="H33:I33"/>
    <mergeCell ref="J33:K33"/>
    <mergeCell ref="L33:M33"/>
    <mergeCell ref="N33:O33"/>
    <mergeCell ref="P33:Q33"/>
    <mergeCell ref="J34:K34"/>
    <mergeCell ref="L34:M34"/>
    <mergeCell ref="N34:O34"/>
    <mergeCell ref="P34:Q34"/>
    <mergeCell ref="F35:G35"/>
    <mergeCell ref="H35:I35"/>
    <mergeCell ref="J35:K35"/>
    <mergeCell ref="L35:M35"/>
    <mergeCell ref="N35:O35"/>
    <mergeCell ref="P35:Q35"/>
    <mergeCell ref="R36:S36"/>
    <mergeCell ref="T36:U36"/>
    <mergeCell ref="F36:G36"/>
    <mergeCell ref="H36:I36"/>
    <mergeCell ref="J36:K36"/>
    <mergeCell ref="L36:M36"/>
    <mergeCell ref="N36:O36"/>
    <mergeCell ref="P36:Q36"/>
    <mergeCell ref="R35:S35"/>
    <mergeCell ref="T35:U35"/>
    <mergeCell ref="F37:G37"/>
    <mergeCell ref="H37:I37"/>
    <mergeCell ref="J37:K37"/>
    <mergeCell ref="L37:M37"/>
    <mergeCell ref="N37:O37"/>
    <mergeCell ref="P37:Q37"/>
    <mergeCell ref="F39:G39"/>
    <mergeCell ref="H39:I39"/>
    <mergeCell ref="J39:K39"/>
    <mergeCell ref="L39:M39"/>
    <mergeCell ref="N39:O39"/>
    <mergeCell ref="P39:Q39"/>
    <mergeCell ref="F38:G38"/>
    <mergeCell ref="H38:I38"/>
    <mergeCell ref="J38:K38"/>
    <mergeCell ref="L38:M38"/>
    <mergeCell ref="N38:O38"/>
    <mergeCell ref="P38:Q38"/>
    <mergeCell ref="AJ40:AK40"/>
    <mergeCell ref="F41:G41"/>
    <mergeCell ref="H41:I41"/>
    <mergeCell ref="J41:K41"/>
    <mergeCell ref="L41:M41"/>
    <mergeCell ref="N41:O41"/>
    <mergeCell ref="P41:Q41"/>
    <mergeCell ref="R40:S40"/>
    <mergeCell ref="T40:U40"/>
    <mergeCell ref="V40:W40"/>
    <mergeCell ref="X40:Y40"/>
    <mergeCell ref="Z40:AA40"/>
    <mergeCell ref="AB40:AC40"/>
    <mergeCell ref="AD41:AE41"/>
    <mergeCell ref="AF41:AG41"/>
    <mergeCell ref="AH41:AI41"/>
    <mergeCell ref="AJ41:AK41"/>
    <mergeCell ref="X41:Y41"/>
    <mergeCell ref="Z41:AA41"/>
    <mergeCell ref="AB41:AC41"/>
    <mergeCell ref="F40:G40"/>
    <mergeCell ref="H40:I40"/>
    <mergeCell ref="N42:O42"/>
    <mergeCell ref="P42:Q42"/>
    <mergeCell ref="R41:S41"/>
    <mergeCell ref="T41:U41"/>
    <mergeCell ref="V41:W41"/>
    <mergeCell ref="AD40:AE40"/>
    <mergeCell ref="J40:K40"/>
    <mergeCell ref="L40:M40"/>
    <mergeCell ref="N40:O40"/>
    <mergeCell ref="P40:Q40"/>
    <mergeCell ref="AD42:AE42"/>
    <mergeCell ref="AJ42:AK42"/>
    <mergeCell ref="F43:G43"/>
    <mergeCell ref="H43:I43"/>
    <mergeCell ref="J43:K43"/>
    <mergeCell ref="L43:M43"/>
    <mergeCell ref="N43:O43"/>
    <mergeCell ref="P43:Q43"/>
    <mergeCell ref="R42:S42"/>
    <mergeCell ref="T42:U42"/>
    <mergeCell ref="V42:W42"/>
    <mergeCell ref="X42:Y42"/>
    <mergeCell ref="Z42:AA42"/>
    <mergeCell ref="AB42:AC42"/>
    <mergeCell ref="AD43:AE43"/>
    <mergeCell ref="AF43:AG43"/>
    <mergeCell ref="AH43:AI43"/>
    <mergeCell ref="AJ43:AK43"/>
    <mergeCell ref="X43:Y43"/>
    <mergeCell ref="Z43:AA43"/>
    <mergeCell ref="AB43:AC43"/>
    <mergeCell ref="F42:G42"/>
    <mergeCell ref="H42:I42"/>
    <mergeCell ref="J42:K42"/>
    <mergeCell ref="L42:M42"/>
    <mergeCell ref="J44:K44"/>
    <mergeCell ref="L44:M44"/>
    <mergeCell ref="N44:O44"/>
    <mergeCell ref="P44:Q44"/>
    <mergeCell ref="R43:S43"/>
    <mergeCell ref="T43:U43"/>
    <mergeCell ref="V43:W43"/>
    <mergeCell ref="R45:S45"/>
    <mergeCell ref="T45:U45"/>
    <mergeCell ref="V45:W45"/>
    <mergeCell ref="AF44:AG44"/>
    <mergeCell ref="AH44:AI44"/>
    <mergeCell ref="AJ44:AK44"/>
    <mergeCell ref="F45:G45"/>
    <mergeCell ref="H45:I45"/>
    <mergeCell ref="J45:K45"/>
    <mergeCell ref="L45:M45"/>
    <mergeCell ref="N45:O45"/>
    <mergeCell ref="P45:Q45"/>
    <mergeCell ref="R44:S44"/>
    <mergeCell ref="T44:U44"/>
    <mergeCell ref="V44:W44"/>
    <mergeCell ref="X44:Y44"/>
    <mergeCell ref="Z44:AA44"/>
    <mergeCell ref="AB44:AC44"/>
    <mergeCell ref="AD45:AE45"/>
    <mergeCell ref="AF45:AG45"/>
    <mergeCell ref="AH45:AI45"/>
    <mergeCell ref="AJ45:AK45"/>
    <mergeCell ref="X45:Y45"/>
    <mergeCell ref="Z45:AA45"/>
    <mergeCell ref="AB45:AC45"/>
    <mergeCell ref="F44:G44"/>
    <mergeCell ref="H44:I44"/>
    <mergeCell ref="AF46:AG46"/>
    <mergeCell ref="AH46:AI46"/>
    <mergeCell ref="AJ46:AK46"/>
    <mergeCell ref="F47:G47"/>
    <mergeCell ref="H47:I47"/>
    <mergeCell ref="J47:K47"/>
    <mergeCell ref="L47:M47"/>
    <mergeCell ref="N47:O47"/>
    <mergeCell ref="P47:Q47"/>
    <mergeCell ref="R46:S46"/>
    <mergeCell ref="T46:U46"/>
    <mergeCell ref="V46:W46"/>
    <mergeCell ref="X46:Y46"/>
    <mergeCell ref="Z46:AA46"/>
    <mergeCell ref="AB46:AC46"/>
    <mergeCell ref="AD47:AE47"/>
    <mergeCell ref="AF47:AG47"/>
    <mergeCell ref="AH47:AI47"/>
    <mergeCell ref="AJ47:AK47"/>
    <mergeCell ref="X47:Y47"/>
    <mergeCell ref="Z47:AA47"/>
    <mergeCell ref="AB47:AC47"/>
    <mergeCell ref="F46:G46"/>
    <mergeCell ref="H46:I46"/>
    <mergeCell ref="J48:K48"/>
    <mergeCell ref="L48:M48"/>
    <mergeCell ref="N48:O48"/>
    <mergeCell ref="P48:Q48"/>
    <mergeCell ref="R47:S47"/>
    <mergeCell ref="T47:U47"/>
    <mergeCell ref="V47:W47"/>
    <mergeCell ref="AD46:AE46"/>
    <mergeCell ref="J46:K46"/>
    <mergeCell ref="L46:M46"/>
    <mergeCell ref="N46:O46"/>
    <mergeCell ref="P46:Q46"/>
    <mergeCell ref="AD48:AE48"/>
    <mergeCell ref="AF48:AG48"/>
    <mergeCell ref="AH48:AI48"/>
    <mergeCell ref="AJ48:AK48"/>
    <mergeCell ref="F49:G49"/>
    <mergeCell ref="H49:I49"/>
    <mergeCell ref="J49:K49"/>
    <mergeCell ref="L49:M49"/>
    <mergeCell ref="N49:O49"/>
    <mergeCell ref="P49:Q49"/>
    <mergeCell ref="R48:S48"/>
    <mergeCell ref="T48:U48"/>
    <mergeCell ref="V48:W48"/>
    <mergeCell ref="X48:Y48"/>
    <mergeCell ref="Z48:AA48"/>
    <mergeCell ref="AB48:AC48"/>
    <mergeCell ref="AD49:AE49"/>
    <mergeCell ref="AF49:AG49"/>
    <mergeCell ref="AH49:AI49"/>
    <mergeCell ref="AJ49:AK49"/>
    <mergeCell ref="X49:Y49"/>
    <mergeCell ref="Z49:AA49"/>
    <mergeCell ref="AB49:AC49"/>
    <mergeCell ref="F48:G48"/>
    <mergeCell ref="H48:I48"/>
    <mergeCell ref="H50:I50"/>
    <mergeCell ref="J50:K50"/>
    <mergeCell ref="L50:M50"/>
    <mergeCell ref="N50:O50"/>
    <mergeCell ref="P50:Q50"/>
    <mergeCell ref="R49:S49"/>
    <mergeCell ref="T49:U49"/>
    <mergeCell ref="V49:W49"/>
    <mergeCell ref="R51:S51"/>
    <mergeCell ref="T51:U51"/>
    <mergeCell ref="V51:W51"/>
    <mergeCell ref="AD50:AE50"/>
    <mergeCell ref="AF50:AG50"/>
    <mergeCell ref="AH50:AI50"/>
    <mergeCell ref="AJ50:AK50"/>
    <mergeCell ref="F51:G51"/>
    <mergeCell ref="H51:I51"/>
    <mergeCell ref="J51:K51"/>
    <mergeCell ref="L51:M51"/>
    <mergeCell ref="N51:O51"/>
    <mergeCell ref="P51:Q51"/>
    <mergeCell ref="R50:S50"/>
    <mergeCell ref="T50:U50"/>
    <mergeCell ref="V50:W50"/>
    <mergeCell ref="X50:Y50"/>
    <mergeCell ref="Z50:AA50"/>
    <mergeCell ref="AB50:AC50"/>
    <mergeCell ref="AD51:AE51"/>
    <mergeCell ref="AF51:AG51"/>
    <mergeCell ref="AH51:AI51"/>
    <mergeCell ref="AJ51:AK51"/>
    <mergeCell ref="X51:Y51"/>
    <mergeCell ref="Z51:AA51"/>
    <mergeCell ref="AB51:AC51"/>
    <mergeCell ref="F50:G50"/>
    <mergeCell ref="AJ52:AK52"/>
    <mergeCell ref="A53:E53"/>
    <mergeCell ref="F53:G53"/>
    <mergeCell ref="H53:I53"/>
    <mergeCell ref="J53:K53"/>
    <mergeCell ref="L53:M53"/>
    <mergeCell ref="N53:O53"/>
    <mergeCell ref="R52:S52"/>
    <mergeCell ref="T52:U52"/>
    <mergeCell ref="V52:W52"/>
    <mergeCell ref="X52:Y52"/>
    <mergeCell ref="Z52:AA52"/>
    <mergeCell ref="AB52:AC52"/>
    <mergeCell ref="AB53:AC53"/>
    <mergeCell ref="AD53:AE53"/>
    <mergeCell ref="AF53:AG53"/>
    <mergeCell ref="AH53:AI53"/>
    <mergeCell ref="AJ53:AK53"/>
    <mergeCell ref="F52:G52"/>
    <mergeCell ref="H52:I52"/>
    <mergeCell ref="J52:K52"/>
    <mergeCell ref="L52:M52"/>
    <mergeCell ref="N52:O52"/>
    <mergeCell ref="P52:Q52"/>
    <mergeCell ref="P53:Q53"/>
    <mergeCell ref="R53:S53"/>
    <mergeCell ref="T53:U53"/>
    <mergeCell ref="V53:W53"/>
    <mergeCell ref="X53:Y53"/>
    <mergeCell ref="Z53:AA53"/>
    <mergeCell ref="AD52:AE52"/>
    <mergeCell ref="AF52:AG52"/>
    <mergeCell ref="AH52:AI52"/>
    <mergeCell ref="AE55:AF55"/>
    <mergeCell ref="N56:O56"/>
    <mergeCell ref="R56:S56"/>
    <mergeCell ref="N57:O57"/>
    <mergeCell ref="R57:S57"/>
    <mergeCell ref="T57:U57"/>
    <mergeCell ref="Y57:Z57"/>
    <mergeCell ref="AC57:AD57"/>
    <mergeCell ref="AE57:AF57"/>
    <mergeCell ref="N55:O55"/>
    <mergeCell ref="R55:S55"/>
    <mergeCell ref="T55:U55"/>
    <mergeCell ref="Y55:Z55"/>
    <mergeCell ref="AC55:AD55"/>
    <mergeCell ref="AC59:AD59"/>
    <mergeCell ref="AE59:AF59"/>
    <mergeCell ref="N60:O60"/>
    <mergeCell ref="R60:S60"/>
    <mergeCell ref="N61:O61"/>
    <mergeCell ref="R62:S62"/>
    <mergeCell ref="N58:O58"/>
    <mergeCell ref="R58:S58"/>
    <mergeCell ref="N59:O59"/>
    <mergeCell ref="R59:S59"/>
    <mergeCell ref="T59:U59"/>
    <mergeCell ref="Y59:Z59"/>
    <mergeCell ref="R61:S61"/>
  </mergeCells>
  <conditionalFormatting sqref="F31:U52">
    <cfRule type="expression" dxfId="315" priority="2">
      <formula>F31=0</formula>
    </cfRule>
  </conditionalFormatting>
  <conditionalFormatting sqref="V31:AK32 V33:X38 AJ33:AK38 V39:AK52">
    <cfRule type="expression" dxfId="314" priority="4">
      <formula>V31=0</formula>
    </cfRule>
  </conditionalFormatting>
  <conditionalFormatting sqref="V53:AK53">
    <cfRule type="expression" dxfId="313" priority="5" stopIfTrue="1">
      <formula>V53=0</formula>
    </cfRule>
  </conditionalFormatting>
  <conditionalFormatting sqref="Y33">
    <cfRule type="expression" dxfId="312" priority="1">
      <formula>Y33=0</formula>
    </cfRule>
  </conditionalFormatting>
  <conditionalFormatting sqref="Y56:Y62 AC56:AD62 N57 N59">
    <cfRule type="expression" dxfId="311" priority="7" stopIfTrue="1">
      <formula>N56=0</formula>
    </cfRule>
  </conditionalFormatting>
  <pageMargins left="0.7" right="0.7" top="0.75" bottom="0.75" header="0.3" footer="0.3"/>
  <pageSetup paperSize="9" scale="61" orientation="portrait" r:id="rId1"/>
  <headerFooter>
    <oddFooter>&amp;C_x000D_&amp;1#&amp;"Calibri"&amp;10&amp;K000000 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pageSetUpPr fitToPage="1"/>
  </sheetPr>
  <dimension ref="A1:CP123"/>
  <sheetViews>
    <sheetView showGridLines="0" view="pageBreakPreview" topLeftCell="B1" zoomScaleNormal="100" zoomScaleSheetLayoutView="100" workbookViewId="0">
      <selection sqref="A1:AK4"/>
    </sheetView>
  </sheetViews>
  <sheetFormatPr defaultColWidth="9.28515625" defaultRowHeight="15.75"/>
  <cols>
    <col min="1" max="18" width="3.5703125" style="585" customWidth="1"/>
    <col min="19" max="19" width="5.42578125" style="585" customWidth="1"/>
    <col min="20" max="22" width="3.5703125" style="585" customWidth="1"/>
    <col min="23" max="23" width="3.28515625" style="585" customWidth="1"/>
    <col min="24" max="24" width="6.5703125" style="585" customWidth="1"/>
    <col min="25" max="37" width="3.28515625" style="585" customWidth="1"/>
    <col min="38" max="38" width="4.28515625" style="576" customWidth="1"/>
    <col min="39" max="50" width="9.7109375" style="508" customWidth="1"/>
    <col min="51" max="16384" width="9.28515625" style="508"/>
  </cols>
  <sheetData>
    <row r="1" spans="1:94" s="494"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491"/>
      <c r="AM1" s="492"/>
      <c r="AN1" s="492"/>
      <c r="AO1" s="492"/>
      <c r="AP1" s="492"/>
      <c r="AQ1" s="492"/>
      <c r="AR1" s="492"/>
      <c r="AS1" s="492"/>
      <c r="AT1" s="492"/>
      <c r="AU1" s="492"/>
      <c r="AV1" s="492"/>
      <c r="AW1" s="492"/>
      <c r="AX1" s="492"/>
      <c r="AY1" s="492"/>
      <c r="AZ1" s="492"/>
      <c r="BA1" s="492"/>
      <c r="BB1" s="492"/>
      <c r="BC1" s="492"/>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row>
    <row r="2" spans="1:94" s="494"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491"/>
      <c r="AM2" s="492"/>
      <c r="AN2" s="492"/>
      <c r="AO2" s="492"/>
      <c r="AP2" s="492"/>
      <c r="AQ2" s="492"/>
      <c r="AR2" s="492"/>
      <c r="AS2" s="492"/>
      <c r="AT2" s="492"/>
      <c r="AU2" s="492"/>
      <c r="AV2" s="492"/>
      <c r="AW2" s="492"/>
      <c r="AX2" s="492"/>
      <c r="AY2" s="492"/>
      <c r="AZ2" s="492"/>
      <c r="BA2" s="492"/>
      <c r="BB2" s="492"/>
      <c r="BC2" s="492"/>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c r="CG2" s="493"/>
      <c r="CH2" s="493"/>
      <c r="CI2" s="493"/>
      <c r="CJ2" s="493"/>
      <c r="CK2" s="493"/>
      <c r="CL2" s="493"/>
      <c r="CM2" s="493"/>
      <c r="CN2" s="493"/>
      <c r="CO2" s="493"/>
      <c r="CP2" s="493"/>
    </row>
    <row r="3" spans="1:94" s="494"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491"/>
      <c r="AM3" s="492"/>
      <c r="AN3" s="492"/>
      <c r="AO3" s="492"/>
      <c r="AP3" s="492"/>
      <c r="AQ3" s="492"/>
      <c r="AR3" s="492"/>
      <c r="AS3" s="492"/>
      <c r="AT3" s="492"/>
      <c r="AU3" s="492"/>
      <c r="AV3" s="492"/>
      <c r="AW3" s="492"/>
      <c r="AX3" s="492"/>
      <c r="AY3" s="492"/>
      <c r="AZ3" s="492"/>
      <c r="BA3" s="492"/>
      <c r="BB3" s="492"/>
      <c r="BC3" s="492"/>
      <c r="BD3" s="493"/>
      <c r="BE3" s="493"/>
      <c r="BF3" s="493"/>
      <c r="BG3" s="493"/>
      <c r="BH3" s="493"/>
      <c r="BI3" s="493"/>
      <c r="BJ3" s="493"/>
      <c r="BK3" s="493"/>
      <c r="BL3" s="493"/>
      <c r="BM3" s="493"/>
      <c r="BN3" s="493"/>
      <c r="BO3" s="493"/>
      <c r="BP3" s="493"/>
      <c r="BQ3" s="493"/>
      <c r="BR3" s="493"/>
      <c r="BS3" s="493"/>
      <c r="BT3" s="493"/>
      <c r="BU3" s="493"/>
      <c r="BV3" s="493"/>
      <c r="BW3" s="493"/>
      <c r="BX3" s="493"/>
      <c r="BY3" s="493"/>
      <c r="BZ3" s="493"/>
      <c r="CA3" s="493"/>
      <c r="CB3" s="493"/>
      <c r="CC3" s="493"/>
      <c r="CD3" s="493"/>
      <c r="CE3" s="493"/>
      <c r="CF3" s="493"/>
      <c r="CG3" s="493"/>
      <c r="CH3" s="493"/>
      <c r="CI3" s="493"/>
      <c r="CJ3" s="493"/>
      <c r="CK3" s="493"/>
      <c r="CL3" s="493"/>
      <c r="CM3" s="493"/>
      <c r="CN3" s="493"/>
      <c r="CO3" s="493"/>
      <c r="CP3" s="493"/>
    </row>
    <row r="4" spans="1:94" s="494"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491"/>
      <c r="AM4" s="492"/>
      <c r="AN4" s="492"/>
      <c r="AO4" s="492"/>
      <c r="AP4" s="495" t="s">
        <v>576</v>
      </c>
      <c r="AQ4" s="495" t="s">
        <v>577</v>
      </c>
      <c r="AR4" s="495" t="s">
        <v>578</v>
      </c>
      <c r="AS4" s="56"/>
      <c r="AT4" s="496" t="s">
        <v>702</v>
      </c>
      <c r="AU4" s="497">
        <v>24</v>
      </c>
      <c r="AV4" s="136" t="s">
        <v>590</v>
      </c>
      <c r="AW4" s="136"/>
      <c r="AX4" s="136"/>
      <c r="AY4" s="498"/>
      <c r="AZ4" s="498"/>
      <c r="BA4" s="498"/>
      <c r="BB4" s="498"/>
      <c r="BC4" s="499"/>
      <c r="BD4" s="498"/>
      <c r="BE4" s="498"/>
      <c r="BF4" s="498"/>
      <c r="BG4" s="493"/>
      <c r="BH4" s="493"/>
      <c r="BI4" s="493"/>
      <c r="BJ4" s="493"/>
      <c r="BK4" s="493"/>
      <c r="BL4" s="493"/>
      <c r="BM4" s="493"/>
      <c r="BN4" s="493"/>
      <c r="BO4" s="493"/>
      <c r="BP4" s="493"/>
      <c r="BQ4" s="493"/>
      <c r="BR4" s="493"/>
      <c r="BS4" s="493"/>
      <c r="BT4" s="493"/>
      <c r="BU4" s="493"/>
      <c r="BV4" s="493"/>
      <c r="BW4" s="493"/>
      <c r="BX4" s="493"/>
      <c r="BY4" s="493"/>
      <c r="BZ4" s="493"/>
      <c r="CA4" s="493"/>
      <c r="CB4" s="493"/>
      <c r="CC4" s="493"/>
      <c r="CD4" s="493"/>
      <c r="CE4" s="493"/>
      <c r="CF4" s="493"/>
      <c r="CG4" s="493"/>
      <c r="CH4" s="493"/>
      <c r="CI4" s="493"/>
      <c r="CJ4" s="493"/>
      <c r="CK4" s="493"/>
      <c r="CL4" s="493"/>
      <c r="CM4" s="49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Effluents!$K$2</f>
        <v>PRJ-001030</v>
      </c>
      <c r="AD5" s="1169"/>
      <c r="AE5" s="1169"/>
      <c r="AF5" s="1169"/>
      <c r="AG5" s="1169"/>
      <c r="AH5" s="1169"/>
      <c r="AI5" s="1169"/>
      <c r="AJ5" s="1169"/>
      <c r="AK5" s="1170"/>
      <c r="AL5" s="500"/>
      <c r="AM5" s="501">
        <f>9249/8260</f>
        <v>1.1197336561743341</v>
      </c>
      <c r="AN5" s="501"/>
      <c r="AO5" s="501"/>
      <c r="AP5" s="502" t="s">
        <v>386</v>
      </c>
      <c r="AQ5" s="502" t="s">
        <v>405</v>
      </c>
      <c r="AR5" s="495">
        <v>1020</v>
      </c>
      <c r="AS5" s="105"/>
      <c r="AT5" s="503" t="s">
        <v>703</v>
      </c>
      <c r="AU5" s="504">
        <v>0.34</v>
      </c>
      <c r="AV5" s="505" t="s">
        <v>608</v>
      </c>
      <c r="AW5" s="506">
        <v>0.34</v>
      </c>
      <c r="AX5" s="136"/>
      <c r="AY5" s="498"/>
      <c r="AZ5" s="498"/>
      <c r="BA5" s="498"/>
      <c r="BB5" s="498"/>
      <c r="BC5" s="499"/>
      <c r="BD5" s="498"/>
      <c r="BE5" s="498"/>
      <c r="BF5" s="498"/>
      <c r="BG5" s="507"/>
      <c r="BH5" s="507"/>
      <c r="BI5" s="507"/>
      <c r="BJ5" s="507"/>
      <c r="BK5" s="507"/>
      <c r="BL5" s="507"/>
      <c r="BM5" s="507"/>
      <c r="BN5" s="507"/>
      <c r="BO5" s="507"/>
      <c r="BP5" s="507"/>
      <c r="BQ5" s="507"/>
      <c r="BR5" s="507"/>
      <c r="BS5" s="507"/>
      <c r="BT5" s="507"/>
      <c r="BU5" s="507"/>
      <c r="BV5" s="507"/>
      <c r="BW5" s="507"/>
      <c r="BX5" s="507"/>
      <c r="BY5" s="507"/>
      <c r="BZ5" s="507"/>
      <c r="CA5" s="507"/>
      <c r="CB5" s="507"/>
      <c r="CC5" s="507"/>
      <c r="CD5" s="507"/>
      <c r="CE5" s="507"/>
      <c r="CF5" s="507"/>
      <c r="CG5" s="507"/>
      <c r="CH5" s="507"/>
      <c r="CI5" s="507"/>
      <c r="CJ5" s="507"/>
      <c r="CK5" s="507"/>
      <c r="CL5" s="507"/>
      <c r="CM5" s="507"/>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500"/>
      <c r="AM6" s="501"/>
      <c r="AN6" s="501"/>
      <c r="AO6" s="509"/>
      <c r="AP6" s="502" t="s">
        <v>406</v>
      </c>
      <c r="AQ6" s="502" t="s">
        <v>339</v>
      </c>
      <c r="AR6" s="502">
        <v>0.45400000000000001</v>
      </c>
      <c r="AS6" s="495"/>
      <c r="AT6" s="1228" t="s">
        <v>704</v>
      </c>
      <c r="AU6" s="510">
        <f>AU4</f>
        <v>24</v>
      </c>
      <c r="AV6" s="505" t="s">
        <v>608</v>
      </c>
      <c r="AW6" s="511">
        <f>AU6/AU7</f>
        <v>70.588235294117638</v>
      </c>
      <c r="AX6" s="136" t="s">
        <v>590</v>
      </c>
      <c r="BA6" s="498"/>
      <c r="BB6" s="498"/>
      <c r="BC6" s="499"/>
      <c r="BD6" s="498"/>
      <c r="BE6" s="498"/>
      <c r="BF6" s="498"/>
      <c r="BG6" s="507"/>
      <c r="BH6" s="507"/>
      <c r="BI6" s="507"/>
      <c r="BJ6" s="507"/>
      <c r="BK6" s="507"/>
      <c r="BL6" s="507"/>
      <c r="BM6" s="507"/>
      <c r="BN6" s="507"/>
      <c r="BO6" s="507"/>
      <c r="BP6" s="507"/>
      <c r="BQ6" s="507"/>
      <c r="BR6" s="507"/>
      <c r="BS6" s="507"/>
      <c r="BT6" s="507"/>
      <c r="BU6" s="507"/>
      <c r="BV6" s="507"/>
      <c r="BW6" s="507"/>
      <c r="BX6" s="507"/>
      <c r="BY6" s="507"/>
      <c r="BZ6" s="507"/>
      <c r="CA6" s="507"/>
      <c r="CB6" s="507"/>
      <c r="CC6" s="507"/>
      <c r="CD6" s="507"/>
      <c r="CE6" s="507"/>
      <c r="CF6" s="507"/>
      <c r="CG6" s="507"/>
      <c r="CH6" s="507"/>
      <c r="CI6" s="507"/>
      <c r="CJ6" s="507"/>
      <c r="CK6" s="507"/>
      <c r="CL6" s="507"/>
      <c r="CM6" s="507"/>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tr">
        <f>'Emiss. Ops'!$I$4</f>
        <v>Normal Operations</v>
      </c>
      <c r="AD7" s="31"/>
      <c r="AE7" s="31"/>
      <c r="AF7" s="31"/>
      <c r="AG7" s="31"/>
      <c r="AH7" s="31"/>
      <c r="AI7" s="31"/>
      <c r="AJ7" s="31"/>
      <c r="AK7" s="32"/>
      <c r="AL7" s="500"/>
      <c r="AM7" s="501"/>
      <c r="AN7" s="501"/>
      <c r="AO7" s="509"/>
      <c r="AP7" s="502" t="s">
        <v>407</v>
      </c>
      <c r="AQ7" s="502" t="s">
        <v>408</v>
      </c>
      <c r="AR7" s="512">
        <f>0.305^3</f>
        <v>2.8372624999999999E-2</v>
      </c>
      <c r="AS7" s="495"/>
      <c r="AT7" s="1228"/>
      <c r="AU7" s="513">
        <f>AW5</f>
        <v>0.34</v>
      </c>
      <c r="AV7" s="136"/>
      <c r="AW7" s="506"/>
      <c r="AX7" s="136"/>
      <c r="AY7" s="498"/>
      <c r="AZ7" s="498"/>
      <c r="BA7" s="498"/>
      <c r="BB7" s="498"/>
      <c r="BC7" s="499"/>
      <c r="BD7" s="498"/>
      <c r="BE7" s="498"/>
      <c r="BF7" s="498"/>
      <c r="BG7" s="507"/>
      <c r="BH7" s="507"/>
      <c r="BI7" s="507"/>
      <c r="BJ7" s="507"/>
      <c r="BK7" s="507"/>
      <c r="BL7" s="507"/>
      <c r="BM7" s="507"/>
      <c r="BN7" s="507"/>
      <c r="BO7" s="507"/>
      <c r="BP7" s="507"/>
      <c r="BQ7" s="507"/>
      <c r="BR7" s="507"/>
      <c r="BS7" s="507"/>
      <c r="BT7" s="507"/>
      <c r="BU7" s="507"/>
      <c r="BV7" s="507"/>
      <c r="BW7" s="507"/>
      <c r="BX7" s="507"/>
      <c r="BY7" s="507"/>
      <c r="BZ7" s="507"/>
      <c r="CA7" s="507"/>
      <c r="CB7" s="507"/>
      <c r="CC7" s="507"/>
      <c r="CD7" s="507"/>
      <c r="CE7" s="507"/>
      <c r="CF7" s="507"/>
      <c r="CG7" s="507"/>
      <c r="CH7" s="507"/>
      <c r="CI7" s="507"/>
      <c r="CJ7" s="507"/>
      <c r="CK7" s="507"/>
      <c r="CL7" s="507"/>
      <c r="CM7" s="507"/>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500"/>
      <c r="AM8" s="501"/>
      <c r="AN8" s="501"/>
      <c r="AO8" s="509"/>
      <c r="AP8" s="502" t="s">
        <v>405</v>
      </c>
      <c r="AQ8" s="502" t="s">
        <v>705</v>
      </c>
      <c r="AR8" s="514">
        <f>AR6/AR7 * ((AN17+273.15)/(AN19+273.15))</f>
        <v>16.912595854908194</v>
      </c>
      <c r="AS8" s="495"/>
      <c r="AT8" s="136" t="s">
        <v>706</v>
      </c>
      <c r="AU8" s="515" t="s">
        <v>707</v>
      </c>
      <c r="AV8" s="505" t="s">
        <v>608</v>
      </c>
      <c r="AW8" s="516">
        <f>AW6*3600</f>
        <v>254117.6470588235</v>
      </c>
      <c r="AX8" s="517" t="s">
        <v>608</v>
      </c>
      <c r="AY8" s="511">
        <f>0.9*AW8/AW9</f>
        <v>4594.3327109871661</v>
      </c>
      <c r="BA8" s="498"/>
      <c r="BB8" s="498"/>
      <c r="BC8" s="499"/>
      <c r="BD8" s="498"/>
      <c r="BE8" s="498"/>
      <c r="BF8" s="498"/>
      <c r="BG8" s="507"/>
      <c r="BH8" s="507"/>
      <c r="BI8" s="507"/>
      <c r="BJ8" s="507"/>
      <c r="BK8" s="507"/>
      <c r="BL8" s="507"/>
      <c r="BM8" s="507"/>
      <c r="BN8" s="507"/>
      <c r="BO8" s="507"/>
      <c r="BP8" s="507"/>
      <c r="BQ8" s="507"/>
      <c r="BR8" s="507"/>
      <c r="BS8" s="507"/>
      <c r="BT8" s="507"/>
      <c r="BU8" s="507"/>
      <c r="BV8" s="507"/>
      <c r="BW8" s="507"/>
      <c r="BX8" s="507"/>
      <c r="BY8" s="507"/>
      <c r="BZ8" s="507"/>
      <c r="CA8" s="507"/>
      <c r="CB8" s="507"/>
      <c r="CC8" s="507"/>
      <c r="CD8" s="507"/>
      <c r="CE8" s="507"/>
      <c r="CF8" s="507"/>
      <c r="CG8" s="507"/>
      <c r="CH8" s="507"/>
      <c r="CI8" s="507"/>
      <c r="CJ8" s="507"/>
      <c r="CK8" s="507"/>
      <c r="CL8" s="507"/>
      <c r="CM8" s="507"/>
    </row>
    <row r="9" spans="1:94" s="494" customFormat="1" ht="15" customHeight="1">
      <c r="A9" s="1174" t="s">
        <v>99</v>
      </c>
      <c r="B9" s="1175"/>
      <c r="C9" s="1175"/>
      <c r="D9" s="1175"/>
      <c r="E9" s="1175"/>
      <c r="F9" s="1175"/>
      <c r="G9" s="1175"/>
      <c r="H9" s="1175"/>
      <c r="I9" s="1090"/>
      <c r="J9" s="1090"/>
      <c r="K9" s="1090"/>
      <c r="L9" s="1090"/>
      <c r="M9" s="1090"/>
      <c r="N9" s="1090"/>
      <c r="O9" s="1090"/>
      <c r="P9" s="1090"/>
      <c r="Q9" s="1090"/>
      <c r="R9" s="1090"/>
      <c r="S9" s="1090"/>
      <c r="T9" s="1090"/>
      <c r="U9" s="1090"/>
      <c r="V9" s="1090"/>
      <c r="W9" s="1090"/>
      <c r="X9" s="1090"/>
      <c r="Y9" s="1175" t="s">
        <v>28</v>
      </c>
      <c r="Z9" s="1175"/>
      <c r="AA9" s="1175"/>
      <c r="AB9" s="1175"/>
      <c r="AC9" s="1176"/>
      <c r="AD9" s="1176"/>
      <c r="AE9" s="1176"/>
      <c r="AF9" s="1177"/>
      <c r="AG9" s="1177"/>
      <c r="AH9" s="1177"/>
      <c r="AI9" s="1085"/>
      <c r="AJ9" s="1085"/>
      <c r="AK9" s="1178"/>
      <c r="AL9" s="491"/>
      <c r="AM9" s="492"/>
      <c r="AN9" s="492"/>
      <c r="AO9" s="520"/>
      <c r="AP9" s="495" t="s">
        <v>409</v>
      </c>
      <c r="AQ9" s="495" t="s">
        <v>410</v>
      </c>
      <c r="AR9" s="495">
        <v>947</v>
      </c>
      <c r="AS9" s="495"/>
      <c r="AT9" s="136"/>
      <c r="AU9" s="518" t="s">
        <v>708</v>
      </c>
      <c r="AV9" s="136"/>
      <c r="AW9" s="519">
        <f>N16</f>
        <v>49.78</v>
      </c>
      <c r="AX9" s="136"/>
      <c r="AY9" s="508"/>
      <c r="BC9" s="499"/>
      <c r="BD9" s="522"/>
      <c r="BE9" s="498"/>
      <c r="BF9" s="498"/>
      <c r="BG9" s="493"/>
      <c r="BH9" s="493"/>
      <c r="BI9" s="493"/>
      <c r="BJ9" s="493"/>
      <c r="BK9" s="493"/>
      <c r="BL9" s="493"/>
      <c r="BM9" s="493"/>
      <c r="BN9" s="493"/>
      <c r="BO9" s="493"/>
      <c r="BP9" s="493"/>
      <c r="BQ9" s="493"/>
      <c r="BR9" s="493"/>
      <c r="BS9" s="493"/>
      <c r="BT9" s="493"/>
      <c r="BU9" s="493"/>
      <c r="BV9" s="493"/>
      <c r="BW9" s="493"/>
      <c r="BX9" s="493"/>
      <c r="BY9" s="493"/>
      <c r="BZ9" s="493"/>
      <c r="CA9" s="493"/>
      <c r="CB9" s="493"/>
      <c r="CC9" s="493"/>
      <c r="CD9" s="493"/>
      <c r="CE9" s="493"/>
      <c r="CF9" s="493"/>
      <c r="CG9" s="493"/>
      <c r="CH9" s="493"/>
      <c r="CI9" s="493"/>
      <c r="CJ9" s="493"/>
      <c r="CK9" s="493"/>
      <c r="CL9" s="493"/>
      <c r="CM9" s="493"/>
    </row>
    <row r="10" spans="1:94" s="494" customFormat="1" ht="14.25" customHeight="1">
      <c r="A10" s="1117" t="s">
        <v>345</v>
      </c>
      <c r="B10" s="1118"/>
      <c r="C10" s="1118"/>
      <c r="D10" s="1118"/>
      <c r="E10" s="1118"/>
      <c r="F10" s="1118"/>
      <c r="G10" s="1118"/>
      <c r="H10" s="1118"/>
      <c r="I10" s="1118"/>
      <c r="J10" s="1118"/>
      <c r="K10" s="1118"/>
      <c r="L10" s="1118"/>
      <c r="M10" s="1118"/>
      <c r="N10" s="1118"/>
      <c r="O10" s="1118"/>
      <c r="P10" s="1118"/>
      <c r="Q10" s="1118"/>
      <c r="R10" s="1118"/>
      <c r="S10" s="1118"/>
      <c r="T10" s="1118"/>
      <c r="U10" s="1118"/>
      <c r="V10" s="1118"/>
      <c r="W10" s="1118"/>
      <c r="X10" s="1118"/>
      <c r="Y10" s="1118"/>
      <c r="Z10" s="1118"/>
      <c r="AA10" s="1118"/>
      <c r="AB10" s="1118"/>
      <c r="AC10" s="1118"/>
      <c r="AD10" s="1118"/>
      <c r="AE10" s="1118"/>
      <c r="AF10" s="1118"/>
      <c r="AG10" s="1118"/>
      <c r="AH10" s="1118"/>
      <c r="AI10" s="1118"/>
      <c r="AJ10" s="1118"/>
      <c r="AK10" s="1119"/>
      <c r="AL10" s="491"/>
      <c r="AM10" s="492"/>
      <c r="AN10" s="492"/>
      <c r="AO10" s="520"/>
      <c r="AP10" s="502" t="s">
        <v>709</v>
      </c>
      <c r="AQ10" s="502" t="s">
        <v>710</v>
      </c>
      <c r="AR10" s="502"/>
      <c r="AS10" s="502"/>
      <c r="AT10" s="129"/>
      <c r="AU10" s="129"/>
      <c r="AV10" s="521" t="s">
        <v>608</v>
      </c>
      <c r="AX10" s="129"/>
      <c r="AZ10" s="494" t="s">
        <v>711</v>
      </c>
      <c r="BB10" s="523"/>
      <c r="BC10" s="1226"/>
      <c r="BD10" s="1227"/>
      <c r="BE10" s="498"/>
      <c r="BF10" s="499"/>
      <c r="BG10" s="498"/>
      <c r="BH10" s="498"/>
      <c r="BI10" s="498"/>
      <c r="BJ10" s="493"/>
      <c r="BK10" s="493"/>
      <c r="BL10" s="493"/>
      <c r="BM10" s="493"/>
      <c r="BN10" s="493"/>
      <c r="BO10" s="493"/>
      <c r="BP10" s="493"/>
      <c r="BQ10" s="493"/>
      <c r="BR10" s="493"/>
      <c r="BS10" s="493"/>
      <c r="BT10" s="493"/>
      <c r="BU10" s="493"/>
      <c r="BV10" s="493"/>
      <c r="BW10" s="493"/>
      <c r="BX10" s="493"/>
      <c r="BY10" s="493"/>
      <c r="BZ10" s="493"/>
      <c r="CA10" s="493"/>
      <c r="CB10" s="493"/>
      <c r="CC10" s="493"/>
      <c r="CD10" s="493"/>
      <c r="CE10" s="493"/>
      <c r="CF10" s="493"/>
      <c r="CG10" s="493"/>
      <c r="CH10" s="493"/>
      <c r="CI10" s="493"/>
      <c r="CJ10" s="493"/>
      <c r="CK10" s="493"/>
      <c r="CL10" s="493"/>
      <c r="CM10" s="493"/>
      <c r="CN10" s="493"/>
      <c r="CO10" s="493"/>
      <c r="CP10" s="493"/>
    </row>
    <row r="11" spans="1:94" s="494" customFormat="1" ht="14.25" customHeight="1">
      <c r="A11" s="1149"/>
      <c r="B11" s="1150"/>
      <c r="C11" s="1150"/>
      <c r="D11" s="1150"/>
      <c r="E11" s="1150"/>
      <c r="F11" s="1150"/>
      <c r="G11" s="1150"/>
      <c r="H11" s="1150"/>
      <c r="I11" s="1150"/>
      <c r="J11" s="1150"/>
      <c r="K11" s="1150"/>
      <c r="L11" s="1150"/>
      <c r="M11" s="1150"/>
      <c r="N11" s="1150"/>
      <c r="O11" s="1150"/>
      <c r="P11" s="1150"/>
      <c r="Q11" s="1150"/>
      <c r="R11" s="1150"/>
      <c r="S11" s="1150"/>
      <c r="T11" s="1150"/>
      <c r="U11" s="1150"/>
      <c r="V11" s="1150"/>
      <c r="W11" s="1150"/>
      <c r="X11" s="1150"/>
      <c r="Y11" s="1150"/>
      <c r="Z11" s="1150"/>
      <c r="AA11" s="1150"/>
      <c r="AB11" s="1150"/>
      <c r="AC11" s="1150"/>
      <c r="AD11" s="1150"/>
      <c r="AE11" s="1150"/>
      <c r="AF11" s="1150"/>
      <c r="AG11" s="1150"/>
      <c r="AH11" s="1150"/>
      <c r="AI11" s="1150"/>
      <c r="AJ11" s="1150"/>
      <c r="AK11" s="1151"/>
      <c r="AL11" s="491"/>
      <c r="AM11" s="492"/>
      <c r="AN11" s="492"/>
      <c r="AO11" s="520"/>
      <c r="AP11" s="520"/>
      <c r="AQ11" s="520"/>
      <c r="AR11" s="520"/>
      <c r="AS11" s="520"/>
      <c r="AT11" s="492"/>
      <c r="AU11" s="492"/>
      <c r="AV11" s="492"/>
      <c r="AW11" s="492"/>
      <c r="AX11" s="492"/>
      <c r="AY11" s="492"/>
      <c r="AZ11" s="492"/>
      <c r="BA11" s="492"/>
      <c r="BB11" s="492"/>
      <c r="BC11" s="492"/>
      <c r="BD11" s="493"/>
      <c r="BE11" s="493"/>
      <c r="BF11" s="493"/>
      <c r="BG11" s="493"/>
      <c r="BH11" s="493"/>
      <c r="BI11" s="493"/>
      <c r="BJ11" s="493"/>
      <c r="BK11" s="493"/>
      <c r="BL11" s="493"/>
      <c r="BM11" s="493"/>
      <c r="BN11" s="493"/>
      <c r="BO11" s="493"/>
      <c r="BP11" s="493"/>
      <c r="BQ11" s="493"/>
      <c r="BR11" s="493"/>
      <c r="BS11" s="493"/>
      <c r="BT11" s="493"/>
      <c r="BU11" s="493"/>
      <c r="BV11" s="493"/>
      <c r="BW11" s="493"/>
      <c r="BX11" s="493"/>
      <c r="BY11" s="493"/>
      <c r="BZ11" s="493"/>
      <c r="CA11" s="493"/>
      <c r="CB11" s="493"/>
      <c r="CC11" s="493"/>
      <c r="CD11" s="493"/>
      <c r="CE11" s="493"/>
      <c r="CF11" s="493"/>
      <c r="CG11" s="493"/>
      <c r="CH11" s="493"/>
      <c r="CI11" s="493"/>
      <c r="CJ11" s="493"/>
      <c r="CK11" s="493"/>
      <c r="CL11" s="493"/>
      <c r="CM11" s="493"/>
      <c r="CN11" s="493"/>
      <c r="CO11" s="493"/>
      <c r="CP11" s="493"/>
    </row>
    <row r="12" spans="1:94" s="494" customFormat="1" ht="14.25" customHeight="1">
      <c r="A12" s="1152" t="s">
        <v>587</v>
      </c>
      <c r="B12" s="1153"/>
      <c r="C12" s="1153"/>
      <c r="D12" s="1153"/>
      <c r="E12" s="1153"/>
      <c r="F12" s="1153"/>
      <c r="G12" s="1154"/>
      <c r="H12" s="1155" t="s">
        <v>712</v>
      </c>
      <c r="I12" s="1156"/>
      <c r="J12" s="1156"/>
      <c r="K12" s="1156"/>
      <c r="L12" s="1156"/>
      <c r="M12" s="1156"/>
      <c r="N12" s="1156"/>
      <c r="O12" s="1156"/>
      <c r="P12" s="1156"/>
      <c r="Q12" s="1156"/>
      <c r="R12" s="1156"/>
      <c r="S12" s="1156"/>
      <c r="T12" s="1156"/>
      <c r="U12" s="1156"/>
      <c r="V12" s="1156"/>
      <c r="W12" s="1156"/>
      <c r="X12" s="1156"/>
      <c r="Y12" s="1156"/>
      <c r="Z12" s="1156"/>
      <c r="AA12" s="1156"/>
      <c r="AB12" s="1156"/>
      <c r="AC12" s="1156"/>
      <c r="AD12" s="1156"/>
      <c r="AE12" s="1156"/>
      <c r="AF12" s="1156"/>
      <c r="AG12" s="1156"/>
      <c r="AH12" s="1156"/>
      <c r="AI12" s="1156"/>
      <c r="AJ12" s="1156"/>
      <c r="AK12" s="1157"/>
      <c r="AL12" s="491"/>
      <c r="AM12" s="492"/>
      <c r="AN12" s="492"/>
      <c r="AO12" s="492"/>
      <c r="AP12" s="492"/>
      <c r="AQ12" s="524"/>
      <c r="AR12" s="492"/>
      <c r="AS12" s="492"/>
      <c r="AT12" s="492"/>
      <c r="AU12" s="492"/>
      <c r="AV12" s="492"/>
      <c r="AW12" s="492"/>
      <c r="AX12" s="492"/>
      <c r="AY12" s="492"/>
      <c r="AZ12" s="492"/>
      <c r="BA12" s="492"/>
      <c r="BB12" s="492"/>
      <c r="BC12" s="492"/>
      <c r="BD12" s="493"/>
      <c r="BE12" s="493"/>
      <c r="BF12" s="493"/>
      <c r="BG12" s="493"/>
      <c r="BH12" s="493"/>
      <c r="BI12" s="493"/>
      <c r="BJ12" s="493"/>
      <c r="BK12" s="493"/>
      <c r="BL12" s="493"/>
      <c r="BM12" s="493"/>
      <c r="BN12" s="493"/>
      <c r="BO12" s="493"/>
      <c r="BP12" s="493"/>
      <c r="BQ12" s="493"/>
      <c r="BR12" s="493"/>
      <c r="BS12" s="493"/>
      <c r="BT12" s="493"/>
      <c r="BU12" s="493"/>
      <c r="BV12" s="493"/>
      <c r="BW12" s="493"/>
      <c r="BX12" s="493"/>
      <c r="BY12" s="493"/>
      <c r="BZ12" s="493"/>
      <c r="CA12" s="493"/>
      <c r="CB12" s="493"/>
      <c r="CC12" s="493"/>
      <c r="CD12" s="493"/>
      <c r="CE12" s="493"/>
      <c r="CF12" s="493"/>
      <c r="CG12" s="493"/>
      <c r="CH12" s="493"/>
      <c r="CI12" s="493"/>
      <c r="CJ12" s="493"/>
      <c r="CK12" s="493"/>
      <c r="CL12" s="493"/>
      <c r="CM12" s="493"/>
      <c r="CN12" s="493"/>
      <c r="CO12" s="493"/>
      <c r="CP12" s="493"/>
    </row>
    <row r="13" spans="1:94" s="494" customFormat="1" ht="14.25" customHeight="1">
      <c r="A13" s="224" t="s">
        <v>589</v>
      </c>
      <c r="B13" s="291"/>
      <c r="C13" s="291"/>
      <c r="D13" s="291"/>
      <c r="E13" s="291"/>
      <c r="F13" s="291"/>
      <c r="G13" s="291"/>
      <c r="H13" s="1117" t="s">
        <v>590</v>
      </c>
      <c r="I13" s="1118"/>
      <c r="J13" s="1119"/>
      <c r="K13" s="1117" t="s">
        <v>591</v>
      </c>
      <c r="L13" s="1118"/>
      <c r="M13" s="1119"/>
      <c r="N13" s="1117" t="s">
        <v>592</v>
      </c>
      <c r="O13" s="1118"/>
      <c r="P13" s="1119"/>
      <c r="Q13" s="1117" t="s">
        <v>400</v>
      </c>
      <c r="R13" s="1118"/>
      <c r="S13" s="1119"/>
      <c r="T13" s="1117" t="s">
        <v>593</v>
      </c>
      <c r="U13" s="1118"/>
      <c r="V13" s="1119"/>
      <c r="W13" s="1117" t="s">
        <v>593</v>
      </c>
      <c r="X13" s="1118"/>
      <c r="Y13" s="1119"/>
      <c r="Z13" s="1117" t="s">
        <v>115</v>
      </c>
      <c r="AA13" s="1118"/>
      <c r="AB13" s="1119"/>
      <c r="AC13" s="1117" t="s">
        <v>115</v>
      </c>
      <c r="AD13" s="1118"/>
      <c r="AE13" s="1119"/>
      <c r="AF13" s="1117" t="s">
        <v>116</v>
      </c>
      <c r="AG13" s="1118"/>
      <c r="AH13" s="1119"/>
      <c r="AI13" s="1117" t="s">
        <v>116</v>
      </c>
      <c r="AJ13" s="1118"/>
      <c r="AK13" s="1119"/>
      <c r="AL13" s="491"/>
      <c r="AM13" s="492"/>
      <c r="AN13" s="492"/>
      <c r="AO13" s="492"/>
      <c r="AP13" s="525" t="s">
        <v>400</v>
      </c>
      <c r="AQ13" s="526"/>
      <c r="AR13" s="525" t="s">
        <v>393</v>
      </c>
      <c r="AS13" s="527"/>
      <c r="AT13" s="528"/>
      <c r="AU13" s="525" t="s">
        <v>115</v>
      </c>
      <c r="AV13" s="527"/>
      <c r="AW13" s="528"/>
      <c r="AX13" s="492"/>
      <c r="AY13" s="492"/>
      <c r="AZ13" s="492"/>
      <c r="BA13" s="492"/>
      <c r="BB13" s="492"/>
      <c r="BC13" s="492"/>
      <c r="BD13" s="493"/>
      <c r="BE13" s="493"/>
      <c r="BF13" s="493"/>
      <c r="BG13" s="493"/>
      <c r="BH13" s="493"/>
      <c r="BI13" s="493"/>
      <c r="BJ13" s="493"/>
      <c r="BK13" s="493"/>
      <c r="BL13" s="493"/>
      <c r="BM13" s="493"/>
      <c r="BN13" s="493"/>
      <c r="BO13" s="493"/>
      <c r="BP13" s="493"/>
      <c r="BQ13" s="493"/>
      <c r="BR13" s="493"/>
      <c r="BS13" s="493"/>
      <c r="BT13" s="493"/>
      <c r="BU13" s="493"/>
      <c r="BV13" s="493"/>
      <c r="BW13" s="493"/>
      <c r="BX13" s="493"/>
      <c r="BY13" s="493"/>
      <c r="BZ13" s="493"/>
      <c r="CA13" s="493"/>
      <c r="CB13" s="493"/>
      <c r="CC13" s="493"/>
      <c r="CD13" s="493"/>
      <c r="CE13" s="493"/>
      <c r="CF13" s="493"/>
      <c r="CG13" s="493"/>
      <c r="CH13" s="493"/>
      <c r="CI13" s="493"/>
      <c r="CJ13" s="493"/>
      <c r="CK13" s="493"/>
      <c r="CL13" s="493"/>
      <c r="CM13" s="493"/>
      <c r="CN13" s="493"/>
      <c r="CO13" s="493"/>
      <c r="CP13" s="493"/>
    </row>
    <row r="14" spans="1:94" s="494" customFormat="1" ht="14.25" customHeight="1">
      <c r="A14" s="292"/>
      <c r="B14" s="147"/>
      <c r="C14" s="147"/>
      <c r="D14" s="147"/>
      <c r="E14" s="147"/>
      <c r="F14" s="147"/>
      <c r="G14" s="147"/>
      <c r="H14" s="1089" t="s">
        <v>594</v>
      </c>
      <c r="I14" s="1090"/>
      <c r="J14" s="1091"/>
      <c r="K14" s="1089" t="s">
        <v>595</v>
      </c>
      <c r="L14" s="1090"/>
      <c r="M14" s="1091"/>
      <c r="N14" s="1089" t="s">
        <v>596</v>
      </c>
      <c r="O14" s="1090"/>
      <c r="P14" s="1091"/>
      <c r="Q14" s="1089" t="s">
        <v>597</v>
      </c>
      <c r="R14" s="1090"/>
      <c r="S14" s="1091"/>
      <c r="T14" s="1089" t="s">
        <v>598</v>
      </c>
      <c r="U14" s="1090"/>
      <c r="V14" s="1091"/>
      <c r="W14" s="1089" t="s">
        <v>599</v>
      </c>
      <c r="X14" s="1090"/>
      <c r="Y14" s="1091"/>
      <c r="Z14" s="1089" t="s">
        <v>598</v>
      </c>
      <c r="AA14" s="1090"/>
      <c r="AB14" s="1091"/>
      <c r="AC14" s="1089" t="s">
        <v>599</v>
      </c>
      <c r="AD14" s="1090"/>
      <c r="AE14" s="1091"/>
      <c r="AF14" s="1089" t="s">
        <v>598</v>
      </c>
      <c r="AG14" s="1090"/>
      <c r="AH14" s="1091"/>
      <c r="AI14" s="1089" t="s">
        <v>599</v>
      </c>
      <c r="AJ14" s="1090"/>
      <c r="AK14" s="1091"/>
      <c r="AL14" s="491"/>
      <c r="AM14" s="492"/>
      <c r="AN14" s="492"/>
      <c r="AO14" s="492"/>
      <c r="AP14" s="529" t="s">
        <v>600</v>
      </c>
      <c r="AQ14" s="529" t="s">
        <v>713</v>
      </c>
      <c r="AR14" s="529" t="s">
        <v>386</v>
      </c>
      <c r="AS14" s="530" t="s">
        <v>714</v>
      </c>
      <c r="AT14" s="530" t="s">
        <v>715</v>
      </c>
      <c r="AU14" s="529" t="s">
        <v>386</v>
      </c>
      <c r="AV14" s="530" t="s">
        <v>714</v>
      </c>
      <c r="AW14" s="530" t="s">
        <v>715</v>
      </c>
      <c r="AX14" s="492"/>
      <c r="AY14" s="492"/>
      <c r="AZ14" s="492"/>
      <c r="BA14" s="492"/>
      <c r="BB14" s="492"/>
      <c r="BC14" s="492"/>
      <c r="BD14" s="493"/>
      <c r="BE14" s="493"/>
      <c r="BF14" s="493"/>
      <c r="BG14" s="493"/>
      <c r="BH14" s="493"/>
      <c r="BI14" s="493"/>
      <c r="BJ14" s="493"/>
      <c r="BK14" s="493"/>
      <c r="BL14" s="493"/>
      <c r="BM14" s="493"/>
      <c r="BN14" s="493"/>
      <c r="BO14" s="493"/>
      <c r="BP14" s="493"/>
      <c r="BQ14" s="493"/>
      <c r="BR14" s="493"/>
      <c r="BS14" s="493"/>
      <c r="BT14" s="493"/>
      <c r="BU14" s="493"/>
      <c r="BV14" s="493"/>
      <c r="BW14" s="493"/>
      <c r="BX14" s="493"/>
      <c r="BY14" s="493"/>
      <c r="BZ14" s="493"/>
      <c r="CA14" s="493"/>
      <c r="CB14" s="493"/>
      <c r="CC14" s="493"/>
      <c r="CD14" s="493"/>
      <c r="CE14" s="493"/>
      <c r="CF14" s="493"/>
      <c r="CG14" s="493"/>
      <c r="CH14" s="493"/>
      <c r="CI14" s="493"/>
      <c r="CJ14" s="493"/>
      <c r="CK14" s="493"/>
      <c r="CL14" s="493"/>
      <c r="CM14" s="493"/>
      <c r="CN14" s="493"/>
      <c r="CO14" s="493"/>
      <c r="CP14" s="493"/>
    </row>
    <row r="15" spans="1:94" s="494" customFormat="1" ht="14.25" customHeight="1">
      <c r="A15" s="293" t="s">
        <v>603</v>
      </c>
      <c r="B15" s="294"/>
      <c r="C15" s="294"/>
      <c r="D15" s="294"/>
      <c r="E15" s="294"/>
      <c r="F15" s="294"/>
      <c r="G15" s="295"/>
      <c r="H15" s="1076"/>
      <c r="I15" s="1075"/>
      <c r="J15" s="1077"/>
      <c r="K15" s="1140"/>
      <c r="L15" s="1141"/>
      <c r="M15" s="1142"/>
      <c r="N15" s="1076"/>
      <c r="O15" s="1075"/>
      <c r="P15" s="1077"/>
      <c r="Q15" s="1143">
        <f>AQ15</f>
        <v>37.956295834166582</v>
      </c>
      <c r="R15" s="1144"/>
      <c r="S15" s="1145"/>
      <c r="T15" s="1073">
        <f>$AT$15</f>
        <v>5519.4216060358513</v>
      </c>
      <c r="U15" s="1109"/>
      <c r="V15" s="1074"/>
      <c r="W15" s="1076" t="s">
        <v>604</v>
      </c>
      <c r="X15" s="1075"/>
      <c r="Y15" s="1077"/>
      <c r="Z15" s="1073">
        <f>$AW$15</f>
        <v>1414.3517865466868</v>
      </c>
      <c r="AA15" s="1109"/>
      <c r="AB15" s="1074"/>
      <c r="AC15" s="1076" t="s">
        <v>604</v>
      </c>
      <c r="AD15" s="1075"/>
      <c r="AE15" s="1077"/>
      <c r="AF15" s="1146">
        <f>AT18</f>
        <v>113.83807062448945</v>
      </c>
      <c r="AG15" s="1147"/>
      <c r="AH15" s="1148"/>
      <c r="AI15" s="1076" t="s">
        <v>604</v>
      </c>
      <c r="AJ15" s="1075"/>
      <c r="AK15" s="1077"/>
      <c r="AL15" s="491"/>
      <c r="AM15" s="492" t="s">
        <v>605</v>
      </c>
      <c r="AN15" s="492"/>
      <c r="AO15" s="492"/>
      <c r="AP15" s="531">
        <v>1020</v>
      </c>
      <c r="AQ15" s="532">
        <f>AP15/$AR$9/$AR$7 * ((AN17+273.15)/(AN18+273.15))</f>
        <v>37.956295834166582</v>
      </c>
      <c r="AR15" s="531">
        <v>0.32</v>
      </c>
      <c r="AS15" s="533">
        <f>AR15*$AR$5</f>
        <v>326.40000000000003</v>
      </c>
      <c r="AT15" s="534">
        <f>$AR$8*AS15 * (($AN$17+273.15)/($AN$18+273.15))</f>
        <v>5519.4216060358513</v>
      </c>
      <c r="AU15" s="531">
        <v>8.2000000000000003E-2</v>
      </c>
      <c r="AV15" s="533">
        <f>AU15*$AR$5</f>
        <v>83.64</v>
      </c>
      <c r="AW15" s="534">
        <f>$AR$8*AV15 * (($AN$17+273.15)/($AN$18+273.15))</f>
        <v>1414.3517865466868</v>
      </c>
      <c r="AX15" s="492"/>
      <c r="AY15" s="492"/>
      <c r="AZ15" s="492"/>
      <c r="BA15" s="492"/>
      <c r="BB15" s="492"/>
      <c r="BC15" s="492"/>
      <c r="BD15" s="493"/>
      <c r="BE15" s="493"/>
      <c r="BF15" s="493"/>
      <c r="BG15" s="493"/>
      <c r="BH15" s="493"/>
      <c r="BI15" s="493"/>
      <c r="BJ15" s="493"/>
      <c r="BK15" s="493"/>
      <c r="BL15" s="493"/>
      <c r="BM15" s="493"/>
      <c r="BN15" s="493"/>
      <c r="BO15" s="493"/>
      <c r="BP15" s="493"/>
      <c r="BQ15" s="493"/>
      <c r="BR15" s="493"/>
      <c r="BS15" s="493"/>
      <c r="BT15" s="493"/>
      <c r="BU15" s="493"/>
      <c r="BV15" s="493"/>
      <c r="BW15" s="493"/>
      <c r="BX15" s="493"/>
      <c r="BY15" s="493"/>
      <c r="BZ15" s="493"/>
      <c r="CA15" s="493"/>
      <c r="CB15" s="493"/>
      <c r="CC15" s="493"/>
      <c r="CD15" s="493"/>
      <c r="CE15" s="493"/>
      <c r="CF15" s="493"/>
      <c r="CG15" s="493"/>
      <c r="CH15" s="493"/>
      <c r="CI15" s="493"/>
      <c r="CJ15" s="493"/>
      <c r="CK15" s="493"/>
      <c r="CL15" s="493"/>
      <c r="CM15" s="493"/>
      <c r="CN15" s="493"/>
      <c r="CO15" s="493"/>
      <c r="CP15" s="493"/>
    </row>
    <row r="16" spans="1:94" s="494" customFormat="1" ht="14.25" customHeight="1">
      <c r="A16" s="296" t="s">
        <v>128</v>
      </c>
      <c r="B16" s="297"/>
      <c r="C16" s="297"/>
      <c r="D16" s="297"/>
      <c r="E16" s="297"/>
      <c r="F16" s="297"/>
      <c r="G16" s="298"/>
      <c r="H16" s="1134">
        <f>CO2eEF!M16</f>
        <v>16.2</v>
      </c>
      <c r="I16" s="1135"/>
      <c r="J16" s="1136"/>
      <c r="K16" s="1231">
        <f>CO2eEF!M12</f>
        <v>0.68300000000000005</v>
      </c>
      <c r="L16" s="1232"/>
      <c r="M16" s="1233"/>
      <c r="N16" s="1137">
        <f>CO2eEF!M19</f>
        <v>49.78</v>
      </c>
      <c r="O16" s="1138"/>
      <c r="P16" s="1139"/>
      <c r="Q16" s="1137">
        <f>CO2eEF!M21</f>
        <v>37.770000000000003</v>
      </c>
      <c r="R16" s="1138"/>
      <c r="S16" s="1139"/>
      <c r="T16" s="1066">
        <f>$Q16/$Q$15*T$15</f>
        <v>5492.331363702775</v>
      </c>
      <c r="U16" s="1110"/>
      <c r="V16" s="1067"/>
      <c r="W16" s="1114">
        <f>T16/1000000/$K16</f>
        <v>8.0414807667683382E-3</v>
      </c>
      <c r="X16" s="1115"/>
      <c r="Y16" s="1116"/>
      <c r="Z16" s="1066">
        <f>$Q16/$Q$15*Z$15</f>
        <v>1407.409911948836</v>
      </c>
      <c r="AA16" s="1110"/>
      <c r="AB16" s="1067"/>
      <c r="AC16" s="1114">
        <f>Z16/1000000/$K16</f>
        <v>2.0606294464843864E-3</v>
      </c>
      <c r="AD16" s="1115"/>
      <c r="AE16" s="1116"/>
      <c r="AF16" s="1071">
        <f>$Q16/$Q$15*AF$15</f>
        <v>113.27933437636976</v>
      </c>
      <c r="AG16" s="1044"/>
      <c r="AH16" s="1072"/>
      <c r="AI16" s="1060">
        <f>AF16/1000000/$K16</f>
        <v>1.6585554081459701E-4</v>
      </c>
      <c r="AJ16" s="1059"/>
      <c r="AK16" s="1063"/>
      <c r="AL16" s="491"/>
      <c r="AM16" s="535" t="s">
        <v>606</v>
      </c>
      <c r="AN16" s="535">
        <v>60</v>
      </c>
      <c r="AO16" s="129" t="s">
        <v>607</v>
      </c>
      <c r="AP16" s="492"/>
      <c r="AQ16" s="492"/>
      <c r="AR16" s="525" t="s">
        <v>116</v>
      </c>
      <c r="AS16" s="527"/>
      <c r="AT16" s="528"/>
      <c r="AU16" s="525" t="s">
        <v>122</v>
      </c>
      <c r="AV16" s="527"/>
      <c r="AW16" s="528"/>
      <c r="AX16" s="492"/>
      <c r="AY16" s="492"/>
      <c r="AZ16" s="492"/>
      <c r="BA16" s="492"/>
      <c r="BB16" s="492"/>
      <c r="BC16" s="492"/>
      <c r="BD16" s="493"/>
      <c r="BE16" s="493"/>
      <c r="BF16" s="493"/>
      <c r="BG16" s="493"/>
      <c r="BH16" s="493"/>
      <c r="BI16" s="493"/>
      <c r="BJ16" s="493"/>
      <c r="BK16" s="493"/>
      <c r="BL16" s="493"/>
      <c r="BM16" s="493"/>
      <c r="BN16" s="493"/>
      <c r="BO16" s="493"/>
      <c r="BP16" s="493"/>
      <c r="BQ16" s="493"/>
      <c r="BR16" s="493"/>
      <c r="BS16" s="493"/>
      <c r="BT16" s="493"/>
      <c r="BU16" s="493"/>
      <c r="BV16" s="493"/>
      <c r="BW16" s="493"/>
      <c r="BX16" s="493"/>
      <c r="BY16" s="493"/>
      <c r="BZ16" s="493"/>
      <c r="CA16" s="493"/>
      <c r="CB16" s="493"/>
      <c r="CC16" s="493"/>
      <c r="CD16" s="493"/>
      <c r="CE16" s="493"/>
      <c r="CF16" s="493"/>
      <c r="CG16" s="493"/>
      <c r="CH16" s="493"/>
      <c r="CI16" s="493"/>
      <c r="CJ16" s="493"/>
      <c r="CK16" s="493"/>
      <c r="CL16" s="493"/>
      <c r="CM16" s="493"/>
      <c r="CN16" s="493"/>
      <c r="CO16" s="493"/>
      <c r="CP16" s="493"/>
    </row>
    <row r="17" spans="1:94" s="494" customFormat="1" ht="14.25" customHeight="1">
      <c r="A17" s="299"/>
      <c r="B17" s="147"/>
      <c r="C17" s="147"/>
      <c r="D17" s="147"/>
      <c r="E17" s="147"/>
      <c r="F17" s="147"/>
      <c r="G17" s="147"/>
      <c r="H17" s="1053"/>
      <c r="I17" s="1032"/>
      <c r="J17" s="1034"/>
      <c r="K17" s="1120"/>
      <c r="L17" s="1121"/>
      <c r="M17" s="1122"/>
      <c r="N17" s="1123"/>
      <c r="O17" s="1069"/>
      <c r="P17" s="1124"/>
      <c r="Q17" s="1123"/>
      <c r="R17" s="1069"/>
      <c r="S17" s="1124"/>
      <c r="T17" s="1086"/>
      <c r="U17" s="1087"/>
      <c r="V17" s="1088"/>
      <c r="W17" s="1089"/>
      <c r="X17" s="1090"/>
      <c r="Y17" s="1091"/>
      <c r="Z17" s="1086"/>
      <c r="AA17" s="1087"/>
      <c r="AB17" s="1088"/>
      <c r="AC17" s="1089"/>
      <c r="AD17" s="1090"/>
      <c r="AE17" s="1091"/>
      <c r="AF17" s="1128"/>
      <c r="AG17" s="1129"/>
      <c r="AH17" s="1130"/>
      <c r="AI17" s="1089"/>
      <c r="AJ17" s="1090"/>
      <c r="AK17" s="1091"/>
      <c r="AL17" s="491"/>
      <c r="AM17" s="535" t="s">
        <v>608</v>
      </c>
      <c r="AN17" s="228">
        <f>(AN16 - 32) * 5/9</f>
        <v>15.555555555555555</v>
      </c>
      <c r="AO17" s="129" t="s">
        <v>609</v>
      </c>
      <c r="AP17" s="492"/>
      <c r="AQ17" s="492"/>
      <c r="AR17" s="529" t="s">
        <v>386</v>
      </c>
      <c r="AS17" s="530" t="s">
        <v>714</v>
      </c>
      <c r="AT17" s="530" t="s">
        <v>715</v>
      </c>
      <c r="AU17" s="529" t="s">
        <v>386</v>
      </c>
      <c r="AV17" s="530" t="s">
        <v>714</v>
      </c>
      <c r="AW17" s="530" t="s">
        <v>715</v>
      </c>
      <c r="AX17" s="492"/>
      <c r="AY17" s="492"/>
      <c r="AZ17" s="492"/>
      <c r="BA17" s="492"/>
      <c r="BB17" s="492"/>
      <c r="BC17" s="492"/>
      <c r="BD17" s="493"/>
      <c r="BE17" s="493"/>
      <c r="BF17" s="493"/>
      <c r="BG17" s="493"/>
      <c r="BH17" s="493"/>
      <c r="BI17" s="493"/>
      <c r="BJ17" s="493"/>
      <c r="BK17" s="493"/>
      <c r="BL17" s="493"/>
      <c r="BM17" s="493"/>
      <c r="BN17" s="493"/>
      <c r="BO17" s="493"/>
      <c r="BP17" s="493"/>
      <c r="BQ17" s="493"/>
      <c r="BR17" s="493"/>
      <c r="BS17" s="493"/>
      <c r="BT17" s="493"/>
      <c r="BU17" s="493"/>
      <c r="BV17" s="493"/>
      <c r="BW17" s="493"/>
      <c r="BX17" s="493"/>
      <c r="BY17" s="493"/>
      <c r="BZ17" s="493"/>
      <c r="CA17" s="493"/>
      <c r="CB17" s="493"/>
      <c r="CC17" s="493"/>
      <c r="CD17" s="493"/>
      <c r="CE17" s="493"/>
      <c r="CF17" s="493"/>
      <c r="CG17" s="493"/>
      <c r="CH17" s="493"/>
      <c r="CI17" s="493"/>
      <c r="CJ17" s="493"/>
      <c r="CK17" s="493"/>
      <c r="CL17" s="493"/>
      <c r="CM17" s="493"/>
      <c r="CN17" s="493"/>
      <c r="CO17" s="493"/>
      <c r="CP17" s="493"/>
    </row>
    <row r="18" spans="1:94" s="494" customFormat="1" ht="14.25" customHeight="1">
      <c r="A18" s="224" t="s">
        <v>589</v>
      </c>
      <c r="B18" s="291"/>
      <c r="C18" s="291"/>
      <c r="D18" s="291"/>
      <c r="E18" s="291"/>
      <c r="F18" s="291"/>
      <c r="G18" s="152"/>
      <c r="H18" s="1117" t="s">
        <v>122</v>
      </c>
      <c r="I18" s="1118"/>
      <c r="J18" s="1119"/>
      <c r="K18" s="1117" t="s">
        <v>122</v>
      </c>
      <c r="L18" s="1118"/>
      <c r="M18" s="1119"/>
      <c r="N18" s="1117" t="s">
        <v>124</v>
      </c>
      <c r="O18" s="1118"/>
      <c r="P18" s="1119"/>
      <c r="Q18" s="1117" t="s">
        <v>124</v>
      </c>
      <c r="R18" s="1118"/>
      <c r="S18" s="1119"/>
      <c r="T18" s="1117" t="s">
        <v>123</v>
      </c>
      <c r="U18" s="1118"/>
      <c r="V18" s="1119"/>
      <c r="W18" s="1117" t="s">
        <v>123</v>
      </c>
      <c r="X18" s="1118"/>
      <c r="Y18" s="1119"/>
      <c r="Z18" s="1117" t="s">
        <v>716</v>
      </c>
      <c r="AA18" s="1118"/>
      <c r="AB18" s="1119"/>
      <c r="AC18" s="1117" t="s">
        <v>125</v>
      </c>
      <c r="AD18" s="1118"/>
      <c r="AE18" s="1119"/>
      <c r="AF18" s="31"/>
      <c r="AG18" s="31"/>
      <c r="AH18" s="31"/>
      <c r="AI18" s="31"/>
      <c r="AJ18" s="31"/>
      <c r="AK18" s="226"/>
      <c r="AL18" s="491"/>
      <c r="AM18" s="535" t="s">
        <v>611</v>
      </c>
      <c r="AN18" s="535">
        <v>15.6</v>
      </c>
      <c r="AO18" s="129" t="s">
        <v>609</v>
      </c>
      <c r="AP18" s="492"/>
      <c r="AQ18" s="492"/>
      <c r="AR18" s="531">
        <v>6.6E-3</v>
      </c>
      <c r="AS18" s="533">
        <f>AR18*$AR$5</f>
        <v>6.7320000000000002</v>
      </c>
      <c r="AT18" s="534">
        <f>$AR$8*AS18 * (($AN$17+273.15)/($AN$18+273.15))</f>
        <v>113.83807062448945</v>
      </c>
      <c r="AU18" s="531">
        <v>8.6E-3</v>
      </c>
      <c r="AV18" s="533">
        <f>AU18*$AR$5</f>
        <v>8.7720000000000002</v>
      </c>
      <c r="AW18" s="534">
        <f>$AR$8*AV18 * (($AN$17+273.15)/($AN$18+273.15))</f>
        <v>148.33445566221351</v>
      </c>
      <c r="AX18" s="492"/>
      <c r="AY18" s="492"/>
      <c r="AZ18" s="492"/>
      <c r="BA18" s="492"/>
      <c r="BB18" s="492"/>
      <c r="BC18" s="492"/>
      <c r="BD18" s="493"/>
      <c r="BE18" s="493"/>
      <c r="BF18" s="493"/>
      <c r="BG18" s="493"/>
      <c r="BH18" s="493"/>
      <c r="BI18" s="493"/>
      <c r="BJ18" s="493"/>
      <c r="BK18" s="493"/>
      <c r="BL18" s="493"/>
      <c r="BM18" s="493"/>
      <c r="BN18" s="493"/>
      <c r="BO18" s="493"/>
      <c r="BP18" s="493"/>
      <c r="BQ18" s="493"/>
      <c r="BR18" s="493"/>
      <c r="BS18" s="493"/>
      <c r="BT18" s="493"/>
      <c r="BU18" s="493"/>
      <c r="BV18" s="493"/>
      <c r="BW18" s="493"/>
      <c r="BX18" s="493"/>
      <c r="BY18" s="493"/>
      <c r="BZ18" s="493"/>
      <c r="CA18" s="493"/>
      <c r="CB18" s="493"/>
      <c r="CC18" s="493"/>
      <c r="CD18" s="493"/>
      <c r="CE18" s="493"/>
      <c r="CF18" s="493"/>
      <c r="CG18" s="493"/>
      <c r="CH18" s="493"/>
      <c r="CI18" s="493"/>
      <c r="CJ18" s="493"/>
      <c r="CK18" s="493"/>
      <c r="CL18" s="493"/>
      <c r="CM18" s="493"/>
      <c r="CN18" s="493"/>
      <c r="CO18" s="493"/>
      <c r="CP18" s="493"/>
    </row>
    <row r="19" spans="1:94" s="494" customFormat="1" ht="14.25" customHeight="1">
      <c r="A19" s="292"/>
      <c r="B19" s="147"/>
      <c r="C19" s="147"/>
      <c r="D19" s="147"/>
      <c r="E19" s="147"/>
      <c r="F19" s="147"/>
      <c r="G19" s="149"/>
      <c r="H19" s="1089" t="s">
        <v>598</v>
      </c>
      <c r="I19" s="1090"/>
      <c r="J19" s="1091"/>
      <c r="K19" s="1089" t="s">
        <v>599</v>
      </c>
      <c r="L19" s="1090"/>
      <c r="M19" s="1091"/>
      <c r="N19" s="1089" t="s">
        <v>598</v>
      </c>
      <c r="O19" s="1090"/>
      <c r="P19" s="1091"/>
      <c r="Q19" s="1089" t="s">
        <v>599</v>
      </c>
      <c r="R19" s="1090"/>
      <c r="S19" s="1091"/>
      <c r="T19" s="1089" t="s">
        <v>598</v>
      </c>
      <c r="U19" s="1090"/>
      <c r="V19" s="1091"/>
      <c r="W19" s="1089" t="s">
        <v>599</v>
      </c>
      <c r="X19" s="1090"/>
      <c r="Y19" s="1091"/>
      <c r="Z19" s="1089" t="s">
        <v>598</v>
      </c>
      <c r="AA19" s="1090"/>
      <c r="AB19" s="1091"/>
      <c r="AC19" s="1089" t="s">
        <v>599</v>
      </c>
      <c r="AD19" s="1090"/>
      <c r="AE19" s="1091"/>
      <c r="AF19" s="300"/>
      <c r="AG19" s="301"/>
      <c r="AH19" s="302"/>
      <c r="AI19" s="31"/>
      <c r="AJ19" s="31"/>
      <c r="AK19" s="32"/>
      <c r="AL19" s="491"/>
      <c r="AM19" s="536"/>
      <c r="AN19" s="492"/>
      <c r="AO19" s="492"/>
      <c r="AP19" s="492"/>
      <c r="AQ19" s="492"/>
      <c r="AR19" s="525" t="s">
        <v>123</v>
      </c>
      <c r="AS19" s="527"/>
      <c r="AT19" s="528"/>
      <c r="AU19" s="525" t="s">
        <v>717</v>
      </c>
      <c r="AV19" s="527"/>
      <c r="AW19" s="528"/>
      <c r="AX19" s="492"/>
      <c r="AY19" s="492"/>
      <c r="AZ19" s="492"/>
      <c r="BA19" s="492"/>
      <c r="BB19" s="492"/>
      <c r="BC19" s="492"/>
      <c r="BD19" s="493"/>
      <c r="BE19" s="493"/>
      <c r="BF19" s="493"/>
      <c r="BG19" s="493"/>
      <c r="BH19" s="493"/>
      <c r="BI19" s="493"/>
      <c r="BJ19" s="493"/>
      <c r="BK19" s="493"/>
      <c r="BL19" s="493"/>
      <c r="BM19" s="493"/>
      <c r="BN19" s="493"/>
      <c r="BO19" s="493"/>
      <c r="BP19" s="493"/>
      <c r="BQ19" s="493"/>
      <c r="BR19" s="493"/>
      <c r="BS19" s="493"/>
      <c r="BT19" s="493"/>
      <c r="BU19" s="493"/>
      <c r="BV19" s="493"/>
      <c r="BW19" s="493"/>
      <c r="BX19" s="493"/>
      <c r="BY19" s="493"/>
      <c r="BZ19" s="493"/>
      <c r="CA19" s="493"/>
      <c r="CB19" s="493"/>
      <c r="CC19" s="493"/>
      <c r="CD19" s="493"/>
      <c r="CE19" s="493"/>
      <c r="CF19" s="493"/>
      <c r="CG19" s="493"/>
      <c r="CH19" s="493"/>
      <c r="CI19" s="493"/>
      <c r="CJ19" s="493"/>
      <c r="CK19" s="493"/>
      <c r="CL19" s="493"/>
      <c r="CM19" s="493"/>
      <c r="CN19" s="493"/>
      <c r="CO19" s="493"/>
      <c r="CP19" s="493"/>
    </row>
    <row r="20" spans="1:94" s="494" customFormat="1" ht="14.25" customHeight="1">
      <c r="A20" s="293" t="str">
        <f>A15</f>
        <v>Reference Gas</v>
      </c>
      <c r="B20" s="294"/>
      <c r="C20" s="294"/>
      <c r="D20" s="294"/>
      <c r="E20" s="294"/>
      <c r="F20" s="294"/>
      <c r="G20" s="295"/>
      <c r="H20" s="1073">
        <f>AW18</f>
        <v>148.33445566221351</v>
      </c>
      <c r="I20" s="1109"/>
      <c r="J20" s="1074"/>
      <c r="K20" s="1076" t="s">
        <v>604</v>
      </c>
      <c r="L20" s="1075"/>
      <c r="M20" s="1077"/>
      <c r="N20" s="1073">
        <f>AT24</f>
        <v>58.643854564130919</v>
      </c>
      <c r="O20" s="1109"/>
      <c r="P20" s="1074"/>
      <c r="Q20" s="1076" t="s">
        <v>604</v>
      </c>
      <c r="R20" s="1075"/>
      <c r="S20" s="1077"/>
      <c r="T20" s="1073">
        <f>AT21</f>
        <v>36.22120428961027</v>
      </c>
      <c r="U20" s="1109"/>
      <c r="V20" s="1074"/>
      <c r="W20" s="1214" t="s">
        <v>604</v>
      </c>
      <c r="X20" s="1215"/>
      <c r="Y20" s="1216"/>
      <c r="Z20" s="1073">
        <f>$AW$24</f>
        <v>51.744577556586108</v>
      </c>
      <c r="AA20" s="1109"/>
      <c r="AB20" s="1074"/>
      <c r="AC20" s="1076" t="s">
        <v>604</v>
      </c>
      <c r="AD20" s="1075"/>
      <c r="AE20" s="1077"/>
      <c r="AF20" s="300"/>
      <c r="AG20" s="31"/>
      <c r="AH20" s="302"/>
      <c r="AI20" s="31"/>
      <c r="AJ20" s="31"/>
      <c r="AK20" s="32"/>
      <c r="AL20" s="491"/>
      <c r="AM20" s="492"/>
      <c r="AN20" s="492"/>
      <c r="AO20" s="492"/>
      <c r="AP20" s="492"/>
      <c r="AQ20" s="492"/>
      <c r="AR20" s="529" t="s">
        <v>386</v>
      </c>
      <c r="AS20" s="530" t="s">
        <v>714</v>
      </c>
      <c r="AT20" s="530" t="s">
        <v>715</v>
      </c>
      <c r="AU20" s="529" t="s">
        <v>386</v>
      </c>
      <c r="AV20" s="530" t="s">
        <v>714</v>
      </c>
      <c r="AW20" s="530" t="s">
        <v>715</v>
      </c>
      <c r="AX20" s="492"/>
      <c r="AY20" s="492"/>
      <c r="AZ20" s="492"/>
      <c r="BA20" s="492"/>
      <c r="BB20" s="492"/>
      <c r="BC20" s="492"/>
      <c r="BD20" s="493"/>
      <c r="BE20" s="493"/>
      <c r="BF20" s="493"/>
      <c r="BG20" s="493"/>
      <c r="BH20" s="493"/>
      <c r="BI20" s="493"/>
      <c r="BJ20" s="493"/>
      <c r="BK20" s="493"/>
      <c r="BL20" s="493"/>
      <c r="BM20" s="493"/>
      <c r="BN20" s="493"/>
      <c r="BO20" s="493"/>
      <c r="BP20" s="493"/>
      <c r="BQ20" s="493"/>
      <c r="BR20" s="493"/>
      <c r="BS20" s="493"/>
      <c r="BT20" s="493"/>
      <c r="BU20" s="493"/>
      <c r="BV20" s="493"/>
      <c r="BW20" s="493"/>
      <c r="BX20" s="493"/>
      <c r="BY20" s="493"/>
      <c r="BZ20" s="493"/>
      <c r="CA20" s="493"/>
      <c r="CB20" s="493"/>
      <c r="CC20" s="493"/>
      <c r="CD20" s="493"/>
      <c r="CE20" s="493"/>
      <c r="CF20" s="493"/>
      <c r="CG20" s="493"/>
      <c r="CH20" s="493"/>
      <c r="CI20" s="493"/>
      <c r="CJ20" s="493"/>
      <c r="CK20" s="493"/>
      <c r="CL20" s="493"/>
      <c r="CM20" s="493"/>
      <c r="CN20" s="493"/>
      <c r="CO20" s="493"/>
      <c r="CP20" s="493"/>
    </row>
    <row r="21" spans="1:94" s="494" customFormat="1" ht="14.25" customHeight="1">
      <c r="A21" s="296" t="str">
        <f>A16</f>
        <v>Fuel Gas</v>
      </c>
      <c r="B21" s="297"/>
      <c r="C21" s="297"/>
      <c r="D21" s="297"/>
      <c r="E21" s="297"/>
      <c r="F21" s="297"/>
      <c r="G21" s="298"/>
      <c r="H21" s="1064">
        <f>$Q16/$Q$15*H$20</f>
        <v>147.60640539951208</v>
      </c>
      <c r="I21" s="1230"/>
      <c r="J21" s="1065"/>
      <c r="K21" s="1114">
        <f>H21/1000000/$K16</f>
        <v>2.1611479560689907E-4</v>
      </c>
      <c r="L21" s="1115"/>
      <c r="M21" s="1116"/>
      <c r="N21" s="1064">
        <f>$Q16/$Q$15*N$20</f>
        <v>58.356020739341986</v>
      </c>
      <c r="O21" s="1230"/>
      <c r="P21" s="1065"/>
      <c r="Q21" s="1114">
        <v>0</v>
      </c>
      <c r="R21" s="1115"/>
      <c r="S21" s="1116"/>
      <c r="T21" s="1123">
        <f>$Q16/$Q$15*T$20</f>
        <v>36.043424574299458</v>
      </c>
      <c r="U21" s="1069"/>
      <c r="V21" s="1124"/>
      <c r="W21" s="1114">
        <f>T21/1000000/$K16</f>
        <v>5.2772217531917212E-5</v>
      </c>
      <c r="X21" s="1115"/>
      <c r="Y21" s="1116"/>
      <c r="Z21" s="1064">
        <f>$Q16/$Q$15*Z$20</f>
        <v>51.490606534713521</v>
      </c>
      <c r="AA21" s="1230"/>
      <c r="AB21" s="1065"/>
      <c r="AC21" s="1114">
        <f>Z21/1000000/$K16</f>
        <v>7.5388882188453179E-5</v>
      </c>
      <c r="AD21" s="1115"/>
      <c r="AE21" s="1116"/>
      <c r="AF21" s="31"/>
      <c r="AG21" s="31"/>
      <c r="AH21" s="31"/>
      <c r="AI21" s="31"/>
      <c r="AJ21" s="31"/>
      <c r="AK21" s="32"/>
      <c r="AL21" s="491"/>
      <c r="AM21" s="492"/>
      <c r="AN21" s="492"/>
      <c r="AO21" s="492"/>
      <c r="AP21" s="492"/>
      <c r="AQ21" s="492"/>
      <c r="AR21" s="531">
        <v>2.0999999999999999E-3</v>
      </c>
      <c r="AS21" s="533">
        <f>AR21*$AR$5</f>
        <v>2.1419999999999999</v>
      </c>
      <c r="AT21" s="534">
        <f>$AR$8*AS21 * (($AN$17+273.15)/($AN$18+273.15))</f>
        <v>36.22120428961027</v>
      </c>
      <c r="AU21" s="532">
        <v>1.0999999999999999E-2</v>
      </c>
      <c r="AV21" s="533">
        <f>AU21*$AR$5</f>
        <v>11.219999999999999</v>
      </c>
      <c r="AW21" s="534">
        <f>$AR$8*AV21 * (($AN$17+273.15)/($AN$18+273.15))</f>
        <v>189.73011770748238</v>
      </c>
      <c r="AX21" s="492"/>
      <c r="AY21" s="492"/>
      <c r="AZ21" s="492"/>
      <c r="BA21" s="492"/>
      <c r="BB21" s="492"/>
      <c r="BC21" s="492"/>
      <c r="BD21" s="493"/>
      <c r="BE21" s="493"/>
      <c r="BF21" s="493"/>
      <c r="BG21" s="493"/>
      <c r="BH21" s="493"/>
      <c r="BI21" s="493"/>
      <c r="BJ21" s="493"/>
      <c r="BK21" s="493"/>
      <c r="BL21" s="493"/>
      <c r="BM21" s="493"/>
      <c r="BN21" s="493"/>
      <c r="BO21" s="493"/>
      <c r="BP21" s="493"/>
      <c r="BQ21" s="493"/>
      <c r="BR21" s="493"/>
      <c r="BS21" s="493"/>
      <c r="BT21" s="493"/>
      <c r="BU21" s="493"/>
      <c r="BV21" s="493"/>
      <c r="BW21" s="493"/>
      <c r="BX21" s="493"/>
      <c r="BY21" s="493"/>
      <c r="BZ21" s="493"/>
      <c r="CA21" s="493"/>
      <c r="CB21" s="493"/>
      <c r="CC21" s="493"/>
      <c r="CD21" s="493"/>
      <c r="CE21" s="493"/>
      <c r="CF21" s="493"/>
      <c r="CG21" s="493"/>
      <c r="CH21" s="493"/>
      <c r="CI21" s="493"/>
      <c r="CJ21" s="493"/>
      <c r="CK21" s="493"/>
      <c r="CL21" s="493"/>
      <c r="CM21" s="493"/>
      <c r="CN21" s="493"/>
      <c r="CO21" s="493"/>
      <c r="CP21" s="493"/>
    </row>
    <row r="22" spans="1:94" s="494" customFormat="1" ht="14.25" customHeight="1">
      <c r="A22" s="299"/>
      <c r="B22" s="31"/>
      <c r="C22" s="31"/>
      <c r="D22" s="31"/>
      <c r="E22" s="31"/>
      <c r="F22" s="31"/>
      <c r="G22" s="32"/>
      <c r="H22" s="1123"/>
      <c r="I22" s="1069"/>
      <c r="J22" s="1124"/>
      <c r="K22" s="1125"/>
      <c r="L22" s="1126"/>
      <c r="M22" s="1127"/>
      <c r="N22" s="1123"/>
      <c r="O22" s="1069"/>
      <c r="P22" s="1124"/>
      <c r="Q22" s="1125"/>
      <c r="R22" s="1126"/>
      <c r="S22" s="1127"/>
      <c r="T22" s="1123"/>
      <c r="U22" s="1069"/>
      <c r="V22" s="1124"/>
      <c r="W22" s="1125"/>
      <c r="X22" s="1126"/>
      <c r="Y22" s="1127"/>
      <c r="Z22" s="1125"/>
      <c r="AA22" s="1126"/>
      <c r="AB22" s="1127"/>
      <c r="AC22" s="1125"/>
      <c r="AD22" s="1126"/>
      <c r="AE22" s="1127"/>
      <c r="AF22" s="31"/>
      <c r="AG22" s="31"/>
      <c r="AH22" s="31"/>
      <c r="AI22" s="31"/>
      <c r="AJ22" s="31"/>
      <c r="AK22" s="32"/>
      <c r="AL22" s="491"/>
      <c r="AM22" s="492"/>
      <c r="AN22" s="492"/>
      <c r="AO22" s="492"/>
      <c r="AP22" s="492"/>
      <c r="AQ22" s="492"/>
      <c r="AR22" s="525" t="s">
        <v>124</v>
      </c>
      <c r="AS22" s="527"/>
      <c r="AT22" s="528"/>
      <c r="AU22" s="525" t="s">
        <v>125</v>
      </c>
      <c r="AV22" s="527"/>
      <c r="AW22" s="528"/>
      <c r="AX22" s="492"/>
      <c r="AY22" s="492"/>
      <c r="AZ22" s="492"/>
      <c r="BA22" s="492"/>
      <c r="BB22" s="492"/>
      <c r="BC22" s="492"/>
      <c r="BD22" s="493"/>
      <c r="BE22" s="493"/>
      <c r="BF22" s="493"/>
      <c r="BG22" s="493"/>
      <c r="BH22" s="493"/>
      <c r="BI22" s="493"/>
      <c r="BJ22" s="493"/>
      <c r="BK22" s="493"/>
      <c r="BL22" s="493"/>
      <c r="BM22" s="493"/>
      <c r="BN22" s="493"/>
      <c r="BO22" s="493"/>
      <c r="BP22" s="493"/>
      <c r="BQ22" s="493"/>
      <c r="BR22" s="493"/>
      <c r="BS22" s="493"/>
      <c r="BT22" s="493"/>
      <c r="BU22" s="493"/>
      <c r="BV22" s="493"/>
      <c r="BW22" s="493"/>
      <c r="BX22" s="493"/>
      <c r="BY22" s="493"/>
      <c r="BZ22" s="493"/>
      <c r="CA22" s="493"/>
      <c r="CB22" s="493"/>
      <c r="CC22" s="493"/>
      <c r="CD22" s="493"/>
      <c r="CE22" s="493"/>
      <c r="CF22" s="493"/>
      <c r="CG22" s="493"/>
      <c r="CH22" s="493"/>
      <c r="CI22" s="493"/>
      <c r="CJ22" s="493"/>
      <c r="CK22" s="493"/>
      <c r="CL22" s="493"/>
      <c r="CM22" s="493"/>
      <c r="CN22" s="493"/>
      <c r="CO22" s="493"/>
      <c r="CP22" s="493"/>
    </row>
    <row r="23" spans="1:94" s="494" customFormat="1" ht="14.25" customHeight="1">
      <c r="A23" s="224" t="s">
        <v>612</v>
      </c>
      <c r="B23" s="27"/>
      <c r="C23" s="27"/>
      <c r="D23" s="27"/>
      <c r="E23" s="27"/>
      <c r="F23" s="27"/>
      <c r="G23" s="27"/>
      <c r="H23" s="27"/>
      <c r="I23" s="27"/>
      <c r="J23" s="27"/>
      <c r="K23" s="27"/>
      <c r="L23" s="27"/>
      <c r="M23" s="27"/>
      <c r="N23" s="27"/>
      <c r="O23" s="27"/>
      <c r="P23" s="27"/>
      <c r="Q23" s="27"/>
      <c r="R23" s="27"/>
      <c r="S23" s="226"/>
      <c r="T23" s="224" t="s">
        <v>613</v>
      </c>
      <c r="U23" s="27"/>
      <c r="V23" s="27"/>
      <c r="W23" s="27"/>
      <c r="X23" s="27"/>
      <c r="Y23" s="27"/>
      <c r="Z23" s="537"/>
      <c r="AA23" s="27"/>
      <c r="AB23" s="27"/>
      <c r="AC23" s="27"/>
      <c r="AD23" s="27"/>
      <c r="AE23" s="27"/>
      <c r="AF23" s="27"/>
      <c r="AG23" s="27"/>
      <c r="AH23" s="27"/>
      <c r="AI23" s="27"/>
      <c r="AJ23" s="27"/>
      <c r="AK23" s="226"/>
      <c r="AL23" s="491"/>
      <c r="AM23" s="492"/>
      <c r="AN23" s="492"/>
      <c r="AO23" s="492"/>
      <c r="AP23" s="492"/>
      <c r="AQ23" s="492"/>
      <c r="AR23" s="529" t="s">
        <v>386</v>
      </c>
      <c r="AS23" s="530" t="s">
        <v>714</v>
      </c>
      <c r="AT23" s="530" t="s">
        <v>715</v>
      </c>
      <c r="AU23" s="529" t="s">
        <v>386</v>
      </c>
      <c r="AV23" s="530" t="s">
        <v>714</v>
      </c>
      <c r="AW23" s="530" t="s">
        <v>715</v>
      </c>
      <c r="AX23" s="492"/>
      <c r="AY23" s="492"/>
      <c r="AZ23" s="492"/>
      <c r="BA23" s="492"/>
      <c r="BB23" s="492"/>
      <c r="BC23" s="492"/>
      <c r="BD23" s="493"/>
      <c r="BE23" s="493"/>
      <c r="BF23" s="493"/>
      <c r="BG23" s="493"/>
      <c r="BH23" s="493"/>
      <c r="BI23" s="493"/>
      <c r="BJ23" s="493"/>
      <c r="BK23" s="493"/>
      <c r="BL23" s="493"/>
      <c r="BM23" s="493"/>
      <c r="BN23" s="493"/>
      <c r="BO23" s="493"/>
      <c r="BP23" s="493"/>
      <c r="BQ23" s="493"/>
      <c r="BR23" s="493"/>
      <c r="BS23" s="493"/>
      <c r="BT23" s="493"/>
      <c r="BU23" s="493"/>
      <c r="BV23" s="493"/>
      <c r="BW23" s="493"/>
      <c r="BX23" s="493"/>
      <c r="BY23" s="493"/>
      <c r="BZ23" s="493"/>
      <c r="CA23" s="493"/>
      <c r="CB23" s="493"/>
      <c r="CC23" s="493"/>
      <c r="CD23" s="493"/>
      <c r="CE23" s="493"/>
      <c r="CF23" s="493"/>
      <c r="CG23" s="493"/>
      <c r="CH23" s="493"/>
      <c r="CI23" s="493"/>
      <c r="CJ23" s="493"/>
      <c r="CK23" s="493"/>
      <c r="CL23" s="493"/>
      <c r="CM23" s="493"/>
      <c r="CN23" s="493"/>
      <c r="CO23" s="493"/>
      <c r="CP23" s="493"/>
    </row>
    <row r="24" spans="1:94" s="494" customFormat="1" ht="14.25" customHeight="1">
      <c r="A24" s="299" t="s">
        <v>614</v>
      </c>
      <c r="B24" s="31"/>
      <c r="C24" s="31"/>
      <c r="D24" s="31"/>
      <c r="E24" s="31"/>
      <c r="F24" s="31"/>
      <c r="G24" s="31"/>
      <c r="H24" s="538"/>
      <c r="I24" s="31" t="s">
        <v>590</v>
      </c>
      <c r="J24" s="31"/>
      <c r="K24" s="31"/>
      <c r="L24" s="31" t="s">
        <v>615</v>
      </c>
      <c r="M24" s="31"/>
      <c r="N24" s="31"/>
      <c r="O24" s="31"/>
      <c r="P24" s="31"/>
      <c r="Q24" s="539">
        <v>30</v>
      </c>
      <c r="R24" s="31"/>
      <c r="S24" s="32" t="s">
        <v>616</v>
      </c>
      <c r="T24" s="1092" t="str">
        <f>A16</f>
        <v>Fuel Gas</v>
      </c>
      <c r="U24" s="1093"/>
      <c r="V24" s="1093"/>
      <c r="W24" s="1093"/>
      <c r="X24" s="1234">
        <v>2251</v>
      </c>
      <c r="Y24" s="1234"/>
      <c r="Z24" s="1234"/>
      <c r="AA24" s="1093" t="s">
        <v>617</v>
      </c>
      <c r="AB24" s="1093"/>
      <c r="AC24" s="1235">
        <f>X24/H16</f>
        <v>138.95061728395063</v>
      </c>
      <c r="AD24" s="1235"/>
      <c r="AE24" s="1093" t="s">
        <v>618</v>
      </c>
      <c r="AF24" s="1093"/>
      <c r="AG24" s="1093"/>
      <c r="AH24" s="1235">
        <f>G25/(Q24/100)</f>
        <v>30.666666666666664</v>
      </c>
      <c r="AI24" s="1235"/>
      <c r="AJ24" s="361" t="s">
        <v>590</v>
      </c>
      <c r="AK24" s="362"/>
      <c r="AL24" s="491"/>
      <c r="AM24" s="540">
        <f>X24*W21</f>
        <v>0.11879026166434564</v>
      </c>
      <c r="AN24" s="492"/>
      <c r="AO24" s="492"/>
      <c r="AP24" s="492"/>
      <c r="AQ24" s="492"/>
      <c r="AR24" s="541">
        <v>3.3999999999999998E-3</v>
      </c>
      <c r="AS24" s="533">
        <f>AR24*$AR$5</f>
        <v>3.468</v>
      </c>
      <c r="AT24" s="534">
        <f>$AR$8*AS24 * (($AN$17+273.15)/($AN$18+273.15))</f>
        <v>58.643854564130919</v>
      </c>
      <c r="AU24" s="531">
        <v>3.0000000000000001E-3</v>
      </c>
      <c r="AV24" s="533">
        <f>AU24*$AR$5</f>
        <v>3.06</v>
      </c>
      <c r="AW24" s="534">
        <f>$AR$8*AV24 * (($AN$17+273.15)/($AN$18+273.15))</f>
        <v>51.744577556586108</v>
      </c>
      <c r="AX24" s="492"/>
      <c r="AY24" s="492"/>
      <c r="AZ24" s="492"/>
      <c r="BA24" s="492"/>
      <c r="BB24" s="492"/>
      <c r="BC24" s="492"/>
      <c r="BD24" s="493"/>
      <c r="BE24" s="493"/>
      <c r="BF24" s="493"/>
      <c r="BG24" s="493"/>
      <c r="BH24" s="493"/>
      <c r="BI24" s="493"/>
      <c r="BJ24" s="493"/>
      <c r="BK24" s="493"/>
      <c r="BL24" s="493"/>
      <c r="BM24" s="493"/>
      <c r="BN24" s="493"/>
      <c r="BO24" s="493"/>
      <c r="BP24" s="493"/>
      <c r="BQ24" s="493"/>
      <c r="BR24" s="493"/>
      <c r="BS24" s="493"/>
      <c r="BT24" s="493"/>
      <c r="BU24" s="493"/>
      <c r="BV24" s="493"/>
      <c r="BW24" s="493"/>
      <c r="BX24" s="493"/>
      <c r="BY24" s="493"/>
      <c r="BZ24" s="493"/>
      <c r="CA24" s="493"/>
      <c r="CB24" s="493"/>
      <c r="CC24" s="493"/>
      <c r="CD24" s="493"/>
      <c r="CE24" s="493"/>
      <c r="CF24" s="493"/>
      <c r="CG24" s="493"/>
      <c r="CH24" s="493"/>
      <c r="CI24" s="493"/>
      <c r="CJ24" s="493"/>
      <c r="CK24" s="493"/>
      <c r="CL24" s="493"/>
      <c r="CM24" s="493"/>
      <c r="CN24" s="493"/>
      <c r="CO24" s="493"/>
      <c r="CP24" s="493"/>
    </row>
    <row r="25" spans="1:94" s="494" customFormat="1" ht="14.25" customHeight="1">
      <c r="A25" s="292" t="s">
        <v>619</v>
      </c>
      <c r="B25" s="31"/>
      <c r="C25" s="31"/>
      <c r="D25" s="31"/>
      <c r="E25" s="31"/>
      <c r="F25" s="31"/>
      <c r="G25" s="490">
        <v>9.1999999999999993</v>
      </c>
      <c r="H25" s="302"/>
      <c r="I25" s="31" t="s">
        <v>590</v>
      </c>
      <c r="J25" s="31"/>
      <c r="K25" s="31"/>
      <c r="L25" s="31"/>
      <c r="M25" s="31"/>
      <c r="N25" s="31"/>
      <c r="O25" s="31"/>
      <c r="P25" s="31"/>
      <c r="Q25" s="31"/>
      <c r="R25" s="31"/>
      <c r="S25" s="32"/>
      <c r="T25" s="1236"/>
      <c r="U25" s="1022"/>
      <c r="V25" s="1022"/>
      <c r="W25" s="1022"/>
      <c r="X25" s="1021"/>
      <c r="Y25" s="1021"/>
      <c r="Z25" s="1021"/>
      <c r="AA25" s="1022"/>
      <c r="AB25" s="1022"/>
      <c r="AC25" s="1021"/>
      <c r="AD25" s="1021"/>
      <c r="AE25" s="1022"/>
      <c r="AF25" s="1022"/>
      <c r="AG25" s="1022"/>
      <c r="AH25" s="1021"/>
      <c r="AI25" s="1021"/>
      <c r="AJ25" s="31"/>
      <c r="AK25" s="32"/>
      <c r="AL25" s="491"/>
      <c r="AM25" s="540">
        <f>W21*SUM(N33:O42)</f>
        <v>4.9380085191360278E-4</v>
      </c>
      <c r="AN25" s="492"/>
      <c r="AO25" s="492"/>
      <c r="AP25" s="492"/>
      <c r="AQ25" s="492"/>
      <c r="AR25" s="492"/>
      <c r="AS25" s="492"/>
      <c r="AT25" s="492"/>
      <c r="AU25" s="492"/>
      <c r="AV25" s="492"/>
      <c r="AW25" s="492"/>
      <c r="AX25" s="492"/>
      <c r="AY25" s="492"/>
      <c r="AZ25" s="492"/>
      <c r="BA25" s="492"/>
      <c r="BB25" s="492"/>
      <c r="BC25" s="492"/>
      <c r="BD25" s="493"/>
      <c r="BE25" s="493"/>
      <c r="BF25" s="493"/>
      <c r="BG25" s="493"/>
      <c r="BH25" s="493"/>
      <c r="BI25" s="493"/>
      <c r="BJ25" s="493"/>
      <c r="BK25" s="493"/>
      <c r="BL25" s="493"/>
      <c r="BM25" s="493"/>
      <c r="BN25" s="493"/>
      <c r="BO25" s="493"/>
      <c r="BP25" s="493"/>
      <c r="BQ25" s="493"/>
      <c r="BR25" s="493"/>
      <c r="BS25" s="493"/>
      <c r="BT25" s="493"/>
      <c r="BU25" s="493"/>
      <c r="BV25" s="493"/>
      <c r="BW25" s="493"/>
      <c r="BX25" s="493"/>
      <c r="BY25" s="493"/>
      <c r="BZ25" s="493"/>
      <c r="CA25" s="493"/>
      <c r="CB25" s="493"/>
      <c r="CC25" s="493"/>
      <c r="CD25" s="493"/>
      <c r="CE25" s="493"/>
      <c r="CF25" s="493"/>
      <c r="CG25" s="493"/>
      <c r="CH25" s="493"/>
      <c r="CI25" s="493"/>
      <c r="CJ25" s="493"/>
      <c r="CK25" s="493"/>
      <c r="CL25" s="493"/>
      <c r="CM25" s="493"/>
      <c r="CN25" s="493"/>
      <c r="CO25" s="493"/>
      <c r="CP25" s="493"/>
    </row>
    <row r="26" spans="1:94" s="494" customFormat="1" ht="14.25" customHeight="1">
      <c r="A26" s="292"/>
      <c r="B26" s="617"/>
      <c r="C26" s="617"/>
      <c r="D26" s="617"/>
      <c r="E26" s="617"/>
      <c r="F26" s="617"/>
      <c r="G26" s="618"/>
      <c r="H26" s="619"/>
      <c r="I26" s="617"/>
      <c r="J26" s="617"/>
      <c r="K26" s="617"/>
      <c r="L26" s="617"/>
      <c r="M26" s="617"/>
      <c r="N26" s="617"/>
      <c r="O26" s="617"/>
      <c r="P26" s="617"/>
      <c r="Q26" s="617"/>
      <c r="R26" s="617"/>
      <c r="S26" s="617"/>
      <c r="T26" s="620"/>
      <c r="U26" s="620"/>
      <c r="V26" s="621"/>
      <c r="W26" s="621"/>
      <c r="X26" s="622"/>
      <c r="Y26" s="622"/>
      <c r="Z26" s="622"/>
      <c r="AA26" s="621"/>
      <c r="AB26" s="621"/>
      <c r="AC26" s="622"/>
      <c r="AD26" s="622"/>
      <c r="AE26" s="621"/>
      <c r="AF26" s="621"/>
      <c r="AG26" s="621"/>
      <c r="AH26" s="622"/>
      <c r="AI26" s="622"/>
      <c r="AJ26" s="27"/>
      <c r="AK26" s="27"/>
      <c r="AL26" s="491"/>
      <c r="AM26" s="540"/>
      <c r="AN26" s="492"/>
      <c r="AO26" s="492"/>
      <c r="AP26" s="492"/>
      <c r="AQ26" s="492"/>
      <c r="AR26" s="492"/>
      <c r="AS26" s="492"/>
      <c r="AT26" s="492"/>
      <c r="AU26" s="492"/>
      <c r="AV26" s="492"/>
      <c r="AW26" s="492"/>
      <c r="AX26" s="492"/>
      <c r="AY26" s="492"/>
      <c r="AZ26" s="492"/>
      <c r="BA26" s="492"/>
      <c r="BB26" s="492"/>
      <c r="BC26" s="492"/>
      <c r="BD26" s="493"/>
      <c r="BE26" s="493"/>
      <c r="BF26" s="493"/>
      <c r="BG26" s="493"/>
      <c r="BH26" s="493"/>
      <c r="BI26" s="493"/>
      <c r="BJ26" s="493"/>
      <c r="BK26" s="493"/>
      <c r="BL26" s="493"/>
      <c r="BM26" s="493"/>
      <c r="BN26" s="493"/>
      <c r="BO26" s="493"/>
      <c r="BP26" s="493"/>
      <c r="BQ26" s="493"/>
      <c r="BR26" s="493"/>
      <c r="BS26" s="493"/>
      <c r="BT26" s="493"/>
      <c r="BU26" s="493"/>
      <c r="BV26" s="493"/>
      <c r="BW26" s="493"/>
      <c r="BX26" s="493"/>
      <c r="BY26" s="493"/>
      <c r="BZ26" s="493"/>
      <c r="CA26" s="493"/>
      <c r="CB26" s="493"/>
      <c r="CC26" s="493"/>
      <c r="CD26" s="493"/>
      <c r="CE26" s="493"/>
      <c r="CF26" s="493"/>
      <c r="CG26" s="493"/>
      <c r="CH26" s="493"/>
      <c r="CI26" s="493"/>
      <c r="CJ26" s="493"/>
      <c r="CK26" s="493"/>
      <c r="CL26" s="493"/>
      <c r="CM26" s="493"/>
      <c r="CN26" s="493"/>
      <c r="CO26" s="493"/>
      <c r="CP26" s="493"/>
    </row>
    <row r="27" spans="1:94" s="494" customFormat="1" ht="14.25" customHeight="1">
      <c r="A27" s="1081" t="s">
        <v>718</v>
      </c>
      <c r="B27" s="1081"/>
      <c r="C27" s="1081"/>
      <c r="D27" s="1081"/>
      <c r="E27" s="1081"/>
      <c r="F27" s="1042" t="str">
        <f>A16</f>
        <v>Fuel Gas</v>
      </c>
      <c r="G27" s="1043"/>
      <c r="H27" s="1043"/>
      <c r="I27" s="1043"/>
      <c r="J27" s="1043"/>
      <c r="K27" s="1043"/>
      <c r="L27" s="1043"/>
      <c r="M27" s="1043"/>
      <c r="N27" s="1043"/>
      <c r="O27" s="1043"/>
      <c r="P27" s="1043"/>
      <c r="Q27" s="1043"/>
      <c r="R27" s="1043"/>
      <c r="S27" s="1043"/>
      <c r="T27" s="1043"/>
      <c r="U27" s="1080"/>
      <c r="V27" s="1241" t="s">
        <v>719</v>
      </c>
      <c r="W27" s="1242"/>
      <c r="X27" s="1242"/>
      <c r="Y27" s="1242"/>
      <c r="Z27" s="1242"/>
      <c r="AA27" s="1242"/>
      <c r="AB27" s="1242"/>
      <c r="AC27" s="1242"/>
      <c r="AD27" s="1242"/>
      <c r="AE27" s="1242"/>
      <c r="AF27" s="1242"/>
      <c r="AG27" s="1242"/>
      <c r="AH27" s="1242"/>
      <c r="AI27" s="1242"/>
      <c r="AJ27" s="1242"/>
      <c r="AK27" s="1243"/>
      <c r="AL27" s="491"/>
      <c r="AM27" s="492"/>
      <c r="AN27" s="492"/>
      <c r="AO27" s="492"/>
      <c r="AP27" s="492"/>
      <c r="AQ27" s="492"/>
      <c r="AR27" s="492"/>
      <c r="AS27" s="492"/>
      <c r="AT27" s="492"/>
      <c r="AU27" s="492"/>
      <c r="AV27" s="492"/>
      <c r="AW27" s="492"/>
      <c r="AX27" s="492"/>
      <c r="AY27" s="492"/>
      <c r="AZ27" s="492"/>
      <c r="BA27" s="492"/>
      <c r="BB27" s="492"/>
      <c r="BC27" s="492"/>
      <c r="BD27" s="493"/>
      <c r="BE27" s="493"/>
      <c r="BF27" s="493"/>
      <c r="BG27" s="493"/>
      <c r="BH27" s="493"/>
      <c r="BI27" s="493"/>
      <c r="BJ27" s="493"/>
      <c r="BK27" s="493"/>
      <c r="BL27" s="493"/>
      <c r="BM27" s="493"/>
      <c r="BN27" s="493"/>
      <c r="BO27" s="493"/>
      <c r="BP27" s="493"/>
      <c r="BQ27" s="493"/>
      <c r="BR27" s="493"/>
      <c r="BS27" s="493"/>
      <c r="BT27" s="493"/>
      <c r="BU27" s="493"/>
      <c r="BV27" s="493"/>
      <c r="BW27" s="493"/>
      <c r="BX27" s="493"/>
      <c r="BY27" s="493"/>
      <c r="BZ27" s="493"/>
      <c r="CA27" s="493"/>
      <c r="CB27" s="493"/>
      <c r="CC27" s="493"/>
      <c r="CD27" s="493"/>
      <c r="CE27" s="493"/>
      <c r="CF27" s="493"/>
      <c r="CG27" s="493"/>
      <c r="CH27" s="493"/>
      <c r="CI27" s="493"/>
      <c r="CJ27" s="493"/>
      <c r="CK27" s="493"/>
      <c r="CL27" s="493"/>
      <c r="CM27" s="493"/>
      <c r="CN27" s="493"/>
      <c r="CO27" s="493"/>
      <c r="CP27" s="493"/>
    </row>
    <row r="28" spans="1:94" s="494"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1241"/>
      <c r="W28" s="1242"/>
      <c r="X28" s="1242"/>
      <c r="Y28" s="1242"/>
      <c r="Z28" s="1242"/>
      <c r="AA28" s="1242"/>
      <c r="AB28" s="1242"/>
      <c r="AC28" s="1242"/>
      <c r="AD28" s="1242"/>
      <c r="AE28" s="1242"/>
      <c r="AF28" s="1242"/>
      <c r="AG28" s="1242"/>
      <c r="AH28" s="1242"/>
      <c r="AI28" s="1242"/>
      <c r="AJ28" s="1242"/>
      <c r="AK28" s="1243"/>
      <c r="AL28" s="491"/>
      <c r="AM28" s="56"/>
      <c r="AN28" s="56"/>
      <c r="AO28" s="56"/>
      <c r="AP28" s="56"/>
      <c r="AQ28" s="56"/>
      <c r="AR28" s="56"/>
      <c r="AS28" s="56"/>
      <c r="AT28" s="56"/>
      <c r="AU28" s="56"/>
      <c r="AV28" s="56"/>
      <c r="AW28" s="56"/>
      <c r="AX28" s="56"/>
      <c r="AY28" s="56"/>
      <c r="AZ28" s="493"/>
      <c r="BA28" s="493"/>
      <c r="BB28" s="493"/>
      <c r="BC28" s="493"/>
      <c r="BD28" s="493"/>
      <c r="BE28" s="493"/>
      <c r="BF28" s="493"/>
      <c r="BG28" s="493"/>
      <c r="BH28" s="493"/>
      <c r="BI28" s="493"/>
      <c r="BJ28" s="493"/>
      <c r="BK28" s="493"/>
      <c r="BL28" s="493"/>
      <c r="BM28" s="493"/>
      <c r="BN28" s="493"/>
      <c r="BO28" s="493"/>
      <c r="BP28" s="493"/>
      <c r="BQ28" s="493"/>
      <c r="BR28" s="493"/>
      <c r="BS28" s="493"/>
      <c r="BT28" s="493"/>
      <c r="BU28" s="493"/>
      <c r="BV28" s="493"/>
      <c r="BW28" s="493"/>
      <c r="BX28" s="493"/>
      <c r="BY28" s="493"/>
      <c r="BZ28" s="493"/>
      <c r="CA28" s="493"/>
      <c r="CB28" s="493"/>
      <c r="CC28" s="493"/>
      <c r="CD28" s="493"/>
      <c r="CE28" s="493"/>
      <c r="CF28" s="493"/>
      <c r="CG28" s="493"/>
      <c r="CH28" s="493"/>
      <c r="CI28" s="493"/>
      <c r="CJ28" s="493"/>
      <c r="CK28" s="493"/>
      <c r="CL28" s="493"/>
      <c r="CM28" s="493"/>
      <c r="CN28" s="493"/>
      <c r="CO28" s="493"/>
      <c r="CP28" s="493"/>
    </row>
    <row r="29" spans="1:94" s="494"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1241"/>
      <c r="W29" s="1242"/>
      <c r="X29" s="1242"/>
      <c r="Y29" s="1242"/>
      <c r="Z29" s="1242"/>
      <c r="AA29" s="1242"/>
      <c r="AB29" s="1242"/>
      <c r="AC29" s="1242"/>
      <c r="AD29" s="1242"/>
      <c r="AE29" s="1242"/>
      <c r="AF29" s="1242"/>
      <c r="AG29" s="1242"/>
      <c r="AH29" s="1242"/>
      <c r="AI29" s="1242"/>
      <c r="AJ29" s="1242"/>
      <c r="AK29" s="1243"/>
      <c r="AL29" s="543"/>
      <c r="AM29" s="544" t="s">
        <v>627</v>
      </c>
      <c r="AN29" s="545"/>
      <c r="AO29" s="545"/>
      <c r="AP29" s="545"/>
      <c r="AQ29" s="545"/>
      <c r="AR29" s="546"/>
      <c r="AS29" s="544" t="s">
        <v>628</v>
      </c>
      <c r="AT29" s="546"/>
      <c r="AU29" s="544" t="s">
        <v>629</v>
      </c>
      <c r="AV29" s="545"/>
      <c r="AW29" s="545"/>
      <c r="AX29" s="546"/>
      <c r="AY29" s="547"/>
      <c r="AZ29" s="493"/>
      <c r="BA29" s="493"/>
      <c r="BB29" s="493"/>
      <c r="BC29" s="493"/>
      <c r="BD29" s="493"/>
      <c r="BE29" s="493"/>
      <c r="BF29" s="493"/>
      <c r="BG29" s="493"/>
      <c r="BH29" s="493"/>
      <c r="BI29" s="493"/>
      <c r="BJ29" s="493"/>
      <c r="BK29" s="493"/>
      <c r="BL29" s="493"/>
      <c r="BM29" s="493"/>
      <c r="BN29" s="493"/>
      <c r="BO29" s="493"/>
      <c r="BP29" s="493"/>
      <c r="BQ29" s="493"/>
      <c r="BR29" s="493"/>
      <c r="BS29" s="493"/>
      <c r="BT29" s="493"/>
      <c r="BU29" s="493"/>
      <c r="BV29" s="493"/>
      <c r="BW29" s="493"/>
      <c r="BX29" s="493"/>
      <c r="BY29" s="493"/>
      <c r="BZ29" s="493"/>
      <c r="CA29" s="493"/>
      <c r="CB29" s="493"/>
      <c r="CC29" s="493"/>
      <c r="CD29" s="493"/>
      <c r="CE29" s="493"/>
      <c r="CF29" s="493"/>
      <c r="CG29" s="493"/>
      <c r="CH29" s="493"/>
      <c r="CI29" s="493"/>
      <c r="CJ29" s="493"/>
      <c r="CK29" s="493"/>
      <c r="CL29" s="493"/>
      <c r="CM29" s="493"/>
      <c r="CN29" s="493"/>
      <c r="CO29" s="493"/>
      <c r="CP29" s="493"/>
    </row>
    <row r="30" spans="1:94" s="494" customFormat="1" ht="14.25" customHeight="1">
      <c r="A30" s="1078" t="s">
        <v>630</v>
      </c>
      <c r="B30" s="1078"/>
      <c r="C30" s="1078"/>
      <c r="D30" s="1078"/>
      <c r="E30" s="1078"/>
      <c r="F30" s="1240" t="s">
        <v>631</v>
      </c>
      <c r="G30" s="1240"/>
      <c r="H30" s="1079" t="s">
        <v>618</v>
      </c>
      <c r="I30" s="1079"/>
      <c r="J30" s="1080" t="s">
        <v>618</v>
      </c>
      <c r="K30" s="1079"/>
      <c r="L30" s="1079" t="s">
        <v>618</v>
      </c>
      <c r="M30" s="1079"/>
      <c r="N30" s="1079" t="s">
        <v>617</v>
      </c>
      <c r="O30" s="1079"/>
      <c r="P30" s="1079" t="s">
        <v>631</v>
      </c>
      <c r="Q30" s="1079"/>
      <c r="R30" s="1042" t="s">
        <v>618</v>
      </c>
      <c r="S30" s="1080"/>
      <c r="T30" s="1042" t="s">
        <v>617</v>
      </c>
      <c r="U30" s="1080"/>
      <c r="V30" s="1241"/>
      <c r="W30" s="1242"/>
      <c r="X30" s="1242"/>
      <c r="Y30" s="1242"/>
      <c r="Z30" s="1242"/>
      <c r="AA30" s="1242"/>
      <c r="AB30" s="1242"/>
      <c r="AC30" s="1242"/>
      <c r="AD30" s="1242"/>
      <c r="AE30" s="1242"/>
      <c r="AF30" s="1242"/>
      <c r="AG30" s="1242"/>
      <c r="AH30" s="1242"/>
      <c r="AI30" s="1242"/>
      <c r="AJ30" s="1242"/>
      <c r="AK30" s="1243"/>
      <c r="AL30" s="543"/>
      <c r="AM30" s="548" t="s">
        <v>633</v>
      </c>
      <c r="AN30" s="548" t="s">
        <v>634</v>
      </c>
      <c r="AO30" s="548" t="s">
        <v>635</v>
      </c>
      <c r="AP30" s="548" t="s">
        <v>636</v>
      </c>
      <c r="AQ30" s="548" t="s">
        <v>637</v>
      </c>
      <c r="AR30" s="548" t="s">
        <v>590</v>
      </c>
      <c r="AS30" s="548" t="s">
        <v>428</v>
      </c>
      <c r="AT30" s="548" t="s">
        <v>429</v>
      </c>
      <c r="AU30" s="548" t="s">
        <v>126</v>
      </c>
      <c r="AV30" s="548" t="s">
        <v>431</v>
      </c>
      <c r="AW30" s="548" t="s">
        <v>429</v>
      </c>
      <c r="AX30" s="548" t="s">
        <v>124</v>
      </c>
      <c r="AY30" s="547"/>
      <c r="AZ30" s="493"/>
      <c r="BA30" s="493"/>
      <c r="BB30" s="493"/>
      <c r="BC30" s="493"/>
      <c r="BD30" s="493"/>
      <c r="BE30" s="493"/>
      <c r="BF30" s="493"/>
      <c r="BG30" s="493"/>
      <c r="BH30" s="493"/>
      <c r="BI30" s="493"/>
      <c r="BJ30" s="493"/>
      <c r="BK30" s="493"/>
      <c r="BL30" s="493"/>
      <c r="BM30" s="493"/>
      <c r="BN30" s="493"/>
      <c r="BO30" s="493"/>
      <c r="BP30" s="493"/>
      <c r="BQ30" s="493"/>
      <c r="BR30" s="493"/>
      <c r="BS30" s="493"/>
      <c r="BT30" s="493"/>
      <c r="BU30" s="493"/>
      <c r="BV30" s="493"/>
      <c r="BW30" s="493"/>
      <c r="BX30" s="493"/>
      <c r="BY30" s="493"/>
      <c r="BZ30" s="493"/>
      <c r="CA30" s="493"/>
      <c r="CB30" s="493"/>
      <c r="CC30" s="493"/>
      <c r="CD30" s="493"/>
      <c r="CE30" s="493"/>
      <c r="CF30" s="493"/>
      <c r="CG30" s="493"/>
      <c r="CH30" s="493"/>
      <c r="CI30" s="493"/>
      <c r="CJ30" s="493"/>
      <c r="CK30" s="493"/>
      <c r="CL30" s="493"/>
      <c r="CM30" s="493"/>
      <c r="CN30" s="493"/>
      <c r="CO30" s="493"/>
      <c r="CP30" s="493"/>
    </row>
    <row r="31" spans="1:94" s="494" customFormat="1" ht="14.25" customHeight="1">
      <c r="A31" s="370" t="s">
        <v>638</v>
      </c>
      <c r="B31" s="371"/>
      <c r="C31" s="371"/>
      <c r="D31" s="371"/>
      <c r="E31" s="371"/>
      <c r="F31" s="1049">
        <f>'LPF P&amp;P'!F31:G31</f>
        <v>0</v>
      </c>
      <c r="G31" s="1050"/>
      <c r="H31" s="1147">
        <f t="shared" ref="H31:H52" si="0">F31*$AC$24</f>
        <v>0</v>
      </c>
      <c r="I31" s="1148"/>
      <c r="J31" s="1147"/>
      <c r="K31" s="1147"/>
      <c r="L31" s="1146"/>
      <c r="M31" s="1147"/>
      <c r="N31" s="1146">
        <f t="shared" ref="N31:N52" si="1">SUM(H31,J31,L31)*AR31</f>
        <v>0</v>
      </c>
      <c r="O31" s="1147"/>
      <c r="P31" s="1146">
        <f>R31/$R$53</f>
        <v>0</v>
      </c>
      <c r="Q31" s="1148"/>
      <c r="R31" s="1146">
        <v>0</v>
      </c>
      <c r="S31" s="1147"/>
      <c r="T31" s="1146">
        <v>0</v>
      </c>
      <c r="U31" s="1148"/>
      <c r="V31" s="1241"/>
      <c r="W31" s="1242"/>
      <c r="X31" s="1242"/>
      <c r="Y31" s="1242"/>
      <c r="Z31" s="1242"/>
      <c r="AA31" s="1242"/>
      <c r="AB31" s="1242"/>
      <c r="AC31" s="1242"/>
      <c r="AD31" s="1242"/>
      <c r="AE31" s="1242"/>
      <c r="AF31" s="1242"/>
      <c r="AG31" s="1242"/>
      <c r="AH31" s="1242"/>
      <c r="AI31" s="1242"/>
      <c r="AJ31" s="1242"/>
      <c r="AK31" s="1243"/>
      <c r="AL31" s="543"/>
      <c r="AM31" s="549"/>
      <c r="AN31" s="549">
        <v>2</v>
      </c>
      <c r="AO31" s="549"/>
      <c r="AP31" s="549"/>
      <c r="AQ31" s="549"/>
      <c r="AR31" s="550">
        <f>AM31*12.01+AN31*1.008+AO31*16+AP31*14+AQ31*32</f>
        <v>2.016</v>
      </c>
      <c r="AS31" s="550">
        <f>AM31*1+AN31*0.25+AQ31*1</f>
        <v>0.5</v>
      </c>
      <c r="AT31" s="550">
        <f>0.79/0.21*AS31</f>
        <v>1.8809523809523812</v>
      </c>
      <c r="AU31" s="550">
        <f>1*AM31</f>
        <v>0</v>
      </c>
      <c r="AV31" s="550">
        <f>AN31/2</f>
        <v>1</v>
      </c>
      <c r="AW31" s="550">
        <f>AP31*0.5+AT31</f>
        <v>1.8809523809523812</v>
      </c>
      <c r="AX31" s="550">
        <f>AQ31*1</f>
        <v>0</v>
      </c>
      <c r="AY31" s="547"/>
      <c r="AZ31" s="493"/>
      <c r="BA31" s="493"/>
      <c r="BB31" s="493"/>
      <c r="BC31" s="493"/>
      <c r="BD31" s="493"/>
      <c r="BE31" s="493"/>
      <c r="BF31" s="493"/>
      <c r="BG31" s="493"/>
      <c r="BH31" s="493"/>
      <c r="BI31" s="493"/>
      <c r="BJ31" s="493"/>
      <c r="BK31" s="493"/>
      <c r="BL31" s="493"/>
      <c r="BM31" s="493"/>
      <c r="BN31" s="493"/>
      <c r="BO31" s="493"/>
      <c r="BP31" s="493"/>
      <c r="BQ31" s="493"/>
      <c r="BR31" s="493"/>
      <c r="BS31" s="493"/>
      <c r="BT31" s="493"/>
      <c r="BU31" s="493"/>
      <c r="BV31" s="493"/>
      <c r="BW31" s="493"/>
      <c r="BX31" s="493"/>
      <c r="BY31" s="493"/>
      <c r="BZ31" s="493"/>
      <c r="CA31" s="493"/>
      <c r="CB31" s="493"/>
      <c r="CC31" s="493"/>
      <c r="CD31" s="493"/>
      <c r="CE31" s="493"/>
      <c r="CF31" s="493"/>
      <c r="CG31" s="493"/>
      <c r="CH31" s="493"/>
      <c r="CI31" s="493"/>
      <c r="CJ31" s="493"/>
      <c r="CK31" s="493"/>
      <c r="CL31" s="493"/>
      <c r="CM31" s="493"/>
      <c r="CN31" s="493"/>
      <c r="CO31" s="493"/>
      <c r="CP31" s="493"/>
    </row>
    <row r="32" spans="1:94" s="494" customFormat="1" ht="14.25" customHeight="1">
      <c r="A32" s="375" t="s">
        <v>122</v>
      </c>
      <c r="B32" s="376"/>
      <c r="C32" s="376"/>
      <c r="D32" s="376"/>
      <c r="E32" s="376"/>
      <c r="F32" s="1049">
        <f>CO2eEF!M26</f>
        <v>0.99629999999999996</v>
      </c>
      <c r="G32" s="1050"/>
      <c r="H32" s="1044">
        <f>F32*$AC$24</f>
        <v>138.43650000000002</v>
      </c>
      <c r="I32" s="1072"/>
      <c r="J32" s="1044"/>
      <c r="K32" s="1044"/>
      <c r="L32" s="1071"/>
      <c r="M32" s="1044"/>
      <c r="N32" s="1071">
        <f t="shared" si="1"/>
        <v>2220.7983330000006</v>
      </c>
      <c r="O32" s="1072"/>
      <c r="P32" s="1071">
        <f>R32/$R$53</f>
        <v>1.8255244310999207E-5</v>
      </c>
      <c r="Q32" s="1072"/>
      <c r="R32" s="1071">
        <f>T32/$AR32</f>
        <v>3.0325047058417265E-2</v>
      </c>
      <c r="S32" s="1044"/>
      <c r="T32" s="1071">
        <f>$K$21*$X$24</f>
        <v>0.48647440491112981</v>
      </c>
      <c r="U32" s="1072"/>
      <c r="V32" s="551"/>
      <c r="W32" s="270"/>
      <c r="X32" s="270"/>
      <c r="Y32" s="270"/>
      <c r="Z32" s="270"/>
      <c r="AA32" s="270"/>
      <c r="AB32" s="270"/>
      <c r="AC32" s="270"/>
      <c r="AD32" s="270"/>
      <c r="AE32" s="270"/>
      <c r="AF32" s="270"/>
      <c r="AG32" s="270"/>
      <c r="AH32" s="270"/>
      <c r="AI32" s="270"/>
      <c r="AJ32" s="270"/>
      <c r="AK32" s="378"/>
      <c r="AL32" s="543"/>
      <c r="AM32" s="549">
        <v>1</v>
      </c>
      <c r="AN32" s="549">
        <v>4</v>
      </c>
      <c r="AO32" s="549"/>
      <c r="AP32" s="549"/>
      <c r="AQ32" s="549"/>
      <c r="AR32" s="550">
        <f t="shared" ref="AR32:AR47" si="2">AM32*12.01+AN32*1.008+AO32*16+AP32*14+AQ32*32</f>
        <v>16.042000000000002</v>
      </c>
      <c r="AS32" s="550">
        <f t="shared" ref="AS32:AS46" si="3">AM32*1+AN32*0.25+AQ32*1</f>
        <v>2</v>
      </c>
      <c r="AT32" s="550">
        <f t="shared" ref="AT32:AT46" si="4">0.79/0.21*AS32</f>
        <v>7.5238095238095246</v>
      </c>
      <c r="AU32" s="550">
        <f t="shared" ref="AU32:AU46" si="5">1*AM32</f>
        <v>1</v>
      </c>
      <c r="AV32" s="550">
        <f t="shared" ref="AV32:AV46" si="6">AN32/2</f>
        <v>2</v>
      </c>
      <c r="AW32" s="550">
        <f t="shared" ref="AW32:AW46" si="7">AP32*0.5+AT32</f>
        <v>7.5238095238095246</v>
      </c>
      <c r="AX32" s="550">
        <f t="shared" ref="AX32:AX46" si="8">AQ32*1</f>
        <v>0</v>
      </c>
      <c r="AY32" s="547"/>
      <c r="AZ32" s="493"/>
      <c r="BA32" s="493"/>
      <c r="BB32" s="493"/>
      <c r="BC32" s="493"/>
      <c r="BD32" s="493"/>
      <c r="BE32" s="493"/>
      <c r="BF32" s="493"/>
      <c r="BG32" s="493"/>
      <c r="BH32" s="493"/>
      <c r="BI32" s="493"/>
      <c r="BJ32" s="493"/>
      <c r="BK32" s="493"/>
      <c r="BL32" s="493"/>
      <c r="BM32" s="493"/>
      <c r="BN32" s="493"/>
      <c r="BO32" s="493"/>
      <c r="BP32" s="493"/>
      <c r="BQ32" s="493"/>
      <c r="BR32" s="493"/>
      <c r="BS32" s="493"/>
      <c r="BT32" s="493"/>
      <c r="BU32" s="493"/>
      <c r="BV32" s="493"/>
      <c r="BW32" s="493"/>
      <c r="BX32" s="493"/>
      <c r="BY32" s="493"/>
      <c r="BZ32" s="493"/>
      <c r="CA32" s="493"/>
      <c r="CB32" s="493"/>
      <c r="CC32" s="493"/>
      <c r="CD32" s="493"/>
      <c r="CE32" s="493"/>
      <c r="CF32" s="493"/>
      <c r="CG32" s="493"/>
      <c r="CH32" s="493"/>
      <c r="CI32" s="493"/>
      <c r="CJ32" s="493"/>
      <c r="CK32" s="493"/>
      <c r="CL32" s="493"/>
      <c r="CM32" s="493"/>
      <c r="CN32" s="493"/>
      <c r="CO32" s="493"/>
      <c r="CP32" s="493"/>
    </row>
    <row r="33" spans="1:94" s="494" customFormat="1" ht="14.25" customHeight="1">
      <c r="A33" s="375" t="s">
        <v>641</v>
      </c>
      <c r="B33" s="376"/>
      <c r="C33" s="376"/>
      <c r="D33" s="376"/>
      <c r="E33" s="376"/>
      <c r="F33" s="1049">
        <f>'LPF P&amp;P'!F33:G33</f>
        <v>0</v>
      </c>
      <c r="G33" s="1050"/>
      <c r="H33" s="1044">
        <f t="shared" si="0"/>
        <v>0</v>
      </c>
      <c r="I33" s="1072"/>
      <c r="J33" s="1044"/>
      <c r="K33" s="1044"/>
      <c r="L33" s="1071"/>
      <c r="M33" s="1044"/>
      <c r="N33" s="1071">
        <f t="shared" si="1"/>
        <v>0</v>
      </c>
      <c r="O33" s="1072"/>
      <c r="P33" s="1071">
        <f t="shared" ref="P33:P52" si="9">R33/$R$53</f>
        <v>0</v>
      </c>
      <c r="Q33" s="1072"/>
      <c r="R33" s="1044">
        <f>T33/$AR33</f>
        <v>0</v>
      </c>
      <c r="S33" s="1044"/>
      <c r="T33" s="1071">
        <f t="shared" ref="T33:T42" si="10">$W$21*N33</f>
        <v>0</v>
      </c>
      <c r="U33" s="1072"/>
      <c r="V33" s="551"/>
      <c r="W33" s="1027">
        <f>AH24</f>
        <v>30.666666666666664</v>
      </c>
      <c r="X33" s="1027"/>
      <c r="Y33" s="31" t="s">
        <v>590</v>
      </c>
      <c r="Z33" s="270"/>
      <c r="AA33" s="270"/>
      <c r="AB33" s="270"/>
      <c r="AC33" s="270"/>
      <c r="AD33" s="270"/>
      <c r="AE33" s="270"/>
      <c r="AF33" s="270"/>
      <c r="AG33" s="270"/>
      <c r="AH33" s="270"/>
      <c r="AI33" s="270"/>
      <c r="AJ33" s="270"/>
      <c r="AK33" s="378"/>
      <c r="AL33" s="543"/>
      <c r="AM33" s="549">
        <v>2</v>
      </c>
      <c r="AN33" s="549">
        <v>4</v>
      </c>
      <c r="AO33" s="549"/>
      <c r="AP33" s="549"/>
      <c r="AQ33" s="549"/>
      <c r="AR33" s="550">
        <f t="shared" si="2"/>
        <v>28.052</v>
      </c>
      <c r="AS33" s="550">
        <f t="shared" si="3"/>
        <v>3</v>
      </c>
      <c r="AT33" s="550">
        <f>0.79/0.21*AS33</f>
        <v>11.285714285714286</v>
      </c>
      <c r="AU33" s="550">
        <f t="shared" si="5"/>
        <v>2</v>
      </c>
      <c r="AV33" s="550">
        <f t="shared" si="6"/>
        <v>2</v>
      </c>
      <c r="AW33" s="550">
        <f t="shared" si="7"/>
        <v>11.285714285714286</v>
      </c>
      <c r="AX33" s="550">
        <f t="shared" si="8"/>
        <v>0</v>
      </c>
      <c r="AY33" s="547"/>
      <c r="AZ33" s="493"/>
      <c r="BA33" s="493"/>
      <c r="BB33" s="493"/>
      <c r="BC33" s="493"/>
      <c r="BD33" s="493"/>
      <c r="BE33" s="493"/>
      <c r="BF33" s="493"/>
      <c r="BG33" s="493"/>
      <c r="BH33" s="493"/>
      <c r="BI33" s="493"/>
      <c r="BJ33" s="493"/>
      <c r="BK33" s="493"/>
      <c r="BL33" s="493"/>
      <c r="BM33" s="493"/>
      <c r="BN33" s="493"/>
      <c r="BO33" s="493"/>
      <c r="BP33" s="493"/>
      <c r="BQ33" s="493"/>
      <c r="BR33" s="493"/>
      <c r="BS33" s="493"/>
      <c r="BT33" s="493"/>
      <c r="BU33" s="493"/>
      <c r="BV33" s="493"/>
      <c r="BW33" s="493"/>
      <c r="BX33" s="493"/>
      <c r="BY33" s="493"/>
      <c r="BZ33" s="493"/>
      <c r="CA33" s="493"/>
      <c r="CB33" s="493"/>
      <c r="CC33" s="493"/>
      <c r="CD33" s="493"/>
      <c r="CE33" s="493"/>
      <c r="CF33" s="493"/>
      <c r="CG33" s="493"/>
      <c r="CH33" s="493"/>
      <c r="CI33" s="493"/>
      <c r="CJ33" s="493"/>
      <c r="CK33" s="493"/>
      <c r="CL33" s="493"/>
      <c r="CM33" s="493"/>
      <c r="CN33" s="493"/>
      <c r="CO33" s="493"/>
      <c r="CP33" s="493"/>
    </row>
    <row r="34" spans="1:94" s="494" customFormat="1" ht="14.25" customHeight="1">
      <c r="A34" s="375" t="s">
        <v>643</v>
      </c>
      <c r="B34" s="376"/>
      <c r="C34" s="376"/>
      <c r="D34" s="376"/>
      <c r="E34" s="376"/>
      <c r="F34" s="1049">
        <f>CO2eEF!M27</f>
        <v>7.000000000000001E-4</v>
      </c>
      <c r="G34" s="1050"/>
      <c r="H34" s="1044">
        <f>F34*$AC$24</f>
        <v>9.7265432098765453E-2</v>
      </c>
      <c r="I34" s="1072"/>
      <c r="J34" s="1044"/>
      <c r="K34" s="1044"/>
      <c r="L34" s="1071"/>
      <c r="M34" s="1044"/>
      <c r="N34" s="1071">
        <f t="shared" si="1"/>
        <v>2.9245770123456793</v>
      </c>
      <c r="O34" s="1072"/>
      <c r="P34" s="1071">
        <f t="shared" si="9"/>
        <v>3.0899398864374285E-9</v>
      </c>
      <c r="Q34" s="1072"/>
      <c r="R34" s="1044">
        <f>T34/$AR34</f>
        <v>5.1329125410519732E-6</v>
      </c>
      <c r="S34" s="1044"/>
      <c r="T34" s="1071">
        <f t="shared" si="10"/>
        <v>1.5433641428435073E-4</v>
      </c>
      <c r="U34" s="1072"/>
      <c r="V34" s="551"/>
      <c r="W34" s="1245">
        <f>365*24</f>
        <v>8760</v>
      </c>
      <c r="X34" s="1245"/>
      <c r="Y34" s="31" t="s">
        <v>623</v>
      </c>
      <c r="Z34" s="270"/>
      <c r="AA34" s="270"/>
      <c r="AB34" s="270"/>
      <c r="AC34" s="270"/>
      <c r="AD34" s="270"/>
      <c r="AE34" s="270"/>
      <c r="AF34" s="270"/>
      <c r="AG34" s="270"/>
      <c r="AH34" s="270"/>
      <c r="AI34" s="270"/>
      <c r="AJ34" s="270"/>
      <c r="AK34" s="378"/>
      <c r="AL34" s="543"/>
      <c r="AM34" s="549">
        <v>2</v>
      </c>
      <c r="AN34" s="549">
        <v>6</v>
      </c>
      <c r="AO34" s="549"/>
      <c r="AP34" s="549"/>
      <c r="AQ34" s="549"/>
      <c r="AR34" s="550">
        <f t="shared" si="2"/>
        <v>30.067999999999998</v>
      </c>
      <c r="AS34" s="550">
        <f t="shared" si="3"/>
        <v>3.5</v>
      </c>
      <c r="AT34" s="550">
        <f t="shared" si="4"/>
        <v>13.166666666666668</v>
      </c>
      <c r="AU34" s="550">
        <f t="shared" si="5"/>
        <v>2</v>
      </c>
      <c r="AV34" s="550">
        <f t="shared" si="6"/>
        <v>3</v>
      </c>
      <c r="AW34" s="550">
        <f t="shared" si="7"/>
        <v>13.166666666666668</v>
      </c>
      <c r="AX34" s="550">
        <f t="shared" si="8"/>
        <v>0</v>
      </c>
      <c r="AY34" s="547"/>
      <c r="AZ34" s="493"/>
      <c r="BA34" s="493"/>
      <c r="BB34" s="493"/>
      <c r="BC34" s="493"/>
      <c r="BD34" s="493"/>
      <c r="BE34" s="493"/>
      <c r="BF34" s="493"/>
      <c r="BG34" s="493"/>
      <c r="BH34" s="493"/>
      <c r="BI34" s="493"/>
      <c r="BJ34" s="493"/>
      <c r="BK34" s="493"/>
      <c r="BL34" s="493"/>
      <c r="BM34" s="493"/>
      <c r="BN34" s="493"/>
      <c r="BO34" s="493"/>
      <c r="BP34" s="493"/>
      <c r="BQ34" s="493"/>
      <c r="BR34" s="493"/>
      <c r="BS34" s="493"/>
      <c r="BT34" s="493"/>
      <c r="BU34" s="493"/>
      <c r="BV34" s="493"/>
      <c r="BW34" s="493"/>
      <c r="BX34" s="493"/>
      <c r="BY34" s="493"/>
      <c r="BZ34" s="493"/>
      <c r="CA34" s="493"/>
      <c r="CB34" s="493"/>
      <c r="CC34" s="493"/>
      <c r="CD34" s="493"/>
      <c r="CE34" s="493"/>
      <c r="CF34" s="493"/>
      <c r="CG34" s="493"/>
      <c r="CH34" s="493"/>
      <c r="CI34" s="493"/>
      <c r="CJ34" s="493"/>
      <c r="CK34" s="493"/>
      <c r="CL34" s="493"/>
      <c r="CM34" s="493"/>
      <c r="CN34" s="493"/>
      <c r="CO34" s="493"/>
      <c r="CP34" s="493"/>
    </row>
    <row r="35" spans="1:94" s="494" customFormat="1" ht="14.25" customHeight="1">
      <c r="A35" s="375" t="s">
        <v>418</v>
      </c>
      <c r="B35" s="376"/>
      <c r="C35" s="376"/>
      <c r="D35" s="376"/>
      <c r="E35" s="376"/>
      <c r="F35" s="1049">
        <v>0</v>
      </c>
      <c r="G35" s="1050"/>
      <c r="H35" s="1044">
        <f t="shared" si="0"/>
        <v>0</v>
      </c>
      <c r="I35" s="1072"/>
      <c r="J35" s="1044"/>
      <c r="K35" s="1044"/>
      <c r="L35" s="1071"/>
      <c r="M35" s="1044"/>
      <c r="N35" s="1071">
        <f t="shared" si="1"/>
        <v>0</v>
      </c>
      <c r="O35" s="1072"/>
      <c r="P35" s="1071">
        <f t="shared" si="9"/>
        <v>0</v>
      </c>
      <c r="Q35" s="1072"/>
      <c r="R35" s="1044">
        <f t="shared" ref="R35:R41" si="11">T35/$AR35</f>
        <v>0</v>
      </c>
      <c r="S35" s="1044"/>
      <c r="T35" s="1071">
        <f t="shared" si="10"/>
        <v>0</v>
      </c>
      <c r="U35" s="1072"/>
      <c r="V35" s="551"/>
      <c r="W35" s="1021">
        <f>W33*W34</f>
        <v>268640</v>
      </c>
      <c r="X35" s="1021"/>
      <c r="Y35" s="31" t="s">
        <v>626</v>
      </c>
      <c r="Z35" s="270"/>
      <c r="AA35" s="270"/>
      <c r="AB35" s="270"/>
      <c r="AC35" s="270"/>
      <c r="AD35" s="270"/>
      <c r="AE35" s="270"/>
      <c r="AF35" s="270"/>
      <c r="AG35" s="270"/>
      <c r="AH35" s="270"/>
      <c r="AI35" s="270"/>
      <c r="AJ35" s="270"/>
      <c r="AK35" s="378"/>
      <c r="AL35" s="543"/>
      <c r="AM35" s="549">
        <v>3</v>
      </c>
      <c r="AN35" s="549">
        <v>6</v>
      </c>
      <c r="AO35" s="549"/>
      <c r="AP35" s="549"/>
      <c r="AQ35" s="549"/>
      <c r="AR35" s="550">
        <f t="shared" si="2"/>
        <v>42.078000000000003</v>
      </c>
      <c r="AS35" s="550">
        <f t="shared" si="3"/>
        <v>4.5</v>
      </c>
      <c r="AT35" s="550">
        <f t="shared" si="4"/>
        <v>16.928571428571431</v>
      </c>
      <c r="AU35" s="550">
        <f t="shared" si="5"/>
        <v>3</v>
      </c>
      <c r="AV35" s="550">
        <f t="shared" si="6"/>
        <v>3</v>
      </c>
      <c r="AW35" s="550">
        <f t="shared" si="7"/>
        <v>16.928571428571431</v>
      </c>
      <c r="AX35" s="550">
        <f t="shared" si="8"/>
        <v>0</v>
      </c>
      <c r="AY35" s="547"/>
      <c r="AZ35" s="493"/>
      <c r="BA35" s="493"/>
      <c r="BB35" s="493"/>
      <c r="BC35" s="493"/>
      <c r="BD35" s="493"/>
      <c r="BE35" s="493"/>
      <c r="BF35" s="493"/>
      <c r="BG35" s="493"/>
      <c r="BH35" s="493"/>
      <c r="BI35" s="493"/>
      <c r="BJ35" s="493"/>
      <c r="BK35" s="493"/>
      <c r="BL35" s="493"/>
      <c r="BM35" s="493"/>
      <c r="BN35" s="493"/>
      <c r="BO35" s="493"/>
      <c r="BP35" s="493"/>
      <c r="BQ35" s="493"/>
      <c r="BR35" s="493"/>
      <c r="BS35" s="493"/>
      <c r="BT35" s="493"/>
      <c r="BU35" s="493"/>
      <c r="BV35" s="493"/>
      <c r="BW35" s="493"/>
      <c r="BX35" s="493"/>
      <c r="BY35" s="493"/>
      <c r="BZ35" s="493"/>
      <c r="CA35" s="493"/>
      <c r="CB35" s="493"/>
      <c r="CC35" s="493"/>
      <c r="CD35" s="493"/>
      <c r="CE35" s="493"/>
      <c r="CF35" s="493"/>
      <c r="CG35" s="493"/>
      <c r="CH35" s="493"/>
      <c r="CI35" s="493"/>
      <c r="CJ35" s="493"/>
      <c r="CK35" s="493"/>
      <c r="CL35" s="493"/>
      <c r="CM35" s="493"/>
      <c r="CN35" s="493"/>
      <c r="CO35" s="493"/>
      <c r="CP35" s="493"/>
    </row>
    <row r="36" spans="1:94" s="494" customFormat="1" ht="14.25" customHeight="1">
      <c r="A36" s="375" t="s">
        <v>419</v>
      </c>
      <c r="B36" s="376"/>
      <c r="C36" s="376"/>
      <c r="D36" s="376"/>
      <c r="E36" s="376"/>
      <c r="F36" s="1049">
        <f>CO2eEF!M28</f>
        <v>2.0000000000000001E-4</v>
      </c>
      <c r="G36" s="1050"/>
      <c r="H36" s="1044">
        <f t="shared" si="0"/>
        <v>2.779012345679013E-2</v>
      </c>
      <c r="I36" s="1072"/>
      <c r="J36" s="1044"/>
      <c r="K36" s="1044"/>
      <c r="L36" s="1071"/>
      <c r="M36" s="1044"/>
      <c r="N36" s="1071">
        <f t="shared" si="1"/>
        <v>1.2253777037037039</v>
      </c>
      <c r="O36" s="1072"/>
      <c r="P36" s="1071">
        <f t="shared" si="9"/>
        <v>8.8283996755355109E-10</v>
      </c>
      <c r="Q36" s="1072"/>
      <c r="R36" s="1044">
        <f t="shared" si="11"/>
        <v>1.4665464403005639E-6</v>
      </c>
      <c r="S36" s="1044"/>
      <c r="T36" s="1071">
        <f t="shared" si="10"/>
        <v>6.4665898738613064E-5</v>
      </c>
      <c r="U36" s="1072"/>
      <c r="V36" s="551"/>
      <c r="W36" s="1021">
        <f>W35*3600/1000</f>
        <v>967104</v>
      </c>
      <c r="X36" s="1021"/>
      <c r="Y36" s="31" t="s">
        <v>632</v>
      </c>
      <c r="Z36" s="270"/>
      <c r="AA36" s="270"/>
      <c r="AB36" s="270"/>
      <c r="AC36" s="270"/>
      <c r="AD36" s="270"/>
      <c r="AE36" s="270"/>
      <c r="AF36" s="270"/>
      <c r="AG36" s="270"/>
      <c r="AH36" s="270"/>
      <c r="AI36" s="270"/>
      <c r="AJ36" s="270"/>
      <c r="AK36" s="378"/>
      <c r="AL36" s="543"/>
      <c r="AM36" s="549">
        <v>3</v>
      </c>
      <c r="AN36" s="549">
        <v>8</v>
      </c>
      <c r="AO36" s="549"/>
      <c r="AP36" s="549"/>
      <c r="AQ36" s="549"/>
      <c r="AR36" s="550">
        <f t="shared" si="2"/>
        <v>44.094000000000001</v>
      </c>
      <c r="AS36" s="550">
        <f t="shared" si="3"/>
        <v>5</v>
      </c>
      <c r="AT36" s="550">
        <f t="shared" si="4"/>
        <v>18.80952380952381</v>
      </c>
      <c r="AU36" s="550">
        <f t="shared" si="5"/>
        <v>3</v>
      </c>
      <c r="AV36" s="550">
        <f t="shared" si="6"/>
        <v>4</v>
      </c>
      <c r="AW36" s="550">
        <f t="shared" si="7"/>
        <v>18.80952380952381</v>
      </c>
      <c r="AX36" s="550">
        <f t="shared" si="8"/>
        <v>0</v>
      </c>
      <c r="AY36" s="547"/>
      <c r="AZ36" s="493"/>
      <c r="BA36" s="493"/>
      <c r="BB36" s="493"/>
      <c r="BC36" s="493"/>
      <c r="BD36" s="493"/>
      <c r="BE36" s="493"/>
      <c r="BF36" s="493"/>
      <c r="BG36" s="493"/>
      <c r="BH36" s="493"/>
      <c r="BI36" s="493"/>
      <c r="BJ36" s="493"/>
      <c r="BK36" s="493"/>
      <c r="BL36" s="493"/>
      <c r="BM36" s="493"/>
      <c r="BN36" s="493"/>
      <c r="BO36" s="493"/>
      <c r="BP36" s="493"/>
      <c r="BQ36" s="493"/>
      <c r="BR36" s="493"/>
      <c r="BS36" s="493"/>
      <c r="BT36" s="493"/>
      <c r="BU36" s="493"/>
      <c r="BV36" s="493"/>
      <c r="BW36" s="493"/>
      <c r="BX36" s="493"/>
      <c r="BY36" s="493"/>
      <c r="BZ36" s="493"/>
      <c r="CA36" s="493"/>
      <c r="CB36" s="493"/>
      <c r="CC36" s="493"/>
      <c r="CD36" s="493"/>
      <c r="CE36" s="493"/>
      <c r="CF36" s="493"/>
      <c r="CG36" s="493"/>
      <c r="CH36" s="493"/>
      <c r="CI36" s="493"/>
      <c r="CJ36" s="493"/>
      <c r="CK36" s="493"/>
      <c r="CL36" s="493"/>
      <c r="CM36" s="493"/>
      <c r="CN36" s="493"/>
      <c r="CO36" s="493"/>
      <c r="CP36" s="493"/>
    </row>
    <row r="37" spans="1:94" s="494" customFormat="1" ht="14.25" customHeight="1">
      <c r="A37" s="375" t="s">
        <v>420</v>
      </c>
      <c r="B37" s="376"/>
      <c r="C37" s="376"/>
      <c r="D37" s="376"/>
      <c r="E37" s="376"/>
      <c r="F37" s="1049">
        <f>'LPF P&amp;P'!F37:G37</f>
        <v>0</v>
      </c>
      <c r="G37" s="1050"/>
      <c r="H37" s="1044">
        <f t="shared" si="0"/>
        <v>0</v>
      </c>
      <c r="I37" s="1072"/>
      <c r="J37" s="1044"/>
      <c r="K37" s="1044"/>
      <c r="L37" s="1071"/>
      <c r="M37" s="1044"/>
      <c r="N37" s="1071">
        <f t="shared" si="1"/>
        <v>0</v>
      </c>
      <c r="O37" s="1072"/>
      <c r="P37" s="1071">
        <f t="shared" si="9"/>
        <v>0</v>
      </c>
      <c r="Q37" s="1072"/>
      <c r="R37" s="1044">
        <f t="shared" si="11"/>
        <v>0</v>
      </c>
      <c r="S37" s="1044"/>
      <c r="T37" s="1071">
        <f t="shared" si="10"/>
        <v>0</v>
      </c>
      <c r="U37" s="1072"/>
      <c r="V37" s="551"/>
      <c r="W37" s="270"/>
      <c r="X37" s="270"/>
      <c r="Y37" s="270"/>
      <c r="Z37" s="270"/>
      <c r="AA37" s="270"/>
      <c r="AB37" s="270"/>
      <c r="AC37" s="270"/>
      <c r="AD37" s="270"/>
      <c r="AE37" s="270"/>
      <c r="AF37" s="270"/>
      <c r="AG37" s="270"/>
      <c r="AH37" s="270"/>
      <c r="AI37" s="270"/>
      <c r="AJ37" s="270"/>
      <c r="AK37" s="378"/>
      <c r="AL37" s="543"/>
      <c r="AM37" s="549">
        <v>4</v>
      </c>
      <c r="AN37" s="549">
        <v>8</v>
      </c>
      <c r="AO37" s="549"/>
      <c r="AP37" s="549"/>
      <c r="AQ37" s="549"/>
      <c r="AR37" s="550">
        <f t="shared" si="2"/>
        <v>56.103999999999999</v>
      </c>
      <c r="AS37" s="550">
        <f t="shared" si="3"/>
        <v>6</v>
      </c>
      <c r="AT37" s="550">
        <f t="shared" si="4"/>
        <v>22.571428571428573</v>
      </c>
      <c r="AU37" s="550">
        <f t="shared" si="5"/>
        <v>4</v>
      </c>
      <c r="AV37" s="550">
        <f t="shared" si="6"/>
        <v>4</v>
      </c>
      <c r="AW37" s="550">
        <f t="shared" si="7"/>
        <v>22.571428571428573</v>
      </c>
      <c r="AX37" s="550">
        <f t="shared" si="8"/>
        <v>0</v>
      </c>
      <c r="AY37" s="547"/>
      <c r="AZ37" s="493"/>
      <c r="BA37" s="493"/>
      <c r="BB37" s="493"/>
      <c r="BC37" s="493"/>
      <c r="BD37" s="493"/>
      <c r="BE37" s="493"/>
      <c r="BF37" s="493"/>
      <c r="BG37" s="493"/>
      <c r="BH37" s="493"/>
      <c r="BI37" s="493"/>
      <c r="BJ37" s="493"/>
      <c r="BK37" s="493"/>
      <c r="BL37" s="493"/>
      <c r="BM37" s="493"/>
      <c r="BN37" s="493"/>
      <c r="BO37" s="493"/>
      <c r="BP37" s="493"/>
      <c r="BQ37" s="493"/>
      <c r="BR37" s="493"/>
      <c r="BS37" s="493"/>
      <c r="BT37" s="493"/>
      <c r="BU37" s="493"/>
      <c r="BV37" s="493"/>
      <c r="BW37" s="493"/>
      <c r="BX37" s="493"/>
      <c r="BY37" s="493"/>
      <c r="BZ37" s="493"/>
      <c r="CA37" s="493"/>
      <c r="CB37" s="493"/>
      <c r="CC37" s="493"/>
      <c r="CD37" s="493"/>
      <c r="CE37" s="493"/>
      <c r="CF37" s="493"/>
      <c r="CG37" s="493"/>
      <c r="CH37" s="493"/>
      <c r="CI37" s="493"/>
      <c r="CJ37" s="493"/>
      <c r="CK37" s="493"/>
      <c r="CL37" s="493"/>
      <c r="CM37" s="493"/>
      <c r="CN37" s="493"/>
      <c r="CO37" s="493"/>
      <c r="CP37" s="493"/>
    </row>
    <row r="38" spans="1:94" s="494" customFormat="1" ht="14.25" customHeight="1">
      <c r="A38" s="375" t="s">
        <v>421</v>
      </c>
      <c r="B38" s="376"/>
      <c r="C38" s="376"/>
      <c r="D38" s="376"/>
      <c r="E38" s="376"/>
      <c r="F38" s="1049">
        <f>CO2eEF!M29</f>
        <v>1E-4</v>
      </c>
      <c r="G38" s="1050"/>
      <c r="H38" s="1044">
        <f t="shared" si="0"/>
        <v>1.3895061728395065E-2</v>
      </c>
      <c r="I38" s="1072"/>
      <c r="J38" s="1044"/>
      <c r="K38" s="1044"/>
      <c r="L38" s="1071"/>
      <c r="M38" s="1044"/>
      <c r="N38" s="1071">
        <f t="shared" si="1"/>
        <v>0.80758098765432118</v>
      </c>
      <c r="O38" s="1072"/>
      <c r="P38" s="1071">
        <f t="shared" si="9"/>
        <v>4.4141998377677554E-10</v>
      </c>
      <c r="Q38" s="1072"/>
      <c r="R38" s="1044">
        <f t="shared" si="11"/>
        <v>7.3327322015028194E-7</v>
      </c>
      <c r="S38" s="1044"/>
      <c r="T38" s="1071">
        <f>$W$21*N38</f>
        <v>4.2617839555134386E-5</v>
      </c>
      <c r="U38" s="1072"/>
      <c r="V38" s="270"/>
      <c r="W38" s="270"/>
      <c r="X38" s="270"/>
      <c r="Y38" s="270"/>
      <c r="Z38" s="270"/>
      <c r="AA38" s="270"/>
      <c r="AB38" s="270"/>
      <c r="AC38" s="270"/>
      <c r="AD38" s="270"/>
      <c r="AE38" s="270"/>
      <c r="AF38" s="270"/>
      <c r="AG38" s="270"/>
      <c r="AH38" s="270"/>
      <c r="AI38" s="270"/>
      <c r="AJ38" s="270"/>
      <c r="AK38" s="378"/>
      <c r="AL38" s="543"/>
      <c r="AM38" s="549">
        <v>4</v>
      </c>
      <c r="AN38" s="549">
        <v>10</v>
      </c>
      <c r="AO38" s="549"/>
      <c r="AP38" s="549"/>
      <c r="AQ38" s="549"/>
      <c r="AR38" s="550">
        <f>AM38*12.01+AN38*1.008+AO38*16+AP38*14+AQ38*32</f>
        <v>58.12</v>
      </c>
      <c r="AS38" s="550">
        <f t="shared" si="3"/>
        <v>6.5</v>
      </c>
      <c r="AT38" s="550">
        <f t="shared" si="4"/>
        <v>24.452380952380956</v>
      </c>
      <c r="AU38" s="550">
        <f t="shared" si="5"/>
        <v>4</v>
      </c>
      <c r="AV38" s="550">
        <f t="shared" si="6"/>
        <v>5</v>
      </c>
      <c r="AW38" s="550">
        <f t="shared" si="7"/>
        <v>24.452380952380956</v>
      </c>
      <c r="AX38" s="550">
        <f t="shared" si="8"/>
        <v>0</v>
      </c>
      <c r="AY38" s="547"/>
      <c r="AZ38" s="493"/>
      <c r="BA38" s="493"/>
      <c r="BB38" s="493"/>
      <c r="BC38" s="493"/>
      <c r="BD38" s="493"/>
      <c r="BE38" s="493"/>
      <c r="BF38" s="493"/>
      <c r="BG38" s="493"/>
      <c r="BH38" s="493"/>
      <c r="BI38" s="493"/>
      <c r="BJ38" s="493"/>
      <c r="BK38" s="493"/>
      <c r="BL38" s="493"/>
      <c r="BM38" s="493"/>
      <c r="BN38" s="493"/>
      <c r="BO38" s="493"/>
      <c r="BP38" s="493"/>
      <c r="BQ38" s="493"/>
      <c r="BR38" s="493"/>
      <c r="BS38" s="493"/>
      <c r="BT38" s="493"/>
      <c r="BU38" s="493"/>
      <c r="BV38" s="493"/>
      <c r="BW38" s="493"/>
      <c r="BX38" s="493"/>
      <c r="BY38" s="493"/>
      <c r="BZ38" s="493"/>
      <c r="CA38" s="493"/>
      <c r="CB38" s="493"/>
      <c r="CC38" s="493"/>
      <c r="CD38" s="493"/>
      <c r="CE38" s="493"/>
      <c r="CF38" s="493"/>
      <c r="CG38" s="493"/>
      <c r="CH38" s="493"/>
      <c r="CI38" s="493"/>
      <c r="CJ38" s="493"/>
      <c r="CK38" s="493"/>
      <c r="CL38" s="493"/>
      <c r="CM38" s="493"/>
      <c r="CN38" s="493"/>
      <c r="CO38" s="493"/>
      <c r="CP38" s="493"/>
    </row>
    <row r="39" spans="1:94" s="494" customFormat="1" ht="14.25" customHeight="1">
      <c r="A39" s="375" t="s">
        <v>422</v>
      </c>
      <c r="B39" s="376"/>
      <c r="C39" s="376"/>
      <c r="D39" s="376"/>
      <c r="E39" s="376"/>
      <c r="F39" s="1049">
        <f>'LPF P&amp;P'!F39:G39</f>
        <v>0</v>
      </c>
      <c r="G39" s="1050"/>
      <c r="H39" s="1044">
        <f t="shared" si="0"/>
        <v>0</v>
      </c>
      <c r="I39" s="1072"/>
      <c r="J39" s="1044"/>
      <c r="K39" s="1044"/>
      <c r="L39" s="1071"/>
      <c r="M39" s="1044"/>
      <c r="N39" s="1071">
        <f t="shared" si="1"/>
        <v>0</v>
      </c>
      <c r="O39" s="1072"/>
      <c r="P39" s="1071">
        <f t="shared" si="9"/>
        <v>0</v>
      </c>
      <c r="Q39" s="1072"/>
      <c r="R39" s="1044">
        <f t="shared" si="11"/>
        <v>0</v>
      </c>
      <c r="S39" s="1044"/>
      <c r="T39" s="1071">
        <f t="shared" si="10"/>
        <v>0</v>
      </c>
      <c r="U39" s="1072"/>
      <c r="V39" s="270"/>
      <c r="W39" s="270"/>
      <c r="X39" s="270"/>
      <c r="Y39" s="270"/>
      <c r="Z39" s="270"/>
      <c r="AA39" s="270"/>
      <c r="AB39" s="270"/>
      <c r="AC39" s="270"/>
      <c r="AD39" s="270"/>
      <c r="AE39" s="270"/>
      <c r="AF39" s="270"/>
      <c r="AG39" s="270"/>
      <c r="AH39" s="270"/>
      <c r="AI39" s="270"/>
      <c r="AJ39" s="270"/>
      <c r="AK39" s="378"/>
      <c r="AL39" s="543"/>
      <c r="AM39" s="549">
        <v>4</v>
      </c>
      <c r="AN39" s="549">
        <v>10</v>
      </c>
      <c r="AO39" s="549"/>
      <c r="AP39" s="549"/>
      <c r="AQ39" s="549"/>
      <c r="AR39" s="550">
        <f t="shared" si="2"/>
        <v>58.12</v>
      </c>
      <c r="AS39" s="550">
        <f t="shared" si="3"/>
        <v>6.5</v>
      </c>
      <c r="AT39" s="550">
        <f t="shared" si="4"/>
        <v>24.452380952380956</v>
      </c>
      <c r="AU39" s="550">
        <f t="shared" si="5"/>
        <v>4</v>
      </c>
      <c r="AV39" s="550">
        <f t="shared" si="6"/>
        <v>5</v>
      </c>
      <c r="AW39" s="550">
        <f t="shared" si="7"/>
        <v>24.452380952380956</v>
      </c>
      <c r="AX39" s="550">
        <f t="shared" si="8"/>
        <v>0</v>
      </c>
      <c r="AY39" s="547"/>
      <c r="AZ39" s="493"/>
      <c r="BA39" s="493"/>
      <c r="BB39" s="493"/>
      <c r="BC39" s="493"/>
      <c r="BD39" s="493"/>
      <c r="BE39" s="493"/>
      <c r="BF39" s="493"/>
      <c r="BG39" s="493"/>
      <c r="BH39" s="493"/>
      <c r="BI39" s="493"/>
      <c r="BJ39" s="493"/>
      <c r="BK39" s="493"/>
      <c r="BL39" s="493"/>
      <c r="BM39" s="493"/>
      <c r="BN39" s="493"/>
      <c r="BO39" s="493"/>
      <c r="BP39" s="493"/>
      <c r="BQ39" s="493"/>
      <c r="BR39" s="493"/>
      <c r="BS39" s="493"/>
      <c r="BT39" s="493"/>
      <c r="BU39" s="493"/>
      <c r="BV39" s="493"/>
      <c r="BW39" s="493"/>
      <c r="BX39" s="493"/>
      <c r="BY39" s="493"/>
      <c r="BZ39" s="493"/>
      <c r="CA39" s="493"/>
      <c r="CB39" s="493"/>
      <c r="CC39" s="493"/>
      <c r="CD39" s="493"/>
      <c r="CE39" s="493"/>
      <c r="CF39" s="493"/>
      <c r="CG39" s="493"/>
      <c r="CH39" s="493"/>
      <c r="CI39" s="493"/>
      <c r="CJ39" s="493"/>
      <c r="CK39" s="493"/>
      <c r="CL39" s="493"/>
      <c r="CM39" s="493"/>
      <c r="CN39" s="493"/>
      <c r="CO39" s="493"/>
      <c r="CP39" s="493"/>
    </row>
    <row r="40" spans="1:94" s="494" customFormat="1" ht="14.25" customHeight="1">
      <c r="A40" s="375" t="s">
        <v>423</v>
      </c>
      <c r="B40" s="376"/>
      <c r="C40" s="376"/>
      <c r="D40" s="376"/>
      <c r="E40" s="376"/>
      <c r="F40" s="1049">
        <f>CO2eEF!M31</f>
        <v>1E-4</v>
      </c>
      <c r="G40" s="1050"/>
      <c r="H40" s="1044">
        <f t="shared" si="0"/>
        <v>1.3895061728395065E-2</v>
      </c>
      <c r="I40" s="1072"/>
      <c r="J40" s="1044"/>
      <c r="K40" s="1044"/>
      <c r="L40" s="1071"/>
      <c r="M40" s="1044"/>
      <c r="N40" s="1071">
        <f t="shared" si="1"/>
        <v>1.0024731234567903</v>
      </c>
      <c r="O40" s="1072"/>
      <c r="P40" s="1071">
        <f t="shared" si="9"/>
        <v>4.4141998377677549E-10</v>
      </c>
      <c r="Q40" s="1072"/>
      <c r="R40" s="1044">
        <f t="shared" si="11"/>
        <v>7.3327322015028184E-7</v>
      </c>
      <c r="S40" s="1044"/>
      <c r="T40" s="1071">
        <f t="shared" si="10"/>
        <v>5.2902729740962234E-5</v>
      </c>
      <c r="U40" s="1072"/>
      <c r="V40" s="270"/>
      <c r="W40" s="270"/>
      <c r="X40" s="263" t="s">
        <v>720</v>
      </c>
      <c r="Y40" s="270"/>
      <c r="Z40" s="270"/>
      <c r="AA40" s="270"/>
      <c r="AB40" s="270"/>
      <c r="AC40" s="270"/>
      <c r="AD40" s="270"/>
      <c r="AE40" s="270"/>
      <c r="AF40" s="270"/>
      <c r="AG40" s="270"/>
      <c r="AH40" s="270"/>
      <c r="AI40" s="270"/>
      <c r="AJ40" s="270"/>
      <c r="AK40" s="378"/>
      <c r="AL40" s="543"/>
      <c r="AM40" s="549">
        <v>5</v>
      </c>
      <c r="AN40" s="549">
        <v>12</v>
      </c>
      <c r="AO40" s="549"/>
      <c r="AP40" s="549"/>
      <c r="AQ40" s="549"/>
      <c r="AR40" s="550">
        <f t="shared" si="2"/>
        <v>72.146000000000001</v>
      </c>
      <c r="AS40" s="550">
        <f t="shared" si="3"/>
        <v>8</v>
      </c>
      <c r="AT40" s="550">
        <f t="shared" si="4"/>
        <v>30.095238095238098</v>
      </c>
      <c r="AU40" s="550">
        <f t="shared" si="5"/>
        <v>5</v>
      </c>
      <c r="AV40" s="550">
        <f t="shared" si="6"/>
        <v>6</v>
      </c>
      <c r="AW40" s="550">
        <f t="shared" si="7"/>
        <v>30.095238095238098</v>
      </c>
      <c r="AX40" s="550">
        <f t="shared" si="8"/>
        <v>0</v>
      </c>
      <c r="AY40" s="547"/>
      <c r="AZ40" s="493"/>
      <c r="BA40" s="493"/>
      <c r="BB40" s="493"/>
      <c r="BC40" s="493"/>
      <c r="BD40" s="493"/>
      <c r="BE40" s="493"/>
      <c r="BF40" s="493"/>
      <c r="BG40" s="493"/>
      <c r="BH40" s="493"/>
      <c r="BI40" s="493"/>
      <c r="BJ40" s="493"/>
      <c r="BK40" s="493"/>
      <c r="BL40" s="493"/>
      <c r="BM40" s="493"/>
      <c r="BN40" s="493"/>
      <c r="BO40" s="493"/>
      <c r="BP40" s="493"/>
      <c r="BQ40" s="493"/>
      <c r="BR40" s="493"/>
      <c r="BS40" s="493"/>
      <c r="BT40" s="493"/>
      <c r="BU40" s="493"/>
      <c r="BV40" s="493"/>
      <c r="BW40" s="493"/>
      <c r="BX40" s="493"/>
      <c r="BY40" s="493"/>
      <c r="BZ40" s="493"/>
      <c r="CA40" s="493"/>
      <c r="CB40" s="493"/>
      <c r="CC40" s="493"/>
      <c r="CD40" s="493"/>
      <c r="CE40" s="493"/>
      <c r="CF40" s="493"/>
      <c r="CG40" s="493"/>
      <c r="CH40" s="493"/>
      <c r="CI40" s="493"/>
      <c r="CJ40" s="493"/>
      <c r="CK40" s="493"/>
      <c r="CL40" s="493"/>
      <c r="CM40" s="493"/>
      <c r="CN40" s="493"/>
      <c r="CO40" s="493"/>
      <c r="CP40" s="493"/>
    </row>
    <row r="41" spans="1:94" s="494" customFormat="1" ht="14.25" customHeight="1">
      <c r="A41" s="375" t="s">
        <v>424</v>
      </c>
      <c r="B41" s="376"/>
      <c r="C41" s="376"/>
      <c r="D41" s="376"/>
      <c r="E41" s="376"/>
      <c r="F41" s="1049">
        <f>CO2eEF!M33</f>
        <v>1E-4</v>
      </c>
      <c r="G41" s="1050"/>
      <c r="H41" s="1044">
        <f t="shared" si="0"/>
        <v>1.3895061728395065E-2</v>
      </c>
      <c r="I41" s="1072"/>
      <c r="J41" s="1044"/>
      <c r="K41" s="1044"/>
      <c r="L41" s="1071"/>
      <c r="M41" s="1044"/>
      <c r="N41" s="1071">
        <f t="shared" si="1"/>
        <v>1.0024731234567903</v>
      </c>
      <c r="O41" s="1072"/>
      <c r="P41" s="1071">
        <f t="shared" si="9"/>
        <v>4.4141998377677549E-10</v>
      </c>
      <c r="Q41" s="1072"/>
      <c r="R41" s="1044">
        <f t="shared" si="11"/>
        <v>7.3327322015028184E-7</v>
      </c>
      <c r="S41" s="1044"/>
      <c r="T41" s="1071">
        <f t="shared" si="10"/>
        <v>5.2902729740962234E-5</v>
      </c>
      <c r="U41" s="1072"/>
      <c r="V41" s="270"/>
      <c r="W41" s="270"/>
      <c r="X41" s="270"/>
      <c r="Y41" s="270"/>
      <c r="Z41" s="270"/>
      <c r="AA41" s="270"/>
      <c r="AB41" s="270"/>
      <c r="AC41" s="270"/>
      <c r="AD41" s="270"/>
      <c r="AE41" s="270"/>
      <c r="AF41" s="270"/>
      <c r="AG41" s="270"/>
      <c r="AH41" s="270"/>
      <c r="AI41" s="270"/>
      <c r="AJ41" s="270"/>
      <c r="AK41" s="378"/>
      <c r="AL41" s="543"/>
      <c r="AM41" s="549">
        <v>5</v>
      </c>
      <c r="AN41" s="549">
        <v>12</v>
      </c>
      <c r="AO41" s="549"/>
      <c r="AP41" s="549"/>
      <c r="AQ41" s="549"/>
      <c r="AR41" s="550">
        <f t="shared" si="2"/>
        <v>72.146000000000001</v>
      </c>
      <c r="AS41" s="550">
        <f t="shared" si="3"/>
        <v>8</v>
      </c>
      <c r="AT41" s="550">
        <f t="shared" si="4"/>
        <v>30.095238095238098</v>
      </c>
      <c r="AU41" s="550">
        <f t="shared" si="5"/>
        <v>5</v>
      </c>
      <c r="AV41" s="550">
        <f t="shared" si="6"/>
        <v>6</v>
      </c>
      <c r="AW41" s="550">
        <f>AP41*0.5+AT41</f>
        <v>30.095238095238098</v>
      </c>
      <c r="AX41" s="550">
        <f t="shared" si="8"/>
        <v>0</v>
      </c>
      <c r="AY41" s="547"/>
      <c r="AZ41" s="493"/>
      <c r="BA41" s="493"/>
      <c r="BB41" s="493"/>
      <c r="BC41" s="493"/>
      <c r="BD41" s="493"/>
      <c r="BE41" s="493"/>
      <c r="BF41" s="493"/>
      <c r="BG41" s="493"/>
      <c r="BH41" s="493"/>
      <c r="BI41" s="493"/>
      <c r="BJ41" s="493"/>
      <c r="BK41" s="493"/>
      <c r="BL41" s="493"/>
      <c r="BM41" s="493"/>
      <c r="BN41" s="493"/>
      <c r="BO41" s="493"/>
      <c r="BP41" s="493"/>
      <c r="BQ41" s="493"/>
      <c r="BR41" s="493"/>
      <c r="BS41" s="493"/>
      <c r="BT41" s="493"/>
      <c r="BU41" s="493"/>
      <c r="BV41" s="493"/>
      <c r="BW41" s="493"/>
      <c r="BX41" s="493"/>
      <c r="BY41" s="493"/>
      <c r="BZ41" s="493"/>
      <c r="CA41" s="493"/>
      <c r="CB41" s="493"/>
      <c r="CC41" s="493"/>
      <c r="CD41" s="493"/>
      <c r="CE41" s="493"/>
      <c r="CF41" s="493"/>
      <c r="CG41" s="493"/>
      <c r="CH41" s="493"/>
      <c r="CI41" s="493"/>
      <c r="CJ41" s="493"/>
      <c r="CK41" s="493"/>
      <c r="CL41" s="493"/>
      <c r="CM41" s="493"/>
      <c r="CN41" s="493"/>
      <c r="CO41" s="493"/>
      <c r="CP41" s="493"/>
    </row>
    <row r="42" spans="1:94" s="494" customFormat="1" ht="14.25" customHeight="1">
      <c r="A42" s="375" t="s">
        <v>721</v>
      </c>
      <c r="B42" s="376"/>
      <c r="C42" s="376"/>
      <c r="D42" s="376"/>
      <c r="E42" s="376"/>
      <c r="F42" s="1049">
        <f>CO2eEF!M39</f>
        <v>2.0000000000000001E-4</v>
      </c>
      <c r="G42" s="1050"/>
      <c r="H42" s="1044">
        <f t="shared" si="0"/>
        <v>2.779012345679013E-2</v>
      </c>
      <c r="I42" s="1072"/>
      <c r="J42" s="1044"/>
      <c r="K42" s="1044"/>
      <c r="L42" s="1071"/>
      <c r="M42" s="1044"/>
      <c r="N42" s="1071">
        <f t="shared" si="1"/>
        <v>2.3947305185185188</v>
      </c>
      <c r="O42" s="1072"/>
      <c r="P42" s="1071">
        <f t="shared" si="9"/>
        <v>8.8283996755355098E-10</v>
      </c>
      <c r="Q42" s="1072"/>
      <c r="R42" s="1044">
        <f>T42/$AR42</f>
        <v>1.4665464403005637E-6</v>
      </c>
      <c r="S42" s="1044"/>
      <c r="T42" s="1071">
        <f t="shared" si="10"/>
        <v>1.2637523985358016E-4</v>
      </c>
      <c r="U42" s="1072"/>
      <c r="V42" s="270"/>
      <c r="W42" s="270"/>
      <c r="X42" s="270"/>
      <c r="Y42" s="270"/>
      <c r="Z42" s="270"/>
      <c r="AA42" s="270"/>
      <c r="AB42" s="270"/>
      <c r="AC42" s="270"/>
      <c r="AD42" s="270"/>
      <c r="AE42" s="270"/>
      <c r="AF42" s="270"/>
      <c r="AG42" s="270"/>
      <c r="AH42" s="270"/>
      <c r="AI42" s="270"/>
      <c r="AJ42" s="270"/>
      <c r="AK42" s="378"/>
      <c r="AL42" s="543"/>
      <c r="AM42" s="549">
        <v>6</v>
      </c>
      <c r="AN42" s="549">
        <v>14</v>
      </c>
      <c r="AO42" s="549"/>
      <c r="AP42" s="549"/>
      <c r="AQ42" s="549"/>
      <c r="AR42" s="550">
        <f t="shared" si="2"/>
        <v>86.171999999999997</v>
      </c>
      <c r="AS42" s="550">
        <f t="shared" si="3"/>
        <v>9.5</v>
      </c>
      <c r="AT42" s="550">
        <f t="shared" si="4"/>
        <v>35.738095238095241</v>
      </c>
      <c r="AU42" s="550">
        <f t="shared" si="5"/>
        <v>6</v>
      </c>
      <c r="AV42" s="550">
        <f t="shared" si="6"/>
        <v>7</v>
      </c>
      <c r="AW42" s="550">
        <f t="shared" si="7"/>
        <v>35.738095238095241</v>
      </c>
      <c r="AX42" s="550">
        <f t="shared" si="8"/>
        <v>0</v>
      </c>
      <c r="AY42" s="547"/>
      <c r="AZ42" s="493"/>
      <c r="BA42" s="493"/>
      <c r="BB42" s="493"/>
      <c r="BC42" s="493"/>
      <c r="BD42" s="493"/>
      <c r="BE42" s="493"/>
      <c r="BF42" s="493"/>
      <c r="BG42" s="493"/>
      <c r="BH42" s="493"/>
      <c r="BI42" s="493"/>
      <c r="BJ42" s="493"/>
      <c r="BK42" s="493"/>
      <c r="BL42" s="493"/>
      <c r="BM42" s="493"/>
      <c r="BN42" s="493"/>
      <c r="BO42" s="493"/>
      <c r="BP42" s="493"/>
      <c r="BQ42" s="493"/>
      <c r="BR42" s="493"/>
      <c r="BS42" s="493"/>
      <c r="BT42" s="493"/>
      <c r="BU42" s="493"/>
      <c r="BV42" s="493"/>
      <c r="BW42" s="493"/>
      <c r="BX42" s="493"/>
      <c r="BY42" s="493"/>
      <c r="BZ42" s="493"/>
      <c r="CA42" s="493"/>
      <c r="CB42" s="493"/>
      <c r="CC42" s="493"/>
      <c r="CD42" s="493"/>
      <c r="CE42" s="493"/>
      <c r="CF42" s="493"/>
      <c r="CG42" s="493"/>
      <c r="CH42" s="493"/>
      <c r="CI42" s="493"/>
      <c r="CJ42" s="493"/>
      <c r="CK42" s="493"/>
      <c r="CL42" s="493"/>
      <c r="CM42" s="493"/>
      <c r="CN42" s="493"/>
      <c r="CO42" s="493"/>
      <c r="CP42" s="493"/>
    </row>
    <row r="43" spans="1:94" s="494" customFormat="1" ht="14.25" customHeight="1">
      <c r="A43" s="375" t="s">
        <v>426</v>
      </c>
      <c r="B43" s="376"/>
      <c r="C43" s="376"/>
      <c r="D43" s="376"/>
      <c r="E43" s="376"/>
      <c r="F43" s="1049">
        <f>'LPF P&amp;P'!F43:G43</f>
        <v>0</v>
      </c>
      <c r="G43" s="1050"/>
      <c r="H43" s="1044">
        <f>F43*$AC$24</f>
        <v>0</v>
      </c>
      <c r="I43" s="1072"/>
      <c r="J43" s="1044"/>
      <c r="K43" s="1044"/>
      <c r="L43" s="1071"/>
      <c r="M43" s="1044"/>
      <c r="N43" s="1071">
        <f>SUM(H43,J43,L43)*AR43</f>
        <v>0</v>
      </c>
      <c r="O43" s="1072"/>
      <c r="P43" s="1071">
        <f t="shared" si="9"/>
        <v>0</v>
      </c>
      <c r="Q43" s="1072"/>
      <c r="R43" s="1044">
        <f>SUM(H43:M43)</f>
        <v>0</v>
      </c>
      <c r="S43" s="1044"/>
      <c r="T43" s="1071">
        <f>$N$43</f>
        <v>0</v>
      </c>
      <c r="U43" s="1072"/>
      <c r="V43" s="270"/>
      <c r="W43" s="270"/>
      <c r="X43" s="270"/>
      <c r="Y43" s="270"/>
      <c r="Z43" s="270"/>
      <c r="AA43" s="270"/>
      <c r="AB43" s="270"/>
      <c r="AC43" s="270"/>
      <c r="AD43" s="270"/>
      <c r="AE43" s="270"/>
      <c r="AF43" s="270"/>
      <c r="AG43" s="270"/>
      <c r="AH43" s="270"/>
      <c r="AI43" s="270"/>
      <c r="AJ43" s="270"/>
      <c r="AK43" s="378"/>
      <c r="AL43" s="543"/>
      <c r="AM43" s="549"/>
      <c r="AN43" s="549"/>
      <c r="AO43" s="549"/>
      <c r="AP43" s="549"/>
      <c r="AQ43" s="549"/>
      <c r="AR43" s="550">
        <v>4.0030000000000001</v>
      </c>
      <c r="AS43" s="550"/>
      <c r="AT43" s="550"/>
      <c r="AU43" s="550"/>
      <c r="AV43" s="550"/>
      <c r="AW43" s="550"/>
      <c r="AX43" s="550"/>
      <c r="AY43" s="547"/>
      <c r="AZ43" s="493"/>
      <c r="BA43" s="493"/>
      <c r="BB43" s="493"/>
      <c r="BC43" s="493"/>
      <c r="BD43" s="493"/>
      <c r="BE43" s="493"/>
      <c r="BF43" s="493"/>
      <c r="BG43" s="493"/>
      <c r="BH43" s="493"/>
      <c r="BI43" s="493"/>
      <c r="BJ43" s="493"/>
      <c r="BK43" s="493"/>
      <c r="BL43" s="493"/>
      <c r="BM43" s="493"/>
      <c r="BN43" s="493"/>
      <c r="BO43" s="493"/>
      <c r="BP43" s="493"/>
      <c r="BQ43" s="493"/>
      <c r="BR43" s="493"/>
      <c r="BS43" s="493"/>
      <c r="BT43" s="493"/>
      <c r="BU43" s="493"/>
      <c r="BV43" s="493"/>
      <c r="BW43" s="493"/>
      <c r="BX43" s="493"/>
      <c r="BY43" s="493"/>
      <c r="BZ43" s="493"/>
      <c r="CA43" s="493"/>
      <c r="CB43" s="493"/>
      <c r="CC43" s="493"/>
      <c r="CD43" s="493"/>
      <c r="CE43" s="493"/>
      <c r="CF43" s="493"/>
      <c r="CG43" s="493"/>
      <c r="CH43" s="493"/>
      <c r="CI43" s="493"/>
      <c r="CJ43" s="493"/>
      <c r="CK43" s="493"/>
      <c r="CL43" s="493"/>
      <c r="CM43" s="493"/>
      <c r="CN43" s="493"/>
      <c r="CO43" s="493"/>
      <c r="CP43" s="493"/>
    </row>
    <row r="44" spans="1:94" s="494" customFormat="1" ht="14.25" customHeight="1">
      <c r="A44" s="375" t="s">
        <v>427</v>
      </c>
      <c r="B44" s="376"/>
      <c r="C44" s="376"/>
      <c r="D44" s="376"/>
      <c r="E44" s="376"/>
      <c r="F44" s="1049">
        <f>'LPF P&amp;P'!F44:G44</f>
        <v>0</v>
      </c>
      <c r="G44" s="1050"/>
      <c r="H44" s="1044">
        <f t="shared" si="0"/>
        <v>0</v>
      </c>
      <c r="I44" s="1072"/>
      <c r="J44" s="1044"/>
      <c r="K44" s="1044"/>
      <c r="L44" s="1071"/>
      <c r="M44" s="1044"/>
      <c r="N44" s="1071">
        <f t="shared" si="1"/>
        <v>0</v>
      </c>
      <c r="O44" s="1072"/>
      <c r="P44" s="1071">
        <f t="shared" si="9"/>
        <v>0</v>
      </c>
      <c r="Q44" s="1072"/>
      <c r="R44" s="1044">
        <f>T44/$AR44</f>
        <v>0</v>
      </c>
      <c r="S44" s="1044"/>
      <c r="T44" s="1071">
        <f>$W$21*N44</f>
        <v>0</v>
      </c>
      <c r="U44" s="1072"/>
      <c r="V44" s="270"/>
      <c r="W44" s="270"/>
      <c r="X44" s="270"/>
      <c r="Y44" s="270"/>
      <c r="Z44" s="270"/>
      <c r="AA44" s="270"/>
      <c r="AB44" s="270"/>
      <c r="AC44" s="270"/>
      <c r="AD44" s="270"/>
      <c r="AE44" s="270"/>
      <c r="AF44" s="270"/>
      <c r="AG44" s="270"/>
      <c r="AH44" s="270"/>
      <c r="AI44" s="270"/>
      <c r="AJ44" s="270"/>
      <c r="AK44" s="378"/>
      <c r="AL44" s="543"/>
      <c r="AM44" s="549"/>
      <c r="AN44" s="549">
        <v>2</v>
      </c>
      <c r="AO44" s="549"/>
      <c r="AP44" s="549"/>
      <c r="AQ44" s="549">
        <v>1</v>
      </c>
      <c r="AR44" s="550">
        <f t="shared" si="2"/>
        <v>34.015999999999998</v>
      </c>
      <c r="AS44" s="550">
        <f>AM44*1+AN44*0.25+AQ44*1</f>
        <v>1.5</v>
      </c>
      <c r="AT44" s="550">
        <f t="shared" si="4"/>
        <v>5.6428571428571432</v>
      </c>
      <c r="AU44" s="550">
        <f t="shared" si="5"/>
        <v>0</v>
      </c>
      <c r="AV44" s="550">
        <f t="shared" si="6"/>
        <v>1</v>
      </c>
      <c r="AW44" s="550">
        <f t="shared" si="7"/>
        <v>5.6428571428571432</v>
      </c>
      <c r="AX44" s="550">
        <f t="shared" si="8"/>
        <v>1</v>
      </c>
      <c r="AY44" s="547"/>
      <c r="AZ44" s="493"/>
      <c r="BA44" s="493"/>
      <c r="BB44" s="493"/>
      <c r="BC44" s="493"/>
      <c r="BD44" s="493"/>
      <c r="BE44" s="493"/>
      <c r="BF44" s="493"/>
      <c r="BG44" s="493"/>
      <c r="BH44" s="493"/>
      <c r="BI44" s="493"/>
      <c r="BJ44" s="493"/>
      <c r="BK44" s="493"/>
      <c r="BL44" s="493"/>
      <c r="BM44" s="493"/>
      <c r="BN44" s="493"/>
      <c r="BO44" s="493"/>
      <c r="BP44" s="493"/>
      <c r="BQ44" s="493"/>
      <c r="BR44" s="493"/>
      <c r="BS44" s="493"/>
      <c r="BT44" s="493"/>
      <c r="BU44" s="493"/>
      <c r="BV44" s="493"/>
      <c r="BW44" s="493"/>
      <c r="BX44" s="493"/>
      <c r="BY44" s="493"/>
      <c r="BZ44" s="493"/>
      <c r="CA44" s="493"/>
      <c r="CB44" s="493"/>
      <c r="CC44" s="493"/>
      <c r="CD44" s="493"/>
      <c r="CE44" s="493"/>
      <c r="CF44" s="493"/>
      <c r="CG44" s="493"/>
      <c r="CH44" s="493"/>
      <c r="CI44" s="493"/>
      <c r="CJ44" s="493"/>
      <c r="CK44" s="493"/>
      <c r="CL44" s="493"/>
      <c r="CM44" s="493"/>
      <c r="CN44" s="493"/>
      <c r="CO44" s="493"/>
      <c r="CP44" s="493"/>
    </row>
    <row r="45" spans="1:94" s="494" customFormat="1" ht="14.25" customHeight="1">
      <c r="A45" s="375" t="s">
        <v>428</v>
      </c>
      <c r="B45" s="376"/>
      <c r="C45" s="376"/>
      <c r="D45" s="376"/>
      <c r="E45" s="376"/>
      <c r="F45" s="1049">
        <f>'LPF P&amp;P'!F45:G45</f>
        <v>0</v>
      </c>
      <c r="G45" s="1050"/>
      <c r="H45" s="1044">
        <f t="shared" si="0"/>
        <v>0</v>
      </c>
      <c r="I45" s="1072"/>
      <c r="J45" s="1044">
        <f>SUMPRODUCT(H31:H52,AS31:AS52)-H45</f>
        <v>277.92902469135817</v>
      </c>
      <c r="K45" s="1044"/>
      <c r="L45" s="1071">
        <f>J45*0.15</f>
        <v>41.689353703703723</v>
      </c>
      <c r="M45" s="1044"/>
      <c r="N45" s="1071">
        <f>SUM(H45,J45,L45)*AR45</f>
        <v>10227.78810864198</v>
      </c>
      <c r="O45" s="1072"/>
      <c r="P45" s="1071">
        <f t="shared" si="9"/>
        <v>2.5132938299761806E-2</v>
      </c>
      <c r="Q45" s="1072"/>
      <c r="R45" s="1044">
        <f>L45+SUMPRODUCT(R32:R44,$AS32:$AS44)</f>
        <v>41.750059526585289</v>
      </c>
      <c r="S45" s="1044"/>
      <c r="T45" s="1071">
        <f>R45*$AR45</f>
        <v>1336.0019048507293</v>
      </c>
      <c r="U45" s="1072"/>
      <c r="V45" s="1048"/>
      <c r="W45" s="1048"/>
      <c r="X45" s="1048"/>
      <c r="Y45" s="1048"/>
      <c r="Z45" s="1048"/>
      <c r="AA45" s="1048"/>
      <c r="AB45" s="1048"/>
      <c r="AC45" s="1048"/>
      <c r="AD45" s="1048"/>
      <c r="AE45" s="1048"/>
      <c r="AF45" s="1048"/>
      <c r="AG45" s="1048"/>
      <c r="AH45" s="1048"/>
      <c r="AI45" s="1048"/>
      <c r="AJ45" s="1048"/>
      <c r="AK45" s="1058"/>
      <c r="AL45" s="543"/>
      <c r="AM45" s="549"/>
      <c r="AN45" s="549"/>
      <c r="AO45" s="549">
        <v>2</v>
      </c>
      <c r="AP45" s="549"/>
      <c r="AQ45" s="549"/>
      <c r="AR45" s="550">
        <f t="shared" si="2"/>
        <v>32</v>
      </c>
      <c r="AS45" s="550">
        <f t="shared" si="3"/>
        <v>0</v>
      </c>
      <c r="AT45" s="550">
        <f t="shared" si="4"/>
        <v>0</v>
      </c>
      <c r="AU45" s="550">
        <f t="shared" si="5"/>
        <v>0</v>
      </c>
      <c r="AV45" s="550">
        <f t="shared" si="6"/>
        <v>0</v>
      </c>
      <c r="AW45" s="550">
        <f t="shared" si="7"/>
        <v>0</v>
      </c>
      <c r="AX45" s="550">
        <f t="shared" si="8"/>
        <v>0</v>
      </c>
      <c r="AY45" s="547"/>
      <c r="AZ45" s="493"/>
      <c r="BA45" s="493"/>
      <c r="BB45" s="493"/>
      <c r="BC45" s="493"/>
      <c r="BD45" s="493"/>
      <c r="BE45" s="493"/>
      <c r="BF45" s="493"/>
      <c r="BG45" s="493"/>
      <c r="BH45" s="493"/>
      <c r="BI45" s="493"/>
      <c r="BJ45" s="493"/>
      <c r="BK45" s="493"/>
      <c r="BL45" s="493"/>
      <c r="BM45" s="493"/>
      <c r="BN45" s="493"/>
      <c r="BO45" s="493"/>
      <c r="BP45" s="493"/>
      <c r="BQ45" s="493"/>
      <c r="BR45" s="493"/>
      <c r="BS45" s="493"/>
      <c r="BT45" s="493"/>
      <c r="BU45" s="493"/>
      <c r="BV45" s="493"/>
      <c r="BW45" s="493"/>
      <c r="BX45" s="493"/>
      <c r="BY45" s="493"/>
      <c r="BZ45" s="493"/>
      <c r="CA45" s="493"/>
      <c r="CB45" s="493"/>
      <c r="CC45" s="493"/>
      <c r="CD45" s="493"/>
      <c r="CE45" s="493"/>
      <c r="CF45" s="493"/>
      <c r="CG45" s="493"/>
      <c r="CH45" s="493"/>
      <c r="CI45" s="493"/>
      <c r="CJ45" s="493"/>
      <c r="CK45" s="493"/>
      <c r="CL45" s="493"/>
      <c r="CM45" s="493"/>
      <c r="CN45" s="493"/>
      <c r="CO45" s="493"/>
      <c r="CP45" s="493"/>
    </row>
    <row r="46" spans="1:94" s="494" customFormat="1" ht="14.25" customHeight="1">
      <c r="A46" s="375" t="s">
        <v>429</v>
      </c>
      <c r="B46" s="376"/>
      <c r="C46" s="376"/>
      <c r="D46" s="376"/>
      <c r="E46" s="376"/>
      <c r="F46" s="1049">
        <f>CO2eEF!M24</f>
        <v>1.5E-3</v>
      </c>
      <c r="G46" s="1050"/>
      <c r="H46" s="1044">
        <f t="shared" si="0"/>
        <v>0.20842592592592596</v>
      </c>
      <c r="I46" s="1072"/>
      <c r="J46" s="1044">
        <f>0.79/0.21*J45</f>
        <v>1045.5425214579666</v>
      </c>
      <c r="K46" s="1072"/>
      <c r="L46" s="1044">
        <f>0.79/0.21*L45</f>
        <v>156.83137821869497</v>
      </c>
      <c r="M46" s="1072"/>
      <c r="N46" s="1071">
        <f>SUM(H46,J46,L46)*AR46</f>
        <v>33672.305116872449</v>
      </c>
      <c r="O46" s="1072"/>
      <c r="P46" s="1071">
        <f t="shared" si="9"/>
        <v>0.72370046216066486</v>
      </c>
      <c r="Q46" s="1072"/>
      <c r="R46" s="1044">
        <f>$H46+J46+L46-R49</f>
        <v>1202.1888174894136</v>
      </c>
      <c r="S46" s="1044"/>
      <c r="T46" s="1071">
        <f>R46*$AR46</f>
        <v>33661.286889703581</v>
      </c>
      <c r="U46" s="1072"/>
      <c r="V46" s="1048"/>
      <c r="W46" s="1048"/>
      <c r="X46" s="1048"/>
      <c r="Y46" s="1048"/>
      <c r="Z46" s="1048"/>
      <c r="AA46" s="1048"/>
      <c r="AB46" s="1048"/>
      <c r="AC46" s="1048"/>
      <c r="AD46" s="1048"/>
      <c r="AE46" s="1048"/>
      <c r="AF46" s="1048"/>
      <c r="AG46" s="1048"/>
      <c r="AH46" s="1048"/>
      <c r="AI46" s="1048"/>
      <c r="AJ46" s="1048"/>
      <c r="AK46" s="1058"/>
      <c r="AL46" s="543"/>
      <c r="AM46" s="549"/>
      <c r="AN46" s="549"/>
      <c r="AO46" s="549"/>
      <c r="AP46" s="549">
        <v>2</v>
      </c>
      <c r="AQ46" s="549"/>
      <c r="AR46" s="550">
        <f t="shared" si="2"/>
        <v>28</v>
      </c>
      <c r="AS46" s="550">
        <f t="shared" si="3"/>
        <v>0</v>
      </c>
      <c r="AT46" s="550">
        <f t="shared" si="4"/>
        <v>0</v>
      </c>
      <c r="AU46" s="550">
        <f t="shared" si="5"/>
        <v>0</v>
      </c>
      <c r="AV46" s="550">
        <f t="shared" si="6"/>
        <v>0</v>
      </c>
      <c r="AW46" s="550">
        <f t="shared" si="7"/>
        <v>1</v>
      </c>
      <c r="AX46" s="550">
        <f t="shared" si="8"/>
        <v>0</v>
      </c>
      <c r="AY46" s="547"/>
      <c r="AZ46" s="493"/>
      <c r="BA46" s="493"/>
      <c r="BB46" s="493"/>
      <c r="BC46" s="493"/>
      <c r="BD46" s="493"/>
      <c r="BE46" s="493"/>
      <c r="BF46" s="493"/>
      <c r="BG46" s="493"/>
      <c r="BH46" s="493"/>
      <c r="BI46" s="493"/>
      <c r="BJ46" s="493"/>
      <c r="BK46" s="493"/>
      <c r="BL46" s="493"/>
      <c r="BM46" s="493"/>
      <c r="BN46" s="493"/>
      <c r="BO46" s="493"/>
      <c r="BP46" s="493"/>
      <c r="BQ46" s="493"/>
      <c r="BR46" s="493"/>
      <c r="BS46" s="493"/>
      <c r="BT46" s="493"/>
      <c r="BU46" s="493"/>
      <c r="BV46" s="493"/>
      <c r="BW46" s="493"/>
      <c r="BX46" s="493"/>
      <c r="BY46" s="493"/>
      <c r="BZ46" s="493"/>
      <c r="CA46" s="493"/>
      <c r="CB46" s="493"/>
      <c r="CC46" s="493"/>
      <c r="CD46" s="493"/>
      <c r="CE46" s="493"/>
      <c r="CF46" s="493"/>
      <c r="CG46" s="493"/>
      <c r="CH46" s="493"/>
      <c r="CI46" s="493"/>
      <c r="CJ46" s="493"/>
      <c r="CK46" s="493"/>
      <c r="CL46" s="493"/>
      <c r="CM46" s="493"/>
      <c r="CN46" s="493"/>
      <c r="CO46" s="493"/>
      <c r="CP46" s="493"/>
    </row>
    <row r="47" spans="1:94" s="494" customFormat="1" ht="14.25" customHeight="1">
      <c r="A47" s="375" t="s">
        <v>115</v>
      </c>
      <c r="B47" s="376"/>
      <c r="C47" s="376"/>
      <c r="D47" s="376"/>
      <c r="E47" s="376"/>
      <c r="F47" s="1049">
        <f>'LPF P&amp;P'!F47:G47</f>
        <v>0</v>
      </c>
      <c r="G47" s="1050"/>
      <c r="H47" s="1044">
        <f t="shared" si="0"/>
        <v>0</v>
      </c>
      <c r="I47" s="1072"/>
      <c r="J47" s="1044"/>
      <c r="K47" s="1044"/>
      <c r="L47" s="1071"/>
      <c r="M47" s="1044"/>
      <c r="N47" s="1071">
        <f t="shared" si="1"/>
        <v>0</v>
      </c>
      <c r="O47" s="1072"/>
      <c r="P47" s="1071">
        <f t="shared" si="9"/>
        <v>9.9689278735327287E-5</v>
      </c>
      <c r="Q47" s="1072"/>
      <c r="R47" s="1044">
        <f>T47/$AR$47</f>
        <v>0.16560074559215832</v>
      </c>
      <c r="S47" s="1044"/>
      <c r="T47" s="1071">
        <f>$AC16*$X24</f>
        <v>4.6384768840363542</v>
      </c>
      <c r="U47" s="1072"/>
      <c r="V47" s="1048"/>
      <c r="W47" s="1048"/>
      <c r="X47" s="1048"/>
      <c r="Y47" s="1048"/>
      <c r="Z47" s="1048"/>
      <c r="AA47" s="1048"/>
      <c r="AB47" s="1048"/>
      <c r="AC47" s="1048"/>
      <c r="AD47" s="1048"/>
      <c r="AE47" s="1048"/>
      <c r="AF47" s="1048"/>
      <c r="AG47" s="1048"/>
      <c r="AH47" s="1048"/>
      <c r="AI47" s="1048"/>
      <c r="AJ47" s="1048"/>
      <c r="AK47" s="1058"/>
      <c r="AL47" s="543"/>
      <c r="AM47" s="552">
        <v>1</v>
      </c>
      <c r="AN47" s="552"/>
      <c r="AO47" s="552">
        <v>1</v>
      </c>
      <c r="AP47" s="552"/>
      <c r="AQ47" s="552"/>
      <c r="AR47" s="550">
        <f t="shared" si="2"/>
        <v>28.009999999999998</v>
      </c>
      <c r="AS47" s="550"/>
      <c r="AT47" s="553"/>
      <c r="AU47" s="553"/>
      <c r="AV47" s="553"/>
      <c r="AW47" s="553"/>
      <c r="AX47" s="553"/>
      <c r="AY47" s="547"/>
      <c r="AZ47" s="493"/>
      <c r="BA47" s="493"/>
      <c r="BB47" s="493"/>
      <c r="BC47" s="493"/>
      <c r="BD47" s="493"/>
      <c r="BE47" s="493"/>
      <c r="BF47" s="493"/>
      <c r="BG47" s="493"/>
      <c r="BH47" s="493"/>
      <c r="BI47" s="493"/>
      <c r="BJ47" s="493"/>
      <c r="BK47" s="493"/>
      <c r="BL47" s="493"/>
      <c r="BM47" s="493"/>
      <c r="BN47" s="493"/>
      <c r="BO47" s="493"/>
      <c r="BP47" s="493"/>
      <c r="BQ47" s="493"/>
      <c r="BR47" s="493"/>
      <c r="BS47" s="493"/>
      <c r="BT47" s="493"/>
      <c r="BU47" s="493"/>
      <c r="BV47" s="493"/>
      <c r="BW47" s="493"/>
      <c r="BX47" s="493"/>
      <c r="BY47" s="493"/>
      <c r="BZ47" s="493"/>
      <c r="CA47" s="493"/>
      <c r="CB47" s="493"/>
      <c r="CC47" s="493"/>
      <c r="CD47" s="493"/>
      <c r="CE47" s="493"/>
      <c r="CF47" s="493"/>
      <c r="CG47" s="493"/>
      <c r="CH47" s="493"/>
      <c r="CI47" s="493"/>
      <c r="CJ47" s="493"/>
      <c r="CK47" s="493"/>
      <c r="CL47" s="493"/>
      <c r="CM47" s="493"/>
      <c r="CN47" s="493"/>
      <c r="CO47" s="493"/>
      <c r="CP47" s="493"/>
    </row>
    <row r="48" spans="1:94" s="494" customFormat="1" ht="14.25" customHeight="1">
      <c r="A48" s="375" t="s">
        <v>126</v>
      </c>
      <c r="B48" s="376"/>
      <c r="C48" s="376"/>
      <c r="D48" s="376"/>
      <c r="E48" s="376"/>
      <c r="F48" s="1049">
        <f>CO2eEF!M25</f>
        <v>8.0000000000000004E-4</v>
      </c>
      <c r="G48" s="1050"/>
      <c r="H48" s="1044">
        <f t="shared" si="0"/>
        <v>0.11116049382716052</v>
      </c>
      <c r="I48" s="1072"/>
      <c r="J48" s="1044"/>
      <c r="K48" s="1044"/>
      <c r="L48" s="1071"/>
      <c r="M48" s="1044"/>
      <c r="N48" s="1071">
        <f t="shared" si="1"/>
        <v>4.8921733333333339</v>
      </c>
      <c r="O48" s="1072"/>
      <c r="P48" s="1071">
        <f t="shared" si="9"/>
        <v>8.3670516768369799E-2</v>
      </c>
      <c r="Q48" s="1072"/>
      <c r="R48" s="1044">
        <f>SUMPRODUCT($H31:$H52,$AU31:$AU52)+$H48-R47-SUMPRODUCT(R32:R42,$AU32:$AU42)</f>
        <v>138.99087381011469</v>
      </c>
      <c r="S48" s="1044"/>
      <c r="T48" s="1071">
        <f>R48*$AR48</f>
        <v>6116.9883563831472</v>
      </c>
      <c r="U48" s="1072"/>
      <c r="V48" s="1048"/>
      <c r="W48" s="1048"/>
      <c r="X48" s="1048"/>
      <c r="Y48" s="1048"/>
      <c r="Z48" s="1048"/>
      <c r="AA48" s="1048"/>
      <c r="AB48" s="1048"/>
      <c r="AC48" s="1048"/>
      <c r="AD48" s="1048"/>
      <c r="AE48" s="1048"/>
      <c r="AF48" s="1048"/>
      <c r="AG48" s="1048"/>
      <c r="AH48" s="1048"/>
      <c r="AI48" s="1048"/>
      <c r="AJ48" s="1048"/>
      <c r="AK48" s="1058"/>
      <c r="AL48" s="543"/>
      <c r="AM48" s="549">
        <v>1</v>
      </c>
      <c r="AN48" s="549"/>
      <c r="AO48" s="549">
        <v>2</v>
      </c>
      <c r="AP48" s="549"/>
      <c r="AQ48" s="549"/>
      <c r="AR48" s="550">
        <f>AM48*12.01+AN48*1.008+AO48*16+AP48*14+AQ48*32</f>
        <v>44.01</v>
      </c>
      <c r="AS48" s="550"/>
      <c r="AT48" s="550"/>
      <c r="AU48" s="550"/>
      <c r="AV48" s="550"/>
      <c r="AW48" s="550"/>
      <c r="AX48" s="550"/>
      <c r="AY48" s="547"/>
      <c r="AZ48" s="493"/>
      <c r="BA48" s="493"/>
      <c r="BB48" s="493"/>
      <c r="BC48" s="493"/>
      <c r="BD48" s="493"/>
      <c r="BE48" s="493"/>
      <c r="BF48" s="493"/>
      <c r="BG48" s="493"/>
      <c r="BH48" s="493"/>
      <c r="BI48" s="493"/>
      <c r="BJ48" s="493"/>
      <c r="BK48" s="493"/>
      <c r="BL48" s="493"/>
      <c r="BM48" s="493"/>
      <c r="BN48" s="493"/>
      <c r="BO48" s="493"/>
      <c r="BP48" s="493"/>
      <c r="BQ48" s="493"/>
      <c r="BR48" s="493"/>
      <c r="BS48" s="493"/>
      <c r="BT48" s="493"/>
      <c r="BU48" s="493"/>
      <c r="BV48" s="493"/>
      <c r="BW48" s="493"/>
      <c r="BX48" s="493"/>
      <c r="BY48" s="493"/>
      <c r="BZ48" s="493"/>
      <c r="CA48" s="493"/>
      <c r="CB48" s="493"/>
      <c r="CC48" s="493"/>
      <c r="CD48" s="493"/>
      <c r="CE48" s="493"/>
      <c r="CF48" s="493"/>
      <c r="CG48" s="493"/>
      <c r="CH48" s="493"/>
      <c r="CI48" s="493"/>
      <c r="CJ48" s="493"/>
      <c r="CK48" s="493"/>
      <c r="CL48" s="493"/>
      <c r="CM48" s="493"/>
      <c r="CN48" s="493"/>
      <c r="CO48" s="493"/>
      <c r="CP48" s="493"/>
    </row>
    <row r="49" spans="1:94" s="494" customFormat="1" ht="14.25" customHeight="1">
      <c r="A49" s="375" t="s">
        <v>430</v>
      </c>
      <c r="B49" s="376"/>
      <c r="C49" s="376"/>
      <c r="D49" s="376"/>
      <c r="E49" s="376"/>
      <c r="F49" s="1049">
        <f>'LPF P&amp;P'!F49:G49</f>
        <v>0</v>
      </c>
      <c r="G49" s="1050"/>
      <c r="H49" s="1044">
        <f t="shared" si="0"/>
        <v>0</v>
      </c>
      <c r="I49" s="1072"/>
      <c r="J49" s="1044"/>
      <c r="K49" s="1044"/>
      <c r="L49" s="1071"/>
      <c r="M49" s="1044"/>
      <c r="N49" s="1071">
        <f t="shared" si="1"/>
        <v>0</v>
      </c>
      <c r="O49" s="1072"/>
      <c r="P49" s="1071">
        <f>R49/$R$53</f>
        <v>2.3688625216343727E-4</v>
      </c>
      <c r="Q49" s="1072"/>
      <c r="R49" s="1044">
        <f>T49/$AR49</f>
        <v>0.39350811317381584</v>
      </c>
      <c r="S49" s="1044"/>
      <c r="T49" s="1071">
        <f>$W16*$X24</f>
        <v>18.101373205995529</v>
      </c>
      <c r="U49" s="1072"/>
      <c r="V49" s="1048"/>
      <c r="W49" s="1048"/>
      <c r="X49" s="1048"/>
      <c r="Y49" s="1048"/>
      <c r="Z49" s="1048"/>
      <c r="AA49" s="1048"/>
      <c r="AB49" s="1048"/>
      <c r="AC49" s="1048"/>
      <c r="AD49" s="1048"/>
      <c r="AE49" s="1048"/>
      <c r="AF49" s="1048"/>
      <c r="AG49" s="1048"/>
      <c r="AH49" s="1048"/>
      <c r="AI49" s="1048"/>
      <c r="AJ49" s="1048"/>
      <c r="AK49" s="1058"/>
      <c r="AL49" s="543"/>
      <c r="AM49" s="552"/>
      <c r="AN49" s="552"/>
      <c r="AO49" s="552">
        <v>2</v>
      </c>
      <c r="AP49" s="552">
        <v>1</v>
      </c>
      <c r="AQ49" s="552"/>
      <c r="AR49" s="550">
        <f>AM49*12.01+AN49*1.008+AO49*16+AP49*14+AQ49*32</f>
        <v>46</v>
      </c>
      <c r="AS49" s="550"/>
      <c r="AT49" s="553"/>
      <c r="AU49" s="553"/>
      <c r="AV49" s="553"/>
      <c r="AW49" s="553"/>
      <c r="AX49" s="553"/>
      <c r="AY49" s="547"/>
      <c r="AZ49" s="493"/>
      <c r="BA49" s="493"/>
      <c r="BB49" s="493"/>
      <c r="BC49" s="493"/>
      <c r="BD49" s="493"/>
      <c r="BE49" s="493"/>
      <c r="BF49" s="493"/>
      <c r="BG49" s="493"/>
      <c r="BH49" s="493"/>
      <c r="BI49" s="493"/>
      <c r="BJ49" s="493"/>
      <c r="BK49" s="493"/>
      <c r="BL49" s="493"/>
      <c r="BM49" s="493"/>
      <c r="BN49" s="493"/>
      <c r="BO49" s="493"/>
      <c r="BP49" s="493"/>
      <c r="BQ49" s="493"/>
      <c r="BR49" s="493"/>
      <c r="BS49" s="493"/>
      <c r="BT49" s="493"/>
      <c r="BU49" s="493"/>
      <c r="BV49" s="493"/>
      <c r="BW49" s="493"/>
      <c r="BX49" s="493"/>
      <c r="BY49" s="493"/>
      <c r="BZ49" s="493"/>
      <c r="CA49" s="493"/>
      <c r="CB49" s="493"/>
      <c r="CC49" s="493"/>
      <c r="CD49" s="493"/>
      <c r="CE49" s="493"/>
      <c r="CF49" s="493"/>
      <c r="CG49" s="493"/>
      <c r="CH49" s="493"/>
      <c r="CI49" s="493"/>
      <c r="CJ49" s="493"/>
      <c r="CK49" s="493"/>
      <c r="CL49" s="493"/>
      <c r="CM49" s="493"/>
      <c r="CN49" s="493"/>
      <c r="CO49" s="493"/>
      <c r="CP49" s="493"/>
    </row>
    <row r="50" spans="1:94" s="494" customFormat="1" ht="14.25" customHeight="1">
      <c r="A50" s="375" t="s">
        <v>125</v>
      </c>
      <c r="B50" s="376"/>
      <c r="C50" s="376"/>
      <c r="D50" s="376"/>
      <c r="E50" s="376"/>
      <c r="F50" s="1049">
        <v>0</v>
      </c>
      <c r="G50" s="1050"/>
      <c r="H50" s="1044"/>
      <c r="I50" s="1072"/>
      <c r="J50" s="1044"/>
      <c r="K50" s="1044"/>
      <c r="L50" s="1071"/>
      <c r="M50" s="1044"/>
      <c r="N50" s="1071">
        <f>SUM(H50,J50,L50)*AR50</f>
        <v>0</v>
      </c>
      <c r="O50" s="1072"/>
      <c r="P50" s="1071">
        <f>R50/$R$53</f>
        <v>2.3217544601245989E-6</v>
      </c>
      <c r="Q50" s="1072"/>
      <c r="R50" s="1044">
        <f>T50/$AR50</f>
        <v>3.8568266774138206E-3</v>
      </c>
      <c r="S50" s="1044"/>
      <c r="T50" s="1071">
        <f>AC21*X24</f>
        <v>0.16970037380620812</v>
      </c>
      <c r="U50" s="1072"/>
      <c r="V50" s="1048"/>
      <c r="W50" s="1048"/>
      <c r="X50" s="1048"/>
      <c r="Y50" s="1048"/>
      <c r="Z50" s="1048"/>
      <c r="AA50" s="1048"/>
      <c r="AB50" s="1048"/>
      <c r="AC50" s="1048"/>
      <c r="AD50" s="1048"/>
      <c r="AE50" s="1048"/>
      <c r="AF50" s="1048"/>
      <c r="AG50" s="1048"/>
      <c r="AH50" s="1048"/>
      <c r="AI50" s="1048"/>
      <c r="AJ50" s="1048"/>
      <c r="AK50" s="1058"/>
      <c r="AL50" s="543"/>
      <c r="AM50" s="552"/>
      <c r="AN50" s="552"/>
      <c r="AO50" s="552">
        <v>1</v>
      </c>
      <c r="AP50" s="552">
        <v>2</v>
      </c>
      <c r="AQ50" s="552"/>
      <c r="AR50" s="550">
        <f>AM50*12.01+AN50*1.008+AO50*16+AP50*14+AQ50*32</f>
        <v>44</v>
      </c>
      <c r="AS50" s="550"/>
      <c r="AT50" s="553"/>
      <c r="AU50" s="553"/>
      <c r="AV50" s="553"/>
      <c r="AW50" s="553"/>
      <c r="AX50" s="553"/>
      <c r="AY50" s="547"/>
      <c r="AZ50" s="493"/>
      <c r="BA50" s="493"/>
      <c r="BB50" s="493"/>
      <c r="BC50" s="493"/>
      <c r="BD50" s="493"/>
      <c r="BE50" s="493"/>
      <c r="BF50" s="493"/>
      <c r="BG50" s="493"/>
      <c r="BH50" s="493"/>
      <c r="BI50" s="493"/>
      <c r="BJ50" s="493"/>
      <c r="BK50" s="493"/>
      <c r="BL50" s="493"/>
      <c r="BM50" s="493"/>
      <c r="BN50" s="493"/>
      <c r="BO50" s="493"/>
      <c r="BP50" s="493"/>
      <c r="BQ50" s="493"/>
      <c r="BR50" s="493"/>
      <c r="BS50" s="493"/>
      <c r="BT50" s="493"/>
      <c r="BU50" s="493"/>
      <c r="BV50" s="493"/>
      <c r="BW50" s="493"/>
      <c r="BX50" s="493"/>
      <c r="BY50" s="493"/>
      <c r="BZ50" s="493"/>
      <c r="CA50" s="493"/>
      <c r="CB50" s="493"/>
      <c r="CC50" s="493"/>
      <c r="CD50" s="493"/>
      <c r="CE50" s="493"/>
      <c r="CF50" s="493"/>
      <c r="CG50" s="493"/>
      <c r="CH50" s="493"/>
      <c r="CI50" s="493"/>
      <c r="CJ50" s="493"/>
      <c r="CK50" s="493"/>
      <c r="CL50" s="493"/>
      <c r="CM50" s="493"/>
      <c r="CN50" s="493"/>
      <c r="CO50" s="493"/>
      <c r="CP50" s="493"/>
    </row>
    <row r="51" spans="1:94" s="494" customFormat="1" ht="14.25" customHeight="1">
      <c r="A51" s="375" t="s">
        <v>124</v>
      </c>
      <c r="B51" s="376"/>
      <c r="C51" s="376"/>
      <c r="D51" s="376"/>
      <c r="E51" s="376"/>
      <c r="F51" s="1049">
        <f>'LPF P&amp;P'!F50:G50</f>
        <v>0</v>
      </c>
      <c r="G51" s="1050"/>
      <c r="H51" s="1044">
        <f t="shared" si="0"/>
        <v>0</v>
      </c>
      <c r="I51" s="1072"/>
      <c r="J51" s="1044"/>
      <c r="K51" s="1044"/>
      <c r="L51" s="1071"/>
      <c r="M51" s="1044"/>
      <c r="N51" s="1071">
        <f t="shared" si="1"/>
        <v>0</v>
      </c>
      <c r="O51" s="1072"/>
      <c r="P51" s="1071">
        <f t="shared" si="9"/>
        <v>0</v>
      </c>
      <c r="Q51" s="1072"/>
      <c r="R51" s="1044">
        <f>T51/$AR51</f>
        <v>0</v>
      </c>
      <c r="S51" s="1044"/>
      <c r="T51" s="1071">
        <f>Q21*X24</f>
        <v>0</v>
      </c>
      <c r="U51" s="1072"/>
      <c r="V51" s="1048"/>
      <c r="W51" s="1048"/>
      <c r="X51" s="1048"/>
      <c r="Y51" s="1048"/>
      <c r="Z51" s="1048"/>
      <c r="AA51" s="1048"/>
      <c r="AB51" s="1048"/>
      <c r="AC51" s="1048"/>
      <c r="AD51" s="1048"/>
      <c r="AE51" s="1048"/>
      <c r="AF51" s="1048"/>
      <c r="AG51" s="1048"/>
      <c r="AH51" s="1048"/>
      <c r="AI51" s="1048"/>
      <c r="AJ51" s="1048"/>
      <c r="AK51" s="1058"/>
      <c r="AL51" s="543"/>
      <c r="AM51" s="552"/>
      <c r="AN51" s="552"/>
      <c r="AO51" s="552">
        <v>2</v>
      </c>
      <c r="AP51" s="552"/>
      <c r="AQ51" s="552">
        <v>1</v>
      </c>
      <c r="AR51" s="550">
        <f>AM51*12.01+AN51*1.008+AO51*16+AP51*14+AQ51*32</f>
        <v>64</v>
      </c>
      <c r="AS51" s="550"/>
      <c r="AT51" s="553"/>
      <c r="AU51" s="553"/>
      <c r="AV51" s="553"/>
      <c r="AW51" s="553"/>
      <c r="AX51" s="553"/>
      <c r="AY51" s="547"/>
      <c r="AZ51" s="493"/>
      <c r="BA51" s="493"/>
      <c r="BB51" s="493"/>
      <c r="BC51" s="493"/>
      <c r="BD51" s="493"/>
      <c r="BE51" s="493"/>
      <c r="BF51" s="493"/>
      <c r="BG51" s="493"/>
      <c r="BH51" s="493"/>
      <c r="BI51" s="493"/>
      <c r="BJ51" s="493"/>
      <c r="BK51" s="493"/>
      <c r="BL51" s="493"/>
      <c r="BM51" s="493"/>
      <c r="BN51" s="493"/>
      <c r="BO51" s="493"/>
      <c r="BP51" s="493"/>
      <c r="BQ51" s="493"/>
      <c r="BR51" s="493"/>
      <c r="BS51" s="493"/>
      <c r="BT51" s="493"/>
      <c r="BU51" s="493"/>
      <c r="BV51" s="493"/>
      <c r="BW51" s="493"/>
      <c r="BX51" s="493"/>
      <c r="BY51" s="493"/>
      <c r="BZ51" s="493"/>
      <c r="CA51" s="493"/>
      <c r="CB51" s="493"/>
      <c r="CC51" s="493"/>
      <c r="CD51" s="493"/>
      <c r="CE51" s="493"/>
      <c r="CF51" s="493"/>
      <c r="CG51" s="493"/>
      <c r="CH51" s="493"/>
      <c r="CI51" s="493"/>
      <c r="CJ51" s="493"/>
      <c r="CK51" s="493"/>
      <c r="CL51" s="493"/>
      <c r="CM51" s="493"/>
      <c r="CN51" s="493"/>
      <c r="CO51" s="493"/>
      <c r="CP51" s="493"/>
    </row>
    <row r="52" spans="1:94" s="494" customFormat="1" ht="14.25" customHeight="1">
      <c r="A52" s="385" t="s">
        <v>431</v>
      </c>
      <c r="B52" s="386"/>
      <c r="C52" s="386"/>
      <c r="D52" s="386"/>
      <c r="E52" s="386"/>
      <c r="F52" s="1049">
        <f>'LPF P&amp;P'!F51:G51</f>
        <v>0</v>
      </c>
      <c r="G52" s="1050"/>
      <c r="H52" s="1044">
        <f t="shared" si="0"/>
        <v>0</v>
      </c>
      <c r="I52" s="1072"/>
      <c r="J52" s="1048"/>
      <c r="K52" s="1048"/>
      <c r="L52" s="1099"/>
      <c r="M52" s="1048"/>
      <c r="N52" s="1071">
        <f t="shared" si="1"/>
        <v>0</v>
      </c>
      <c r="O52" s="1072"/>
      <c r="P52" s="1128">
        <f t="shared" si="9"/>
        <v>0.16713892406165395</v>
      </c>
      <c r="Q52" s="1130"/>
      <c r="R52" s="1044">
        <f>SUMPRODUCT(H31:H52,$AV31:$AV52)+H52-SUMPRODUCT(R32:R42,$AV32:$AV42)</f>
        <v>277.64600961319371</v>
      </c>
      <c r="S52" s="1044"/>
      <c r="T52" s="1099">
        <f>R52*$AR52</f>
        <v>5002.0705091912978</v>
      </c>
      <c r="U52" s="1058"/>
      <c r="V52" s="1048"/>
      <c r="W52" s="1048"/>
      <c r="X52" s="1048"/>
      <c r="Y52" s="1048"/>
      <c r="Z52" s="1048"/>
      <c r="AA52" s="1048"/>
      <c r="AB52" s="1048"/>
      <c r="AC52" s="1048"/>
      <c r="AD52" s="1048"/>
      <c r="AE52" s="1048"/>
      <c r="AF52" s="1048"/>
      <c r="AG52" s="1048"/>
      <c r="AH52" s="1048"/>
      <c r="AI52" s="1048"/>
      <c r="AJ52" s="1048"/>
      <c r="AK52" s="1058"/>
      <c r="AL52" s="543"/>
      <c r="AM52" s="554"/>
      <c r="AN52" s="554">
        <v>2</v>
      </c>
      <c r="AO52" s="554">
        <v>1</v>
      </c>
      <c r="AP52" s="554"/>
      <c r="AQ52" s="554"/>
      <c r="AR52" s="555">
        <f>AM52*12.01+AN52*1.008+AO52*16+AP52*14+AQ52*32</f>
        <v>18.015999999999998</v>
      </c>
      <c r="AS52" s="555"/>
      <c r="AT52" s="556"/>
      <c r="AU52" s="556"/>
      <c r="AV52" s="556"/>
      <c r="AW52" s="556"/>
      <c r="AX52" s="556"/>
      <c r="AY52" s="547"/>
      <c r="AZ52" s="493"/>
      <c r="BA52" s="493"/>
      <c r="BB52" s="493"/>
      <c r="BC52" s="493"/>
      <c r="BD52" s="493"/>
      <c r="BE52" s="493"/>
      <c r="BF52" s="493"/>
      <c r="BG52" s="493"/>
      <c r="BH52" s="493"/>
      <c r="BI52" s="493"/>
      <c r="BJ52" s="493"/>
      <c r="BK52" s="493"/>
      <c r="BL52" s="493"/>
      <c r="BM52" s="493"/>
      <c r="BN52" s="493"/>
      <c r="BO52" s="493"/>
      <c r="BP52" s="493"/>
      <c r="BQ52" s="493"/>
      <c r="BR52" s="493"/>
      <c r="BS52" s="493"/>
      <c r="BT52" s="493"/>
      <c r="BU52" s="493"/>
      <c r="BV52" s="493"/>
      <c r="BW52" s="493"/>
      <c r="BX52" s="493"/>
      <c r="BY52" s="493"/>
      <c r="BZ52" s="493"/>
      <c r="CA52" s="493"/>
      <c r="CB52" s="493"/>
      <c r="CC52" s="493"/>
      <c r="CD52" s="493"/>
      <c r="CE52" s="493"/>
      <c r="CF52" s="493"/>
      <c r="CG52" s="493"/>
      <c r="CH52" s="493"/>
      <c r="CI52" s="493"/>
      <c r="CJ52" s="493"/>
      <c r="CK52" s="493"/>
      <c r="CL52" s="493"/>
      <c r="CM52" s="493"/>
      <c r="CN52" s="493"/>
      <c r="CO52" s="493"/>
      <c r="CP52" s="493"/>
    </row>
    <row r="53" spans="1:94" s="129" customFormat="1" ht="14.25" customHeight="1">
      <c r="A53" s="1035" t="s">
        <v>663</v>
      </c>
      <c r="B53" s="1036"/>
      <c r="C53" s="1036"/>
      <c r="D53" s="1036"/>
      <c r="E53" s="1037"/>
      <c r="F53" s="1128">
        <f>SUM(F31:F52)</f>
        <v>0.99999999999999989</v>
      </c>
      <c r="G53" s="1129"/>
      <c r="H53" s="1237">
        <f>SUM(H31:H52)</f>
        <v>138.95061728395061</v>
      </c>
      <c r="I53" s="1238"/>
      <c r="J53" s="1239">
        <f>SUM(J31:J52)</f>
        <v>1323.4715461493247</v>
      </c>
      <c r="K53" s="1239"/>
      <c r="L53" s="1237">
        <f>SUM(L31:L52)</f>
        <v>198.52073192239868</v>
      </c>
      <c r="M53" s="1239"/>
      <c r="N53" s="1237">
        <f>SUM(N31:N52)</f>
        <v>46135.140944316903</v>
      </c>
      <c r="O53" s="1238"/>
      <c r="P53" s="1237">
        <f>SUM(P31:P52)</f>
        <v>1.0000000000000002</v>
      </c>
      <c r="Q53" s="1238"/>
      <c r="R53" s="1237">
        <f>SUM(R31:R52)</f>
        <v>1661.1690614376341</v>
      </c>
      <c r="S53" s="1238"/>
      <c r="T53" s="1237">
        <f>SUM(T31:T52)</f>
        <v>46139.744178798355</v>
      </c>
      <c r="U53" s="1238"/>
      <c r="V53" s="1048"/>
      <c r="W53" s="1048"/>
      <c r="X53" s="1048"/>
      <c r="Y53" s="1048"/>
      <c r="Z53" s="1048"/>
      <c r="AA53" s="1048"/>
      <c r="AB53" s="1048"/>
      <c r="AC53" s="1048"/>
      <c r="AD53" s="1048"/>
      <c r="AE53" s="1048"/>
      <c r="AF53" s="1048"/>
      <c r="AG53" s="1048"/>
      <c r="AH53" s="1048"/>
      <c r="AI53" s="1048"/>
      <c r="AJ53" s="1048"/>
      <c r="AK53" s="1058"/>
      <c r="AL53" s="543"/>
      <c r="AM53" s="547"/>
      <c r="AN53" s="547"/>
      <c r="AO53" s="547"/>
      <c r="AP53" s="547"/>
      <c r="AQ53" s="547"/>
      <c r="AR53" s="557"/>
      <c r="AS53" s="557"/>
      <c r="AT53" s="558"/>
      <c r="AU53" s="558"/>
      <c r="AV53" s="558"/>
      <c r="AW53" s="558"/>
      <c r="AX53" s="558"/>
      <c r="AY53" s="547"/>
      <c r="AZ53" s="493"/>
      <c r="BA53" s="493"/>
      <c r="BB53" s="493"/>
      <c r="BC53" s="493"/>
      <c r="BD53" s="493"/>
      <c r="BE53" s="493"/>
      <c r="BF53" s="493"/>
      <c r="BG53" s="493"/>
      <c r="BH53" s="493"/>
      <c r="BI53" s="493"/>
      <c r="BJ53" s="493"/>
      <c r="BK53" s="493"/>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row>
    <row r="54" spans="1:94" s="129" customFormat="1" ht="14.25" customHeight="1">
      <c r="A54" s="559" t="s">
        <v>665</v>
      </c>
      <c r="B54" s="291"/>
      <c r="C54" s="291"/>
      <c r="D54" s="291"/>
      <c r="E54" s="27"/>
      <c r="F54" s="27"/>
      <c r="G54" s="27"/>
      <c r="H54" s="27"/>
      <c r="I54" s="27"/>
      <c r="J54" s="27"/>
      <c r="K54" s="31"/>
      <c r="L54" s="1189" t="s">
        <v>666</v>
      </c>
      <c r="M54" s="1190"/>
      <c r="N54" s="389"/>
      <c r="O54" s="389"/>
      <c r="P54" s="389"/>
      <c r="Q54" s="389"/>
      <c r="R54" s="389"/>
      <c r="S54" s="389"/>
      <c r="T54" s="389"/>
      <c r="U54" s="389"/>
      <c r="V54" s="270"/>
      <c r="W54" s="270"/>
      <c r="X54" s="560"/>
      <c r="Y54" s="560"/>
      <c r="Z54" s="560"/>
      <c r="AA54" s="560"/>
      <c r="AB54" s="560"/>
      <c r="AC54" s="560"/>
      <c r="AD54" s="560"/>
      <c r="AE54" s="560"/>
      <c r="AF54" s="560"/>
      <c r="AG54" s="270"/>
      <c r="AH54" s="270"/>
      <c r="AI54" s="270"/>
      <c r="AJ54" s="270"/>
      <c r="AK54" s="561"/>
      <c r="AL54" s="193"/>
      <c r="AM54" s="562"/>
      <c r="AN54" s="562"/>
      <c r="AO54" s="562"/>
      <c r="AP54" s="562"/>
      <c r="AQ54" s="562"/>
      <c r="AR54" s="562"/>
      <c r="AS54" s="562"/>
      <c r="AT54" s="562"/>
      <c r="AU54" s="562"/>
      <c r="AV54" s="562"/>
      <c r="AW54" s="562"/>
      <c r="AX54" s="562"/>
      <c r="AY54" s="562"/>
      <c r="AZ54" s="562"/>
      <c r="BA54" s="562"/>
      <c r="BB54" s="562"/>
      <c r="BC54" s="562"/>
      <c r="BD54" s="562"/>
      <c r="BE54" s="562"/>
      <c r="BF54" s="562"/>
      <c r="BG54" s="562"/>
      <c r="BH54" s="562"/>
      <c r="BI54" s="562"/>
      <c r="BJ54" s="562"/>
      <c r="BK54" s="562"/>
      <c r="BL54" s="563"/>
      <c r="BM54" s="563"/>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row>
    <row r="55" spans="1:94" s="535" customFormat="1" ht="14.25" customHeight="1">
      <c r="A55" s="564" t="s">
        <v>668</v>
      </c>
      <c r="B55" s="565"/>
      <c r="C55" s="565"/>
      <c r="D55" s="565"/>
      <c r="E55" s="565"/>
      <c r="F55" s="565"/>
      <c r="G55" s="565"/>
      <c r="H55" s="565"/>
      <c r="I55" s="565"/>
      <c r="J55" s="565"/>
      <c r="K55" s="565"/>
      <c r="L55" s="1185">
        <f>N55*1000/3600</f>
        <v>5.0281592238876467</v>
      </c>
      <c r="M55" s="1186"/>
      <c r="N55" s="1069">
        <f>((X24*$W$16))</f>
        <v>18.101373205995529</v>
      </c>
      <c r="O55" s="1069"/>
      <c r="P55" s="566" t="s">
        <v>617</v>
      </c>
      <c r="Q55" s="567"/>
      <c r="R55" s="1229">
        <f>N55*365.25*24/1000</f>
        <v>158.6766375237568</v>
      </c>
      <c r="S55" s="1229"/>
      <c r="T55" s="1244" t="s">
        <v>332</v>
      </c>
      <c r="U55" s="1244"/>
      <c r="V55" s="393"/>
      <c r="W55" s="393"/>
      <c r="X55" s="393"/>
      <c r="Y55" s="1021"/>
      <c r="Z55" s="1021"/>
      <c r="AA55" s="393"/>
      <c r="AB55" s="393"/>
      <c r="AC55" s="1027"/>
      <c r="AD55" s="1027"/>
      <c r="AE55" s="1027"/>
      <c r="AF55" s="1027"/>
      <c r="AG55" s="393"/>
      <c r="AH55" s="393"/>
      <c r="AI55" s="393"/>
      <c r="AJ55" s="393"/>
      <c r="AK55" s="568"/>
      <c r="AL55" s="569"/>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62"/>
      <c r="BM55" s="562"/>
      <c r="BN55" s="562"/>
      <c r="BO55" s="562"/>
      <c r="BP55" s="562"/>
      <c r="BQ55" s="562"/>
      <c r="BR55" s="562"/>
      <c r="BS55" s="562"/>
      <c r="BT55" s="562"/>
      <c r="BU55" s="562"/>
      <c r="BV55" s="562"/>
      <c r="BW55" s="562"/>
      <c r="BX55" s="562"/>
      <c r="BY55" s="562"/>
      <c r="BZ55" s="562"/>
      <c r="CA55" s="562"/>
      <c r="CB55" s="562"/>
      <c r="CC55" s="562"/>
      <c r="CD55" s="562"/>
      <c r="CE55" s="562"/>
      <c r="CF55" s="562"/>
      <c r="CG55" s="562"/>
      <c r="CH55" s="562"/>
      <c r="CI55" s="562"/>
      <c r="CJ55" s="562"/>
      <c r="CK55" s="562"/>
      <c r="CL55" s="562"/>
      <c r="CM55" s="562"/>
      <c r="CN55" s="562"/>
      <c r="CO55" s="562"/>
      <c r="CP55" s="562"/>
    </row>
    <row r="56" spans="1:94" s="129" customFormat="1" ht="14.25" customHeight="1">
      <c r="A56" s="564" t="s">
        <v>670</v>
      </c>
      <c r="B56" s="565"/>
      <c r="C56" s="565"/>
      <c r="D56" s="565"/>
      <c r="E56" s="565"/>
      <c r="F56" s="565"/>
      <c r="G56" s="565"/>
      <c r="H56" s="565"/>
      <c r="I56" s="565"/>
      <c r="J56" s="565"/>
      <c r="K56" s="565"/>
      <c r="L56" s="1185">
        <f t="shared" ref="L56:L61" si="12">N56*1000/3600</f>
        <v>1.2884658011212093</v>
      </c>
      <c r="M56" s="1186"/>
      <c r="N56" s="1069">
        <f>(X24*$AC$16)</f>
        <v>4.6384768840363542</v>
      </c>
      <c r="O56" s="1069"/>
      <c r="P56" s="31" t="s">
        <v>617</v>
      </c>
      <c r="Q56" s="567"/>
      <c r="R56" s="1229">
        <f t="shared" ref="R56:R62" si="13">N56*365.25*24/1000</f>
        <v>40.660888365462682</v>
      </c>
      <c r="S56" s="1229"/>
      <c r="T56" s="1022" t="s">
        <v>332</v>
      </c>
      <c r="U56" s="1022"/>
      <c r="V56" s="270"/>
      <c r="W56" s="270"/>
      <c r="X56" s="270"/>
      <c r="Y56" s="1027"/>
      <c r="Z56" s="1027"/>
      <c r="AA56" s="270"/>
      <c r="AB56" s="270"/>
      <c r="AC56" s="393"/>
      <c r="AD56" s="393"/>
      <c r="AE56" s="571"/>
      <c r="AF56" s="571"/>
      <c r="AG56" s="270"/>
      <c r="AH56" s="270"/>
      <c r="AI56" s="270"/>
      <c r="AJ56" s="301"/>
      <c r="AK56" s="378"/>
      <c r="AL56" s="193"/>
      <c r="AM56" s="572"/>
      <c r="AN56" s="572"/>
      <c r="AO56" s="572"/>
      <c r="AP56" s="572"/>
      <c r="AQ56" s="572"/>
      <c r="AR56" s="572"/>
      <c r="AS56" s="572"/>
      <c r="AT56" s="572"/>
      <c r="AU56" s="572"/>
      <c r="AV56" s="572"/>
      <c r="AW56" s="572"/>
      <c r="AX56" s="572"/>
      <c r="AY56" s="572"/>
      <c r="AZ56" s="572"/>
      <c r="BA56" s="572"/>
      <c r="BB56" s="572"/>
      <c r="BC56" s="572"/>
      <c r="BD56" s="572"/>
      <c r="BE56" s="572"/>
      <c r="BF56" s="572"/>
      <c r="BG56" s="572"/>
      <c r="BH56" s="572"/>
      <c r="BI56" s="572"/>
      <c r="BJ56" s="572"/>
      <c r="BK56" s="572"/>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row>
    <row r="57" spans="1:94" s="129" customFormat="1" ht="14.25" customHeight="1">
      <c r="A57" s="564" t="s">
        <v>671</v>
      </c>
      <c r="B57" s="565"/>
      <c r="C57" s="565"/>
      <c r="D57" s="565"/>
      <c r="E57" s="565"/>
      <c r="F57" s="565"/>
      <c r="G57" s="565"/>
      <c r="H57" s="565"/>
      <c r="I57" s="565"/>
      <c r="J57" s="565"/>
      <c r="K57" s="565"/>
      <c r="L57" s="1185">
        <f t="shared" si="12"/>
        <v>0.10370578399268272</v>
      </c>
      <c r="M57" s="1186"/>
      <c r="N57" s="1069">
        <f>(X24*$AI$16)</f>
        <v>0.37334082237365784</v>
      </c>
      <c r="O57" s="1069"/>
      <c r="P57" s="31" t="s">
        <v>617</v>
      </c>
      <c r="Q57" s="567"/>
      <c r="R57" s="1229">
        <f t="shared" si="13"/>
        <v>3.2727056489274848</v>
      </c>
      <c r="S57" s="1229"/>
      <c r="T57" s="391" t="s">
        <v>332</v>
      </c>
      <c r="U57" s="391"/>
      <c r="V57" s="270"/>
      <c r="W57" s="270"/>
      <c r="X57" s="270"/>
      <c r="Y57" s="270"/>
      <c r="Z57" s="270"/>
      <c r="AA57" s="270"/>
      <c r="AB57" s="270"/>
      <c r="AC57" s="270"/>
      <c r="AD57" s="270"/>
      <c r="AE57" s="270"/>
      <c r="AF57" s="270"/>
      <c r="AG57" s="270"/>
      <c r="AH57" s="270"/>
      <c r="AI57" s="270"/>
      <c r="AJ57" s="301"/>
      <c r="AK57" s="378"/>
      <c r="AL57" s="193"/>
      <c r="AM57" s="573"/>
      <c r="AN57" s="573"/>
      <c r="AO57" s="573"/>
      <c r="AP57" s="573"/>
      <c r="AQ57" s="573"/>
      <c r="AR57" s="573"/>
      <c r="AS57" s="573"/>
      <c r="AT57" s="573"/>
      <c r="AU57" s="573"/>
      <c r="AV57" s="573"/>
      <c r="AW57" s="573"/>
      <c r="AX57" s="573"/>
      <c r="AY57" s="573"/>
      <c r="AZ57" s="573"/>
      <c r="BA57" s="573"/>
      <c r="BB57" s="573"/>
      <c r="BC57" s="573"/>
      <c r="BD57" s="573"/>
      <c r="BE57" s="573"/>
      <c r="BF57" s="573"/>
      <c r="BG57" s="573"/>
      <c r="BH57" s="573"/>
      <c r="BI57" s="573"/>
      <c r="BJ57" s="573"/>
      <c r="BK57" s="573"/>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row>
    <row r="58" spans="1:94" s="129" customFormat="1" ht="14.25" customHeight="1">
      <c r="A58" s="564" t="s">
        <v>672</v>
      </c>
      <c r="B58" s="565"/>
      <c r="C58" s="565"/>
      <c r="D58" s="565"/>
      <c r="E58" s="565"/>
      <c r="F58" s="565"/>
      <c r="G58" s="565"/>
      <c r="H58" s="565"/>
      <c r="I58" s="565"/>
      <c r="J58" s="565"/>
      <c r="K58" s="565"/>
      <c r="L58" s="1185">
        <f t="shared" si="12"/>
        <v>0.13513177914198049</v>
      </c>
      <c r="M58" s="1186"/>
      <c r="N58" s="1069">
        <f>(X24*$K$21)</f>
        <v>0.48647440491112981</v>
      </c>
      <c r="O58" s="1069"/>
      <c r="P58" s="31" t="s">
        <v>617</v>
      </c>
      <c r="Q58" s="567"/>
      <c r="R58" s="1229">
        <f t="shared" si="13"/>
        <v>4.2644346334509642</v>
      </c>
      <c r="S58" s="1229"/>
      <c r="T58" s="1022" t="s">
        <v>332</v>
      </c>
      <c r="U58" s="1022"/>
      <c r="V58" s="270"/>
      <c r="W58" s="270"/>
      <c r="X58" s="270"/>
      <c r="Y58" s="393"/>
      <c r="Z58" s="393"/>
      <c r="AA58" s="270"/>
      <c r="AB58" s="270"/>
      <c r="AC58" s="393"/>
      <c r="AD58" s="393"/>
      <c r="AE58" s="571"/>
      <c r="AF58" s="571"/>
      <c r="AG58" s="270"/>
      <c r="AH58" s="270"/>
      <c r="AI58" s="270"/>
      <c r="AJ58" s="301"/>
      <c r="AK58" s="378"/>
      <c r="AL58" s="193"/>
      <c r="AM58" s="573"/>
      <c r="AN58" s="573"/>
      <c r="AO58" s="573"/>
      <c r="AP58" s="573"/>
      <c r="AQ58" s="573"/>
      <c r="AR58" s="573"/>
      <c r="AS58" s="573"/>
      <c r="AT58" s="573"/>
      <c r="AU58" s="573"/>
      <c r="AV58" s="573"/>
      <c r="AW58" s="573"/>
      <c r="AX58" s="573"/>
      <c r="AY58" s="573"/>
      <c r="AZ58" s="573"/>
      <c r="BA58" s="573"/>
      <c r="BB58" s="573"/>
      <c r="BC58" s="573"/>
      <c r="BD58" s="573"/>
      <c r="BE58" s="573"/>
      <c r="BF58" s="573"/>
      <c r="BG58" s="573"/>
      <c r="BH58" s="573"/>
      <c r="BI58" s="573"/>
      <c r="BJ58" s="573"/>
      <c r="BK58" s="573"/>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row>
    <row r="59" spans="1:94" s="129" customFormat="1" ht="14.25" customHeight="1">
      <c r="A59" s="564" t="s">
        <v>673</v>
      </c>
      <c r="B59" s="565"/>
      <c r="C59" s="565"/>
      <c r="D59" s="565"/>
      <c r="E59" s="565"/>
      <c r="F59" s="565"/>
      <c r="G59" s="565"/>
      <c r="H59" s="565"/>
      <c r="I59" s="565"/>
      <c r="J59" s="565"/>
      <c r="K59" s="565"/>
      <c r="L59" s="1185">
        <f t="shared" si="12"/>
        <v>3.2997294906762675E-2</v>
      </c>
      <c r="M59" s="1186"/>
      <c r="N59" s="1069">
        <f>(X24*$W$21)</f>
        <v>0.11879026166434564</v>
      </c>
      <c r="O59" s="1069"/>
      <c r="P59" s="31" t="s">
        <v>617</v>
      </c>
      <c r="Q59" s="567"/>
      <c r="R59" s="1229">
        <f t="shared" si="13"/>
        <v>1.041315433749654</v>
      </c>
      <c r="S59" s="1229"/>
      <c r="T59" s="391" t="s">
        <v>332</v>
      </c>
      <c r="U59" s="391"/>
      <c r="V59" s="270"/>
      <c r="W59" s="270"/>
      <c r="X59" s="270"/>
      <c r="Y59" s="270"/>
      <c r="Z59" s="270"/>
      <c r="AA59" s="270"/>
      <c r="AB59" s="270"/>
      <c r="AC59" s="270"/>
      <c r="AD59" s="270"/>
      <c r="AE59" s="270"/>
      <c r="AF59" s="270"/>
      <c r="AG59" s="270"/>
      <c r="AH59" s="270"/>
      <c r="AI59" s="270"/>
      <c r="AJ59" s="270"/>
      <c r="AK59" s="378"/>
      <c r="AL59" s="193"/>
      <c r="AM59" s="573"/>
      <c r="AN59" s="573"/>
      <c r="AO59" s="573"/>
      <c r="AP59" s="573"/>
      <c r="AQ59" s="573"/>
      <c r="AR59" s="573"/>
      <c r="AS59" s="573"/>
      <c r="AT59" s="573"/>
      <c r="AU59" s="573"/>
      <c r="AV59" s="573"/>
      <c r="AW59" s="573"/>
      <c r="AX59" s="573"/>
      <c r="AY59" s="573"/>
      <c r="AZ59" s="573"/>
      <c r="BA59" s="573"/>
      <c r="BB59" s="573"/>
      <c r="BC59" s="573"/>
      <c r="BD59" s="573"/>
      <c r="BE59" s="573"/>
      <c r="BF59" s="573"/>
      <c r="BG59" s="573"/>
      <c r="BH59" s="573"/>
      <c r="BI59" s="573"/>
      <c r="BJ59" s="573"/>
      <c r="BK59" s="573"/>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row>
    <row r="60" spans="1:94" s="129" customFormat="1" ht="14.25" customHeight="1">
      <c r="A60" s="564" t="s">
        <v>675</v>
      </c>
      <c r="B60" s="565"/>
      <c r="C60" s="565"/>
      <c r="D60" s="565"/>
      <c r="E60" s="565"/>
      <c r="F60" s="565"/>
      <c r="G60" s="565"/>
      <c r="H60" s="565"/>
      <c r="I60" s="565"/>
      <c r="J60" s="565"/>
      <c r="K60" s="565"/>
      <c r="L60" s="1185">
        <f t="shared" si="12"/>
        <v>0</v>
      </c>
      <c r="M60" s="1186"/>
      <c r="N60" s="1069">
        <f>(X24*$Q$21)</f>
        <v>0</v>
      </c>
      <c r="O60" s="1069"/>
      <c r="P60" s="31" t="s">
        <v>617</v>
      </c>
      <c r="Q60" s="567"/>
      <c r="R60" s="1229">
        <f t="shared" si="13"/>
        <v>0</v>
      </c>
      <c r="S60" s="1229"/>
      <c r="T60" s="391" t="s">
        <v>332</v>
      </c>
      <c r="U60" s="391"/>
      <c r="V60" s="270"/>
      <c r="W60" s="270"/>
      <c r="X60" s="270"/>
      <c r="Y60" s="393"/>
      <c r="Z60" s="393"/>
      <c r="AA60" s="270"/>
      <c r="AB60" s="270"/>
      <c r="AC60" s="393"/>
      <c r="AD60" s="393"/>
      <c r="AE60" s="571"/>
      <c r="AF60" s="571"/>
      <c r="AG60" s="270"/>
      <c r="AH60" s="270"/>
      <c r="AI60" s="270"/>
      <c r="AJ60" s="301"/>
      <c r="AK60" s="378"/>
      <c r="AL60" s="193"/>
      <c r="AM60" s="573"/>
      <c r="AN60" s="573"/>
      <c r="AO60" s="573"/>
      <c r="AP60" s="573"/>
      <c r="AQ60" s="573"/>
      <c r="AR60" s="573"/>
      <c r="AS60" s="573"/>
      <c r="AT60" s="573"/>
      <c r="AU60" s="573"/>
      <c r="AV60" s="573"/>
      <c r="AW60" s="573"/>
      <c r="AX60" s="573"/>
      <c r="AY60" s="573"/>
      <c r="AZ60" s="573"/>
      <c r="BA60" s="573"/>
      <c r="BB60" s="573"/>
      <c r="BC60" s="573"/>
      <c r="BD60" s="573"/>
      <c r="BE60" s="573"/>
      <c r="BF60" s="573"/>
      <c r="BG60" s="573"/>
      <c r="BH60" s="573"/>
      <c r="BI60" s="573"/>
      <c r="BJ60" s="573"/>
      <c r="BK60" s="573"/>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row>
    <row r="61" spans="1:94" s="129" customFormat="1" ht="14.25" customHeight="1">
      <c r="A61" s="564" t="s">
        <v>676</v>
      </c>
      <c r="B61" s="565"/>
      <c r="C61" s="565"/>
      <c r="D61" s="565"/>
      <c r="E61" s="565"/>
      <c r="F61" s="565"/>
      <c r="G61" s="565"/>
      <c r="H61" s="565"/>
      <c r="I61" s="565"/>
      <c r="J61" s="565"/>
      <c r="K61" s="565"/>
      <c r="L61" s="1185">
        <f t="shared" si="12"/>
        <v>3.7906730335444998E-4</v>
      </c>
      <c r="M61" s="1186"/>
      <c r="N61" s="1069">
        <f>(N55*$AC$21)</f>
        <v>1.3646422920760199E-3</v>
      </c>
      <c r="O61" s="1069"/>
      <c r="P61" s="31" t="s">
        <v>617</v>
      </c>
      <c r="Q61" s="567"/>
      <c r="R61" s="1229">
        <f t="shared" si="13"/>
        <v>1.196245433233839E-2</v>
      </c>
      <c r="S61" s="1229"/>
      <c r="T61" s="31" t="s">
        <v>332</v>
      </c>
      <c r="U61" s="31"/>
      <c r="V61" s="270"/>
      <c r="W61" s="270"/>
      <c r="X61" s="270"/>
      <c r="Y61" s="393"/>
      <c r="Z61" s="393"/>
      <c r="AA61" s="270"/>
      <c r="AB61" s="270"/>
      <c r="AC61" s="393"/>
      <c r="AD61" s="393"/>
      <c r="AE61" s="571"/>
      <c r="AF61" s="571"/>
      <c r="AG61" s="270"/>
      <c r="AH61" s="270"/>
      <c r="AI61" s="270"/>
      <c r="AJ61" s="270"/>
      <c r="AK61" s="378"/>
      <c r="AL61" s="193"/>
      <c r="AM61" s="573"/>
      <c r="AN61" s="573"/>
      <c r="AO61" s="573"/>
      <c r="AP61" s="573"/>
      <c r="AQ61" s="573"/>
      <c r="AR61" s="573"/>
      <c r="AS61" s="573"/>
      <c r="AT61" s="573"/>
      <c r="AU61" s="573"/>
      <c r="AV61" s="573"/>
      <c r="AW61" s="573"/>
      <c r="AX61" s="573"/>
      <c r="AY61" s="573"/>
      <c r="AZ61" s="573"/>
      <c r="BA61" s="573"/>
      <c r="BB61" s="573"/>
      <c r="BC61" s="573"/>
      <c r="BD61" s="573"/>
      <c r="BE61" s="573"/>
      <c r="BF61" s="573"/>
      <c r="BG61" s="573"/>
      <c r="BH61" s="573"/>
      <c r="BI61" s="573"/>
      <c r="BJ61" s="573"/>
      <c r="BK61" s="573"/>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row>
    <row r="62" spans="1:94" s="129" customFormat="1" ht="14.25" customHeight="1">
      <c r="A62" s="564" t="s">
        <v>677</v>
      </c>
      <c r="B62" s="565"/>
      <c r="C62" s="565"/>
      <c r="D62" s="565"/>
      <c r="E62" s="565"/>
      <c r="F62" s="565"/>
      <c r="G62" s="565"/>
      <c r="H62" s="565"/>
      <c r="I62" s="565"/>
      <c r="J62" s="565"/>
      <c r="K62" s="565"/>
      <c r="L62" s="1246">
        <f>N62*1000/3600</f>
        <v>1708.7879782023253</v>
      </c>
      <c r="M62" s="1247"/>
      <c r="N62" s="1069">
        <f>(X24*CO2eEF!$I$28)</f>
        <v>6151.6367215283708</v>
      </c>
      <c r="O62" s="1069"/>
      <c r="P62" s="395" t="s">
        <v>617</v>
      </c>
      <c r="Q62" s="567"/>
      <c r="R62" s="1229">
        <f t="shared" si="13"/>
        <v>53925.247500917692</v>
      </c>
      <c r="S62" s="1229"/>
      <c r="T62" s="395" t="s">
        <v>332</v>
      </c>
      <c r="U62" s="395"/>
      <c r="V62" s="270"/>
      <c r="W62" s="270"/>
      <c r="X62" s="270"/>
      <c r="Y62" s="31"/>
      <c r="Z62" s="394"/>
      <c r="AA62" s="270"/>
      <c r="AB62" s="270"/>
      <c r="AC62" s="393"/>
      <c r="AD62" s="393"/>
      <c r="AE62" s="571"/>
      <c r="AF62" s="571"/>
      <c r="AG62" s="270"/>
      <c r="AH62" s="270"/>
      <c r="AI62" s="270"/>
      <c r="AJ62" s="270"/>
      <c r="AK62" s="378"/>
      <c r="AL62" s="193"/>
      <c r="AM62" s="573"/>
      <c r="AN62" s="573"/>
      <c r="AO62" s="573"/>
      <c r="AP62" s="573"/>
      <c r="AQ62" s="573"/>
      <c r="AR62" s="573"/>
      <c r="AS62" s="573"/>
      <c r="AT62" s="573"/>
      <c r="AU62" s="573"/>
      <c r="AV62" s="573"/>
      <c r="AW62" s="573"/>
      <c r="AX62" s="573"/>
      <c r="AY62" s="573"/>
      <c r="AZ62" s="573"/>
      <c r="BA62" s="573"/>
      <c r="BB62" s="573"/>
      <c r="BC62" s="573"/>
      <c r="BD62" s="573"/>
      <c r="BE62" s="573"/>
      <c r="BF62" s="573"/>
      <c r="BG62" s="573"/>
      <c r="BH62" s="573"/>
      <c r="BI62" s="573"/>
      <c r="BJ62" s="573"/>
      <c r="BK62" s="573"/>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row>
    <row r="63" spans="1:94" s="247" customFormat="1" ht="14.25" customHeight="1">
      <c r="A63" s="224" t="s">
        <v>678</v>
      </c>
      <c r="B63" s="27"/>
      <c r="C63" s="27"/>
      <c r="D63" s="27"/>
      <c r="E63" s="27"/>
      <c r="F63" s="574"/>
      <c r="G63" s="574"/>
      <c r="H63" s="574"/>
      <c r="I63" s="574"/>
      <c r="J63" s="574"/>
      <c r="K63" s="574"/>
      <c r="L63" s="574"/>
      <c r="M63" s="574"/>
      <c r="N63" s="574"/>
      <c r="O63" s="574"/>
      <c r="P63" s="574"/>
      <c r="Q63" s="574"/>
      <c r="R63" s="574"/>
      <c r="S63" s="574"/>
      <c r="T63" s="574"/>
      <c r="U63" s="574"/>
      <c r="V63" s="574"/>
      <c r="W63" s="574"/>
      <c r="X63" s="574"/>
      <c r="Y63" s="574"/>
      <c r="Z63" s="574"/>
      <c r="AA63" s="574"/>
      <c r="AB63" s="574"/>
      <c r="AC63" s="574"/>
      <c r="AD63" s="574"/>
      <c r="AE63" s="574"/>
      <c r="AF63" s="574"/>
      <c r="AG63" s="574"/>
      <c r="AH63" s="574"/>
      <c r="AI63" s="574"/>
      <c r="AJ63" s="574"/>
      <c r="AK63" s="575"/>
      <c r="AL63" s="576"/>
      <c r="AM63" s="507"/>
      <c r="AN63" s="507"/>
      <c r="AO63" s="507"/>
      <c r="AP63" s="507"/>
      <c r="AQ63" s="507"/>
      <c r="AR63" s="507"/>
      <c r="AS63" s="507"/>
      <c r="AT63" s="507"/>
      <c r="AU63" s="507"/>
      <c r="AV63" s="507"/>
      <c r="AW63" s="507"/>
      <c r="AX63" s="507"/>
      <c r="AY63" s="507"/>
      <c r="AZ63" s="507"/>
      <c r="BA63" s="507"/>
      <c r="BB63" s="507"/>
      <c r="BC63" s="507"/>
      <c r="BD63" s="507"/>
      <c r="BE63" s="507"/>
      <c r="BF63" s="507"/>
      <c r="BG63" s="507"/>
      <c r="BH63" s="507"/>
      <c r="BI63" s="507"/>
      <c r="BJ63" s="507"/>
      <c r="BK63" s="507"/>
      <c r="BL63" s="243"/>
      <c r="BM63" s="243"/>
      <c r="BN63" s="243"/>
      <c r="BO63" s="243"/>
      <c r="BP63" s="243"/>
      <c r="BQ63" s="243"/>
      <c r="BR63" s="243"/>
      <c r="BS63" s="243"/>
      <c r="BT63" s="243"/>
      <c r="BU63" s="243"/>
      <c r="BV63" s="243"/>
      <c r="BW63" s="243"/>
      <c r="BX63" s="243"/>
      <c r="BY63" s="243"/>
      <c r="BZ63" s="243"/>
      <c r="CA63" s="243"/>
      <c r="CB63" s="243"/>
      <c r="CC63" s="243"/>
      <c r="CD63" s="243"/>
      <c r="CE63" s="243"/>
      <c r="CF63" s="243"/>
      <c r="CG63" s="243"/>
      <c r="CH63" s="243"/>
      <c r="CI63" s="243"/>
      <c r="CJ63" s="243"/>
      <c r="CK63" s="243"/>
      <c r="CL63" s="243"/>
      <c r="CM63" s="243"/>
      <c r="CN63" s="243"/>
      <c r="CO63" s="243"/>
      <c r="CP63" s="243"/>
    </row>
    <row r="64" spans="1:94" ht="15">
      <c r="A64" s="396" t="s">
        <v>31</v>
      </c>
      <c r="B64" s="31" t="s">
        <v>722</v>
      </c>
      <c r="C64" s="31"/>
      <c r="D64" s="31"/>
      <c r="E64" s="31"/>
      <c r="F64" s="270"/>
      <c r="G64" s="270"/>
      <c r="H64" s="270"/>
      <c r="I64" s="270"/>
      <c r="J64" s="270"/>
      <c r="K64" s="270"/>
      <c r="L64" s="270"/>
      <c r="M64" s="270"/>
      <c r="N64" s="301"/>
      <c r="O64" s="301"/>
      <c r="P64" s="301"/>
      <c r="Q64" s="270"/>
      <c r="R64" s="270"/>
      <c r="S64" s="270"/>
      <c r="T64" s="270"/>
      <c r="U64" s="270"/>
      <c r="V64" s="270"/>
      <c r="W64" s="270"/>
      <c r="X64" s="270"/>
      <c r="Y64" s="270"/>
      <c r="Z64" s="270"/>
      <c r="AA64" s="270"/>
      <c r="AB64" s="270"/>
      <c r="AC64" s="270"/>
      <c r="AD64" s="270"/>
      <c r="AE64" s="270"/>
      <c r="AF64" s="270"/>
      <c r="AG64" s="270"/>
      <c r="AH64" s="270"/>
      <c r="AI64" s="270"/>
      <c r="AJ64" s="270"/>
      <c r="AK64" s="378"/>
      <c r="AL64" s="577"/>
      <c r="AM64" s="243"/>
      <c r="AN64" s="243"/>
      <c r="AO64" s="243"/>
      <c r="AP64" s="243"/>
      <c r="AQ64" s="243"/>
      <c r="AR64" s="243"/>
      <c r="AS64" s="243"/>
      <c r="AT64" s="243"/>
      <c r="AU64" s="243"/>
      <c r="AV64" s="243"/>
      <c r="AW64" s="243"/>
      <c r="AX64" s="243"/>
      <c r="AY64" s="243"/>
      <c r="AZ64" s="243"/>
      <c r="BA64" s="243"/>
      <c r="BB64" s="243"/>
      <c r="BC64" s="243"/>
      <c r="BD64" s="243"/>
      <c r="BE64" s="243"/>
      <c r="BF64" s="246"/>
      <c r="BG64" s="246"/>
      <c r="BH64" s="243"/>
      <c r="BI64" s="243"/>
      <c r="BJ64" s="243"/>
      <c r="BK64" s="243"/>
      <c r="BL64" s="507"/>
      <c r="BM64" s="507"/>
      <c r="BN64" s="507"/>
      <c r="BO64" s="507"/>
      <c r="BP64" s="507"/>
      <c r="BQ64" s="507"/>
      <c r="BR64" s="507"/>
      <c r="BS64" s="507"/>
      <c r="BT64" s="507"/>
      <c r="BU64" s="507"/>
      <c r="BV64" s="507"/>
      <c r="BW64" s="507"/>
      <c r="BX64" s="507"/>
      <c r="BY64" s="507"/>
      <c r="BZ64" s="507"/>
      <c r="CA64" s="507"/>
      <c r="CB64" s="507"/>
      <c r="CC64" s="507"/>
      <c r="CD64" s="507"/>
      <c r="CE64" s="507"/>
      <c r="CF64" s="507"/>
      <c r="CG64" s="507"/>
      <c r="CH64" s="507"/>
      <c r="CI64" s="507"/>
      <c r="CJ64" s="507"/>
      <c r="CK64" s="507"/>
      <c r="CL64" s="507"/>
      <c r="CM64" s="507"/>
      <c r="CN64" s="507"/>
      <c r="CO64" s="507"/>
      <c r="CP64" s="507"/>
    </row>
    <row r="65" spans="1:94" ht="15">
      <c r="A65" s="397" t="s">
        <v>33</v>
      </c>
      <c r="B65" s="31" t="s">
        <v>723</v>
      </c>
      <c r="C65" s="398"/>
      <c r="D65" s="398"/>
      <c r="E65" s="398"/>
      <c r="F65" s="578"/>
      <c r="G65" s="578"/>
      <c r="H65" s="578"/>
      <c r="I65" s="578"/>
      <c r="J65" s="578"/>
      <c r="K65" s="578"/>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9"/>
      <c r="AM65" s="507"/>
      <c r="AN65" s="507"/>
      <c r="AO65" s="507"/>
      <c r="AP65" s="507"/>
      <c r="AQ65" s="507"/>
      <c r="AR65" s="507"/>
      <c r="AS65" s="507"/>
      <c r="AT65" s="507"/>
      <c r="AU65" s="507"/>
      <c r="AV65" s="507"/>
      <c r="AW65" s="507"/>
      <c r="AX65" s="507"/>
      <c r="AY65" s="507"/>
      <c r="AZ65" s="507"/>
      <c r="BA65" s="507"/>
      <c r="BB65" s="507"/>
      <c r="BC65" s="507"/>
      <c r="BD65" s="507"/>
      <c r="BE65" s="507"/>
      <c r="BF65" s="507"/>
      <c r="BG65" s="507"/>
      <c r="BH65" s="507"/>
      <c r="BI65" s="507"/>
      <c r="BJ65" s="507"/>
      <c r="BK65" s="507"/>
      <c r="BL65" s="507"/>
      <c r="BM65" s="507"/>
      <c r="BN65" s="507"/>
      <c r="BO65" s="507"/>
      <c r="BP65" s="507"/>
      <c r="BQ65" s="507"/>
      <c r="BR65" s="507"/>
      <c r="BS65" s="507"/>
      <c r="BT65" s="507"/>
      <c r="BU65" s="507"/>
      <c r="BV65" s="507"/>
      <c r="BW65" s="507"/>
      <c r="BX65" s="507"/>
      <c r="BY65" s="507"/>
      <c r="BZ65" s="507"/>
      <c r="CA65" s="507"/>
      <c r="CB65" s="507"/>
      <c r="CC65" s="507"/>
      <c r="CD65" s="507"/>
      <c r="CE65" s="507"/>
      <c r="CF65" s="507"/>
      <c r="CG65" s="507"/>
      <c r="CH65" s="507"/>
      <c r="CI65" s="507"/>
      <c r="CJ65" s="507"/>
      <c r="CK65" s="507"/>
      <c r="CL65" s="507"/>
      <c r="CM65" s="507"/>
      <c r="CN65" s="507"/>
      <c r="CO65" s="507"/>
      <c r="CP65" s="507"/>
    </row>
    <row r="66" spans="1:94" ht="15">
      <c r="A66" s="396" t="s">
        <v>35</v>
      </c>
      <c r="B66" s="31" t="s">
        <v>724</v>
      </c>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c r="AG66" s="398"/>
      <c r="AH66" s="398"/>
      <c r="AI66" s="398"/>
      <c r="AJ66" s="398"/>
      <c r="AK66" s="399"/>
      <c r="AM66" s="507"/>
      <c r="AN66" s="507"/>
      <c r="AO66" s="507"/>
      <c r="AP66" s="507"/>
      <c r="AQ66" s="507"/>
      <c r="AR66" s="507"/>
      <c r="AS66" s="507"/>
      <c r="AT66" s="507"/>
      <c r="AU66" s="507"/>
      <c r="AV66" s="507"/>
      <c r="AW66" s="507"/>
      <c r="AX66" s="507"/>
      <c r="AY66" s="507"/>
      <c r="AZ66" s="507"/>
      <c r="BA66" s="507"/>
      <c r="BB66" s="507"/>
      <c r="BC66" s="507"/>
      <c r="BD66" s="507"/>
      <c r="BE66" s="507"/>
      <c r="BF66" s="507"/>
      <c r="BG66" s="507"/>
      <c r="BH66" s="507"/>
      <c r="BI66" s="507"/>
      <c r="BJ66" s="507"/>
      <c r="BK66" s="507"/>
      <c r="BL66" s="507"/>
      <c r="BM66" s="507"/>
      <c r="BN66" s="507"/>
      <c r="BO66" s="507"/>
      <c r="BP66" s="507"/>
      <c r="BQ66" s="507"/>
      <c r="BR66" s="507"/>
      <c r="BS66" s="507"/>
      <c r="BT66" s="507"/>
      <c r="BU66" s="507"/>
      <c r="BV66" s="507"/>
      <c r="BW66" s="507"/>
      <c r="BX66" s="507"/>
      <c r="BY66" s="507"/>
      <c r="BZ66" s="507"/>
      <c r="CA66" s="507"/>
      <c r="CB66" s="507"/>
      <c r="CC66" s="507"/>
      <c r="CD66" s="507"/>
      <c r="CE66" s="507"/>
      <c r="CF66" s="507"/>
      <c r="CG66" s="507"/>
      <c r="CH66" s="507"/>
      <c r="CI66" s="507"/>
      <c r="CJ66" s="507"/>
      <c r="CK66" s="507"/>
      <c r="CL66" s="507"/>
      <c r="CM66" s="507"/>
      <c r="CN66" s="507"/>
      <c r="CO66" s="507"/>
      <c r="CP66" s="507"/>
    </row>
    <row r="67" spans="1:94">
      <c r="A67" s="415" t="s">
        <v>38</v>
      </c>
      <c r="B67" s="31" t="s">
        <v>725</v>
      </c>
      <c r="AK67" s="623"/>
      <c r="AL67" s="582"/>
      <c r="AM67" s="583"/>
      <c r="AN67" s="583"/>
      <c r="AO67" s="583"/>
      <c r="AP67" s="583"/>
      <c r="AQ67" s="583"/>
      <c r="AR67" s="507"/>
      <c r="AS67" s="507"/>
      <c r="AT67" s="507"/>
      <c r="AU67" s="507"/>
      <c r="AV67" s="507"/>
      <c r="AW67" s="507"/>
      <c r="AX67" s="507"/>
      <c r="AY67" s="507"/>
      <c r="AZ67" s="507"/>
      <c r="BA67" s="507"/>
      <c r="BB67" s="507"/>
      <c r="BC67" s="507"/>
      <c r="BD67" s="507"/>
      <c r="BE67" s="507"/>
      <c r="BF67" s="507"/>
      <c r="BG67" s="507"/>
      <c r="BH67" s="507"/>
      <c r="BI67" s="507"/>
      <c r="BJ67" s="507"/>
      <c r="BK67" s="507"/>
      <c r="BL67" s="507"/>
      <c r="BM67" s="507"/>
      <c r="BN67" s="507"/>
      <c r="BO67" s="507"/>
      <c r="BP67" s="507"/>
      <c r="BQ67" s="507"/>
      <c r="BR67" s="507"/>
      <c r="BS67" s="507"/>
      <c r="BT67" s="507"/>
      <c r="BU67" s="507"/>
      <c r="BV67" s="507"/>
      <c r="BW67" s="507"/>
      <c r="BX67" s="507"/>
      <c r="BY67" s="507"/>
      <c r="BZ67" s="507"/>
      <c r="CA67" s="507"/>
      <c r="CB67" s="507"/>
      <c r="CC67" s="507"/>
      <c r="CD67" s="507"/>
      <c r="CE67" s="507"/>
      <c r="CF67" s="507"/>
      <c r="CG67" s="507"/>
      <c r="CH67" s="507"/>
      <c r="CI67" s="507"/>
      <c r="CJ67" s="507"/>
      <c r="CK67" s="507"/>
      <c r="CL67" s="507"/>
      <c r="CM67" s="507"/>
      <c r="CN67" s="507"/>
      <c r="CO67" s="507"/>
      <c r="CP67" s="507"/>
    </row>
    <row r="68" spans="1:94">
      <c r="A68" s="282" t="s">
        <v>41</v>
      </c>
      <c r="B68" s="284" t="s">
        <v>726</v>
      </c>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c r="AG68" s="398"/>
      <c r="AH68" s="398"/>
      <c r="AI68" s="398"/>
      <c r="AJ68" s="398"/>
      <c r="AK68" s="398"/>
      <c r="AL68" s="582"/>
      <c r="AM68" s="583"/>
      <c r="AN68" s="583"/>
      <c r="AO68" s="583"/>
      <c r="AP68" s="583"/>
      <c r="AQ68" s="583"/>
      <c r="AR68" s="507"/>
      <c r="AS68" s="507"/>
      <c r="AT68" s="507"/>
      <c r="AU68" s="507"/>
      <c r="AV68" s="507"/>
      <c r="AW68" s="507"/>
      <c r="AX68" s="507"/>
      <c r="AY68" s="507"/>
      <c r="AZ68" s="507"/>
      <c r="BA68" s="507"/>
      <c r="BB68" s="507"/>
      <c r="BC68" s="507"/>
      <c r="BD68" s="507"/>
      <c r="BE68" s="507"/>
      <c r="BF68" s="507"/>
      <c r="BG68" s="507"/>
      <c r="BH68" s="507"/>
      <c r="BI68" s="507"/>
      <c r="BJ68" s="507"/>
      <c r="BK68" s="507"/>
      <c r="BL68" s="507"/>
      <c r="BM68" s="507"/>
      <c r="BN68" s="507"/>
      <c r="BO68" s="507"/>
      <c r="BP68" s="507"/>
      <c r="BQ68" s="507"/>
      <c r="BR68" s="507"/>
      <c r="BS68" s="507"/>
      <c r="BT68" s="507"/>
      <c r="BU68" s="507"/>
      <c r="BV68" s="507"/>
      <c r="BW68" s="507"/>
      <c r="BX68" s="507"/>
      <c r="BY68" s="507"/>
      <c r="BZ68" s="507"/>
      <c r="CA68" s="507"/>
      <c r="CB68" s="507"/>
      <c r="CC68" s="507"/>
      <c r="CD68" s="507"/>
      <c r="CE68" s="507"/>
      <c r="CF68" s="507"/>
      <c r="CG68" s="507"/>
      <c r="CH68" s="507"/>
      <c r="CI68" s="507"/>
      <c r="CJ68" s="507"/>
      <c r="CK68" s="507"/>
      <c r="CL68" s="507"/>
      <c r="CM68" s="507"/>
      <c r="CN68" s="507"/>
      <c r="CO68" s="507"/>
      <c r="CP68" s="507"/>
    </row>
    <row r="69" spans="1:94">
      <c r="A69" s="584"/>
      <c r="B69" s="584"/>
      <c r="C69" s="584"/>
      <c r="D69" s="584"/>
      <c r="E69" s="584"/>
      <c r="F69" s="584"/>
      <c r="G69" s="584"/>
      <c r="H69" s="584"/>
      <c r="I69" s="584"/>
      <c r="J69" s="584"/>
      <c r="K69" s="584"/>
      <c r="L69" s="584"/>
      <c r="M69" s="584"/>
      <c r="N69" s="584"/>
      <c r="O69" s="584"/>
      <c r="P69" s="584"/>
      <c r="Q69" s="584"/>
      <c r="R69" s="584"/>
      <c r="S69" s="584"/>
      <c r="T69" s="584"/>
      <c r="U69" s="584"/>
      <c r="V69" s="584"/>
      <c r="W69" s="584"/>
      <c r="X69" s="584"/>
      <c r="Y69" s="584"/>
      <c r="Z69" s="584"/>
      <c r="AA69" s="584"/>
      <c r="AB69" s="584"/>
      <c r="AC69" s="584"/>
      <c r="AD69" s="584"/>
      <c r="AE69" s="584"/>
      <c r="AF69" s="584"/>
      <c r="AG69" s="584"/>
      <c r="AH69" s="584"/>
      <c r="AI69" s="584"/>
      <c r="AJ69" s="584"/>
      <c r="AK69" s="583"/>
      <c r="AL69" s="582"/>
      <c r="AM69" s="583"/>
      <c r="AN69" s="583"/>
      <c r="AO69" s="583"/>
      <c r="AP69" s="583"/>
      <c r="AQ69" s="583"/>
      <c r="AR69" s="507"/>
      <c r="AS69" s="507"/>
      <c r="AT69" s="507"/>
      <c r="AU69" s="507"/>
      <c r="AV69" s="507"/>
      <c r="AW69" s="507"/>
      <c r="AX69" s="507"/>
      <c r="AY69" s="507"/>
      <c r="AZ69" s="507"/>
      <c r="BA69" s="507"/>
      <c r="BB69" s="507"/>
      <c r="BC69" s="507"/>
      <c r="BD69" s="507"/>
      <c r="BE69" s="507"/>
      <c r="BF69" s="507"/>
      <c r="BG69" s="507"/>
      <c r="BH69" s="507"/>
      <c r="BI69" s="507"/>
      <c r="BJ69" s="507"/>
      <c r="BK69" s="507"/>
      <c r="BL69" s="507"/>
      <c r="BM69" s="507"/>
      <c r="BN69" s="507"/>
      <c r="BO69" s="507"/>
      <c r="BP69" s="507"/>
      <c r="BQ69" s="507"/>
      <c r="BR69" s="507"/>
      <c r="BS69" s="507"/>
      <c r="BT69" s="507"/>
      <c r="BU69" s="507"/>
      <c r="BV69" s="507"/>
      <c r="BW69" s="507"/>
      <c r="BX69" s="507"/>
      <c r="BY69" s="507"/>
      <c r="BZ69" s="507"/>
      <c r="CA69" s="507"/>
      <c r="CB69" s="507"/>
      <c r="CC69" s="507"/>
      <c r="CD69" s="507"/>
      <c r="CE69" s="507"/>
      <c r="CF69" s="507"/>
      <c r="CG69" s="507"/>
      <c r="CH69" s="507"/>
      <c r="CI69" s="507"/>
      <c r="CJ69" s="507"/>
      <c r="CK69" s="507"/>
      <c r="CL69" s="507"/>
      <c r="CM69" s="507"/>
      <c r="CN69" s="507"/>
      <c r="CO69" s="507"/>
      <c r="CP69" s="507"/>
    </row>
    <row r="70" spans="1:94">
      <c r="A70" s="584"/>
      <c r="B70" s="584"/>
      <c r="C70" s="584"/>
      <c r="D70" s="584"/>
      <c r="E70" s="584"/>
      <c r="F70" s="584"/>
      <c r="G70" s="584"/>
      <c r="H70" s="584"/>
      <c r="I70" s="584"/>
      <c r="J70" s="584"/>
      <c r="K70" s="584"/>
      <c r="L70" s="584"/>
      <c r="M70" s="584"/>
      <c r="N70" s="584"/>
      <c r="O70" s="584"/>
      <c r="P70" s="584"/>
      <c r="Q70" s="584"/>
      <c r="R70" s="584"/>
      <c r="S70" s="584"/>
      <c r="T70" s="584"/>
      <c r="U70" s="584"/>
      <c r="V70" s="584"/>
      <c r="W70" s="584"/>
      <c r="X70" s="584"/>
      <c r="Y70" s="584"/>
      <c r="Z70" s="584"/>
      <c r="AA70" s="584"/>
      <c r="AB70" s="584"/>
      <c r="AC70" s="584"/>
      <c r="AD70" s="584"/>
      <c r="AE70" s="584"/>
      <c r="AF70" s="584"/>
      <c r="AG70" s="584"/>
      <c r="AH70" s="584"/>
      <c r="AI70" s="584"/>
      <c r="AJ70" s="584"/>
      <c r="AK70" s="583"/>
      <c r="AL70" s="582"/>
      <c r="AM70" s="583"/>
      <c r="AN70" s="583"/>
      <c r="AO70" s="583"/>
      <c r="AP70" s="583"/>
      <c r="AQ70" s="583"/>
      <c r="AR70" s="507"/>
      <c r="AS70" s="507"/>
      <c r="AT70" s="507"/>
      <c r="AU70" s="507"/>
      <c r="AV70" s="507"/>
      <c r="AW70" s="507"/>
      <c r="AX70" s="507"/>
      <c r="AY70" s="507"/>
      <c r="AZ70" s="507"/>
      <c r="BA70" s="507"/>
      <c r="BB70" s="507"/>
      <c r="BC70" s="507"/>
      <c r="BD70" s="507"/>
      <c r="BE70" s="507"/>
      <c r="BF70" s="507"/>
      <c r="BG70" s="507"/>
      <c r="BH70" s="507"/>
      <c r="BI70" s="507"/>
      <c r="BJ70" s="507"/>
      <c r="BK70" s="507"/>
      <c r="BL70" s="507"/>
      <c r="BM70" s="507"/>
      <c r="BN70" s="507"/>
      <c r="BO70" s="507"/>
      <c r="BP70" s="507"/>
      <c r="BQ70" s="507"/>
      <c r="BR70" s="507"/>
      <c r="BS70" s="507"/>
      <c r="BT70" s="507"/>
      <c r="BU70" s="507"/>
      <c r="BV70" s="507"/>
      <c r="BW70" s="507"/>
      <c r="BX70" s="507"/>
      <c r="BY70" s="507"/>
      <c r="BZ70" s="507"/>
      <c r="CA70" s="507"/>
      <c r="CB70" s="507"/>
      <c r="CC70" s="507"/>
      <c r="CD70" s="507"/>
      <c r="CE70" s="507"/>
      <c r="CF70" s="507"/>
      <c r="CG70" s="507"/>
      <c r="CH70" s="507"/>
      <c r="CI70" s="507"/>
      <c r="CJ70" s="507"/>
      <c r="CK70" s="507"/>
      <c r="CL70" s="507"/>
      <c r="CM70" s="507"/>
      <c r="CN70" s="507"/>
      <c r="CO70" s="507"/>
      <c r="CP70" s="507"/>
    </row>
    <row r="71" spans="1:94">
      <c r="A71" s="584"/>
      <c r="B71" s="584"/>
      <c r="C71" s="584"/>
      <c r="D71" s="584"/>
      <c r="E71" s="584"/>
      <c r="F71" s="584"/>
      <c r="G71" s="584"/>
      <c r="H71" s="584"/>
      <c r="I71" s="584"/>
      <c r="J71" s="584"/>
      <c r="K71" s="584"/>
      <c r="L71" s="584"/>
      <c r="M71" s="584"/>
      <c r="N71" s="584"/>
      <c r="O71" s="584"/>
      <c r="P71" s="584"/>
      <c r="Q71" s="584"/>
      <c r="R71" s="584"/>
      <c r="S71" s="584"/>
      <c r="T71" s="584"/>
      <c r="U71" s="584"/>
      <c r="V71" s="584"/>
      <c r="W71" s="584"/>
      <c r="X71" s="584"/>
      <c r="Y71" s="584"/>
      <c r="Z71" s="584"/>
      <c r="AA71" s="584"/>
      <c r="AB71" s="584"/>
      <c r="AC71" s="584"/>
      <c r="AD71" s="584"/>
      <c r="AE71" s="584"/>
      <c r="AF71" s="584"/>
      <c r="AG71" s="584"/>
      <c r="AH71" s="584"/>
      <c r="AI71" s="584"/>
      <c r="AJ71" s="584"/>
      <c r="AK71" s="583"/>
      <c r="AL71" s="582"/>
      <c r="AM71" s="583"/>
      <c r="AN71" s="583"/>
      <c r="AO71" s="583"/>
      <c r="AP71" s="583"/>
      <c r="AQ71" s="583"/>
      <c r="AR71" s="507"/>
      <c r="AS71" s="507"/>
      <c r="AT71" s="507"/>
      <c r="AU71" s="507"/>
      <c r="AV71" s="507"/>
      <c r="AW71" s="507"/>
      <c r="AX71" s="507"/>
      <c r="AY71" s="507"/>
      <c r="AZ71" s="507"/>
      <c r="BA71" s="507"/>
      <c r="BB71" s="507"/>
      <c r="BC71" s="507"/>
      <c r="BD71" s="507"/>
      <c r="BE71" s="507"/>
      <c r="BF71" s="507"/>
      <c r="BG71" s="507"/>
      <c r="BH71" s="507"/>
      <c r="BI71" s="507"/>
      <c r="BJ71" s="507"/>
      <c r="BK71" s="507"/>
      <c r="BL71" s="507"/>
      <c r="BM71" s="507"/>
      <c r="BN71" s="507"/>
      <c r="BO71" s="507"/>
      <c r="BP71" s="507"/>
      <c r="BQ71" s="507"/>
      <c r="BR71" s="507"/>
      <c r="BS71" s="507"/>
      <c r="BT71" s="507"/>
      <c r="BU71" s="507"/>
      <c r="BV71" s="507"/>
      <c r="BW71" s="507"/>
      <c r="BX71" s="507"/>
      <c r="BY71" s="507"/>
      <c r="BZ71" s="507"/>
      <c r="CA71" s="507"/>
      <c r="CB71" s="507"/>
      <c r="CC71" s="507"/>
      <c r="CD71" s="507"/>
      <c r="CE71" s="507"/>
      <c r="CF71" s="507"/>
      <c r="CG71" s="507"/>
      <c r="CH71" s="507"/>
      <c r="CI71" s="507"/>
      <c r="CJ71" s="507"/>
      <c r="CK71" s="507"/>
      <c r="CL71" s="507"/>
      <c r="CM71" s="507"/>
      <c r="CN71" s="507"/>
      <c r="CO71" s="507"/>
      <c r="CP71" s="507"/>
    </row>
    <row r="72" spans="1:94">
      <c r="A72" s="584"/>
      <c r="B72" s="584"/>
      <c r="C72" s="584"/>
      <c r="D72" s="584"/>
      <c r="E72" s="584"/>
      <c r="F72" s="584"/>
      <c r="G72" s="584"/>
      <c r="H72" s="584"/>
      <c r="I72" s="584"/>
      <c r="J72" s="584"/>
      <c r="K72" s="584"/>
      <c r="L72" s="584"/>
      <c r="M72" s="584"/>
      <c r="N72" s="584"/>
      <c r="O72" s="584"/>
      <c r="P72" s="584"/>
      <c r="Q72" s="584"/>
      <c r="R72" s="584"/>
      <c r="S72" s="584"/>
      <c r="T72" s="584"/>
      <c r="U72" s="584"/>
      <c r="V72" s="584"/>
      <c r="W72" s="584"/>
      <c r="X72" s="584"/>
      <c r="Y72" s="584"/>
      <c r="Z72" s="584"/>
      <c r="AA72" s="584"/>
      <c r="AB72" s="584"/>
      <c r="AC72" s="584"/>
      <c r="AD72" s="584"/>
      <c r="AE72" s="584"/>
      <c r="AF72" s="584"/>
      <c r="AG72" s="584"/>
      <c r="AH72" s="584"/>
      <c r="AI72" s="584"/>
      <c r="AJ72" s="584"/>
      <c r="AK72" s="583"/>
      <c r="AL72" s="582"/>
      <c r="AM72" s="583"/>
      <c r="AN72" s="583"/>
      <c r="AO72" s="583"/>
      <c r="AP72" s="583"/>
      <c r="AQ72" s="583"/>
      <c r="AR72" s="507"/>
      <c r="AS72" s="507"/>
      <c r="AT72" s="507"/>
      <c r="AU72" s="507"/>
      <c r="AV72" s="507"/>
      <c r="AW72" s="507"/>
      <c r="AX72" s="507"/>
      <c r="AY72" s="507"/>
      <c r="AZ72" s="507"/>
      <c r="BA72" s="507"/>
      <c r="BB72" s="507"/>
      <c r="BC72" s="507"/>
      <c r="BD72" s="507"/>
      <c r="BE72" s="507"/>
      <c r="BF72" s="507"/>
      <c r="BG72" s="507"/>
      <c r="BH72" s="507"/>
      <c r="BI72" s="507"/>
      <c r="BJ72" s="507"/>
      <c r="BK72" s="507"/>
      <c r="BL72" s="507"/>
      <c r="BM72" s="507"/>
      <c r="BN72" s="507"/>
      <c r="BO72" s="507"/>
      <c r="BP72" s="507"/>
      <c r="BQ72" s="507"/>
      <c r="BR72" s="507"/>
      <c r="BS72" s="507"/>
      <c r="BT72" s="507"/>
      <c r="BU72" s="507"/>
      <c r="BV72" s="507"/>
      <c r="BW72" s="507"/>
      <c r="BX72" s="507"/>
      <c r="BY72" s="507"/>
      <c r="BZ72" s="507"/>
      <c r="CA72" s="507"/>
      <c r="CB72" s="507"/>
      <c r="CC72" s="507"/>
      <c r="CD72" s="507"/>
      <c r="CE72" s="507"/>
      <c r="CF72" s="507"/>
      <c r="CG72" s="507"/>
      <c r="CH72" s="507"/>
      <c r="CI72" s="507"/>
      <c r="CJ72" s="507"/>
      <c r="CK72" s="507"/>
      <c r="CL72" s="507"/>
      <c r="CM72" s="507"/>
      <c r="CN72" s="507"/>
      <c r="CO72" s="507"/>
      <c r="CP72" s="507"/>
    </row>
    <row r="73" spans="1:94">
      <c r="A73" s="584"/>
      <c r="B73" s="584"/>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3"/>
      <c r="AL73" s="582"/>
      <c r="AM73" s="583"/>
      <c r="AN73" s="583"/>
      <c r="AO73" s="583"/>
      <c r="AP73" s="583"/>
      <c r="AQ73" s="583"/>
      <c r="AR73" s="507"/>
      <c r="AS73" s="507"/>
      <c r="AT73" s="507"/>
      <c r="AU73" s="507"/>
      <c r="AV73" s="507"/>
      <c r="AW73" s="507"/>
      <c r="AX73" s="507"/>
      <c r="AY73" s="507"/>
      <c r="AZ73" s="507"/>
      <c r="BA73" s="507"/>
      <c r="BB73" s="507"/>
      <c r="BC73" s="507"/>
      <c r="BD73" s="507"/>
      <c r="BE73" s="507"/>
      <c r="BF73" s="507"/>
      <c r="BG73" s="507"/>
      <c r="BH73" s="507"/>
      <c r="BI73" s="507"/>
      <c r="BJ73" s="507"/>
      <c r="BK73" s="507"/>
      <c r="BL73" s="507"/>
      <c r="BM73" s="507"/>
      <c r="BN73" s="507"/>
      <c r="BO73" s="507"/>
      <c r="BP73" s="507"/>
      <c r="BQ73" s="507"/>
      <c r="BR73" s="507"/>
      <c r="BS73" s="507"/>
      <c r="BT73" s="507"/>
      <c r="BU73" s="507"/>
      <c r="BV73" s="507"/>
      <c r="BW73" s="507"/>
      <c r="BX73" s="507"/>
      <c r="BY73" s="507"/>
      <c r="BZ73" s="507"/>
      <c r="CA73" s="507"/>
      <c r="CB73" s="507"/>
      <c r="CC73" s="507"/>
      <c r="CD73" s="507"/>
      <c r="CE73" s="507"/>
      <c r="CF73" s="507"/>
      <c r="CG73" s="507"/>
      <c r="CH73" s="507"/>
      <c r="CI73" s="507"/>
      <c r="CJ73" s="507"/>
      <c r="CK73" s="507"/>
      <c r="CL73" s="507"/>
      <c r="CM73" s="507"/>
      <c r="CN73" s="507"/>
      <c r="CO73" s="507"/>
      <c r="CP73" s="507"/>
    </row>
    <row r="74" spans="1:94" s="585" customFormat="1">
      <c r="A74" s="584"/>
      <c r="B74" s="584"/>
      <c r="C74" s="584"/>
      <c r="D74" s="584"/>
      <c r="E74" s="584"/>
      <c r="F74" s="584"/>
      <c r="G74" s="584"/>
      <c r="H74" s="584"/>
      <c r="I74" s="584"/>
      <c r="J74" s="584"/>
      <c r="K74" s="584"/>
      <c r="L74" s="584"/>
      <c r="M74" s="584"/>
      <c r="N74" s="584"/>
      <c r="O74" s="584"/>
      <c r="P74" s="584"/>
      <c r="Q74" s="584"/>
      <c r="R74" s="584"/>
      <c r="S74" s="584"/>
      <c r="T74" s="584"/>
      <c r="U74" s="584"/>
      <c r="V74" s="584"/>
      <c r="W74" s="584"/>
      <c r="X74" s="584"/>
      <c r="Y74" s="584"/>
      <c r="Z74" s="584"/>
      <c r="AA74" s="584"/>
      <c r="AB74" s="584"/>
      <c r="AC74" s="584"/>
      <c r="AD74" s="584"/>
      <c r="AE74" s="584"/>
      <c r="AF74" s="584"/>
      <c r="AG74" s="584"/>
      <c r="AH74" s="584"/>
      <c r="AI74" s="584"/>
      <c r="AJ74" s="584"/>
      <c r="AK74" s="583"/>
      <c r="AL74" s="582"/>
      <c r="AM74" s="583"/>
      <c r="AN74" s="583"/>
      <c r="AO74" s="583"/>
      <c r="AP74" s="583"/>
      <c r="AQ74" s="583"/>
      <c r="AR74" s="507"/>
      <c r="AS74" s="507"/>
      <c r="AT74" s="507"/>
      <c r="AU74" s="507"/>
      <c r="AV74" s="507"/>
      <c r="AW74" s="507"/>
      <c r="AX74" s="507"/>
      <c r="AY74" s="507"/>
      <c r="AZ74" s="507"/>
      <c r="BA74" s="507"/>
      <c r="BB74" s="507"/>
      <c r="BC74" s="507"/>
      <c r="BD74" s="507"/>
      <c r="BE74" s="507"/>
      <c r="BF74" s="507"/>
      <c r="BG74" s="507"/>
      <c r="BH74" s="507"/>
      <c r="BI74" s="507"/>
      <c r="BJ74" s="507"/>
      <c r="BK74" s="507"/>
      <c r="BL74" s="507"/>
      <c r="BM74" s="507"/>
      <c r="BN74" s="507"/>
      <c r="BO74" s="507"/>
      <c r="BP74" s="507"/>
      <c r="BQ74" s="507"/>
      <c r="BR74" s="507"/>
      <c r="BS74" s="507"/>
      <c r="BT74" s="507"/>
      <c r="BU74" s="507"/>
      <c r="BV74" s="507"/>
      <c r="BW74" s="507"/>
      <c r="BX74" s="507"/>
      <c r="BY74" s="507"/>
      <c r="BZ74" s="507"/>
      <c r="CA74" s="507"/>
      <c r="CB74" s="507"/>
      <c r="CC74" s="507"/>
      <c r="CD74" s="507"/>
      <c r="CE74" s="507"/>
      <c r="CF74" s="507"/>
      <c r="CG74" s="507"/>
      <c r="CH74" s="507"/>
      <c r="CI74" s="507"/>
      <c r="CJ74" s="507"/>
      <c r="CK74" s="507"/>
      <c r="CL74" s="507"/>
      <c r="CM74" s="507"/>
      <c r="CN74" s="507"/>
      <c r="CO74" s="507"/>
      <c r="CP74" s="507"/>
    </row>
    <row r="75" spans="1:94" s="585" customFormat="1">
      <c r="A75" s="584"/>
      <c r="B75" s="584"/>
      <c r="C75" s="584"/>
      <c r="D75" s="584"/>
      <c r="E75" s="584"/>
      <c r="F75" s="584"/>
      <c r="G75" s="584"/>
      <c r="H75" s="584"/>
      <c r="I75" s="584"/>
      <c r="J75" s="584"/>
      <c r="K75" s="584"/>
      <c r="L75" s="584"/>
      <c r="M75" s="584"/>
      <c r="N75" s="584"/>
      <c r="O75" s="584"/>
      <c r="P75" s="584"/>
      <c r="Q75" s="584"/>
      <c r="R75" s="584"/>
      <c r="S75" s="584"/>
      <c r="T75" s="584"/>
      <c r="U75" s="584"/>
      <c r="V75" s="584"/>
      <c r="W75" s="584"/>
      <c r="X75" s="584"/>
      <c r="Y75" s="584"/>
      <c r="Z75" s="584"/>
      <c r="AA75" s="584"/>
      <c r="AB75" s="584"/>
      <c r="AC75" s="584"/>
      <c r="AD75" s="584"/>
      <c r="AE75" s="584"/>
      <c r="AF75" s="584"/>
      <c r="AG75" s="584"/>
      <c r="AH75" s="584"/>
      <c r="AI75" s="584"/>
      <c r="AJ75" s="584"/>
      <c r="AK75" s="583"/>
      <c r="AL75" s="582"/>
      <c r="AM75" s="583"/>
      <c r="AN75" s="583"/>
      <c r="AO75" s="583"/>
      <c r="AP75" s="583"/>
      <c r="AQ75" s="583"/>
      <c r="AR75" s="507"/>
      <c r="AS75" s="507"/>
      <c r="AT75" s="507"/>
      <c r="AU75" s="507"/>
      <c r="AV75" s="507"/>
      <c r="AW75" s="507"/>
      <c r="AX75" s="507"/>
      <c r="AY75" s="507"/>
      <c r="AZ75" s="507"/>
      <c r="BA75" s="507"/>
      <c r="BB75" s="507"/>
      <c r="BC75" s="507"/>
      <c r="BD75" s="507"/>
      <c r="BE75" s="507"/>
      <c r="BF75" s="507"/>
      <c r="BG75" s="507"/>
      <c r="BH75" s="507"/>
      <c r="BI75" s="507"/>
      <c r="BJ75" s="507"/>
      <c r="BK75" s="507"/>
      <c r="BL75" s="507"/>
      <c r="BM75" s="507"/>
      <c r="BN75" s="507"/>
      <c r="BO75" s="507"/>
      <c r="BP75" s="507"/>
      <c r="BQ75" s="507"/>
      <c r="BR75" s="507"/>
      <c r="BS75" s="507"/>
      <c r="BT75" s="507"/>
      <c r="BU75" s="507"/>
      <c r="BV75" s="507"/>
      <c r="BW75" s="507"/>
      <c r="BX75" s="507"/>
      <c r="BY75" s="507"/>
      <c r="BZ75" s="507"/>
      <c r="CA75" s="507"/>
      <c r="CB75" s="507"/>
      <c r="CC75" s="507"/>
      <c r="CD75" s="507"/>
      <c r="CE75" s="507"/>
      <c r="CF75" s="507"/>
      <c r="CG75" s="507"/>
      <c r="CH75" s="507"/>
      <c r="CI75" s="507"/>
      <c r="CJ75" s="507"/>
      <c r="CK75" s="507"/>
      <c r="CL75" s="507"/>
      <c r="CM75" s="507"/>
      <c r="CN75" s="507"/>
      <c r="CO75" s="507"/>
      <c r="CP75" s="507"/>
    </row>
    <row r="76" spans="1:94" s="585" customFormat="1">
      <c r="A76" s="584"/>
      <c r="B76" s="584"/>
      <c r="C76" s="584"/>
      <c r="D76" s="584"/>
      <c r="E76" s="584"/>
      <c r="F76" s="584"/>
      <c r="G76" s="584"/>
      <c r="H76" s="584"/>
      <c r="I76" s="584"/>
      <c r="J76" s="584"/>
      <c r="K76" s="584"/>
      <c r="L76" s="584"/>
      <c r="M76" s="584"/>
      <c r="N76" s="584"/>
      <c r="O76" s="584"/>
      <c r="P76" s="584"/>
      <c r="Q76" s="584"/>
      <c r="R76" s="584"/>
      <c r="S76" s="584"/>
      <c r="T76" s="584"/>
      <c r="U76" s="584"/>
      <c r="V76" s="584"/>
      <c r="W76" s="584"/>
      <c r="X76" s="584"/>
      <c r="Y76" s="584"/>
      <c r="Z76" s="584"/>
      <c r="AA76" s="584"/>
      <c r="AB76" s="584"/>
      <c r="AC76" s="584"/>
      <c r="AD76" s="584"/>
      <c r="AE76" s="584"/>
      <c r="AF76" s="584"/>
      <c r="AG76" s="584"/>
      <c r="AH76" s="584"/>
      <c r="AI76" s="584"/>
      <c r="AJ76" s="584"/>
      <c r="AK76" s="583"/>
      <c r="AL76" s="582"/>
      <c r="AM76" s="583"/>
      <c r="AN76" s="583"/>
      <c r="AO76" s="583"/>
      <c r="AP76" s="583"/>
      <c r="AQ76" s="583"/>
      <c r="AR76" s="507"/>
      <c r="AS76" s="507"/>
      <c r="AT76" s="507"/>
      <c r="AU76" s="507"/>
      <c r="AV76" s="507"/>
      <c r="AW76" s="507"/>
      <c r="AX76" s="507"/>
      <c r="AY76" s="507"/>
      <c r="AZ76" s="507"/>
      <c r="BA76" s="507"/>
      <c r="BB76" s="507"/>
      <c r="BC76" s="507"/>
      <c r="BD76" s="507"/>
      <c r="BE76" s="507"/>
      <c r="BF76" s="507"/>
      <c r="BG76" s="507"/>
      <c r="BH76" s="507"/>
      <c r="BI76" s="507"/>
      <c r="BJ76" s="507"/>
      <c r="BK76" s="507"/>
      <c r="BL76" s="507"/>
      <c r="BM76" s="507"/>
      <c r="BN76" s="507"/>
      <c r="BO76" s="507"/>
      <c r="BP76" s="507"/>
      <c r="BQ76" s="507"/>
      <c r="BR76" s="507"/>
      <c r="BS76" s="507"/>
      <c r="BT76" s="507"/>
      <c r="BU76" s="507"/>
      <c r="BV76" s="507"/>
      <c r="BW76" s="507"/>
      <c r="BX76" s="507"/>
      <c r="BY76" s="507"/>
      <c r="BZ76" s="507"/>
      <c r="CA76" s="507"/>
      <c r="CB76" s="507"/>
      <c r="CC76" s="507"/>
      <c r="CD76" s="507"/>
      <c r="CE76" s="507"/>
      <c r="CF76" s="507"/>
      <c r="CG76" s="507"/>
      <c r="CH76" s="507"/>
      <c r="CI76" s="507"/>
      <c r="CJ76" s="507"/>
      <c r="CK76" s="507"/>
      <c r="CL76" s="507"/>
      <c r="CM76" s="507"/>
      <c r="CN76" s="507"/>
      <c r="CO76" s="507"/>
      <c r="CP76" s="507"/>
    </row>
    <row r="77" spans="1:94" s="585" customFormat="1">
      <c r="A77" s="584"/>
      <c r="B77" s="584"/>
      <c r="C77" s="584"/>
      <c r="D77" s="584"/>
      <c r="E77" s="584"/>
      <c r="F77" s="584"/>
      <c r="G77" s="584"/>
      <c r="H77" s="584"/>
      <c r="I77" s="584"/>
      <c r="J77" s="584"/>
      <c r="K77" s="584"/>
      <c r="L77" s="584"/>
      <c r="M77" s="584"/>
      <c r="N77" s="584"/>
      <c r="O77" s="584"/>
      <c r="P77" s="584"/>
      <c r="Q77" s="584"/>
      <c r="R77" s="584"/>
      <c r="S77" s="584"/>
      <c r="T77" s="584"/>
      <c r="U77" s="584"/>
      <c r="V77" s="584"/>
      <c r="W77" s="584"/>
      <c r="X77" s="584"/>
      <c r="Y77" s="584"/>
      <c r="Z77" s="584"/>
      <c r="AA77" s="584"/>
      <c r="AB77" s="584"/>
      <c r="AC77" s="584"/>
      <c r="AD77" s="584"/>
      <c r="AE77" s="584"/>
      <c r="AF77" s="584"/>
      <c r="AG77" s="584"/>
      <c r="AH77" s="584"/>
      <c r="AI77" s="584"/>
      <c r="AJ77" s="584"/>
      <c r="AK77" s="583"/>
      <c r="AL77" s="582"/>
      <c r="AM77" s="583"/>
      <c r="AN77" s="583"/>
      <c r="AO77" s="583"/>
      <c r="AP77" s="583"/>
      <c r="AQ77" s="583"/>
      <c r="AR77" s="507"/>
      <c r="AS77" s="507"/>
      <c r="AT77" s="507"/>
      <c r="AU77" s="507"/>
      <c r="AV77" s="507"/>
      <c r="AW77" s="507"/>
      <c r="AX77" s="507"/>
      <c r="AY77" s="507"/>
      <c r="AZ77" s="507"/>
      <c r="BA77" s="507"/>
      <c r="BB77" s="507"/>
      <c r="BC77" s="507"/>
      <c r="BD77" s="507"/>
      <c r="BE77" s="507"/>
      <c r="BF77" s="507"/>
      <c r="BG77" s="507"/>
      <c r="BH77" s="507"/>
      <c r="BI77" s="507"/>
      <c r="BJ77" s="507"/>
      <c r="BK77" s="507"/>
      <c r="BL77" s="507"/>
      <c r="BM77" s="507"/>
      <c r="BN77" s="507"/>
      <c r="BO77" s="507"/>
      <c r="BP77" s="507"/>
      <c r="BQ77" s="507"/>
      <c r="BR77" s="507"/>
      <c r="BS77" s="507"/>
      <c r="BT77" s="507"/>
      <c r="BU77" s="507"/>
      <c r="BV77" s="507"/>
      <c r="BW77" s="507"/>
      <c r="BX77" s="507"/>
      <c r="BY77" s="507"/>
      <c r="BZ77" s="507"/>
      <c r="CA77" s="507"/>
      <c r="CB77" s="507"/>
      <c r="CC77" s="507"/>
      <c r="CD77" s="507"/>
      <c r="CE77" s="507"/>
      <c r="CF77" s="507"/>
      <c r="CG77" s="507"/>
      <c r="CH77" s="507"/>
      <c r="CI77" s="507"/>
      <c r="CJ77" s="507"/>
      <c r="CK77" s="507"/>
      <c r="CL77" s="507"/>
      <c r="CM77" s="507"/>
      <c r="CN77" s="507"/>
      <c r="CO77" s="507"/>
      <c r="CP77" s="507"/>
    </row>
    <row r="78" spans="1:94" s="585" customFormat="1">
      <c r="A78" s="584"/>
      <c r="B78" s="584"/>
      <c r="C78" s="584"/>
      <c r="D78" s="584"/>
      <c r="E78" s="584"/>
      <c r="F78" s="584"/>
      <c r="G78" s="584"/>
      <c r="H78" s="584"/>
      <c r="I78" s="584"/>
      <c r="J78" s="584"/>
      <c r="K78" s="584"/>
      <c r="L78" s="584"/>
      <c r="M78" s="584"/>
      <c r="N78" s="584"/>
      <c r="O78" s="584"/>
      <c r="P78" s="584"/>
      <c r="Q78" s="584"/>
      <c r="R78" s="584"/>
      <c r="S78" s="584"/>
      <c r="T78" s="584"/>
      <c r="U78" s="584"/>
      <c r="V78" s="584"/>
      <c r="W78" s="584"/>
      <c r="X78" s="584"/>
      <c r="Y78" s="584"/>
      <c r="Z78" s="584"/>
      <c r="AA78" s="584"/>
      <c r="AB78" s="584"/>
      <c r="AC78" s="584"/>
      <c r="AD78" s="584"/>
      <c r="AE78" s="584"/>
      <c r="AF78" s="584"/>
      <c r="AG78" s="584"/>
      <c r="AH78" s="584"/>
      <c r="AI78" s="584"/>
      <c r="AJ78" s="584"/>
      <c r="AK78" s="583"/>
      <c r="AL78" s="582"/>
      <c r="AM78" s="583"/>
      <c r="AN78" s="583"/>
      <c r="AO78" s="583"/>
      <c r="AP78" s="583"/>
      <c r="AQ78" s="583"/>
      <c r="AR78" s="507"/>
      <c r="AS78" s="507"/>
      <c r="AT78" s="507"/>
      <c r="AU78" s="507"/>
      <c r="AV78" s="507"/>
      <c r="AW78" s="507"/>
      <c r="AX78" s="507"/>
      <c r="AY78" s="507"/>
      <c r="AZ78" s="507"/>
      <c r="BA78" s="507"/>
      <c r="BB78" s="507"/>
      <c r="BC78" s="507"/>
      <c r="BD78" s="507"/>
      <c r="BE78" s="507"/>
      <c r="BF78" s="507"/>
      <c r="BG78" s="507"/>
      <c r="BH78" s="507"/>
      <c r="BI78" s="507"/>
      <c r="BJ78" s="507"/>
      <c r="BK78" s="507"/>
      <c r="BL78" s="507"/>
      <c r="BM78" s="507"/>
      <c r="BN78" s="507"/>
      <c r="BO78" s="507"/>
      <c r="BP78" s="507"/>
      <c r="BQ78" s="507"/>
      <c r="BR78" s="507"/>
      <c r="BS78" s="507"/>
      <c r="BT78" s="507"/>
      <c r="BU78" s="507"/>
      <c r="BV78" s="507"/>
      <c r="BW78" s="507"/>
      <c r="BX78" s="507"/>
      <c r="BY78" s="507"/>
      <c r="BZ78" s="507"/>
      <c r="CA78" s="507"/>
      <c r="CB78" s="507"/>
      <c r="CC78" s="507"/>
      <c r="CD78" s="507"/>
      <c r="CE78" s="507"/>
      <c r="CF78" s="507"/>
      <c r="CG78" s="507"/>
      <c r="CH78" s="507"/>
      <c r="CI78" s="507"/>
      <c r="CJ78" s="507"/>
      <c r="CK78" s="507"/>
      <c r="CL78" s="507"/>
      <c r="CM78" s="507"/>
      <c r="CN78" s="507"/>
      <c r="CO78" s="507"/>
      <c r="CP78" s="507"/>
    </row>
    <row r="79" spans="1:94" s="585" customFormat="1">
      <c r="A79" s="584"/>
      <c r="B79" s="584"/>
      <c r="C79" s="584"/>
      <c r="D79" s="584"/>
      <c r="E79" s="584"/>
      <c r="F79" s="584"/>
      <c r="G79" s="584"/>
      <c r="H79" s="584"/>
      <c r="I79" s="584"/>
      <c r="J79" s="584"/>
      <c r="K79" s="584"/>
      <c r="L79" s="584"/>
      <c r="M79" s="584"/>
      <c r="N79" s="584"/>
      <c r="O79" s="584"/>
      <c r="P79" s="584"/>
      <c r="Q79" s="584"/>
      <c r="R79" s="584"/>
      <c r="S79" s="584"/>
      <c r="T79" s="584"/>
      <c r="U79" s="584"/>
      <c r="V79" s="584"/>
      <c r="W79" s="584"/>
      <c r="X79" s="584"/>
      <c r="Y79" s="584"/>
      <c r="Z79" s="584"/>
      <c r="AA79" s="584"/>
      <c r="AB79" s="584"/>
      <c r="AC79" s="584"/>
      <c r="AD79" s="584"/>
      <c r="AE79" s="584"/>
      <c r="AF79" s="584"/>
      <c r="AG79" s="584"/>
      <c r="AH79" s="584"/>
      <c r="AI79" s="584"/>
      <c r="AJ79" s="584"/>
      <c r="AK79" s="583"/>
      <c r="AL79" s="582"/>
      <c r="AM79" s="583"/>
      <c r="AN79" s="583"/>
      <c r="AO79" s="583"/>
      <c r="AP79" s="583"/>
      <c r="AQ79" s="583"/>
      <c r="AR79" s="507"/>
      <c r="AS79" s="507"/>
      <c r="AT79" s="507"/>
      <c r="AU79" s="507"/>
      <c r="AV79" s="507"/>
      <c r="AW79" s="507"/>
      <c r="AX79" s="507"/>
      <c r="AY79" s="507"/>
      <c r="AZ79" s="507"/>
      <c r="BA79" s="507"/>
      <c r="BB79" s="507"/>
      <c r="BC79" s="507"/>
      <c r="BD79" s="507"/>
      <c r="BE79" s="507"/>
      <c r="BF79" s="507"/>
      <c r="BG79" s="507"/>
      <c r="BH79" s="507"/>
      <c r="BI79" s="507"/>
      <c r="BJ79" s="507"/>
      <c r="BK79" s="507"/>
      <c r="BL79" s="507"/>
      <c r="BM79" s="507"/>
      <c r="BN79" s="507"/>
      <c r="BO79" s="507"/>
      <c r="BP79" s="507"/>
      <c r="BQ79" s="507"/>
      <c r="BR79" s="507"/>
      <c r="BS79" s="507"/>
      <c r="BT79" s="507"/>
      <c r="BU79" s="507"/>
      <c r="BV79" s="507"/>
      <c r="BW79" s="507"/>
      <c r="BX79" s="507"/>
      <c r="BY79" s="507"/>
      <c r="BZ79" s="507"/>
      <c r="CA79" s="507"/>
      <c r="CB79" s="507"/>
      <c r="CC79" s="507"/>
      <c r="CD79" s="507"/>
      <c r="CE79" s="507"/>
      <c r="CF79" s="507"/>
      <c r="CG79" s="507"/>
      <c r="CH79" s="507"/>
      <c r="CI79" s="507"/>
      <c r="CJ79" s="507"/>
      <c r="CK79" s="507"/>
      <c r="CL79" s="507"/>
      <c r="CM79" s="507"/>
      <c r="CN79" s="507"/>
      <c r="CO79" s="507"/>
      <c r="CP79" s="507"/>
    </row>
    <row r="80" spans="1:94" s="585" customFormat="1">
      <c r="A80" s="584"/>
      <c r="B80" s="584"/>
      <c r="C80" s="584"/>
      <c r="D80" s="584"/>
      <c r="E80" s="584"/>
      <c r="F80" s="584"/>
      <c r="G80" s="584"/>
      <c r="H80" s="584"/>
      <c r="I80" s="584"/>
      <c r="J80" s="584"/>
      <c r="K80" s="584"/>
      <c r="L80" s="584"/>
      <c r="M80" s="584"/>
      <c r="N80" s="584"/>
      <c r="O80" s="584"/>
      <c r="P80" s="584"/>
      <c r="Q80" s="584"/>
      <c r="R80" s="584"/>
      <c r="S80" s="584"/>
      <c r="T80" s="584"/>
      <c r="U80" s="584"/>
      <c r="V80" s="584"/>
      <c r="W80" s="584"/>
      <c r="X80" s="584"/>
      <c r="Y80" s="584"/>
      <c r="Z80" s="584"/>
      <c r="AA80" s="584"/>
      <c r="AB80" s="584"/>
      <c r="AC80" s="584"/>
      <c r="AD80" s="584"/>
      <c r="AE80" s="584"/>
      <c r="AF80" s="584"/>
      <c r="AG80" s="584"/>
      <c r="AH80" s="584"/>
      <c r="AI80" s="584"/>
      <c r="AJ80" s="584"/>
      <c r="AK80" s="583"/>
      <c r="AL80" s="582"/>
      <c r="AM80" s="583"/>
      <c r="AN80" s="583"/>
      <c r="AO80" s="583"/>
      <c r="AP80" s="583"/>
      <c r="AQ80" s="583"/>
      <c r="AR80" s="507"/>
      <c r="AS80" s="507"/>
      <c r="AT80" s="507"/>
      <c r="AU80" s="507"/>
      <c r="AV80" s="507"/>
      <c r="AW80" s="507"/>
      <c r="AX80" s="507"/>
      <c r="AY80" s="507"/>
      <c r="AZ80" s="507"/>
      <c r="BA80" s="507"/>
      <c r="BB80" s="507"/>
      <c r="BC80" s="507"/>
      <c r="BD80" s="507"/>
      <c r="BE80" s="507"/>
      <c r="BF80" s="507"/>
      <c r="BG80" s="507"/>
      <c r="BH80" s="507"/>
      <c r="BI80" s="507"/>
      <c r="BJ80" s="507"/>
      <c r="BK80" s="507"/>
      <c r="BL80" s="507"/>
      <c r="BM80" s="507"/>
      <c r="BN80" s="507"/>
      <c r="BO80" s="507"/>
      <c r="BP80" s="507"/>
      <c r="BQ80" s="507"/>
      <c r="BR80" s="507"/>
      <c r="BS80" s="507"/>
      <c r="BT80" s="507"/>
      <c r="BU80" s="507"/>
      <c r="BV80" s="507"/>
      <c r="BW80" s="507"/>
      <c r="BX80" s="507"/>
      <c r="BY80" s="507"/>
      <c r="BZ80" s="507"/>
      <c r="CA80" s="507"/>
      <c r="CB80" s="507"/>
      <c r="CC80" s="507"/>
      <c r="CD80" s="507"/>
      <c r="CE80" s="507"/>
      <c r="CF80" s="507"/>
      <c r="CG80" s="507"/>
      <c r="CH80" s="507"/>
      <c r="CI80" s="507"/>
      <c r="CJ80" s="507"/>
      <c r="CK80" s="507"/>
      <c r="CL80" s="507"/>
      <c r="CM80" s="507"/>
      <c r="CN80" s="507"/>
      <c r="CO80" s="507"/>
      <c r="CP80" s="507"/>
    </row>
    <row r="81" spans="1:94" s="585" customFormat="1">
      <c r="A81" s="584"/>
      <c r="B81" s="584"/>
      <c r="C81" s="584"/>
      <c r="D81" s="584"/>
      <c r="E81" s="584"/>
      <c r="F81" s="584"/>
      <c r="G81" s="584"/>
      <c r="H81" s="584"/>
      <c r="I81" s="584"/>
      <c r="J81" s="584"/>
      <c r="K81" s="584"/>
      <c r="L81" s="584"/>
      <c r="M81" s="584"/>
      <c r="N81" s="584"/>
      <c r="O81" s="584"/>
      <c r="P81" s="584"/>
      <c r="Q81" s="584"/>
      <c r="R81" s="584"/>
      <c r="S81" s="584"/>
      <c r="T81" s="584"/>
      <c r="U81" s="584"/>
      <c r="V81" s="584"/>
      <c r="W81" s="584"/>
      <c r="X81" s="584"/>
      <c r="Y81" s="584"/>
      <c r="Z81" s="584"/>
      <c r="AA81" s="584"/>
      <c r="AB81" s="584"/>
      <c r="AC81" s="584"/>
      <c r="AD81" s="584"/>
      <c r="AE81" s="584"/>
      <c r="AF81" s="584"/>
      <c r="AG81" s="584"/>
      <c r="AH81" s="584"/>
      <c r="AI81" s="584"/>
      <c r="AJ81" s="584"/>
      <c r="AK81" s="583"/>
      <c r="AL81" s="582"/>
      <c r="AM81" s="583"/>
      <c r="AN81" s="583"/>
      <c r="AO81" s="583"/>
      <c r="AP81" s="583"/>
      <c r="AQ81" s="583"/>
      <c r="AR81" s="507"/>
      <c r="AS81" s="507"/>
      <c r="AT81" s="507"/>
      <c r="AU81" s="507"/>
      <c r="AV81" s="507"/>
      <c r="AW81" s="507"/>
      <c r="AX81" s="507"/>
      <c r="AY81" s="507"/>
      <c r="AZ81" s="507"/>
      <c r="BA81" s="507"/>
      <c r="BB81" s="507"/>
      <c r="BC81" s="507"/>
      <c r="BD81" s="507"/>
      <c r="BE81" s="507"/>
      <c r="BF81" s="507"/>
      <c r="BG81" s="507"/>
      <c r="BH81" s="507"/>
      <c r="BI81" s="507"/>
      <c r="BJ81" s="507"/>
      <c r="BK81" s="507"/>
      <c r="BL81" s="507"/>
      <c r="BM81" s="507"/>
      <c r="BN81" s="507"/>
      <c r="BO81" s="507"/>
      <c r="BP81" s="507"/>
      <c r="BQ81" s="507"/>
      <c r="BR81" s="507"/>
      <c r="BS81" s="507"/>
      <c r="BT81" s="507"/>
      <c r="BU81" s="507"/>
      <c r="BV81" s="507"/>
      <c r="BW81" s="507"/>
      <c r="BX81" s="507"/>
      <c r="BY81" s="507"/>
      <c r="BZ81" s="507"/>
      <c r="CA81" s="507"/>
      <c r="CB81" s="507"/>
      <c r="CC81" s="507"/>
      <c r="CD81" s="507"/>
      <c r="CE81" s="507"/>
      <c r="CF81" s="507"/>
      <c r="CG81" s="507"/>
      <c r="CH81" s="507"/>
      <c r="CI81" s="507"/>
      <c r="CJ81" s="507"/>
      <c r="CK81" s="507"/>
      <c r="CL81" s="507"/>
      <c r="CM81" s="507"/>
      <c r="CN81" s="507"/>
      <c r="CO81" s="507"/>
      <c r="CP81" s="507"/>
    </row>
    <row r="82" spans="1:94" s="585" customFormat="1">
      <c r="A82" s="584"/>
      <c r="B82" s="584"/>
      <c r="C82" s="584"/>
      <c r="D82" s="584"/>
      <c r="E82" s="584"/>
      <c r="F82" s="584"/>
      <c r="G82" s="584"/>
      <c r="H82" s="584"/>
      <c r="I82" s="584"/>
      <c r="J82" s="584"/>
      <c r="K82" s="584"/>
      <c r="L82" s="584"/>
      <c r="M82" s="584"/>
      <c r="N82" s="584"/>
      <c r="O82" s="584"/>
      <c r="P82" s="584"/>
      <c r="Q82" s="584"/>
      <c r="R82" s="584"/>
      <c r="S82" s="584"/>
      <c r="T82" s="584"/>
      <c r="U82" s="584"/>
      <c r="V82" s="584"/>
      <c r="W82" s="584"/>
      <c r="X82" s="584"/>
      <c r="Y82" s="584"/>
      <c r="Z82" s="584"/>
      <c r="AA82" s="584"/>
      <c r="AB82" s="584"/>
      <c r="AC82" s="584"/>
      <c r="AD82" s="584"/>
      <c r="AE82" s="584"/>
      <c r="AF82" s="584"/>
      <c r="AG82" s="584"/>
      <c r="AH82" s="584"/>
      <c r="AI82" s="584"/>
      <c r="AJ82" s="584"/>
      <c r="AK82" s="583"/>
      <c r="AL82" s="582"/>
      <c r="AM82" s="583"/>
      <c r="AN82" s="583"/>
      <c r="AO82" s="583"/>
      <c r="AP82" s="583"/>
      <c r="AQ82" s="583"/>
      <c r="AR82" s="507"/>
      <c r="AS82" s="507"/>
      <c r="AT82" s="507"/>
      <c r="AU82" s="507"/>
      <c r="AV82" s="507"/>
      <c r="AW82" s="507"/>
      <c r="AX82" s="507"/>
      <c r="AY82" s="507"/>
      <c r="AZ82" s="507"/>
      <c r="BA82" s="507"/>
      <c r="BB82" s="507"/>
      <c r="BC82" s="507"/>
      <c r="BD82" s="507"/>
      <c r="BE82" s="507"/>
      <c r="BF82" s="507"/>
      <c r="BG82" s="507"/>
      <c r="BH82" s="507"/>
      <c r="BI82" s="507"/>
      <c r="BJ82" s="507"/>
      <c r="BK82" s="507"/>
      <c r="BL82" s="507"/>
      <c r="BM82" s="507"/>
      <c r="BN82" s="507"/>
      <c r="BO82" s="507"/>
      <c r="BP82" s="507"/>
      <c r="BQ82" s="507"/>
      <c r="BR82" s="507"/>
      <c r="BS82" s="507"/>
      <c r="BT82" s="507"/>
      <c r="BU82" s="507"/>
      <c r="BV82" s="507"/>
      <c r="BW82" s="507"/>
      <c r="BX82" s="507"/>
      <c r="BY82" s="507"/>
      <c r="BZ82" s="507"/>
      <c r="CA82" s="507"/>
      <c r="CB82" s="507"/>
      <c r="CC82" s="507"/>
      <c r="CD82" s="507"/>
      <c r="CE82" s="507"/>
      <c r="CF82" s="507"/>
      <c r="CG82" s="507"/>
      <c r="CH82" s="507"/>
      <c r="CI82" s="507"/>
      <c r="CJ82" s="507"/>
      <c r="CK82" s="507"/>
      <c r="CL82" s="507"/>
      <c r="CM82" s="507"/>
      <c r="CN82" s="507"/>
      <c r="CO82" s="507"/>
      <c r="CP82" s="507"/>
    </row>
    <row r="83" spans="1:94" s="585" customFormat="1">
      <c r="A83" s="584"/>
      <c r="B83" s="584"/>
      <c r="C83" s="584"/>
      <c r="D83" s="584"/>
      <c r="E83" s="584"/>
      <c r="F83" s="584"/>
      <c r="G83" s="584"/>
      <c r="H83" s="584"/>
      <c r="I83" s="584"/>
      <c r="J83" s="584"/>
      <c r="K83" s="584"/>
      <c r="L83" s="584"/>
      <c r="M83" s="584"/>
      <c r="N83" s="584"/>
      <c r="O83" s="584"/>
      <c r="P83" s="584"/>
      <c r="Q83" s="584"/>
      <c r="R83" s="584"/>
      <c r="S83" s="584"/>
      <c r="T83" s="584"/>
      <c r="U83" s="584"/>
      <c r="V83" s="584"/>
      <c r="W83" s="584"/>
      <c r="X83" s="584"/>
      <c r="Y83" s="584"/>
      <c r="Z83" s="584"/>
      <c r="AA83" s="584"/>
      <c r="AB83" s="584"/>
      <c r="AC83" s="584"/>
      <c r="AD83" s="584"/>
      <c r="AE83" s="584"/>
      <c r="AF83" s="584"/>
      <c r="AG83" s="584"/>
      <c r="AH83" s="584"/>
      <c r="AI83" s="584"/>
      <c r="AJ83" s="584"/>
      <c r="AK83" s="583"/>
      <c r="AL83" s="582"/>
      <c r="AM83" s="583"/>
      <c r="AN83" s="583"/>
      <c r="AO83" s="583"/>
      <c r="AP83" s="583"/>
      <c r="AQ83" s="583"/>
      <c r="AR83" s="507"/>
      <c r="AS83" s="507"/>
      <c r="AT83" s="507"/>
      <c r="AU83" s="507"/>
      <c r="AV83" s="507"/>
      <c r="AW83" s="507"/>
      <c r="AX83" s="507"/>
      <c r="AY83" s="507"/>
      <c r="AZ83" s="507"/>
      <c r="BA83" s="507"/>
      <c r="BB83" s="507"/>
      <c r="BC83" s="507"/>
      <c r="BD83" s="507"/>
      <c r="BE83" s="507"/>
      <c r="BF83" s="507"/>
      <c r="BG83" s="507"/>
      <c r="BH83" s="507"/>
      <c r="BI83" s="507"/>
      <c r="BJ83" s="507"/>
      <c r="BK83" s="507"/>
      <c r="BL83" s="507"/>
      <c r="BM83" s="507"/>
      <c r="BN83" s="507"/>
      <c r="BO83" s="507"/>
      <c r="BP83" s="507"/>
      <c r="BQ83" s="507"/>
      <c r="BR83" s="507"/>
      <c r="BS83" s="507"/>
      <c r="BT83" s="507"/>
      <c r="BU83" s="507"/>
      <c r="BV83" s="507"/>
      <c r="BW83" s="507"/>
      <c r="BX83" s="507"/>
      <c r="BY83" s="507"/>
      <c r="BZ83" s="507"/>
      <c r="CA83" s="507"/>
      <c r="CB83" s="507"/>
      <c r="CC83" s="507"/>
      <c r="CD83" s="507"/>
      <c r="CE83" s="507"/>
      <c r="CF83" s="507"/>
      <c r="CG83" s="507"/>
      <c r="CH83" s="507"/>
      <c r="CI83" s="507"/>
      <c r="CJ83" s="507"/>
      <c r="CK83" s="507"/>
      <c r="CL83" s="507"/>
      <c r="CM83" s="507"/>
      <c r="CN83" s="507"/>
      <c r="CO83" s="507"/>
      <c r="CP83" s="507"/>
    </row>
    <row r="84" spans="1:94" s="585" customFormat="1">
      <c r="A84" s="584"/>
      <c r="B84" s="584"/>
      <c r="C84" s="584"/>
      <c r="D84" s="584"/>
      <c r="E84" s="584"/>
      <c r="F84" s="584"/>
      <c r="G84" s="584"/>
      <c r="H84" s="584"/>
      <c r="I84" s="584"/>
      <c r="J84" s="584"/>
      <c r="K84" s="584"/>
      <c r="L84" s="584"/>
      <c r="M84" s="584"/>
      <c r="N84" s="584"/>
      <c r="O84" s="584"/>
      <c r="P84" s="584"/>
      <c r="Q84" s="584"/>
      <c r="R84" s="584"/>
      <c r="S84" s="584"/>
      <c r="T84" s="584"/>
      <c r="U84" s="584"/>
      <c r="V84" s="584"/>
      <c r="W84" s="584"/>
      <c r="X84" s="584"/>
      <c r="Y84" s="584"/>
      <c r="Z84" s="584"/>
      <c r="AA84" s="584"/>
      <c r="AB84" s="584"/>
      <c r="AC84" s="584"/>
      <c r="AD84" s="584"/>
      <c r="AE84" s="584"/>
      <c r="AF84" s="584"/>
      <c r="AG84" s="584"/>
      <c r="AH84" s="584"/>
      <c r="AI84" s="584"/>
      <c r="AJ84" s="584"/>
      <c r="AK84" s="583"/>
      <c r="AL84" s="582"/>
      <c r="AM84" s="583"/>
      <c r="AN84" s="583"/>
      <c r="AO84" s="583"/>
      <c r="AP84" s="583"/>
      <c r="AQ84" s="583"/>
      <c r="AR84" s="507"/>
      <c r="AS84" s="507"/>
      <c r="AT84" s="507"/>
      <c r="AU84" s="507"/>
      <c r="AV84" s="507"/>
      <c r="AW84" s="507"/>
      <c r="AX84" s="507"/>
      <c r="AY84" s="507"/>
      <c r="AZ84" s="507"/>
      <c r="BA84" s="507"/>
      <c r="BB84" s="507"/>
      <c r="BC84" s="507"/>
      <c r="BD84" s="507"/>
      <c r="BE84" s="507"/>
      <c r="BF84" s="507"/>
      <c r="BG84" s="507"/>
      <c r="BH84" s="507"/>
      <c r="BI84" s="507"/>
      <c r="BJ84" s="507"/>
      <c r="BK84" s="507"/>
      <c r="BL84" s="507"/>
      <c r="BM84" s="507"/>
      <c r="BN84" s="507"/>
      <c r="BO84" s="507"/>
      <c r="BP84" s="507"/>
      <c r="BQ84" s="507"/>
      <c r="BR84" s="507"/>
      <c r="BS84" s="507"/>
      <c r="BT84" s="507"/>
      <c r="BU84" s="507"/>
      <c r="BV84" s="507"/>
      <c r="BW84" s="507"/>
      <c r="BX84" s="507"/>
      <c r="BY84" s="507"/>
      <c r="BZ84" s="507"/>
      <c r="CA84" s="507"/>
      <c r="CB84" s="507"/>
      <c r="CC84" s="507"/>
      <c r="CD84" s="507"/>
      <c r="CE84" s="507"/>
      <c r="CF84" s="507"/>
      <c r="CG84" s="507"/>
      <c r="CH84" s="507"/>
      <c r="CI84" s="507"/>
      <c r="CJ84" s="507"/>
      <c r="CK84" s="507"/>
      <c r="CL84" s="507"/>
      <c r="CM84" s="507"/>
      <c r="CN84" s="507"/>
      <c r="CO84" s="507"/>
      <c r="CP84" s="507"/>
    </row>
    <row r="85" spans="1:94" s="585" customFormat="1">
      <c r="A85" s="584"/>
      <c r="B85" s="584"/>
      <c r="C85" s="584"/>
      <c r="D85" s="584"/>
      <c r="E85" s="584"/>
      <c r="F85" s="584"/>
      <c r="G85" s="584"/>
      <c r="H85" s="584"/>
      <c r="I85" s="584"/>
      <c r="J85" s="584"/>
      <c r="K85" s="584"/>
      <c r="L85" s="584"/>
      <c r="M85" s="584"/>
      <c r="N85" s="584"/>
      <c r="O85" s="584"/>
      <c r="P85" s="584"/>
      <c r="Q85" s="584"/>
      <c r="R85" s="584"/>
      <c r="S85" s="584"/>
      <c r="T85" s="584"/>
      <c r="U85" s="584"/>
      <c r="V85" s="584"/>
      <c r="W85" s="584"/>
      <c r="X85" s="584"/>
      <c r="Y85" s="584"/>
      <c r="Z85" s="584"/>
      <c r="AA85" s="584"/>
      <c r="AB85" s="584"/>
      <c r="AC85" s="584"/>
      <c r="AD85" s="584"/>
      <c r="AE85" s="584"/>
      <c r="AF85" s="584"/>
      <c r="AG85" s="584"/>
      <c r="AH85" s="584"/>
      <c r="AI85" s="584"/>
      <c r="AJ85" s="584"/>
      <c r="AK85" s="583"/>
      <c r="AL85" s="582"/>
      <c r="AM85" s="583"/>
      <c r="AN85" s="583"/>
      <c r="AO85" s="583"/>
      <c r="AP85" s="583"/>
      <c r="AQ85" s="583"/>
      <c r="AR85" s="507"/>
      <c r="AS85" s="507"/>
      <c r="AT85" s="507"/>
      <c r="AU85" s="507"/>
      <c r="AV85" s="507"/>
      <c r="AW85" s="507"/>
      <c r="AX85" s="507"/>
      <c r="AY85" s="507"/>
      <c r="AZ85" s="507"/>
      <c r="BA85" s="507"/>
      <c r="BB85" s="507"/>
      <c r="BC85" s="507"/>
      <c r="BD85" s="507"/>
      <c r="BE85" s="507"/>
      <c r="BF85" s="507"/>
      <c r="BG85" s="507"/>
      <c r="BH85" s="507"/>
      <c r="BI85" s="507"/>
      <c r="BJ85" s="507"/>
      <c r="BK85" s="507"/>
      <c r="BL85" s="507"/>
      <c r="BM85" s="507"/>
      <c r="BN85" s="507"/>
      <c r="BO85" s="507"/>
      <c r="BP85" s="507"/>
      <c r="BQ85" s="507"/>
      <c r="BR85" s="507"/>
      <c r="BS85" s="507"/>
      <c r="BT85" s="507"/>
      <c r="BU85" s="507"/>
      <c r="BV85" s="507"/>
      <c r="BW85" s="507"/>
      <c r="BX85" s="507"/>
      <c r="BY85" s="507"/>
      <c r="BZ85" s="507"/>
      <c r="CA85" s="507"/>
      <c r="CB85" s="507"/>
      <c r="CC85" s="507"/>
      <c r="CD85" s="507"/>
      <c r="CE85" s="507"/>
      <c r="CF85" s="507"/>
      <c r="CG85" s="507"/>
      <c r="CH85" s="507"/>
      <c r="CI85" s="507"/>
      <c r="CJ85" s="507"/>
      <c r="CK85" s="507"/>
      <c r="CL85" s="507"/>
      <c r="CM85" s="507"/>
      <c r="CN85" s="507"/>
      <c r="CO85" s="507"/>
      <c r="CP85" s="507"/>
    </row>
    <row r="86" spans="1:94" s="585" customFormat="1">
      <c r="A86" s="584"/>
      <c r="B86" s="584"/>
      <c r="C86" s="584"/>
      <c r="D86" s="584"/>
      <c r="E86" s="584"/>
      <c r="F86" s="584"/>
      <c r="G86" s="584"/>
      <c r="H86" s="584"/>
      <c r="I86" s="584"/>
      <c r="J86" s="584"/>
      <c r="K86" s="584"/>
      <c r="L86" s="584"/>
      <c r="M86" s="584"/>
      <c r="N86" s="584"/>
      <c r="O86" s="584"/>
      <c r="P86" s="584"/>
      <c r="Q86" s="584"/>
      <c r="R86" s="584"/>
      <c r="S86" s="584"/>
      <c r="T86" s="584"/>
      <c r="U86" s="584"/>
      <c r="V86" s="584"/>
      <c r="W86" s="584"/>
      <c r="X86" s="584"/>
      <c r="Y86" s="584"/>
      <c r="Z86" s="584"/>
      <c r="AA86" s="584"/>
      <c r="AB86" s="584"/>
      <c r="AC86" s="584"/>
      <c r="AD86" s="584"/>
      <c r="AE86" s="584"/>
      <c r="AF86" s="584"/>
      <c r="AG86" s="584"/>
      <c r="AH86" s="584"/>
      <c r="AI86" s="584"/>
      <c r="AJ86" s="584"/>
      <c r="AK86" s="583"/>
      <c r="AL86" s="582"/>
      <c r="AM86" s="583"/>
      <c r="AN86" s="583"/>
      <c r="AO86" s="583"/>
      <c r="AP86" s="583"/>
      <c r="AQ86" s="583"/>
      <c r="AR86" s="507"/>
      <c r="AS86" s="507"/>
      <c r="AT86" s="507"/>
      <c r="AU86" s="507"/>
      <c r="AV86" s="507"/>
      <c r="AW86" s="507"/>
      <c r="AX86" s="507"/>
      <c r="AY86" s="507"/>
      <c r="AZ86" s="507"/>
      <c r="BA86" s="507"/>
      <c r="BB86" s="507"/>
      <c r="BC86" s="507"/>
      <c r="BD86" s="507"/>
      <c r="BE86" s="507"/>
      <c r="BF86" s="507"/>
      <c r="BG86" s="507"/>
      <c r="BH86" s="507"/>
      <c r="BI86" s="507"/>
      <c r="BJ86" s="507"/>
      <c r="BK86" s="507"/>
      <c r="BL86" s="507"/>
      <c r="BM86" s="507"/>
      <c r="BN86" s="507"/>
      <c r="BO86" s="507"/>
      <c r="BP86" s="507"/>
      <c r="BQ86" s="507"/>
      <c r="BR86" s="507"/>
      <c r="BS86" s="507"/>
      <c r="BT86" s="507"/>
      <c r="BU86" s="507"/>
      <c r="BV86" s="507"/>
      <c r="BW86" s="507"/>
      <c r="BX86" s="507"/>
      <c r="BY86" s="507"/>
      <c r="BZ86" s="507"/>
      <c r="CA86" s="507"/>
      <c r="CB86" s="507"/>
      <c r="CC86" s="507"/>
      <c r="CD86" s="507"/>
      <c r="CE86" s="507"/>
      <c r="CF86" s="507"/>
      <c r="CG86" s="507"/>
      <c r="CH86" s="507"/>
      <c r="CI86" s="507"/>
      <c r="CJ86" s="507"/>
      <c r="CK86" s="507"/>
      <c r="CL86" s="507"/>
      <c r="CM86" s="507"/>
      <c r="CN86" s="507"/>
      <c r="CO86" s="507"/>
      <c r="CP86" s="507"/>
    </row>
    <row r="87" spans="1:94" s="585" customFormat="1">
      <c r="A87" s="584"/>
      <c r="B87" s="584"/>
      <c r="C87" s="584"/>
      <c r="D87" s="584"/>
      <c r="E87" s="584"/>
      <c r="F87" s="584"/>
      <c r="G87" s="584"/>
      <c r="H87" s="584"/>
      <c r="I87" s="584"/>
      <c r="J87" s="584"/>
      <c r="K87" s="584"/>
      <c r="L87" s="584"/>
      <c r="M87" s="584"/>
      <c r="N87" s="584"/>
      <c r="O87" s="584"/>
      <c r="P87" s="584"/>
      <c r="Q87" s="584"/>
      <c r="R87" s="584"/>
      <c r="S87" s="584"/>
      <c r="T87" s="584"/>
      <c r="U87" s="584"/>
      <c r="V87" s="584"/>
      <c r="W87" s="584"/>
      <c r="X87" s="584"/>
      <c r="Y87" s="584"/>
      <c r="Z87" s="584"/>
      <c r="AA87" s="584"/>
      <c r="AB87" s="584"/>
      <c r="AC87" s="584"/>
      <c r="AD87" s="584"/>
      <c r="AE87" s="584"/>
      <c r="AF87" s="584"/>
      <c r="AG87" s="584"/>
      <c r="AH87" s="584"/>
      <c r="AI87" s="584"/>
      <c r="AJ87" s="584"/>
      <c r="AK87" s="583"/>
      <c r="AL87" s="582"/>
      <c r="AM87" s="583"/>
      <c r="AN87" s="583"/>
      <c r="AO87" s="583"/>
      <c r="AP87" s="583"/>
      <c r="AQ87" s="583"/>
      <c r="AR87" s="507"/>
      <c r="AS87" s="507"/>
      <c r="AT87" s="507"/>
      <c r="AU87" s="507"/>
      <c r="AV87" s="507"/>
      <c r="AW87" s="507"/>
      <c r="AX87" s="507"/>
      <c r="AY87" s="507"/>
      <c r="AZ87" s="507"/>
      <c r="BA87" s="507"/>
      <c r="BB87" s="507"/>
      <c r="BC87" s="507"/>
      <c r="BD87" s="507"/>
      <c r="BE87" s="507"/>
      <c r="BF87" s="507"/>
      <c r="BG87" s="507"/>
      <c r="BH87" s="507"/>
      <c r="BI87" s="507"/>
      <c r="BJ87" s="507"/>
      <c r="BK87" s="507"/>
      <c r="BL87" s="507"/>
      <c r="BM87" s="507"/>
      <c r="BN87" s="507"/>
      <c r="BO87" s="507"/>
      <c r="BP87" s="507"/>
      <c r="BQ87" s="507"/>
      <c r="BR87" s="507"/>
      <c r="BS87" s="507"/>
      <c r="BT87" s="507"/>
      <c r="BU87" s="507"/>
      <c r="BV87" s="507"/>
      <c r="BW87" s="507"/>
      <c r="BX87" s="507"/>
      <c r="BY87" s="507"/>
      <c r="BZ87" s="507"/>
      <c r="CA87" s="507"/>
      <c r="CB87" s="507"/>
      <c r="CC87" s="507"/>
      <c r="CD87" s="507"/>
      <c r="CE87" s="507"/>
      <c r="CF87" s="507"/>
      <c r="CG87" s="507"/>
      <c r="CH87" s="507"/>
      <c r="CI87" s="507"/>
      <c r="CJ87" s="507"/>
      <c r="CK87" s="507"/>
      <c r="CL87" s="507"/>
      <c r="CM87" s="507"/>
      <c r="CN87" s="507"/>
      <c r="CO87" s="507"/>
      <c r="CP87" s="507"/>
    </row>
    <row r="88" spans="1:94" s="585" customFormat="1">
      <c r="A88" s="584"/>
      <c r="B88" s="584"/>
      <c r="C88" s="584"/>
      <c r="D88" s="584"/>
      <c r="E88" s="584"/>
      <c r="F88" s="584"/>
      <c r="G88" s="584"/>
      <c r="H88" s="584"/>
      <c r="I88" s="584"/>
      <c r="J88" s="584"/>
      <c r="K88" s="584"/>
      <c r="L88" s="584"/>
      <c r="M88" s="584"/>
      <c r="N88" s="584"/>
      <c r="O88" s="584"/>
      <c r="P88" s="584"/>
      <c r="Q88" s="584"/>
      <c r="R88" s="584"/>
      <c r="S88" s="584"/>
      <c r="T88" s="584"/>
      <c r="U88" s="584"/>
      <c r="V88" s="584"/>
      <c r="W88" s="584"/>
      <c r="X88" s="584"/>
      <c r="Y88" s="584"/>
      <c r="Z88" s="584"/>
      <c r="AA88" s="584"/>
      <c r="AB88" s="584"/>
      <c r="AC88" s="584"/>
      <c r="AD88" s="584"/>
      <c r="AE88" s="584"/>
      <c r="AF88" s="584"/>
      <c r="AG88" s="584"/>
      <c r="AH88" s="584"/>
      <c r="AI88" s="584"/>
      <c r="AJ88" s="584"/>
      <c r="AK88" s="583"/>
      <c r="AL88" s="582"/>
      <c r="AM88" s="583"/>
      <c r="AN88" s="583"/>
      <c r="AO88" s="583"/>
      <c r="AP88" s="583"/>
      <c r="AQ88" s="583"/>
      <c r="AR88" s="507"/>
      <c r="AS88" s="507"/>
      <c r="AT88" s="507"/>
      <c r="AU88" s="507"/>
      <c r="AV88" s="507"/>
      <c r="AW88" s="507"/>
      <c r="AX88" s="507"/>
      <c r="AY88" s="507"/>
      <c r="AZ88" s="507"/>
      <c r="BA88" s="507"/>
      <c r="BB88" s="507"/>
      <c r="BC88" s="507"/>
      <c r="BD88" s="507"/>
      <c r="BE88" s="507"/>
      <c r="BF88" s="507"/>
      <c r="BG88" s="507"/>
      <c r="BH88" s="507"/>
      <c r="BI88" s="507"/>
      <c r="BJ88" s="507"/>
      <c r="BK88" s="507"/>
      <c r="BL88" s="507"/>
      <c r="BM88" s="507"/>
      <c r="BN88" s="507"/>
      <c r="BO88" s="507"/>
      <c r="BP88" s="507"/>
      <c r="BQ88" s="507"/>
      <c r="BR88" s="507"/>
      <c r="BS88" s="507"/>
      <c r="BT88" s="507"/>
      <c r="BU88" s="507"/>
      <c r="BV88" s="507"/>
      <c r="BW88" s="507"/>
      <c r="BX88" s="507"/>
      <c r="BY88" s="507"/>
      <c r="BZ88" s="507"/>
      <c r="CA88" s="507"/>
      <c r="CB88" s="507"/>
      <c r="CC88" s="507"/>
      <c r="CD88" s="507"/>
      <c r="CE88" s="507"/>
      <c r="CF88" s="507"/>
      <c r="CG88" s="507"/>
      <c r="CH88" s="507"/>
      <c r="CI88" s="507"/>
      <c r="CJ88" s="507"/>
      <c r="CK88" s="507"/>
      <c r="CL88" s="507"/>
      <c r="CM88" s="507"/>
      <c r="CN88" s="507"/>
      <c r="CO88" s="507"/>
      <c r="CP88" s="507"/>
    </row>
    <row r="89" spans="1:94" s="585" customFormat="1">
      <c r="A89" s="584"/>
      <c r="B89" s="584"/>
      <c r="C89" s="584"/>
      <c r="D89" s="584"/>
      <c r="E89" s="584"/>
      <c r="F89" s="584"/>
      <c r="G89" s="584"/>
      <c r="H89" s="584"/>
      <c r="I89" s="584"/>
      <c r="J89" s="584"/>
      <c r="K89" s="584"/>
      <c r="L89" s="584"/>
      <c r="M89" s="584"/>
      <c r="N89" s="584"/>
      <c r="O89" s="584"/>
      <c r="P89" s="584"/>
      <c r="Q89" s="584"/>
      <c r="R89" s="584"/>
      <c r="S89" s="584"/>
      <c r="T89" s="584"/>
      <c r="U89" s="584"/>
      <c r="V89" s="584"/>
      <c r="W89" s="584"/>
      <c r="X89" s="584"/>
      <c r="Y89" s="584"/>
      <c r="Z89" s="584"/>
      <c r="AA89" s="584"/>
      <c r="AB89" s="584"/>
      <c r="AC89" s="584"/>
      <c r="AD89" s="584"/>
      <c r="AE89" s="584"/>
      <c r="AF89" s="584"/>
      <c r="AG89" s="584"/>
      <c r="AH89" s="584"/>
      <c r="AI89" s="584"/>
      <c r="AJ89" s="584"/>
      <c r="AK89" s="583"/>
      <c r="AL89" s="582"/>
      <c r="AM89" s="583"/>
      <c r="AN89" s="583"/>
      <c r="AO89" s="583"/>
      <c r="AP89" s="583"/>
      <c r="AQ89" s="583"/>
      <c r="AR89" s="507"/>
      <c r="AS89" s="507"/>
      <c r="AT89" s="507"/>
      <c r="AU89" s="507"/>
      <c r="AV89" s="507"/>
      <c r="AW89" s="507"/>
      <c r="AX89" s="507"/>
      <c r="AY89" s="507"/>
      <c r="AZ89" s="507"/>
      <c r="BA89" s="507"/>
      <c r="BB89" s="507"/>
      <c r="BC89" s="507"/>
      <c r="BD89" s="507"/>
      <c r="BE89" s="507"/>
      <c r="BF89" s="507"/>
      <c r="BG89" s="507"/>
      <c r="BH89" s="507"/>
      <c r="BI89" s="507"/>
      <c r="BJ89" s="507"/>
      <c r="BK89" s="507"/>
      <c r="BL89" s="507"/>
      <c r="BM89" s="507"/>
      <c r="BN89" s="507"/>
      <c r="BO89" s="507"/>
      <c r="BP89" s="507"/>
      <c r="BQ89" s="507"/>
      <c r="BR89" s="507"/>
      <c r="BS89" s="507"/>
      <c r="BT89" s="507"/>
      <c r="BU89" s="507"/>
      <c r="BV89" s="507"/>
      <c r="BW89" s="507"/>
      <c r="BX89" s="507"/>
      <c r="BY89" s="507"/>
      <c r="BZ89" s="507"/>
      <c r="CA89" s="507"/>
      <c r="CB89" s="507"/>
      <c r="CC89" s="507"/>
      <c r="CD89" s="507"/>
      <c r="CE89" s="507"/>
      <c r="CF89" s="507"/>
      <c r="CG89" s="507"/>
      <c r="CH89" s="507"/>
      <c r="CI89" s="507"/>
      <c r="CJ89" s="507"/>
      <c r="CK89" s="507"/>
      <c r="CL89" s="507"/>
      <c r="CM89" s="507"/>
      <c r="CN89" s="507"/>
      <c r="CO89" s="507"/>
      <c r="CP89" s="507"/>
    </row>
    <row r="90" spans="1:94">
      <c r="A90" s="584"/>
      <c r="B90" s="584"/>
      <c r="C90" s="584"/>
      <c r="D90" s="584"/>
      <c r="E90" s="584"/>
      <c r="F90" s="584"/>
      <c r="G90" s="584"/>
      <c r="H90" s="584"/>
      <c r="I90" s="584"/>
      <c r="J90" s="584"/>
      <c r="K90" s="584"/>
      <c r="L90" s="584"/>
      <c r="M90" s="584"/>
      <c r="N90" s="584"/>
      <c r="O90" s="584"/>
      <c r="P90" s="584"/>
      <c r="Q90" s="584"/>
      <c r="R90" s="584"/>
      <c r="S90" s="584"/>
      <c r="T90" s="584"/>
      <c r="U90" s="584"/>
      <c r="V90" s="584"/>
      <c r="W90" s="584"/>
      <c r="X90" s="584"/>
      <c r="Y90" s="584"/>
      <c r="Z90" s="584"/>
      <c r="AA90" s="584"/>
      <c r="AB90" s="584"/>
      <c r="AC90" s="584"/>
      <c r="AD90" s="584"/>
      <c r="AE90" s="584"/>
      <c r="AF90" s="584"/>
      <c r="AG90" s="584"/>
      <c r="AH90" s="584"/>
      <c r="AI90" s="584"/>
      <c r="AJ90" s="584"/>
      <c r="AK90" s="583"/>
      <c r="AL90" s="582"/>
      <c r="AM90" s="583"/>
      <c r="AN90" s="583"/>
      <c r="AO90" s="583"/>
      <c r="AP90" s="583"/>
      <c r="AQ90" s="583"/>
      <c r="AR90" s="507"/>
      <c r="AS90" s="507"/>
      <c r="AT90" s="507"/>
      <c r="AU90" s="507"/>
      <c r="AV90" s="507"/>
      <c r="AW90" s="507"/>
      <c r="AX90" s="507"/>
      <c r="AY90" s="507"/>
      <c r="AZ90" s="507"/>
      <c r="BA90" s="507"/>
      <c r="BB90" s="507"/>
      <c r="BC90" s="507"/>
      <c r="BD90" s="507"/>
      <c r="BE90" s="507"/>
      <c r="BF90" s="507"/>
      <c r="BG90" s="507"/>
      <c r="BH90" s="507"/>
      <c r="BI90" s="507"/>
      <c r="BJ90" s="507"/>
      <c r="BK90" s="507"/>
      <c r="BL90" s="507"/>
      <c r="BM90" s="507"/>
      <c r="BN90" s="507"/>
      <c r="BO90" s="507"/>
      <c r="BP90" s="507"/>
      <c r="BQ90" s="507"/>
      <c r="BR90" s="507"/>
      <c r="BS90" s="507"/>
      <c r="BT90" s="507"/>
      <c r="BU90" s="507"/>
      <c r="BV90" s="507"/>
      <c r="BW90" s="507"/>
      <c r="BX90" s="507"/>
      <c r="BY90" s="507"/>
      <c r="BZ90" s="507"/>
      <c r="CA90" s="507"/>
      <c r="CB90" s="507"/>
      <c r="CC90" s="507"/>
      <c r="CD90" s="507"/>
      <c r="CE90" s="507"/>
      <c r="CF90" s="507"/>
      <c r="CG90" s="507"/>
      <c r="CH90" s="507"/>
      <c r="CI90" s="507"/>
      <c r="CJ90" s="507"/>
      <c r="CK90" s="507"/>
      <c r="CL90" s="507"/>
      <c r="CM90" s="507"/>
      <c r="CN90" s="507"/>
      <c r="CO90" s="507"/>
      <c r="CP90" s="507"/>
    </row>
    <row r="91" spans="1:94">
      <c r="A91" s="584"/>
      <c r="B91" s="584"/>
      <c r="C91" s="584"/>
      <c r="D91" s="584"/>
      <c r="E91" s="584"/>
      <c r="F91" s="584"/>
      <c r="G91" s="584"/>
      <c r="H91" s="584"/>
      <c r="I91" s="584"/>
      <c r="J91" s="584"/>
      <c r="K91" s="584"/>
      <c r="L91" s="584"/>
      <c r="M91" s="584"/>
      <c r="N91" s="584"/>
      <c r="O91" s="584"/>
      <c r="P91" s="584"/>
      <c r="Q91" s="584"/>
      <c r="R91" s="584"/>
      <c r="S91" s="584"/>
      <c r="T91" s="584"/>
      <c r="U91" s="584"/>
      <c r="V91" s="584"/>
      <c r="W91" s="584"/>
      <c r="X91" s="584"/>
      <c r="Y91" s="584"/>
      <c r="Z91" s="584"/>
      <c r="AA91" s="584"/>
      <c r="AB91" s="584"/>
      <c r="AC91" s="584"/>
      <c r="AD91" s="584"/>
      <c r="AE91" s="584"/>
      <c r="AF91" s="584"/>
      <c r="AG91" s="584"/>
      <c r="AH91" s="584"/>
      <c r="AI91" s="584"/>
      <c r="AJ91" s="584"/>
      <c r="AK91" s="583"/>
      <c r="AL91" s="582"/>
      <c r="AM91" s="583"/>
      <c r="AN91" s="583"/>
      <c r="AO91" s="583"/>
      <c r="AP91" s="583"/>
      <c r="AQ91" s="583"/>
      <c r="AR91" s="507"/>
      <c r="AS91" s="507"/>
      <c r="AT91" s="507"/>
      <c r="AU91" s="507"/>
      <c r="AV91" s="507"/>
      <c r="AW91" s="507"/>
      <c r="AX91" s="507"/>
      <c r="AY91" s="507"/>
      <c r="AZ91" s="507"/>
      <c r="BA91" s="507"/>
      <c r="BB91" s="507"/>
      <c r="BC91" s="507"/>
      <c r="BD91" s="507"/>
      <c r="BE91" s="507"/>
      <c r="BF91" s="507"/>
      <c r="BG91" s="507"/>
      <c r="BH91" s="507"/>
      <c r="BI91" s="507"/>
      <c r="BJ91" s="507"/>
      <c r="BK91" s="507"/>
      <c r="BL91" s="507"/>
      <c r="BM91" s="507"/>
      <c r="BN91" s="507"/>
      <c r="BO91" s="507"/>
      <c r="BP91" s="507"/>
      <c r="BQ91" s="507"/>
      <c r="BR91" s="507"/>
      <c r="BS91" s="507"/>
      <c r="BT91" s="507"/>
      <c r="BU91" s="507"/>
      <c r="BV91" s="507"/>
      <c r="BW91" s="507"/>
      <c r="BX91" s="507"/>
      <c r="BY91" s="507"/>
      <c r="BZ91" s="507"/>
      <c r="CA91" s="507"/>
      <c r="CB91" s="507"/>
      <c r="CC91" s="507"/>
      <c r="CD91" s="507"/>
      <c r="CE91" s="507"/>
      <c r="CF91" s="507"/>
      <c r="CG91" s="507"/>
      <c r="CH91" s="507"/>
      <c r="CI91" s="507"/>
      <c r="CJ91" s="507"/>
      <c r="CK91" s="507"/>
      <c r="CL91" s="507"/>
      <c r="CM91" s="507"/>
      <c r="CN91" s="507"/>
      <c r="CO91" s="507"/>
      <c r="CP91" s="507"/>
    </row>
    <row r="92" spans="1:94">
      <c r="A92" s="584"/>
      <c r="B92" s="584"/>
      <c r="C92" s="584"/>
      <c r="D92" s="584"/>
      <c r="E92" s="584"/>
      <c r="F92" s="584"/>
      <c r="G92" s="584"/>
      <c r="H92" s="584"/>
      <c r="I92" s="584"/>
      <c r="J92" s="584"/>
      <c r="K92" s="584"/>
      <c r="L92" s="584"/>
      <c r="M92" s="584"/>
      <c r="N92" s="584"/>
      <c r="O92" s="584"/>
      <c r="P92" s="584"/>
      <c r="Q92" s="584"/>
      <c r="R92" s="584"/>
      <c r="S92" s="584"/>
      <c r="T92" s="584"/>
      <c r="U92" s="584"/>
      <c r="V92" s="584"/>
      <c r="W92" s="584"/>
      <c r="X92" s="584"/>
      <c r="Y92" s="584"/>
      <c r="Z92" s="584"/>
      <c r="AA92" s="584"/>
      <c r="AB92" s="584"/>
      <c r="AC92" s="584"/>
      <c r="AD92" s="584"/>
      <c r="AE92" s="584"/>
      <c r="AF92" s="584"/>
      <c r="AG92" s="584"/>
      <c r="AH92" s="584"/>
      <c r="AI92" s="584"/>
      <c r="AJ92" s="584"/>
      <c r="AK92" s="583"/>
      <c r="AL92" s="582"/>
      <c r="AM92" s="583"/>
      <c r="AN92" s="583"/>
      <c r="AO92" s="583"/>
      <c r="AP92" s="583"/>
      <c r="AQ92" s="583"/>
      <c r="AR92" s="507"/>
      <c r="AS92" s="507"/>
      <c r="AT92" s="507"/>
      <c r="AU92" s="507"/>
      <c r="AV92" s="507"/>
      <c r="AW92" s="507"/>
      <c r="AX92" s="507"/>
      <c r="AY92" s="507"/>
      <c r="AZ92" s="507"/>
      <c r="BA92" s="507"/>
      <c r="BB92" s="507"/>
      <c r="BC92" s="507"/>
      <c r="BD92" s="507"/>
      <c r="BE92" s="507"/>
      <c r="BF92" s="507"/>
      <c r="BG92" s="507"/>
      <c r="BH92" s="507"/>
      <c r="BI92" s="507"/>
      <c r="BJ92" s="507"/>
      <c r="BK92" s="507"/>
      <c r="BL92" s="507"/>
      <c r="BM92" s="507"/>
      <c r="BN92" s="507"/>
      <c r="BO92" s="507"/>
      <c r="BP92" s="507"/>
      <c r="BQ92" s="507"/>
      <c r="BR92" s="507"/>
      <c r="BS92" s="507"/>
      <c r="BT92" s="507"/>
      <c r="BU92" s="507"/>
      <c r="BV92" s="507"/>
      <c r="BW92" s="507"/>
      <c r="BX92" s="507"/>
      <c r="BY92" s="507"/>
      <c r="BZ92" s="507"/>
      <c r="CA92" s="507"/>
      <c r="CB92" s="507"/>
      <c r="CC92" s="507"/>
      <c r="CD92" s="507"/>
      <c r="CE92" s="507"/>
      <c r="CF92" s="507"/>
      <c r="CG92" s="507"/>
      <c r="CH92" s="507"/>
      <c r="CI92" s="507"/>
      <c r="CJ92" s="507"/>
      <c r="CK92" s="507"/>
      <c r="CL92" s="507"/>
      <c r="CM92" s="507"/>
      <c r="CN92" s="507"/>
      <c r="CO92" s="507"/>
      <c r="CP92" s="507"/>
    </row>
    <row r="93" spans="1:94">
      <c r="A93" s="584"/>
      <c r="B93" s="584"/>
      <c r="C93" s="584"/>
      <c r="D93" s="584"/>
      <c r="E93" s="584"/>
      <c r="F93" s="584"/>
      <c r="G93" s="584"/>
      <c r="H93" s="584"/>
      <c r="I93" s="584"/>
      <c r="J93" s="584"/>
      <c r="K93" s="584"/>
      <c r="L93" s="584"/>
      <c r="M93" s="584"/>
      <c r="N93" s="584"/>
      <c r="O93" s="584"/>
      <c r="P93" s="584"/>
      <c r="Q93" s="584"/>
      <c r="R93" s="584"/>
      <c r="S93" s="584"/>
      <c r="T93" s="584"/>
      <c r="U93" s="584"/>
      <c r="V93" s="584"/>
      <c r="W93" s="584"/>
      <c r="X93" s="584"/>
      <c r="Y93" s="584"/>
      <c r="Z93" s="584"/>
      <c r="AA93" s="584"/>
      <c r="AB93" s="584"/>
      <c r="AC93" s="584"/>
      <c r="AD93" s="584"/>
      <c r="AE93" s="584"/>
      <c r="AF93" s="584"/>
      <c r="AG93" s="584"/>
      <c r="AH93" s="584"/>
      <c r="AI93" s="584"/>
      <c r="AJ93" s="584"/>
      <c r="AK93" s="583"/>
      <c r="AL93" s="582"/>
      <c r="AM93" s="583"/>
      <c r="AN93" s="583"/>
      <c r="AO93" s="583"/>
      <c r="AP93" s="583"/>
      <c r="AQ93" s="583"/>
      <c r="AR93" s="507"/>
      <c r="AS93" s="507"/>
      <c r="AT93" s="507"/>
      <c r="AU93" s="507"/>
      <c r="AV93" s="507"/>
      <c r="AW93" s="507"/>
      <c r="AX93" s="507"/>
      <c r="AY93" s="507"/>
      <c r="AZ93" s="507"/>
      <c r="BA93" s="507"/>
      <c r="BB93" s="507"/>
      <c r="BC93" s="507"/>
      <c r="BD93" s="507"/>
      <c r="BE93" s="507"/>
      <c r="BF93" s="507"/>
      <c r="BG93" s="507"/>
      <c r="BH93" s="507"/>
      <c r="BI93" s="507"/>
      <c r="BJ93" s="507"/>
      <c r="BK93" s="507"/>
      <c r="BL93" s="507"/>
      <c r="BM93" s="507"/>
      <c r="BN93" s="507"/>
      <c r="BO93" s="507"/>
      <c r="BP93" s="507"/>
      <c r="BQ93" s="507"/>
      <c r="BR93" s="507"/>
      <c r="BS93" s="507"/>
      <c r="BT93" s="507"/>
      <c r="BU93" s="507"/>
      <c r="BV93" s="507"/>
      <c r="BW93" s="507"/>
      <c r="BX93" s="507"/>
      <c r="BY93" s="507"/>
      <c r="BZ93" s="507"/>
      <c r="CA93" s="507"/>
      <c r="CB93" s="507"/>
      <c r="CC93" s="507"/>
      <c r="CD93" s="507"/>
      <c r="CE93" s="507"/>
      <c r="CF93" s="507"/>
      <c r="CG93" s="507"/>
      <c r="CH93" s="507"/>
      <c r="CI93" s="507"/>
      <c r="CJ93" s="507"/>
      <c r="CK93" s="507"/>
      <c r="CL93" s="507"/>
      <c r="CM93" s="507"/>
      <c r="CN93" s="507"/>
      <c r="CO93" s="507"/>
      <c r="CP93" s="507"/>
    </row>
    <row r="94" spans="1:94">
      <c r="A94" s="584"/>
      <c r="B94" s="584"/>
      <c r="C94" s="584"/>
      <c r="D94" s="584"/>
      <c r="E94" s="584"/>
      <c r="F94" s="584"/>
      <c r="G94" s="584"/>
      <c r="H94" s="584"/>
      <c r="I94" s="584"/>
      <c r="J94" s="584"/>
      <c r="K94" s="584"/>
      <c r="L94" s="584"/>
      <c r="M94" s="584"/>
      <c r="N94" s="584"/>
      <c r="O94" s="584"/>
      <c r="P94" s="584"/>
      <c r="Q94" s="584"/>
      <c r="R94" s="584"/>
      <c r="S94" s="584"/>
      <c r="T94" s="584"/>
      <c r="U94" s="584"/>
      <c r="V94" s="584"/>
      <c r="W94" s="584"/>
      <c r="X94" s="584"/>
      <c r="Y94" s="584"/>
      <c r="Z94" s="584"/>
      <c r="AA94" s="584"/>
      <c r="AB94" s="584"/>
      <c r="AC94" s="584"/>
      <c r="AD94" s="584"/>
      <c r="AE94" s="584"/>
      <c r="AF94" s="584"/>
      <c r="AG94" s="584"/>
      <c r="AH94" s="584"/>
      <c r="AI94" s="584"/>
      <c r="AJ94" s="584"/>
      <c r="AK94" s="583"/>
      <c r="AL94" s="582"/>
      <c r="AM94" s="583"/>
      <c r="AN94" s="583"/>
      <c r="AO94" s="583"/>
      <c r="AP94" s="583"/>
      <c r="AQ94" s="583"/>
      <c r="AR94" s="507"/>
      <c r="AS94" s="507"/>
      <c r="AT94" s="507"/>
      <c r="AU94" s="507"/>
      <c r="AV94" s="507"/>
      <c r="AW94" s="507"/>
      <c r="AX94" s="507"/>
      <c r="AY94" s="507"/>
      <c r="AZ94" s="507"/>
      <c r="BA94" s="507"/>
      <c r="BB94" s="507"/>
      <c r="BC94" s="507"/>
      <c r="BD94" s="507"/>
      <c r="BE94" s="507"/>
      <c r="BF94" s="507"/>
      <c r="BG94" s="507"/>
      <c r="BH94" s="507"/>
      <c r="BI94" s="507"/>
      <c r="BJ94" s="507"/>
      <c r="BK94" s="507"/>
      <c r="BL94" s="507"/>
      <c r="BM94" s="507"/>
      <c r="BN94" s="507"/>
      <c r="BO94" s="507"/>
      <c r="BP94" s="507"/>
      <c r="BQ94" s="507"/>
      <c r="BR94" s="507"/>
      <c r="BS94" s="507"/>
      <c r="BT94" s="507"/>
      <c r="BU94" s="507"/>
      <c r="BV94" s="507"/>
      <c r="BW94" s="507"/>
      <c r="BX94" s="507"/>
      <c r="BY94" s="507"/>
      <c r="BZ94" s="507"/>
      <c r="CA94" s="507"/>
      <c r="CB94" s="507"/>
      <c r="CC94" s="507"/>
      <c r="CD94" s="507"/>
      <c r="CE94" s="507"/>
      <c r="CF94" s="507"/>
      <c r="CG94" s="507"/>
      <c r="CH94" s="507"/>
      <c r="CI94" s="507"/>
      <c r="CJ94" s="507"/>
      <c r="CK94" s="507"/>
      <c r="CL94" s="507"/>
      <c r="CM94" s="507"/>
      <c r="CN94" s="507"/>
      <c r="CO94" s="507"/>
      <c r="CP94" s="507"/>
    </row>
    <row r="95" spans="1:94">
      <c r="A95" s="584"/>
      <c r="B95" s="584"/>
      <c r="C95" s="584"/>
      <c r="D95" s="584"/>
      <c r="E95" s="584"/>
      <c r="F95" s="584"/>
      <c r="G95" s="584"/>
      <c r="H95" s="584"/>
      <c r="I95" s="584"/>
      <c r="J95" s="584"/>
      <c r="K95" s="584"/>
      <c r="L95" s="584"/>
      <c r="M95" s="584"/>
      <c r="N95" s="584"/>
      <c r="O95" s="584"/>
      <c r="P95" s="584"/>
      <c r="Q95" s="584"/>
      <c r="R95" s="584"/>
      <c r="S95" s="584"/>
      <c r="T95" s="584"/>
      <c r="U95" s="584"/>
      <c r="V95" s="584"/>
      <c r="W95" s="584"/>
      <c r="X95" s="584"/>
      <c r="Y95" s="584"/>
      <c r="Z95" s="584"/>
      <c r="AA95" s="584"/>
      <c r="AB95" s="584"/>
      <c r="AC95" s="584"/>
      <c r="AD95" s="584"/>
      <c r="AE95" s="584"/>
      <c r="AF95" s="584"/>
      <c r="AG95" s="584"/>
      <c r="AH95" s="584"/>
      <c r="AI95" s="584"/>
      <c r="AJ95" s="584"/>
      <c r="AK95" s="583"/>
      <c r="AL95" s="582"/>
      <c r="AM95" s="583"/>
      <c r="AN95" s="583"/>
      <c r="AO95" s="583"/>
      <c r="AP95" s="583"/>
      <c r="AQ95" s="583"/>
      <c r="AR95" s="507"/>
      <c r="AS95" s="507"/>
      <c r="AT95" s="507"/>
      <c r="AU95" s="507"/>
      <c r="AV95" s="507"/>
      <c r="AW95" s="507"/>
      <c r="AX95" s="507"/>
      <c r="AY95" s="507"/>
      <c r="AZ95" s="507"/>
      <c r="BA95" s="507"/>
      <c r="BB95" s="507"/>
      <c r="BC95" s="507"/>
      <c r="BD95" s="507"/>
      <c r="BE95" s="507"/>
      <c r="BF95" s="507"/>
      <c r="BG95" s="507"/>
      <c r="BH95" s="507"/>
      <c r="BI95" s="507"/>
      <c r="BJ95" s="507"/>
      <c r="BK95" s="507"/>
      <c r="BL95" s="507"/>
      <c r="BM95" s="507"/>
      <c r="BN95" s="507"/>
      <c r="BO95" s="507"/>
      <c r="BP95" s="507"/>
      <c r="BQ95" s="507"/>
      <c r="BR95" s="507"/>
      <c r="BS95" s="507"/>
      <c r="BT95" s="507"/>
      <c r="BU95" s="507"/>
      <c r="BV95" s="507"/>
      <c r="BW95" s="507"/>
      <c r="BX95" s="507"/>
      <c r="BY95" s="507"/>
      <c r="BZ95" s="507"/>
      <c r="CA95" s="507"/>
      <c r="CB95" s="507"/>
      <c r="CC95" s="507"/>
      <c r="CD95" s="507"/>
      <c r="CE95" s="507"/>
      <c r="CF95" s="507"/>
      <c r="CG95" s="507"/>
      <c r="CH95" s="507"/>
      <c r="CI95" s="507"/>
      <c r="CJ95" s="507"/>
      <c r="CK95" s="507"/>
      <c r="CL95" s="507"/>
      <c r="CM95" s="507"/>
      <c r="CN95" s="507"/>
      <c r="CO95" s="507"/>
      <c r="CP95" s="507"/>
    </row>
    <row r="96" spans="1:94">
      <c r="A96" s="584"/>
      <c r="B96" s="584"/>
      <c r="C96" s="584"/>
      <c r="D96" s="584"/>
      <c r="E96" s="584"/>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4"/>
      <c r="AF96" s="584"/>
      <c r="AG96" s="584"/>
      <c r="AH96" s="584"/>
      <c r="AI96" s="584"/>
      <c r="AJ96" s="584"/>
      <c r="AK96" s="583"/>
      <c r="AL96" s="582"/>
      <c r="AM96" s="583"/>
      <c r="AN96" s="583"/>
      <c r="AO96" s="583"/>
      <c r="AP96" s="583"/>
      <c r="AQ96" s="583"/>
      <c r="AR96" s="507"/>
      <c r="AS96" s="507"/>
      <c r="AT96" s="507"/>
      <c r="AU96" s="507"/>
      <c r="AV96" s="507"/>
      <c r="AW96" s="507"/>
      <c r="AX96" s="507"/>
      <c r="AY96" s="507"/>
      <c r="AZ96" s="507"/>
      <c r="BA96" s="507"/>
      <c r="BB96" s="507"/>
      <c r="BC96" s="507"/>
      <c r="BD96" s="507"/>
      <c r="BE96" s="507"/>
      <c r="BF96" s="507"/>
      <c r="BG96" s="507"/>
      <c r="BH96" s="507"/>
      <c r="BI96" s="507"/>
      <c r="BJ96" s="507"/>
      <c r="BK96" s="507"/>
      <c r="BL96" s="507"/>
      <c r="BM96" s="507"/>
      <c r="BN96" s="507"/>
      <c r="BO96" s="507"/>
      <c r="BP96" s="507"/>
      <c r="BQ96" s="507"/>
      <c r="BR96" s="507"/>
      <c r="BS96" s="507"/>
      <c r="BT96" s="507"/>
      <c r="BU96" s="507"/>
      <c r="BV96" s="507"/>
      <c r="BW96" s="507"/>
      <c r="BX96" s="507"/>
      <c r="BY96" s="507"/>
      <c r="BZ96" s="507"/>
      <c r="CA96" s="507"/>
      <c r="CB96" s="507"/>
      <c r="CC96" s="507"/>
      <c r="CD96" s="507"/>
      <c r="CE96" s="507"/>
      <c r="CF96" s="507"/>
      <c r="CG96" s="507"/>
      <c r="CH96" s="507"/>
      <c r="CI96" s="507"/>
      <c r="CJ96" s="507"/>
      <c r="CK96" s="507"/>
      <c r="CL96" s="507"/>
      <c r="CM96" s="507"/>
      <c r="CN96" s="507"/>
      <c r="CO96" s="507"/>
      <c r="CP96" s="507"/>
    </row>
    <row r="97" spans="1:94">
      <c r="A97" s="584"/>
      <c r="B97" s="584"/>
      <c r="C97" s="584"/>
      <c r="D97" s="584"/>
      <c r="E97" s="584"/>
      <c r="F97" s="584"/>
      <c r="G97" s="584"/>
      <c r="H97" s="584"/>
      <c r="I97" s="584"/>
      <c r="J97" s="584"/>
      <c r="K97" s="584"/>
      <c r="L97" s="584"/>
      <c r="M97" s="584"/>
      <c r="N97" s="584"/>
      <c r="O97" s="584"/>
      <c r="P97" s="584"/>
      <c r="Q97" s="584"/>
      <c r="R97" s="584"/>
      <c r="S97" s="584"/>
      <c r="T97" s="584"/>
      <c r="U97" s="584"/>
      <c r="V97" s="584"/>
      <c r="W97" s="584"/>
      <c r="X97" s="584"/>
      <c r="Y97" s="584"/>
      <c r="Z97" s="584"/>
      <c r="AA97" s="584"/>
      <c r="AB97" s="584"/>
      <c r="AC97" s="584"/>
      <c r="AD97" s="584"/>
      <c r="AE97" s="584"/>
      <c r="AF97" s="584"/>
      <c r="AG97" s="584"/>
      <c r="AH97" s="584"/>
      <c r="AI97" s="584"/>
      <c r="AJ97" s="584"/>
      <c r="AK97" s="583"/>
      <c r="AL97" s="582"/>
      <c r="AM97" s="583"/>
      <c r="AN97" s="583"/>
      <c r="AO97" s="583"/>
      <c r="AP97" s="583"/>
      <c r="AQ97" s="583"/>
      <c r="AR97" s="507"/>
      <c r="AS97" s="507"/>
      <c r="AT97" s="507"/>
      <c r="AU97" s="507"/>
      <c r="AV97" s="507"/>
      <c r="AW97" s="507"/>
      <c r="AX97" s="507"/>
      <c r="AY97" s="507"/>
      <c r="AZ97" s="507"/>
      <c r="BA97" s="507"/>
      <c r="BB97" s="507"/>
      <c r="BC97" s="507"/>
      <c r="BD97" s="507"/>
      <c r="BE97" s="507"/>
      <c r="BF97" s="507"/>
      <c r="BG97" s="507"/>
      <c r="BH97" s="507"/>
      <c r="BI97" s="507"/>
      <c r="BJ97" s="507"/>
      <c r="BK97" s="507"/>
      <c r="BL97" s="507"/>
      <c r="BM97" s="507"/>
      <c r="BN97" s="507"/>
      <c r="BO97" s="507"/>
      <c r="BP97" s="507"/>
      <c r="BQ97" s="507"/>
      <c r="BR97" s="507"/>
      <c r="BS97" s="507"/>
      <c r="BT97" s="507"/>
      <c r="BU97" s="507"/>
      <c r="BV97" s="507"/>
      <c r="BW97" s="507"/>
      <c r="BX97" s="507"/>
      <c r="BY97" s="507"/>
      <c r="BZ97" s="507"/>
      <c r="CA97" s="507"/>
      <c r="CB97" s="507"/>
      <c r="CC97" s="507"/>
      <c r="CD97" s="507"/>
      <c r="CE97" s="507"/>
      <c r="CF97" s="507"/>
      <c r="CG97" s="507"/>
      <c r="CH97" s="507"/>
      <c r="CI97" s="507"/>
      <c r="CJ97" s="507"/>
      <c r="CK97" s="507"/>
      <c r="CL97" s="507"/>
      <c r="CM97" s="507"/>
      <c r="CN97" s="507"/>
      <c r="CO97" s="507"/>
      <c r="CP97" s="507"/>
    </row>
    <row r="98" spans="1:94">
      <c r="A98" s="584"/>
      <c r="B98" s="584"/>
      <c r="C98" s="584"/>
      <c r="D98" s="584"/>
      <c r="E98" s="584"/>
      <c r="F98" s="584"/>
      <c r="G98" s="584"/>
      <c r="H98" s="584"/>
      <c r="I98" s="584"/>
      <c r="J98" s="584"/>
      <c r="K98" s="584"/>
      <c r="L98" s="584"/>
      <c r="M98" s="584"/>
      <c r="N98" s="584"/>
      <c r="O98" s="584"/>
      <c r="P98" s="584"/>
      <c r="Q98" s="584"/>
      <c r="R98" s="584"/>
      <c r="S98" s="584"/>
      <c r="T98" s="584"/>
      <c r="U98" s="584"/>
      <c r="V98" s="584"/>
      <c r="W98" s="584"/>
      <c r="X98" s="584"/>
      <c r="Y98" s="584"/>
      <c r="Z98" s="584"/>
      <c r="AA98" s="584"/>
      <c r="AB98" s="584"/>
      <c r="AC98" s="584"/>
      <c r="AD98" s="584"/>
      <c r="AE98" s="584"/>
      <c r="AF98" s="584"/>
      <c r="AG98" s="584"/>
      <c r="AH98" s="584"/>
      <c r="AI98" s="584"/>
      <c r="AJ98" s="584"/>
      <c r="AK98" s="583"/>
      <c r="AL98" s="582"/>
      <c r="AM98" s="583"/>
      <c r="AN98" s="583"/>
      <c r="AO98" s="583"/>
      <c r="AP98" s="583"/>
      <c r="AQ98" s="583"/>
      <c r="AR98" s="507"/>
      <c r="AS98" s="507"/>
      <c r="AT98" s="507"/>
      <c r="AU98" s="507"/>
      <c r="AV98" s="507"/>
      <c r="AW98" s="507"/>
      <c r="AX98" s="507"/>
      <c r="AY98" s="507"/>
      <c r="AZ98" s="507"/>
      <c r="BA98" s="507"/>
      <c r="BB98" s="507"/>
      <c r="BC98" s="507"/>
      <c r="BD98" s="507"/>
      <c r="BE98" s="507"/>
      <c r="BF98" s="507"/>
      <c r="BG98" s="507"/>
      <c r="BH98" s="507"/>
      <c r="BI98" s="507"/>
      <c r="BJ98" s="507"/>
      <c r="BK98" s="507"/>
      <c r="BL98" s="507"/>
      <c r="BM98" s="507"/>
      <c r="BN98" s="507"/>
      <c r="BO98" s="507"/>
      <c r="BP98" s="507"/>
      <c r="BQ98" s="507"/>
      <c r="BR98" s="507"/>
      <c r="BS98" s="507"/>
      <c r="BT98" s="507"/>
      <c r="BU98" s="507"/>
      <c r="BV98" s="507"/>
      <c r="BW98" s="507"/>
      <c r="BX98" s="507"/>
      <c r="BY98" s="507"/>
      <c r="BZ98" s="507"/>
      <c r="CA98" s="507"/>
      <c r="CB98" s="507"/>
      <c r="CC98" s="507"/>
      <c r="CD98" s="507"/>
      <c r="CE98" s="507"/>
      <c r="CF98" s="507"/>
      <c r="CG98" s="507"/>
      <c r="CH98" s="507"/>
      <c r="CI98" s="507"/>
      <c r="CJ98" s="507"/>
      <c r="CK98" s="507"/>
      <c r="CL98" s="507"/>
      <c r="CM98" s="507"/>
      <c r="CN98" s="507"/>
      <c r="CO98" s="507"/>
      <c r="CP98" s="507"/>
    </row>
    <row r="99" spans="1:94">
      <c r="A99" s="584"/>
      <c r="B99" s="584"/>
      <c r="C99" s="584"/>
      <c r="D99" s="584"/>
      <c r="E99" s="584"/>
      <c r="F99" s="584"/>
      <c r="G99" s="584"/>
      <c r="H99" s="584"/>
      <c r="I99" s="584"/>
      <c r="J99" s="584"/>
      <c r="K99" s="584"/>
      <c r="L99" s="584"/>
      <c r="M99" s="584"/>
      <c r="N99" s="584"/>
      <c r="O99" s="584"/>
      <c r="P99" s="584"/>
      <c r="Q99" s="584"/>
      <c r="R99" s="584"/>
      <c r="S99" s="584"/>
      <c r="T99" s="584"/>
      <c r="U99" s="584"/>
      <c r="V99" s="584"/>
      <c r="W99" s="584"/>
      <c r="X99" s="584"/>
      <c r="Y99" s="584"/>
      <c r="Z99" s="584"/>
      <c r="AA99" s="584"/>
      <c r="AB99" s="584"/>
      <c r="AC99" s="584"/>
      <c r="AD99" s="584"/>
      <c r="AE99" s="584"/>
      <c r="AF99" s="584"/>
      <c r="AG99" s="584"/>
      <c r="AH99" s="584"/>
      <c r="AI99" s="584"/>
      <c r="AJ99" s="584"/>
      <c r="AK99" s="583"/>
      <c r="AL99" s="582"/>
      <c r="AM99" s="583"/>
      <c r="AN99" s="583"/>
      <c r="AO99" s="583"/>
      <c r="AP99" s="583"/>
      <c r="AQ99" s="583"/>
      <c r="AR99" s="507"/>
      <c r="AS99" s="507"/>
      <c r="AT99" s="507"/>
      <c r="AU99" s="507"/>
      <c r="AV99" s="507"/>
      <c r="AW99" s="507"/>
      <c r="AX99" s="507"/>
      <c r="AY99" s="507"/>
      <c r="AZ99" s="507"/>
      <c r="BA99" s="507"/>
      <c r="BB99" s="507"/>
      <c r="BC99" s="507"/>
      <c r="BD99" s="507"/>
      <c r="BE99" s="507"/>
      <c r="BF99" s="507"/>
      <c r="BG99" s="507"/>
      <c r="BH99" s="507"/>
      <c r="BI99" s="507"/>
      <c r="BJ99" s="507"/>
      <c r="BK99" s="507"/>
      <c r="BL99" s="507"/>
      <c r="BM99" s="507"/>
      <c r="BN99" s="507"/>
      <c r="BO99" s="507"/>
      <c r="BP99" s="507"/>
      <c r="BQ99" s="507"/>
      <c r="BR99" s="507"/>
      <c r="BS99" s="507"/>
      <c r="BT99" s="507"/>
      <c r="BU99" s="507"/>
      <c r="BV99" s="507"/>
      <c r="BW99" s="507"/>
      <c r="BX99" s="507"/>
      <c r="BY99" s="507"/>
      <c r="BZ99" s="507"/>
      <c r="CA99" s="507"/>
      <c r="CB99" s="507"/>
      <c r="CC99" s="507"/>
      <c r="CD99" s="507"/>
      <c r="CE99" s="507"/>
      <c r="CF99" s="507"/>
      <c r="CG99" s="507"/>
      <c r="CH99" s="507"/>
      <c r="CI99" s="507"/>
      <c r="CJ99" s="507"/>
      <c r="CK99" s="507"/>
      <c r="CL99" s="507"/>
      <c r="CM99" s="507"/>
      <c r="CN99" s="507"/>
      <c r="CO99" s="507"/>
      <c r="CP99" s="507"/>
    </row>
    <row r="100" spans="1:94">
      <c r="A100" s="584"/>
      <c r="B100" s="584"/>
      <c r="C100" s="584"/>
      <c r="D100" s="584"/>
      <c r="E100" s="584"/>
      <c r="F100" s="584"/>
      <c r="G100" s="584"/>
      <c r="H100" s="584"/>
      <c r="I100" s="584"/>
      <c r="J100" s="584"/>
      <c r="K100" s="584"/>
      <c r="L100" s="584"/>
      <c r="M100" s="584"/>
      <c r="N100" s="584"/>
      <c r="O100" s="584"/>
      <c r="P100" s="584"/>
      <c r="Q100" s="584"/>
      <c r="R100" s="584"/>
      <c r="S100" s="584"/>
      <c r="T100" s="584"/>
      <c r="U100" s="584"/>
      <c r="V100" s="584"/>
      <c r="W100" s="584"/>
      <c r="X100" s="584"/>
      <c r="Y100" s="584"/>
      <c r="Z100" s="584"/>
      <c r="AA100" s="584"/>
      <c r="AB100" s="584"/>
      <c r="AC100" s="584"/>
      <c r="AD100" s="584"/>
      <c r="AE100" s="584"/>
      <c r="AF100" s="584"/>
      <c r="AG100" s="584"/>
      <c r="AH100" s="584"/>
      <c r="AI100" s="584"/>
      <c r="AJ100" s="584"/>
      <c r="AK100" s="583"/>
      <c r="AL100" s="582"/>
      <c r="AM100" s="583"/>
      <c r="AN100" s="583"/>
      <c r="AO100" s="583"/>
      <c r="AP100" s="583"/>
      <c r="AQ100" s="583"/>
      <c r="AR100" s="507"/>
      <c r="AS100" s="507"/>
      <c r="AT100" s="507"/>
      <c r="AU100" s="507"/>
      <c r="AV100" s="507"/>
      <c r="AW100" s="507"/>
      <c r="AX100" s="507"/>
      <c r="AY100" s="507"/>
      <c r="AZ100" s="507"/>
      <c r="BA100" s="507"/>
      <c r="BB100" s="507"/>
      <c r="BC100" s="507"/>
      <c r="BD100" s="507"/>
      <c r="BE100" s="507"/>
      <c r="BF100" s="507"/>
      <c r="BG100" s="507"/>
      <c r="BH100" s="507"/>
      <c r="BI100" s="507"/>
      <c r="BJ100" s="507"/>
      <c r="BK100" s="507"/>
      <c r="BL100" s="507"/>
      <c r="BM100" s="507"/>
      <c r="BN100" s="507"/>
      <c r="BO100" s="507"/>
      <c r="BP100" s="507"/>
      <c r="BQ100" s="507"/>
      <c r="BR100" s="507"/>
      <c r="BS100" s="507"/>
      <c r="BT100" s="507"/>
      <c r="BU100" s="507"/>
      <c r="BV100" s="507"/>
      <c r="BW100" s="507"/>
      <c r="BX100" s="507"/>
      <c r="BY100" s="507"/>
      <c r="BZ100" s="507"/>
      <c r="CA100" s="507"/>
      <c r="CB100" s="507"/>
      <c r="CC100" s="507"/>
      <c r="CD100" s="507"/>
      <c r="CE100" s="507"/>
      <c r="CF100" s="507"/>
      <c r="CG100" s="507"/>
      <c r="CH100" s="507"/>
      <c r="CI100" s="507"/>
      <c r="CJ100" s="507"/>
      <c r="CK100" s="507"/>
      <c r="CL100" s="507"/>
      <c r="CM100" s="507"/>
      <c r="CN100" s="507"/>
      <c r="CO100" s="507"/>
      <c r="CP100" s="507"/>
    </row>
    <row r="101" spans="1:94">
      <c r="A101" s="584"/>
      <c r="B101" s="584"/>
      <c r="C101" s="584"/>
      <c r="D101" s="584"/>
      <c r="E101" s="584"/>
      <c r="F101" s="584"/>
      <c r="G101" s="584"/>
      <c r="H101" s="584"/>
      <c r="I101" s="584"/>
      <c r="J101" s="584"/>
      <c r="K101" s="584"/>
      <c r="L101" s="584"/>
      <c r="M101" s="584"/>
      <c r="N101" s="584"/>
      <c r="O101" s="584"/>
      <c r="P101" s="584"/>
      <c r="Q101" s="584"/>
      <c r="R101" s="584"/>
      <c r="S101" s="584"/>
      <c r="T101" s="584"/>
      <c r="U101" s="584"/>
      <c r="V101" s="584"/>
      <c r="W101" s="584"/>
      <c r="X101" s="584"/>
      <c r="Y101" s="584"/>
      <c r="Z101" s="584"/>
      <c r="AA101" s="584"/>
      <c r="AB101" s="584"/>
      <c r="AC101" s="584"/>
      <c r="AD101" s="584"/>
      <c r="AE101" s="584"/>
      <c r="AF101" s="584"/>
      <c r="AG101" s="584"/>
      <c r="AH101" s="584"/>
      <c r="AI101" s="584"/>
      <c r="AJ101" s="584"/>
      <c r="AK101" s="583"/>
      <c r="AL101" s="582"/>
      <c r="AM101" s="583"/>
      <c r="AN101" s="583"/>
      <c r="AO101" s="583"/>
      <c r="AP101" s="583"/>
      <c r="AQ101" s="583"/>
      <c r="AR101" s="507"/>
      <c r="AS101" s="507"/>
      <c r="AT101" s="507"/>
      <c r="AU101" s="507"/>
      <c r="AV101" s="507"/>
      <c r="AW101" s="507"/>
      <c r="AX101" s="507"/>
      <c r="AY101" s="507"/>
      <c r="AZ101" s="507"/>
      <c r="BA101" s="507"/>
      <c r="BB101" s="507"/>
      <c r="BC101" s="507"/>
      <c r="BD101" s="507"/>
      <c r="BE101" s="507"/>
      <c r="BF101" s="507"/>
      <c r="BG101" s="507"/>
      <c r="BH101" s="507"/>
      <c r="BI101" s="507"/>
      <c r="BJ101" s="507"/>
      <c r="BK101" s="507"/>
      <c r="BL101" s="507"/>
      <c r="BM101" s="507"/>
      <c r="BN101" s="507"/>
      <c r="BO101" s="507"/>
      <c r="BP101" s="507"/>
      <c r="BQ101" s="507"/>
      <c r="BR101" s="507"/>
      <c r="BS101" s="507"/>
      <c r="BT101" s="507"/>
      <c r="BU101" s="507"/>
      <c r="BV101" s="507"/>
      <c r="BW101" s="507"/>
      <c r="BX101" s="507"/>
      <c r="BY101" s="507"/>
      <c r="BZ101" s="507"/>
      <c r="CA101" s="507"/>
      <c r="CB101" s="507"/>
      <c r="CC101" s="507"/>
      <c r="CD101" s="507"/>
      <c r="CE101" s="507"/>
      <c r="CF101" s="507"/>
      <c r="CG101" s="507"/>
      <c r="CH101" s="507"/>
      <c r="CI101" s="507"/>
      <c r="CJ101" s="507"/>
      <c r="CK101" s="507"/>
      <c r="CL101" s="507"/>
      <c r="CM101" s="507"/>
      <c r="CN101" s="507"/>
      <c r="CO101" s="507"/>
      <c r="CP101" s="507"/>
    </row>
    <row r="102" spans="1:94">
      <c r="A102" s="584"/>
      <c r="B102" s="584"/>
      <c r="C102" s="584"/>
      <c r="D102" s="584"/>
      <c r="E102" s="584"/>
      <c r="F102" s="584"/>
      <c r="G102" s="584"/>
      <c r="H102" s="584"/>
      <c r="I102" s="584"/>
      <c r="J102" s="584"/>
      <c r="K102" s="584"/>
      <c r="L102" s="584"/>
      <c r="M102" s="584"/>
      <c r="N102" s="584"/>
      <c r="O102" s="584"/>
      <c r="P102" s="584"/>
      <c r="Q102" s="584"/>
      <c r="R102" s="584"/>
      <c r="S102" s="584"/>
      <c r="T102" s="584"/>
      <c r="U102" s="584"/>
      <c r="V102" s="584"/>
      <c r="W102" s="584"/>
      <c r="X102" s="584"/>
      <c r="Y102" s="584"/>
      <c r="Z102" s="584"/>
      <c r="AA102" s="584"/>
      <c r="AB102" s="584"/>
      <c r="AC102" s="584"/>
      <c r="AD102" s="584"/>
      <c r="AE102" s="584"/>
      <c r="AF102" s="584"/>
      <c r="AG102" s="584"/>
      <c r="AH102" s="584"/>
      <c r="AI102" s="584"/>
      <c r="AJ102" s="584"/>
      <c r="AK102" s="583"/>
      <c r="AL102" s="582"/>
      <c r="AM102" s="583"/>
      <c r="AN102" s="583"/>
      <c r="AO102" s="583"/>
      <c r="AP102" s="583"/>
      <c r="AQ102" s="583"/>
      <c r="AR102" s="507"/>
      <c r="AS102" s="507"/>
      <c r="AT102" s="507"/>
      <c r="AU102" s="507"/>
      <c r="AV102" s="507"/>
      <c r="AW102" s="507"/>
      <c r="AX102" s="507"/>
      <c r="AY102" s="507"/>
      <c r="AZ102" s="507"/>
      <c r="BA102" s="507"/>
      <c r="BB102" s="507"/>
      <c r="BC102" s="507"/>
      <c r="BD102" s="507"/>
      <c r="BE102" s="507"/>
      <c r="BF102" s="507"/>
      <c r="BG102" s="507"/>
      <c r="BH102" s="507"/>
      <c r="BI102" s="507"/>
      <c r="BJ102" s="507"/>
      <c r="BK102" s="507"/>
      <c r="BL102" s="507"/>
      <c r="BM102" s="507"/>
      <c r="BN102" s="507"/>
      <c r="BO102" s="507"/>
      <c r="BP102" s="507"/>
      <c r="BQ102" s="507"/>
      <c r="BR102" s="507"/>
      <c r="BS102" s="507"/>
      <c r="BT102" s="507"/>
      <c r="BU102" s="507"/>
      <c r="BV102" s="507"/>
      <c r="BW102" s="507"/>
      <c r="BX102" s="507"/>
      <c r="BY102" s="507"/>
      <c r="BZ102" s="507"/>
      <c r="CA102" s="507"/>
      <c r="CB102" s="507"/>
      <c r="CC102" s="507"/>
      <c r="CD102" s="507"/>
      <c r="CE102" s="507"/>
      <c r="CF102" s="507"/>
      <c r="CG102" s="507"/>
      <c r="CH102" s="507"/>
      <c r="CI102" s="507"/>
      <c r="CJ102" s="507"/>
      <c r="CK102" s="507"/>
      <c r="CL102" s="507"/>
      <c r="CM102" s="507"/>
      <c r="CN102" s="507"/>
      <c r="CO102" s="507"/>
      <c r="CP102" s="507"/>
    </row>
    <row r="103" spans="1:94">
      <c r="A103" s="584"/>
      <c r="B103" s="584"/>
      <c r="C103" s="584"/>
      <c r="D103" s="584"/>
      <c r="E103" s="584"/>
      <c r="F103" s="584"/>
      <c r="G103" s="584"/>
      <c r="H103" s="584"/>
      <c r="I103" s="584"/>
      <c r="J103" s="584"/>
      <c r="K103" s="584"/>
      <c r="L103" s="584"/>
      <c r="M103" s="584"/>
      <c r="N103" s="584"/>
      <c r="O103" s="584"/>
      <c r="P103" s="584"/>
      <c r="Q103" s="584"/>
      <c r="R103" s="584"/>
      <c r="S103" s="584"/>
      <c r="T103" s="584"/>
      <c r="U103" s="584"/>
      <c r="V103" s="584"/>
      <c r="W103" s="584"/>
      <c r="X103" s="584"/>
      <c r="Y103" s="584"/>
      <c r="Z103" s="584"/>
      <c r="AA103" s="584"/>
      <c r="AB103" s="584"/>
      <c r="AC103" s="584"/>
      <c r="AD103" s="584"/>
      <c r="AE103" s="584"/>
      <c r="AF103" s="584"/>
      <c r="AG103" s="584"/>
      <c r="AH103" s="584"/>
      <c r="AI103" s="584"/>
      <c r="AJ103" s="584"/>
      <c r="AK103" s="583"/>
      <c r="AL103" s="582"/>
      <c r="AM103" s="583"/>
      <c r="AN103" s="583"/>
      <c r="AO103" s="583"/>
      <c r="AP103" s="583"/>
      <c r="AQ103" s="583"/>
      <c r="AR103" s="507"/>
      <c r="AS103" s="507"/>
      <c r="AT103" s="507"/>
      <c r="AU103" s="507"/>
      <c r="AV103" s="507"/>
      <c r="AW103" s="507"/>
      <c r="AX103" s="507"/>
      <c r="AY103" s="507"/>
      <c r="AZ103" s="507"/>
      <c r="BA103" s="507"/>
      <c r="BB103" s="507"/>
      <c r="BC103" s="507"/>
      <c r="BD103" s="507"/>
      <c r="BE103" s="507"/>
      <c r="BF103" s="507"/>
      <c r="BG103" s="507"/>
      <c r="BH103" s="507"/>
      <c r="BI103" s="507"/>
      <c r="BJ103" s="507"/>
      <c r="BK103" s="507"/>
      <c r="BL103" s="507"/>
      <c r="BM103" s="507"/>
      <c r="BN103" s="507"/>
      <c r="BO103" s="507"/>
      <c r="BP103" s="507"/>
      <c r="BQ103" s="507"/>
      <c r="BR103" s="507"/>
      <c r="BS103" s="507"/>
      <c r="BT103" s="507"/>
      <c r="BU103" s="507"/>
      <c r="BV103" s="507"/>
      <c r="BW103" s="507"/>
      <c r="BX103" s="507"/>
      <c r="BY103" s="507"/>
      <c r="BZ103" s="507"/>
      <c r="CA103" s="507"/>
      <c r="CB103" s="507"/>
      <c r="CC103" s="507"/>
      <c r="CD103" s="507"/>
      <c r="CE103" s="507"/>
      <c r="CF103" s="507"/>
      <c r="CG103" s="507"/>
      <c r="CH103" s="507"/>
      <c r="CI103" s="507"/>
      <c r="CJ103" s="507"/>
      <c r="CK103" s="507"/>
      <c r="CL103" s="507"/>
      <c r="CM103" s="507"/>
      <c r="CN103" s="507"/>
      <c r="CO103" s="507"/>
      <c r="CP103" s="507"/>
    </row>
    <row r="104" spans="1:94">
      <c r="A104" s="584"/>
      <c r="B104" s="584"/>
      <c r="C104" s="584"/>
      <c r="D104" s="584"/>
      <c r="E104" s="584"/>
      <c r="F104" s="584"/>
      <c r="G104" s="584"/>
      <c r="H104" s="584"/>
      <c r="I104" s="584"/>
      <c r="J104" s="584"/>
      <c r="K104" s="584"/>
      <c r="L104" s="584"/>
      <c r="M104" s="584"/>
      <c r="N104" s="584"/>
      <c r="O104" s="584"/>
      <c r="P104" s="584"/>
      <c r="Q104" s="584"/>
      <c r="R104" s="584"/>
      <c r="S104" s="584"/>
      <c r="T104" s="584"/>
      <c r="U104" s="584"/>
      <c r="V104" s="584"/>
      <c r="W104" s="584"/>
      <c r="X104" s="584"/>
      <c r="Y104" s="584"/>
      <c r="Z104" s="584"/>
      <c r="AA104" s="584"/>
      <c r="AB104" s="584"/>
      <c r="AC104" s="584"/>
      <c r="AD104" s="584"/>
      <c r="AE104" s="584"/>
      <c r="AF104" s="584"/>
      <c r="AG104" s="584"/>
      <c r="AH104" s="584"/>
      <c r="AI104" s="584"/>
      <c r="AJ104" s="584"/>
      <c r="AK104" s="583"/>
      <c r="AL104" s="582"/>
      <c r="AM104" s="583"/>
      <c r="AN104" s="583"/>
      <c r="AO104" s="583"/>
      <c r="AP104" s="583"/>
      <c r="AQ104" s="583"/>
      <c r="AR104" s="507"/>
      <c r="AS104" s="507"/>
      <c r="AT104" s="507"/>
      <c r="AU104" s="507"/>
      <c r="AV104" s="507"/>
      <c r="AW104" s="507"/>
      <c r="AX104" s="507"/>
      <c r="AY104" s="507"/>
      <c r="AZ104" s="507"/>
      <c r="BA104" s="507"/>
      <c r="BB104" s="507"/>
      <c r="BC104" s="507"/>
      <c r="BD104" s="507"/>
      <c r="BE104" s="507"/>
      <c r="BF104" s="507"/>
      <c r="BG104" s="507"/>
      <c r="BH104" s="507"/>
      <c r="BI104" s="507"/>
      <c r="BJ104" s="507"/>
      <c r="BK104" s="507"/>
      <c r="BL104" s="507"/>
      <c r="BM104" s="507"/>
      <c r="BN104" s="507"/>
      <c r="BO104" s="507"/>
      <c r="BP104" s="507"/>
      <c r="BQ104" s="507"/>
      <c r="BR104" s="507"/>
      <c r="BS104" s="507"/>
      <c r="BT104" s="507"/>
      <c r="BU104" s="507"/>
      <c r="BV104" s="507"/>
      <c r="BW104" s="507"/>
      <c r="BX104" s="507"/>
      <c r="BY104" s="507"/>
      <c r="BZ104" s="507"/>
      <c r="CA104" s="507"/>
      <c r="CB104" s="507"/>
      <c r="CC104" s="507"/>
      <c r="CD104" s="507"/>
      <c r="CE104" s="507"/>
      <c r="CF104" s="507"/>
      <c r="CG104" s="507"/>
      <c r="CH104" s="507"/>
      <c r="CI104" s="507"/>
      <c r="CJ104" s="507"/>
      <c r="CK104" s="507"/>
      <c r="CL104" s="507"/>
      <c r="CM104" s="507"/>
      <c r="CN104" s="507"/>
      <c r="CO104" s="507"/>
      <c r="CP104" s="507"/>
    </row>
    <row r="105" spans="1:94">
      <c r="A105" s="584"/>
      <c r="B105" s="584"/>
      <c r="C105" s="584"/>
      <c r="D105" s="584"/>
      <c r="E105" s="584"/>
      <c r="F105" s="584"/>
      <c r="G105" s="584"/>
      <c r="H105" s="584"/>
      <c r="I105" s="584"/>
      <c r="J105" s="584"/>
      <c r="K105" s="584"/>
      <c r="L105" s="584"/>
      <c r="M105" s="584"/>
      <c r="N105" s="584"/>
      <c r="O105" s="584"/>
      <c r="P105" s="584"/>
      <c r="Q105" s="584"/>
      <c r="R105" s="584"/>
      <c r="S105" s="584"/>
      <c r="T105" s="584"/>
      <c r="U105" s="584"/>
      <c r="V105" s="584"/>
      <c r="W105" s="584"/>
      <c r="X105" s="584"/>
      <c r="Y105" s="584"/>
      <c r="Z105" s="584"/>
      <c r="AA105" s="584"/>
      <c r="AB105" s="584"/>
      <c r="AC105" s="584"/>
      <c r="AD105" s="584"/>
      <c r="AE105" s="584"/>
      <c r="AF105" s="584"/>
      <c r="AG105" s="584"/>
      <c r="AH105" s="584"/>
      <c r="AI105" s="584"/>
      <c r="AJ105" s="584"/>
      <c r="AK105" s="583"/>
      <c r="AL105" s="582"/>
      <c r="AM105" s="583"/>
      <c r="AN105" s="583"/>
      <c r="AO105" s="583"/>
      <c r="AP105" s="583"/>
      <c r="AQ105" s="583"/>
      <c r="AR105" s="507"/>
      <c r="AS105" s="507"/>
      <c r="AT105" s="507"/>
      <c r="AU105" s="507"/>
      <c r="AV105" s="507"/>
      <c r="AW105" s="507"/>
      <c r="AX105" s="507"/>
      <c r="AY105" s="507"/>
      <c r="AZ105" s="507"/>
      <c r="BA105" s="507"/>
      <c r="BB105" s="507"/>
      <c r="BC105" s="507"/>
      <c r="BD105" s="507"/>
      <c r="BE105" s="507"/>
      <c r="BF105" s="507"/>
      <c r="BG105" s="507"/>
      <c r="BH105" s="507"/>
      <c r="BI105" s="507"/>
      <c r="BJ105" s="507"/>
      <c r="BK105" s="507"/>
      <c r="BL105" s="507"/>
      <c r="BM105" s="507"/>
      <c r="BN105" s="507"/>
      <c r="BO105" s="507"/>
      <c r="BP105" s="507"/>
      <c r="BQ105" s="507"/>
      <c r="BR105" s="507"/>
      <c r="BS105" s="507"/>
      <c r="BT105" s="507"/>
      <c r="BU105" s="507"/>
      <c r="BV105" s="507"/>
      <c r="BW105" s="507"/>
      <c r="BX105" s="507"/>
      <c r="BY105" s="507"/>
      <c r="BZ105" s="507"/>
      <c r="CA105" s="507"/>
      <c r="CB105" s="507"/>
      <c r="CC105" s="507"/>
      <c r="CD105" s="507"/>
      <c r="CE105" s="507"/>
      <c r="CF105" s="507"/>
      <c r="CG105" s="507"/>
      <c r="CH105" s="507"/>
      <c r="CI105" s="507"/>
      <c r="CJ105" s="507"/>
      <c r="CK105" s="507"/>
      <c r="CL105" s="507"/>
      <c r="CM105" s="507"/>
      <c r="CN105" s="507"/>
      <c r="CO105" s="507"/>
      <c r="CP105" s="507"/>
    </row>
    <row r="106" spans="1:94">
      <c r="A106" s="584"/>
      <c r="B106" s="584"/>
      <c r="C106" s="584"/>
      <c r="D106" s="584"/>
      <c r="E106" s="584"/>
      <c r="F106" s="584"/>
      <c r="G106" s="584"/>
      <c r="H106" s="584"/>
      <c r="I106" s="584"/>
      <c r="J106" s="584"/>
      <c r="K106" s="584"/>
      <c r="L106" s="584"/>
      <c r="M106" s="584"/>
      <c r="N106" s="584"/>
      <c r="O106" s="584"/>
      <c r="P106" s="584"/>
      <c r="Q106" s="584"/>
      <c r="R106" s="584"/>
      <c r="S106" s="584"/>
      <c r="T106" s="584"/>
      <c r="U106" s="584"/>
      <c r="V106" s="584"/>
      <c r="W106" s="584"/>
      <c r="X106" s="584"/>
      <c r="Y106" s="584"/>
      <c r="Z106" s="584"/>
      <c r="AA106" s="584"/>
      <c r="AB106" s="584"/>
      <c r="AC106" s="584"/>
      <c r="AD106" s="584"/>
      <c r="AE106" s="584"/>
      <c r="AF106" s="584"/>
      <c r="AG106" s="584"/>
      <c r="AH106" s="584"/>
      <c r="AI106" s="584"/>
      <c r="AJ106" s="584"/>
      <c r="AK106" s="583"/>
      <c r="AL106" s="582"/>
      <c r="AM106" s="583"/>
      <c r="AN106" s="583"/>
      <c r="AO106" s="583"/>
      <c r="AP106" s="583"/>
      <c r="AQ106" s="583"/>
      <c r="AR106" s="507"/>
      <c r="AS106" s="507"/>
      <c r="AT106" s="507"/>
      <c r="AU106" s="507"/>
      <c r="AV106" s="507"/>
      <c r="AW106" s="507"/>
      <c r="AX106" s="507"/>
      <c r="AY106" s="507"/>
      <c r="AZ106" s="507"/>
      <c r="BA106" s="507"/>
      <c r="BB106" s="507"/>
      <c r="BC106" s="507"/>
      <c r="BD106" s="507"/>
      <c r="BE106" s="507"/>
      <c r="BF106" s="507"/>
      <c r="BG106" s="507"/>
      <c r="BH106" s="507"/>
      <c r="BI106" s="507"/>
      <c r="BJ106" s="507"/>
      <c r="BK106" s="507"/>
      <c r="BL106" s="507"/>
      <c r="BM106" s="507"/>
      <c r="BN106" s="507"/>
      <c r="BO106" s="507"/>
      <c r="BP106" s="507"/>
      <c r="BQ106" s="507"/>
      <c r="BR106" s="507"/>
      <c r="BS106" s="507"/>
      <c r="BT106" s="507"/>
      <c r="BU106" s="507"/>
      <c r="BV106" s="507"/>
      <c r="BW106" s="507"/>
      <c r="BX106" s="507"/>
      <c r="BY106" s="507"/>
      <c r="BZ106" s="507"/>
      <c r="CA106" s="507"/>
      <c r="CB106" s="507"/>
      <c r="CC106" s="507"/>
      <c r="CD106" s="507"/>
      <c r="CE106" s="507"/>
      <c r="CF106" s="507"/>
      <c r="CG106" s="507"/>
      <c r="CH106" s="507"/>
      <c r="CI106" s="507"/>
      <c r="CJ106" s="507"/>
      <c r="CK106" s="507"/>
      <c r="CL106" s="507"/>
      <c r="CM106" s="507"/>
      <c r="CN106" s="507"/>
      <c r="CO106" s="507"/>
      <c r="CP106" s="507"/>
    </row>
    <row r="107" spans="1:94">
      <c r="A107" s="584"/>
      <c r="B107" s="584"/>
      <c r="C107" s="584"/>
      <c r="D107" s="584"/>
      <c r="E107" s="584"/>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4"/>
      <c r="AF107" s="584"/>
      <c r="AG107" s="584"/>
      <c r="AH107" s="584"/>
      <c r="AI107" s="584"/>
      <c r="AJ107" s="584"/>
      <c r="AK107" s="583"/>
      <c r="AL107" s="582"/>
      <c r="AM107" s="583"/>
      <c r="AN107" s="583"/>
      <c r="AO107" s="583"/>
      <c r="AP107" s="583"/>
      <c r="AQ107" s="583"/>
      <c r="AR107" s="507"/>
      <c r="AS107" s="507"/>
      <c r="AT107" s="507"/>
      <c r="AU107" s="507"/>
      <c r="AV107" s="507"/>
      <c r="AW107" s="507"/>
      <c r="AX107" s="507"/>
      <c r="AY107" s="507"/>
      <c r="AZ107" s="507"/>
      <c r="BA107" s="507"/>
      <c r="BB107" s="507"/>
      <c r="BC107" s="507"/>
      <c r="BD107" s="507"/>
      <c r="BE107" s="507"/>
      <c r="BF107" s="507"/>
      <c r="BG107" s="507"/>
      <c r="BH107" s="507"/>
      <c r="BI107" s="507"/>
      <c r="BJ107" s="507"/>
      <c r="BK107" s="507"/>
      <c r="BL107" s="507"/>
      <c r="BM107" s="507"/>
      <c r="BN107" s="507"/>
      <c r="BO107" s="507"/>
      <c r="BP107" s="507"/>
      <c r="BQ107" s="507"/>
      <c r="BR107" s="507"/>
      <c r="BS107" s="507"/>
      <c r="BT107" s="507"/>
      <c r="BU107" s="507"/>
      <c r="BV107" s="507"/>
      <c r="BW107" s="507"/>
      <c r="BX107" s="507"/>
      <c r="BY107" s="507"/>
      <c r="BZ107" s="507"/>
      <c r="CA107" s="507"/>
      <c r="CB107" s="507"/>
      <c r="CC107" s="507"/>
      <c r="CD107" s="507"/>
      <c r="CE107" s="507"/>
      <c r="CF107" s="507"/>
      <c r="CG107" s="507"/>
      <c r="CH107" s="507"/>
      <c r="CI107" s="507"/>
      <c r="CJ107" s="507"/>
      <c r="CK107" s="507"/>
      <c r="CL107" s="507"/>
      <c r="CM107" s="507"/>
      <c r="CN107" s="507"/>
      <c r="CO107" s="507"/>
      <c r="CP107" s="507"/>
    </row>
    <row r="108" spans="1:94">
      <c r="A108" s="584"/>
      <c r="B108" s="584"/>
      <c r="C108" s="584"/>
      <c r="D108" s="584"/>
      <c r="E108" s="584"/>
      <c r="F108" s="584"/>
      <c r="G108" s="584"/>
      <c r="H108" s="584"/>
      <c r="I108" s="584"/>
      <c r="J108" s="584"/>
      <c r="K108" s="584"/>
      <c r="L108" s="584"/>
      <c r="M108" s="584"/>
      <c r="N108" s="584"/>
      <c r="O108" s="584"/>
      <c r="P108" s="584"/>
      <c r="Q108" s="584"/>
      <c r="R108" s="584"/>
      <c r="S108" s="584"/>
      <c r="T108" s="584"/>
      <c r="U108" s="584"/>
      <c r="V108" s="584"/>
      <c r="W108" s="584"/>
      <c r="X108" s="584"/>
      <c r="Y108" s="584"/>
      <c r="Z108" s="584"/>
      <c r="AA108" s="584"/>
      <c r="AB108" s="584"/>
      <c r="AC108" s="584"/>
      <c r="AD108" s="584"/>
      <c r="AE108" s="584"/>
      <c r="AF108" s="584"/>
      <c r="AG108" s="584"/>
      <c r="AH108" s="584"/>
      <c r="AI108" s="584"/>
      <c r="AJ108" s="584"/>
      <c r="AK108" s="583"/>
      <c r="AL108" s="582"/>
      <c r="AM108" s="583"/>
      <c r="AN108" s="583"/>
      <c r="AO108" s="583"/>
      <c r="AP108" s="583"/>
      <c r="AQ108" s="583"/>
      <c r="AR108" s="507"/>
      <c r="AS108" s="507"/>
      <c r="AT108" s="507"/>
      <c r="AU108" s="507"/>
      <c r="AV108" s="507"/>
      <c r="AW108" s="507"/>
      <c r="AX108" s="507"/>
      <c r="AY108" s="507"/>
      <c r="AZ108" s="507"/>
      <c r="BA108" s="507"/>
      <c r="BB108" s="507"/>
      <c r="BC108" s="507"/>
      <c r="BD108" s="507"/>
      <c r="BE108" s="507"/>
      <c r="BF108" s="507"/>
      <c r="BG108" s="507"/>
      <c r="BH108" s="507"/>
      <c r="BI108" s="507"/>
      <c r="BJ108" s="507"/>
      <c r="BK108" s="507"/>
      <c r="BL108" s="507"/>
      <c r="BM108" s="507"/>
      <c r="BN108" s="507"/>
      <c r="BO108" s="507"/>
      <c r="BP108" s="507"/>
      <c r="BQ108" s="507"/>
      <c r="BR108" s="507"/>
      <c r="BS108" s="507"/>
      <c r="BT108" s="507"/>
      <c r="BU108" s="507"/>
      <c r="BV108" s="507"/>
      <c r="BW108" s="507"/>
      <c r="BX108" s="507"/>
      <c r="BY108" s="507"/>
      <c r="BZ108" s="507"/>
      <c r="CA108" s="507"/>
      <c r="CB108" s="507"/>
      <c r="CC108" s="507"/>
      <c r="CD108" s="507"/>
      <c r="CE108" s="507"/>
      <c r="CF108" s="507"/>
      <c r="CG108" s="507"/>
      <c r="CH108" s="507"/>
      <c r="CI108" s="507"/>
      <c r="CJ108" s="507"/>
      <c r="CK108" s="507"/>
      <c r="CL108" s="507"/>
      <c r="CM108" s="507"/>
      <c r="CN108" s="507"/>
      <c r="CO108" s="507"/>
      <c r="CP108" s="507"/>
    </row>
    <row r="109" spans="1:94">
      <c r="A109" s="584"/>
      <c r="B109" s="584"/>
      <c r="C109" s="584"/>
      <c r="D109" s="584"/>
      <c r="E109" s="584"/>
      <c r="F109" s="584"/>
      <c r="G109" s="584"/>
      <c r="H109" s="584"/>
      <c r="I109" s="584"/>
      <c r="J109" s="584"/>
      <c r="K109" s="584"/>
      <c r="L109" s="584"/>
      <c r="M109" s="584"/>
      <c r="N109" s="584"/>
      <c r="O109" s="584"/>
      <c r="P109" s="584"/>
      <c r="Q109" s="584"/>
      <c r="R109" s="584"/>
      <c r="S109" s="584"/>
      <c r="T109" s="584"/>
      <c r="U109" s="584"/>
      <c r="V109" s="584"/>
      <c r="W109" s="584"/>
      <c r="X109" s="584"/>
      <c r="Y109" s="584"/>
      <c r="Z109" s="584"/>
      <c r="AA109" s="584"/>
      <c r="AB109" s="584"/>
      <c r="AC109" s="584"/>
      <c r="AD109" s="584"/>
      <c r="AE109" s="584"/>
      <c r="AF109" s="584"/>
      <c r="AG109" s="584"/>
      <c r="AH109" s="584"/>
      <c r="AI109" s="584"/>
      <c r="AJ109" s="584"/>
      <c r="AK109" s="583"/>
      <c r="AL109" s="582"/>
      <c r="AM109" s="583"/>
      <c r="AN109" s="583"/>
      <c r="AO109" s="583"/>
      <c r="AP109" s="583"/>
      <c r="AQ109" s="583"/>
      <c r="AR109" s="507"/>
      <c r="AS109" s="507"/>
      <c r="AT109" s="507"/>
      <c r="AU109" s="507"/>
      <c r="AV109" s="507"/>
      <c r="AW109" s="507"/>
      <c r="AX109" s="507"/>
      <c r="AY109" s="507"/>
      <c r="AZ109" s="507"/>
      <c r="BA109" s="507"/>
      <c r="BB109" s="507"/>
      <c r="BC109" s="507"/>
      <c r="BD109" s="507"/>
      <c r="BE109" s="507"/>
      <c r="BF109" s="507"/>
      <c r="BG109" s="507"/>
      <c r="BH109" s="507"/>
      <c r="BI109" s="507"/>
      <c r="BJ109" s="507"/>
      <c r="BK109" s="507"/>
      <c r="BL109" s="507"/>
      <c r="BM109" s="507"/>
      <c r="BN109" s="507"/>
      <c r="BO109" s="507"/>
      <c r="BP109" s="507"/>
      <c r="BQ109" s="507"/>
      <c r="BR109" s="507"/>
      <c r="BS109" s="507"/>
      <c r="BT109" s="507"/>
      <c r="BU109" s="507"/>
      <c r="BV109" s="507"/>
      <c r="BW109" s="507"/>
      <c r="BX109" s="507"/>
      <c r="BY109" s="507"/>
      <c r="BZ109" s="507"/>
      <c r="CA109" s="507"/>
      <c r="CB109" s="507"/>
      <c r="CC109" s="507"/>
      <c r="CD109" s="507"/>
      <c r="CE109" s="507"/>
      <c r="CF109" s="507"/>
      <c r="CG109" s="507"/>
      <c r="CH109" s="507"/>
      <c r="CI109" s="507"/>
      <c r="CJ109" s="507"/>
      <c r="CK109" s="507"/>
      <c r="CL109" s="507"/>
      <c r="CM109" s="507"/>
      <c r="CN109" s="507"/>
      <c r="CO109" s="507"/>
      <c r="CP109" s="507"/>
    </row>
    <row r="110" spans="1:94">
      <c r="A110" s="584"/>
      <c r="B110" s="584"/>
      <c r="C110" s="584"/>
      <c r="D110" s="584"/>
      <c r="E110" s="584"/>
      <c r="F110" s="584"/>
      <c r="G110" s="584"/>
      <c r="H110" s="584"/>
      <c r="I110" s="584"/>
      <c r="J110" s="584"/>
      <c r="K110" s="584"/>
      <c r="L110" s="584"/>
      <c r="M110" s="584"/>
      <c r="N110" s="584"/>
      <c r="O110" s="584"/>
      <c r="P110" s="584"/>
      <c r="Q110" s="584"/>
      <c r="R110" s="584"/>
      <c r="S110" s="584"/>
      <c r="T110" s="584"/>
      <c r="U110" s="584"/>
      <c r="V110" s="584"/>
      <c r="W110" s="584"/>
      <c r="X110" s="584"/>
      <c r="Y110" s="584"/>
      <c r="Z110" s="584"/>
      <c r="AA110" s="584"/>
      <c r="AB110" s="584"/>
      <c r="AC110" s="584"/>
      <c r="AD110" s="584"/>
      <c r="AE110" s="584"/>
      <c r="AF110" s="584"/>
      <c r="AG110" s="584"/>
      <c r="AH110" s="584"/>
      <c r="AI110" s="584"/>
      <c r="AJ110" s="584"/>
      <c r="AK110" s="583"/>
      <c r="AL110" s="582"/>
      <c r="AM110" s="583"/>
      <c r="AN110" s="583"/>
      <c r="AO110" s="583"/>
      <c r="AP110" s="583"/>
      <c r="AQ110" s="583"/>
      <c r="AR110" s="507"/>
      <c r="AS110" s="507"/>
      <c r="AT110" s="507"/>
      <c r="AU110" s="507"/>
      <c r="AV110" s="507"/>
      <c r="AW110" s="507"/>
      <c r="AX110" s="507"/>
      <c r="AY110" s="507"/>
      <c r="AZ110" s="507"/>
      <c r="BA110" s="507"/>
      <c r="BB110" s="507"/>
      <c r="BC110" s="507"/>
      <c r="BD110" s="507"/>
      <c r="BE110" s="507"/>
      <c r="BF110" s="507"/>
      <c r="BG110" s="507"/>
      <c r="BH110" s="507"/>
      <c r="BI110" s="507"/>
      <c r="BJ110" s="507"/>
      <c r="BK110" s="507"/>
      <c r="BL110" s="507"/>
      <c r="BM110" s="507"/>
      <c r="BN110" s="507"/>
      <c r="BO110" s="507"/>
      <c r="BP110" s="507"/>
      <c r="BQ110" s="507"/>
      <c r="BR110" s="507"/>
      <c r="BS110" s="507"/>
      <c r="BT110" s="507"/>
      <c r="BU110" s="507"/>
      <c r="BV110" s="507"/>
      <c r="BW110" s="507"/>
      <c r="BX110" s="507"/>
      <c r="BY110" s="507"/>
      <c r="BZ110" s="507"/>
      <c r="CA110" s="507"/>
      <c r="CB110" s="507"/>
      <c r="CC110" s="507"/>
      <c r="CD110" s="507"/>
      <c r="CE110" s="507"/>
      <c r="CF110" s="507"/>
      <c r="CG110" s="507"/>
      <c r="CH110" s="507"/>
      <c r="CI110" s="507"/>
      <c r="CJ110" s="507"/>
      <c r="CK110" s="507"/>
      <c r="CL110" s="507"/>
      <c r="CM110" s="507"/>
      <c r="CN110" s="507"/>
      <c r="CO110" s="507"/>
      <c r="CP110" s="507"/>
    </row>
    <row r="111" spans="1:94">
      <c r="A111" s="584"/>
      <c r="B111" s="584"/>
      <c r="C111" s="584"/>
      <c r="D111" s="584"/>
      <c r="E111" s="584"/>
      <c r="F111" s="584"/>
      <c r="G111" s="584"/>
      <c r="H111" s="584"/>
      <c r="I111" s="584"/>
      <c r="J111" s="584"/>
      <c r="K111" s="584"/>
      <c r="L111" s="584"/>
      <c r="M111" s="584"/>
      <c r="N111" s="584"/>
      <c r="O111" s="584"/>
      <c r="P111" s="584"/>
      <c r="Q111" s="584"/>
      <c r="R111" s="584"/>
      <c r="S111" s="584"/>
      <c r="T111" s="584"/>
      <c r="U111" s="584"/>
      <c r="V111" s="584"/>
      <c r="W111" s="584"/>
      <c r="X111" s="584"/>
      <c r="Y111" s="584"/>
      <c r="Z111" s="584"/>
      <c r="AA111" s="584"/>
      <c r="AB111" s="584"/>
      <c r="AC111" s="584"/>
      <c r="AD111" s="584"/>
      <c r="AE111" s="584"/>
      <c r="AF111" s="584"/>
      <c r="AG111" s="584"/>
      <c r="AH111" s="584"/>
      <c r="AI111" s="584"/>
      <c r="AJ111" s="584"/>
      <c r="AK111" s="583"/>
      <c r="AL111" s="582"/>
      <c r="AM111" s="583"/>
      <c r="AN111" s="583"/>
      <c r="AO111" s="583"/>
      <c r="AP111" s="583"/>
      <c r="AQ111" s="583"/>
      <c r="AR111" s="507"/>
      <c r="AS111" s="507"/>
      <c r="AT111" s="507"/>
      <c r="AU111" s="507"/>
      <c r="AV111" s="507"/>
      <c r="AW111" s="507"/>
      <c r="AX111" s="507"/>
      <c r="AY111" s="507"/>
      <c r="AZ111" s="507"/>
      <c r="BA111" s="507"/>
      <c r="BB111" s="507"/>
      <c r="BC111" s="507"/>
      <c r="BD111" s="507"/>
      <c r="BE111" s="507"/>
      <c r="BF111" s="507"/>
      <c r="BG111" s="507"/>
      <c r="BH111" s="507"/>
      <c r="BI111" s="507"/>
      <c r="BJ111" s="507"/>
      <c r="BK111" s="507"/>
      <c r="BL111" s="507"/>
      <c r="BM111" s="507"/>
      <c r="BN111" s="507"/>
      <c r="BO111" s="507"/>
      <c r="BP111" s="507"/>
      <c r="BQ111" s="507"/>
      <c r="BR111" s="507"/>
      <c r="BS111" s="507"/>
      <c r="BT111" s="507"/>
      <c r="BU111" s="507"/>
      <c r="BV111" s="507"/>
      <c r="BW111" s="507"/>
      <c r="BX111" s="507"/>
      <c r="BY111" s="507"/>
      <c r="BZ111" s="507"/>
      <c r="CA111" s="507"/>
      <c r="CB111" s="507"/>
      <c r="CC111" s="507"/>
      <c r="CD111" s="507"/>
      <c r="CE111" s="507"/>
      <c r="CF111" s="507"/>
      <c r="CG111" s="507"/>
      <c r="CH111" s="507"/>
      <c r="CI111" s="507"/>
      <c r="CJ111" s="507"/>
      <c r="CK111" s="507"/>
      <c r="CL111" s="507"/>
      <c r="CM111" s="507"/>
      <c r="CN111" s="507"/>
      <c r="CO111" s="507"/>
      <c r="CP111" s="507"/>
    </row>
    <row r="112" spans="1:94">
      <c r="A112" s="584"/>
      <c r="B112" s="584"/>
      <c r="C112" s="584"/>
      <c r="D112" s="584"/>
      <c r="E112" s="584"/>
      <c r="F112" s="584"/>
      <c r="G112" s="584"/>
      <c r="H112" s="584"/>
      <c r="I112" s="584"/>
      <c r="J112" s="584"/>
      <c r="K112" s="584"/>
      <c r="L112" s="584"/>
      <c r="M112" s="584"/>
      <c r="N112" s="584"/>
      <c r="O112" s="584"/>
      <c r="P112" s="584"/>
      <c r="Q112" s="584"/>
      <c r="R112" s="584"/>
      <c r="S112" s="584"/>
      <c r="T112" s="584"/>
      <c r="U112" s="584"/>
      <c r="V112" s="584"/>
      <c r="W112" s="584"/>
      <c r="X112" s="584"/>
      <c r="Y112" s="584"/>
      <c r="Z112" s="584"/>
      <c r="AA112" s="584"/>
      <c r="AB112" s="584"/>
      <c r="AC112" s="584"/>
      <c r="AD112" s="584"/>
      <c r="AE112" s="584"/>
      <c r="AF112" s="584"/>
      <c r="AG112" s="584"/>
      <c r="AH112" s="584"/>
      <c r="AI112" s="584"/>
      <c r="AJ112" s="584"/>
      <c r="AK112" s="583"/>
      <c r="AL112" s="582"/>
      <c r="AM112" s="583"/>
      <c r="AN112" s="583"/>
      <c r="AO112" s="583"/>
      <c r="AP112" s="583"/>
      <c r="AQ112" s="583"/>
      <c r="AR112" s="507"/>
      <c r="AS112" s="507"/>
      <c r="AT112" s="507"/>
      <c r="AU112" s="507"/>
      <c r="AV112" s="507"/>
      <c r="AW112" s="507"/>
      <c r="AX112" s="507"/>
      <c r="AY112" s="507"/>
      <c r="AZ112" s="507"/>
      <c r="BA112" s="507"/>
      <c r="BB112" s="507"/>
      <c r="BC112" s="507"/>
      <c r="BD112" s="507"/>
      <c r="BE112" s="507"/>
      <c r="BF112" s="507"/>
      <c r="BG112" s="507"/>
      <c r="BH112" s="507"/>
      <c r="BI112" s="507"/>
      <c r="BJ112" s="507"/>
      <c r="BK112" s="507"/>
      <c r="BL112" s="507"/>
      <c r="BM112" s="507"/>
      <c r="BN112" s="507"/>
      <c r="BO112" s="507"/>
      <c r="BP112" s="507"/>
      <c r="BQ112" s="507"/>
      <c r="BR112" s="507"/>
      <c r="BS112" s="507"/>
      <c r="BT112" s="507"/>
      <c r="BU112" s="507"/>
      <c r="BV112" s="507"/>
      <c r="BW112" s="507"/>
      <c r="BX112" s="507"/>
      <c r="BY112" s="507"/>
      <c r="BZ112" s="507"/>
      <c r="CA112" s="507"/>
      <c r="CB112" s="507"/>
      <c r="CC112" s="507"/>
      <c r="CD112" s="507"/>
      <c r="CE112" s="507"/>
      <c r="CF112" s="507"/>
      <c r="CG112" s="507"/>
      <c r="CH112" s="507"/>
      <c r="CI112" s="507"/>
      <c r="CJ112" s="507"/>
      <c r="CK112" s="507"/>
      <c r="CL112" s="507"/>
      <c r="CM112" s="507"/>
      <c r="CN112" s="507"/>
      <c r="CO112" s="507"/>
      <c r="CP112" s="507"/>
    </row>
    <row r="113" spans="1:94">
      <c r="A113" s="584"/>
      <c r="B113" s="584"/>
      <c r="C113" s="584"/>
      <c r="D113" s="584"/>
      <c r="E113" s="584"/>
      <c r="F113" s="584"/>
      <c r="G113" s="584"/>
      <c r="H113" s="584"/>
      <c r="I113" s="584"/>
      <c r="J113" s="584"/>
      <c r="K113" s="584"/>
      <c r="L113" s="584"/>
      <c r="M113" s="584"/>
      <c r="N113" s="584"/>
      <c r="O113" s="584"/>
      <c r="P113" s="584"/>
      <c r="Q113" s="584"/>
      <c r="R113" s="584"/>
      <c r="S113" s="584"/>
      <c r="T113" s="584"/>
      <c r="U113" s="584"/>
      <c r="V113" s="584"/>
      <c r="W113" s="584"/>
      <c r="X113" s="584"/>
      <c r="Y113" s="584"/>
      <c r="Z113" s="584"/>
      <c r="AA113" s="584"/>
      <c r="AB113" s="584"/>
      <c r="AC113" s="584"/>
      <c r="AD113" s="584"/>
      <c r="AE113" s="584"/>
      <c r="AF113" s="584"/>
      <c r="AG113" s="584"/>
      <c r="AH113" s="584"/>
      <c r="AI113" s="584"/>
      <c r="AJ113" s="584"/>
      <c r="AK113" s="583"/>
      <c r="AL113" s="582"/>
      <c r="AM113" s="583"/>
      <c r="AN113" s="583"/>
      <c r="AO113" s="583"/>
      <c r="AP113" s="583"/>
      <c r="AQ113" s="583"/>
      <c r="AR113" s="507"/>
      <c r="AS113" s="507"/>
      <c r="AT113" s="507"/>
      <c r="AU113" s="507"/>
      <c r="AV113" s="507"/>
      <c r="AW113" s="507"/>
      <c r="AX113" s="507"/>
      <c r="AY113" s="507"/>
      <c r="AZ113" s="507"/>
      <c r="BA113" s="507"/>
      <c r="BB113" s="507"/>
      <c r="BC113" s="507"/>
      <c r="BD113" s="507"/>
      <c r="BE113" s="507"/>
      <c r="BF113" s="507"/>
      <c r="BG113" s="507"/>
      <c r="BH113" s="507"/>
      <c r="BI113" s="507"/>
      <c r="BJ113" s="507"/>
      <c r="BK113" s="507"/>
      <c r="BL113" s="507"/>
      <c r="BM113" s="507"/>
      <c r="BN113" s="507"/>
      <c r="BO113" s="507"/>
      <c r="BP113" s="507"/>
      <c r="BQ113" s="507"/>
      <c r="BR113" s="507"/>
      <c r="BS113" s="507"/>
      <c r="BT113" s="507"/>
      <c r="BU113" s="507"/>
      <c r="BV113" s="507"/>
      <c r="BW113" s="507"/>
      <c r="BX113" s="507"/>
      <c r="BY113" s="507"/>
      <c r="BZ113" s="507"/>
      <c r="CA113" s="507"/>
      <c r="CB113" s="507"/>
      <c r="CC113" s="507"/>
      <c r="CD113" s="507"/>
      <c r="CE113" s="507"/>
      <c r="CF113" s="507"/>
      <c r="CG113" s="507"/>
      <c r="CH113" s="507"/>
      <c r="CI113" s="507"/>
      <c r="CJ113" s="507"/>
      <c r="CK113" s="507"/>
      <c r="CL113" s="507"/>
      <c r="CM113" s="507"/>
      <c r="CN113" s="507"/>
      <c r="CO113" s="507"/>
      <c r="CP113" s="507"/>
    </row>
    <row r="114" spans="1:94">
      <c r="A114" s="584"/>
      <c r="B114" s="584"/>
      <c r="C114" s="584"/>
      <c r="D114" s="584"/>
      <c r="E114" s="584"/>
      <c r="F114" s="584"/>
      <c r="G114" s="584"/>
      <c r="H114" s="584"/>
      <c r="I114" s="584"/>
      <c r="J114" s="584"/>
      <c r="K114" s="584"/>
      <c r="L114" s="584"/>
      <c r="M114" s="584"/>
      <c r="N114" s="584"/>
      <c r="O114" s="584"/>
      <c r="P114" s="584"/>
      <c r="Q114" s="584"/>
      <c r="R114" s="584"/>
      <c r="S114" s="584"/>
      <c r="T114" s="584"/>
      <c r="U114" s="584"/>
      <c r="V114" s="584"/>
      <c r="W114" s="584"/>
      <c r="X114" s="584"/>
      <c r="Y114" s="584"/>
      <c r="Z114" s="584"/>
      <c r="AA114" s="584"/>
      <c r="AB114" s="584"/>
      <c r="AC114" s="584"/>
      <c r="AD114" s="584"/>
      <c r="AE114" s="584"/>
      <c r="AF114" s="584"/>
      <c r="AG114" s="584"/>
      <c r="AH114" s="584"/>
      <c r="AI114" s="584"/>
      <c r="AJ114" s="584"/>
      <c r="AK114" s="583"/>
      <c r="AL114" s="582"/>
      <c r="AM114" s="583"/>
      <c r="AN114" s="583"/>
      <c r="AO114" s="583"/>
      <c r="AP114" s="583"/>
      <c r="AQ114" s="583"/>
      <c r="AR114" s="507"/>
      <c r="AS114" s="507"/>
      <c r="AT114" s="507"/>
      <c r="AU114" s="507"/>
      <c r="AV114" s="507"/>
      <c r="AW114" s="507"/>
      <c r="AX114" s="507"/>
      <c r="AY114" s="507"/>
      <c r="AZ114" s="507"/>
      <c r="BA114" s="507"/>
      <c r="BB114" s="507"/>
      <c r="BC114" s="507"/>
      <c r="BD114" s="507"/>
      <c r="BE114" s="507"/>
      <c r="BF114" s="507"/>
      <c r="BG114" s="507"/>
      <c r="BH114" s="507"/>
      <c r="BI114" s="507"/>
      <c r="BJ114" s="507"/>
      <c r="BK114" s="507"/>
      <c r="BL114" s="507"/>
      <c r="BM114" s="507"/>
      <c r="BN114" s="507"/>
      <c r="BO114" s="507"/>
      <c r="BP114" s="507"/>
      <c r="BQ114" s="507"/>
      <c r="BR114" s="507"/>
      <c r="BS114" s="507"/>
      <c r="BT114" s="507"/>
      <c r="BU114" s="507"/>
      <c r="BV114" s="507"/>
      <c r="BW114" s="507"/>
      <c r="BX114" s="507"/>
      <c r="BY114" s="507"/>
      <c r="BZ114" s="507"/>
      <c r="CA114" s="507"/>
      <c r="CB114" s="507"/>
      <c r="CC114" s="507"/>
      <c r="CD114" s="507"/>
      <c r="CE114" s="507"/>
      <c r="CF114" s="507"/>
      <c r="CG114" s="507"/>
      <c r="CH114" s="507"/>
      <c r="CI114" s="507"/>
      <c r="CJ114" s="507"/>
      <c r="CK114" s="507"/>
      <c r="CL114" s="507"/>
      <c r="CM114" s="507"/>
      <c r="CN114" s="507"/>
      <c r="CO114" s="507"/>
      <c r="CP114" s="507"/>
    </row>
    <row r="115" spans="1:94">
      <c r="A115" s="584"/>
      <c r="B115" s="584"/>
      <c r="C115" s="584"/>
      <c r="D115" s="584"/>
      <c r="E115" s="584"/>
      <c r="F115" s="584"/>
      <c r="G115" s="584"/>
      <c r="H115" s="584"/>
      <c r="I115" s="584"/>
      <c r="J115" s="584"/>
      <c r="K115" s="584"/>
      <c r="L115" s="584"/>
      <c r="M115" s="584"/>
      <c r="N115" s="584"/>
      <c r="O115" s="584"/>
      <c r="P115" s="584"/>
      <c r="Q115" s="584"/>
      <c r="R115" s="584"/>
      <c r="S115" s="584"/>
      <c r="T115" s="584"/>
      <c r="U115" s="584"/>
      <c r="V115" s="584"/>
      <c r="W115" s="584"/>
      <c r="X115" s="584"/>
      <c r="Y115" s="584"/>
      <c r="Z115" s="584"/>
      <c r="AA115" s="584"/>
      <c r="AB115" s="584"/>
      <c r="AC115" s="584"/>
      <c r="AD115" s="584"/>
      <c r="AE115" s="584"/>
      <c r="AF115" s="584"/>
      <c r="AG115" s="584"/>
      <c r="AH115" s="584"/>
      <c r="AI115" s="584"/>
      <c r="AJ115" s="584"/>
      <c r="AK115" s="583"/>
      <c r="AL115" s="582"/>
      <c r="AM115" s="583"/>
      <c r="AN115" s="583"/>
      <c r="AO115" s="583"/>
      <c r="AP115" s="583"/>
      <c r="AQ115" s="583"/>
      <c r="AR115" s="507"/>
      <c r="AS115" s="507"/>
      <c r="AT115" s="507"/>
      <c r="AU115" s="507"/>
      <c r="AV115" s="507"/>
      <c r="AW115" s="507"/>
      <c r="AX115" s="507"/>
      <c r="AY115" s="507"/>
      <c r="AZ115" s="507"/>
      <c r="BA115" s="507"/>
      <c r="BB115" s="507"/>
      <c r="BC115" s="507"/>
      <c r="BD115" s="507"/>
      <c r="BE115" s="507"/>
      <c r="BF115" s="507"/>
      <c r="BG115" s="507"/>
      <c r="BH115" s="507"/>
      <c r="BI115" s="507"/>
      <c r="BJ115" s="507"/>
      <c r="BK115" s="507"/>
      <c r="BL115" s="507"/>
      <c r="BM115" s="507"/>
      <c r="BN115" s="507"/>
      <c r="BO115" s="507"/>
      <c r="BP115" s="507"/>
      <c r="BQ115" s="507"/>
      <c r="BR115" s="507"/>
      <c r="BS115" s="507"/>
      <c r="BT115" s="507"/>
      <c r="BU115" s="507"/>
      <c r="BV115" s="507"/>
      <c r="BW115" s="507"/>
      <c r="BX115" s="507"/>
      <c r="BY115" s="507"/>
      <c r="BZ115" s="507"/>
      <c r="CA115" s="507"/>
      <c r="CB115" s="507"/>
      <c r="CC115" s="507"/>
      <c r="CD115" s="507"/>
      <c r="CE115" s="507"/>
      <c r="CF115" s="507"/>
      <c r="CG115" s="507"/>
      <c r="CH115" s="507"/>
      <c r="CI115" s="507"/>
      <c r="CJ115" s="507"/>
      <c r="CK115" s="507"/>
      <c r="CL115" s="507"/>
      <c r="CM115" s="507"/>
      <c r="CN115" s="507"/>
      <c r="CO115" s="507"/>
      <c r="CP115" s="507"/>
    </row>
    <row r="116" spans="1:94">
      <c r="A116" s="584"/>
      <c r="B116" s="584"/>
      <c r="C116" s="584"/>
      <c r="D116" s="584"/>
      <c r="E116" s="584"/>
      <c r="F116" s="584"/>
      <c r="G116" s="584"/>
      <c r="H116" s="584"/>
      <c r="I116" s="584"/>
      <c r="J116" s="584"/>
      <c r="K116" s="584"/>
      <c r="L116" s="584"/>
      <c r="M116" s="584"/>
      <c r="N116" s="584"/>
      <c r="O116" s="584"/>
      <c r="P116" s="584"/>
      <c r="Q116" s="584"/>
      <c r="R116" s="584"/>
      <c r="S116" s="584"/>
      <c r="T116" s="584"/>
      <c r="U116" s="584"/>
      <c r="V116" s="584"/>
      <c r="W116" s="584"/>
      <c r="X116" s="584"/>
      <c r="Y116" s="584"/>
      <c r="Z116" s="584"/>
      <c r="AA116" s="584"/>
      <c r="AB116" s="584"/>
      <c r="AC116" s="584"/>
      <c r="AD116" s="584"/>
      <c r="AE116" s="584"/>
      <c r="AF116" s="584"/>
      <c r="AG116" s="584"/>
      <c r="AH116" s="584"/>
      <c r="AI116" s="584"/>
      <c r="AJ116" s="584"/>
      <c r="AK116" s="583"/>
      <c r="AL116" s="582"/>
      <c r="AM116" s="583"/>
      <c r="AN116" s="583"/>
      <c r="AO116" s="583"/>
      <c r="AP116" s="583"/>
      <c r="AQ116" s="583"/>
      <c r="AR116" s="507"/>
      <c r="AS116" s="507"/>
      <c r="AT116" s="507"/>
      <c r="AU116" s="507"/>
      <c r="AV116" s="507"/>
      <c r="AW116" s="507"/>
      <c r="AX116" s="507"/>
      <c r="AY116" s="507"/>
      <c r="AZ116" s="507"/>
      <c r="BA116" s="507"/>
      <c r="BB116" s="507"/>
      <c r="BC116" s="507"/>
      <c r="BD116" s="507"/>
      <c r="BE116" s="507"/>
      <c r="BF116" s="507"/>
      <c r="BG116" s="507"/>
      <c r="BH116" s="507"/>
      <c r="BI116" s="507"/>
      <c r="BJ116" s="507"/>
      <c r="BK116" s="507"/>
      <c r="BL116" s="507"/>
      <c r="BM116" s="507"/>
      <c r="BN116" s="507"/>
      <c r="BO116" s="507"/>
      <c r="BP116" s="507"/>
      <c r="BQ116" s="507"/>
      <c r="BR116" s="507"/>
      <c r="BS116" s="507"/>
      <c r="BT116" s="507"/>
      <c r="BU116" s="507"/>
      <c r="BV116" s="507"/>
      <c r="BW116" s="507"/>
      <c r="BX116" s="507"/>
      <c r="BY116" s="507"/>
      <c r="BZ116" s="507"/>
      <c r="CA116" s="507"/>
      <c r="CB116" s="507"/>
      <c r="CC116" s="507"/>
      <c r="CD116" s="507"/>
      <c r="CE116" s="507"/>
      <c r="CF116" s="507"/>
      <c r="CG116" s="507"/>
      <c r="CH116" s="507"/>
      <c r="CI116" s="507"/>
      <c r="CJ116" s="507"/>
      <c r="CK116" s="507"/>
      <c r="CL116" s="507"/>
      <c r="CM116" s="507"/>
      <c r="CN116" s="507"/>
      <c r="CO116" s="507"/>
      <c r="CP116" s="507"/>
    </row>
    <row r="117" spans="1:94">
      <c r="A117" s="584"/>
      <c r="B117" s="584"/>
      <c r="C117" s="584"/>
      <c r="D117" s="584"/>
      <c r="E117" s="584"/>
      <c r="F117" s="584"/>
      <c r="G117" s="584"/>
      <c r="H117" s="584"/>
      <c r="I117" s="584"/>
      <c r="J117" s="584"/>
      <c r="K117" s="584"/>
      <c r="L117" s="584"/>
      <c r="M117" s="584"/>
      <c r="N117" s="584"/>
      <c r="O117" s="584"/>
      <c r="P117" s="584"/>
      <c r="Q117" s="584"/>
      <c r="R117" s="584"/>
      <c r="S117" s="584"/>
      <c r="T117" s="584"/>
      <c r="U117" s="584"/>
      <c r="V117" s="584"/>
      <c r="W117" s="584"/>
      <c r="X117" s="584"/>
      <c r="Y117" s="584"/>
      <c r="Z117" s="584"/>
      <c r="AA117" s="584"/>
      <c r="AB117" s="584"/>
      <c r="AC117" s="584"/>
      <c r="AD117" s="584"/>
      <c r="AE117" s="584"/>
      <c r="AF117" s="584"/>
      <c r="AG117" s="584"/>
      <c r="AH117" s="584"/>
      <c r="AI117" s="584"/>
      <c r="AJ117" s="584"/>
      <c r="AK117" s="583"/>
      <c r="AL117" s="582"/>
      <c r="AM117" s="583"/>
      <c r="AN117" s="583"/>
      <c r="AO117" s="583"/>
      <c r="AP117" s="583"/>
      <c r="AQ117" s="583"/>
      <c r="AR117" s="507"/>
      <c r="AS117" s="507"/>
      <c r="AT117" s="507"/>
      <c r="AU117" s="507"/>
      <c r="AV117" s="507"/>
      <c r="AW117" s="507"/>
      <c r="AX117" s="507"/>
      <c r="AY117" s="507"/>
      <c r="AZ117" s="507"/>
      <c r="BA117" s="507"/>
      <c r="BB117" s="507"/>
      <c r="BC117" s="507"/>
      <c r="BD117" s="507"/>
      <c r="BE117" s="507"/>
      <c r="BF117" s="507"/>
      <c r="BG117" s="507"/>
      <c r="BH117" s="507"/>
      <c r="BI117" s="507"/>
      <c r="BJ117" s="507"/>
      <c r="BK117" s="507"/>
      <c r="BL117" s="507"/>
      <c r="BM117" s="507"/>
      <c r="BN117" s="507"/>
      <c r="BO117" s="507"/>
      <c r="BP117" s="507"/>
      <c r="BQ117" s="507"/>
      <c r="BR117" s="507"/>
      <c r="BS117" s="507"/>
      <c r="BT117" s="507"/>
      <c r="BU117" s="507"/>
      <c r="BV117" s="507"/>
      <c r="BW117" s="507"/>
      <c r="BX117" s="507"/>
      <c r="BY117" s="507"/>
      <c r="BZ117" s="507"/>
      <c r="CA117" s="507"/>
      <c r="CB117" s="507"/>
      <c r="CC117" s="507"/>
      <c r="CD117" s="507"/>
      <c r="CE117" s="507"/>
      <c r="CF117" s="507"/>
      <c r="CG117" s="507"/>
      <c r="CH117" s="507"/>
      <c r="CI117" s="507"/>
      <c r="CJ117" s="507"/>
      <c r="CK117" s="507"/>
      <c r="CL117" s="507"/>
      <c r="CM117" s="507"/>
      <c r="CN117" s="507"/>
      <c r="CO117" s="507"/>
      <c r="CP117" s="507"/>
    </row>
    <row r="118" spans="1:94">
      <c r="A118" s="584"/>
      <c r="B118" s="584"/>
      <c r="C118" s="584"/>
      <c r="D118" s="584"/>
      <c r="E118" s="584"/>
      <c r="F118" s="584"/>
      <c r="G118" s="584"/>
      <c r="H118" s="584"/>
      <c r="I118" s="584"/>
      <c r="J118" s="584"/>
      <c r="K118" s="584"/>
      <c r="L118" s="584"/>
      <c r="M118" s="584"/>
      <c r="N118" s="584"/>
      <c r="O118" s="584"/>
      <c r="P118" s="584"/>
      <c r="Q118" s="584"/>
      <c r="R118" s="584"/>
      <c r="S118" s="584"/>
      <c r="T118" s="584"/>
      <c r="U118" s="584"/>
      <c r="V118" s="584"/>
      <c r="W118" s="584"/>
      <c r="X118" s="584"/>
      <c r="Y118" s="584"/>
      <c r="Z118" s="584"/>
      <c r="AA118" s="584"/>
      <c r="AB118" s="584"/>
      <c r="AC118" s="584"/>
      <c r="AD118" s="584"/>
      <c r="AE118" s="584"/>
      <c r="AF118" s="584"/>
      <c r="AG118" s="584"/>
      <c r="AH118" s="584"/>
      <c r="AI118" s="584"/>
      <c r="AJ118" s="584"/>
      <c r="AK118" s="583"/>
      <c r="AL118" s="582"/>
      <c r="AM118" s="583"/>
      <c r="AN118" s="583"/>
      <c r="AO118" s="583"/>
      <c r="AP118" s="583"/>
      <c r="AQ118" s="583"/>
      <c r="AR118" s="507"/>
      <c r="AS118" s="507"/>
      <c r="AT118" s="507"/>
      <c r="AU118" s="507"/>
      <c r="AV118" s="507"/>
      <c r="AW118" s="507"/>
      <c r="AX118" s="507"/>
      <c r="AY118" s="507"/>
      <c r="AZ118" s="507"/>
      <c r="BA118" s="507"/>
      <c r="BB118" s="507"/>
      <c r="BC118" s="507"/>
      <c r="BD118" s="507"/>
      <c r="BE118" s="507"/>
      <c r="BF118" s="507"/>
      <c r="BG118" s="507"/>
      <c r="BH118" s="507"/>
      <c r="BI118" s="507"/>
      <c r="BJ118" s="507"/>
      <c r="BK118" s="507"/>
      <c r="BL118" s="507"/>
      <c r="BM118" s="507"/>
      <c r="BN118" s="507"/>
      <c r="BO118" s="507"/>
      <c r="BP118" s="507"/>
      <c r="BQ118" s="507"/>
      <c r="BR118" s="507"/>
      <c r="BS118" s="507"/>
      <c r="BT118" s="507"/>
      <c r="BU118" s="507"/>
      <c r="BV118" s="507"/>
      <c r="BW118" s="507"/>
      <c r="BX118" s="507"/>
      <c r="BY118" s="507"/>
      <c r="BZ118" s="507"/>
      <c r="CA118" s="507"/>
      <c r="CB118" s="507"/>
      <c r="CC118" s="507"/>
      <c r="CD118" s="507"/>
      <c r="CE118" s="507"/>
      <c r="CF118" s="507"/>
      <c r="CG118" s="507"/>
      <c r="CH118" s="507"/>
      <c r="CI118" s="507"/>
      <c r="CJ118" s="507"/>
      <c r="CK118" s="507"/>
      <c r="CL118" s="507"/>
      <c r="CM118" s="507"/>
      <c r="CN118" s="507"/>
      <c r="CO118" s="507"/>
      <c r="CP118" s="507"/>
    </row>
    <row r="119" spans="1:94">
      <c r="A119" s="584"/>
      <c r="B119" s="584"/>
      <c r="C119" s="584"/>
      <c r="D119" s="584"/>
      <c r="E119" s="584"/>
      <c r="F119" s="584"/>
      <c r="G119" s="584"/>
      <c r="H119" s="584"/>
      <c r="I119" s="584"/>
      <c r="J119" s="584"/>
      <c r="K119" s="584"/>
      <c r="L119" s="584"/>
      <c r="M119" s="584"/>
      <c r="N119" s="584"/>
      <c r="O119" s="584"/>
      <c r="P119" s="584"/>
      <c r="Q119" s="584"/>
      <c r="R119" s="584"/>
      <c r="S119" s="584"/>
      <c r="T119" s="584"/>
      <c r="U119" s="584"/>
      <c r="V119" s="584"/>
      <c r="W119" s="584"/>
      <c r="X119" s="584"/>
      <c r="Y119" s="584"/>
      <c r="Z119" s="584"/>
      <c r="AA119" s="584"/>
      <c r="AB119" s="584"/>
      <c r="AC119" s="584"/>
      <c r="AD119" s="584"/>
      <c r="AE119" s="584"/>
      <c r="AF119" s="584"/>
      <c r="AG119" s="584"/>
      <c r="AH119" s="584"/>
      <c r="AI119" s="584"/>
      <c r="AJ119" s="584"/>
      <c r="AK119" s="583"/>
      <c r="AL119" s="582"/>
      <c r="AM119" s="583"/>
      <c r="AN119" s="583"/>
      <c r="AO119" s="583"/>
      <c r="AP119" s="583"/>
      <c r="AQ119" s="583"/>
      <c r="AR119" s="507"/>
      <c r="AS119" s="507"/>
      <c r="AT119" s="507"/>
      <c r="AU119" s="507"/>
      <c r="AV119" s="507"/>
      <c r="AW119" s="507"/>
      <c r="AX119" s="507"/>
      <c r="AY119" s="507"/>
      <c r="AZ119" s="507"/>
      <c r="BA119" s="507"/>
      <c r="BB119" s="507"/>
      <c r="BC119" s="507"/>
      <c r="BD119" s="507"/>
      <c r="BE119" s="507"/>
      <c r="BF119" s="507"/>
      <c r="BG119" s="507"/>
      <c r="BH119" s="507"/>
      <c r="BI119" s="507"/>
      <c r="BJ119" s="507"/>
      <c r="BK119" s="507"/>
      <c r="BL119" s="507"/>
      <c r="BM119" s="507"/>
      <c r="BN119" s="507"/>
      <c r="BO119" s="507"/>
      <c r="BP119" s="507"/>
      <c r="BQ119" s="507"/>
      <c r="BR119" s="507"/>
      <c r="BS119" s="507"/>
      <c r="BT119" s="507"/>
      <c r="BU119" s="507"/>
      <c r="BV119" s="507"/>
      <c r="BW119" s="507"/>
      <c r="BX119" s="507"/>
      <c r="BY119" s="507"/>
      <c r="BZ119" s="507"/>
      <c r="CA119" s="507"/>
      <c r="CB119" s="507"/>
      <c r="CC119" s="507"/>
      <c r="CD119" s="507"/>
      <c r="CE119" s="507"/>
      <c r="CF119" s="507"/>
      <c r="CG119" s="507"/>
      <c r="CH119" s="507"/>
      <c r="CI119" s="507"/>
      <c r="CJ119" s="507"/>
      <c r="CK119" s="507"/>
      <c r="CL119" s="507"/>
      <c r="CM119" s="507"/>
      <c r="CN119" s="507"/>
      <c r="CO119" s="507"/>
      <c r="CP119" s="507"/>
    </row>
    <row r="120" spans="1:94">
      <c r="A120" s="584"/>
      <c r="B120" s="584"/>
      <c r="C120" s="584"/>
      <c r="D120" s="584"/>
      <c r="E120" s="584"/>
      <c r="F120" s="584"/>
      <c r="G120" s="584"/>
      <c r="H120" s="584"/>
      <c r="I120" s="584"/>
      <c r="J120" s="584"/>
      <c r="K120" s="584"/>
      <c r="L120" s="584"/>
      <c r="M120" s="584"/>
      <c r="N120" s="584"/>
      <c r="O120" s="584"/>
      <c r="P120" s="584"/>
      <c r="Q120" s="584"/>
      <c r="R120" s="584"/>
      <c r="S120" s="584"/>
      <c r="T120" s="584"/>
      <c r="U120" s="584"/>
      <c r="V120" s="584"/>
      <c r="W120" s="584"/>
      <c r="X120" s="584"/>
      <c r="Y120" s="584"/>
      <c r="Z120" s="584"/>
      <c r="AA120" s="584"/>
      <c r="AB120" s="584"/>
      <c r="AC120" s="584"/>
      <c r="AD120" s="584"/>
      <c r="AE120" s="584"/>
      <c r="AF120" s="584"/>
      <c r="AG120" s="584"/>
      <c r="AH120" s="584"/>
      <c r="AI120" s="584"/>
      <c r="AJ120" s="584"/>
      <c r="AK120" s="583"/>
      <c r="AL120" s="582"/>
      <c r="AM120" s="583"/>
      <c r="AN120" s="583"/>
      <c r="AO120" s="583"/>
      <c r="AP120" s="583"/>
      <c r="AQ120" s="583"/>
      <c r="AR120" s="507"/>
      <c r="AS120" s="507"/>
      <c r="AT120" s="507"/>
      <c r="AU120" s="507"/>
      <c r="AV120" s="507"/>
      <c r="AW120" s="507"/>
      <c r="AX120" s="507"/>
      <c r="AY120" s="507"/>
      <c r="AZ120" s="507"/>
      <c r="BA120" s="507"/>
      <c r="BB120" s="507"/>
      <c r="BC120" s="507"/>
      <c r="BD120" s="507"/>
      <c r="BE120" s="507"/>
      <c r="BF120" s="507"/>
      <c r="BG120" s="507"/>
      <c r="BH120" s="507"/>
      <c r="BI120" s="507"/>
      <c r="BJ120" s="507"/>
      <c r="BK120" s="507"/>
      <c r="BL120" s="507"/>
      <c r="BM120" s="507"/>
      <c r="BN120" s="507"/>
      <c r="BO120" s="507"/>
      <c r="BP120" s="507"/>
      <c r="BQ120" s="507"/>
      <c r="BR120" s="507"/>
      <c r="BS120" s="507"/>
      <c r="BT120" s="507"/>
      <c r="BU120" s="507"/>
      <c r="BV120" s="507"/>
      <c r="BW120" s="507"/>
      <c r="BX120" s="507"/>
      <c r="BY120" s="507"/>
      <c r="BZ120" s="507"/>
      <c r="CA120" s="507"/>
      <c r="CB120" s="507"/>
      <c r="CC120" s="507"/>
      <c r="CD120" s="507"/>
      <c r="CE120" s="507"/>
      <c r="CF120" s="507"/>
      <c r="CG120" s="507"/>
      <c r="CH120" s="507"/>
      <c r="CI120" s="507"/>
      <c r="CJ120" s="507"/>
      <c r="CK120" s="507"/>
      <c r="CL120" s="507"/>
      <c r="CM120" s="507"/>
      <c r="CN120" s="507"/>
      <c r="CO120" s="507"/>
      <c r="CP120" s="507"/>
    </row>
    <row r="121" spans="1:94">
      <c r="A121" s="584"/>
      <c r="B121" s="584"/>
      <c r="C121" s="584"/>
      <c r="D121" s="584"/>
      <c r="E121" s="584"/>
      <c r="F121" s="584"/>
      <c r="G121" s="584"/>
      <c r="H121" s="584"/>
      <c r="I121" s="584"/>
      <c r="J121" s="584"/>
      <c r="K121" s="584"/>
      <c r="L121" s="584"/>
      <c r="M121" s="584"/>
      <c r="N121" s="584"/>
      <c r="O121" s="584"/>
      <c r="P121" s="584"/>
      <c r="Q121" s="584"/>
      <c r="R121" s="584"/>
      <c r="S121" s="584"/>
      <c r="T121" s="584"/>
      <c r="U121" s="584"/>
      <c r="V121" s="584"/>
      <c r="W121" s="584"/>
      <c r="X121" s="584"/>
      <c r="Y121" s="584"/>
      <c r="Z121" s="584"/>
      <c r="AA121" s="584"/>
      <c r="AB121" s="584"/>
      <c r="AC121" s="584"/>
      <c r="AD121" s="584"/>
      <c r="AE121" s="584"/>
      <c r="AF121" s="584"/>
      <c r="AG121" s="584"/>
      <c r="AH121" s="584"/>
      <c r="AI121" s="584"/>
      <c r="AJ121" s="584"/>
      <c r="AK121" s="583"/>
      <c r="AL121" s="582"/>
      <c r="AM121" s="583"/>
      <c r="AN121" s="583"/>
      <c r="AO121" s="583"/>
      <c r="AP121" s="583"/>
      <c r="AQ121" s="583"/>
      <c r="AR121" s="507"/>
      <c r="AS121" s="507"/>
      <c r="AT121" s="507"/>
      <c r="AU121" s="507"/>
      <c r="AV121" s="507"/>
      <c r="AW121" s="507"/>
      <c r="AX121" s="507"/>
      <c r="AY121" s="507"/>
      <c r="AZ121" s="507"/>
      <c r="BA121" s="507"/>
      <c r="BB121" s="507"/>
      <c r="BC121" s="507"/>
      <c r="BD121" s="507"/>
      <c r="BE121" s="507"/>
      <c r="BF121" s="507"/>
      <c r="BG121" s="507"/>
      <c r="BH121" s="507"/>
      <c r="BI121" s="507"/>
      <c r="BJ121" s="507"/>
      <c r="BK121" s="507"/>
      <c r="BL121" s="507"/>
      <c r="BM121" s="507"/>
      <c r="BN121" s="507"/>
      <c r="BO121" s="507"/>
      <c r="BP121" s="507"/>
      <c r="BQ121" s="507"/>
      <c r="BR121" s="507"/>
      <c r="BS121" s="507"/>
      <c r="BT121" s="507"/>
      <c r="BU121" s="507"/>
      <c r="BV121" s="507"/>
      <c r="BW121" s="507"/>
      <c r="BX121" s="507"/>
      <c r="BY121" s="507"/>
      <c r="BZ121" s="507"/>
      <c r="CA121" s="507"/>
      <c r="CB121" s="507"/>
      <c r="CC121" s="507"/>
      <c r="CD121" s="507"/>
      <c r="CE121" s="507"/>
      <c r="CF121" s="507"/>
      <c r="CG121" s="507"/>
      <c r="CH121" s="507"/>
      <c r="CI121" s="507"/>
      <c r="CJ121" s="507"/>
      <c r="CK121" s="507"/>
      <c r="CL121" s="507"/>
      <c r="CM121" s="507"/>
      <c r="CN121" s="507"/>
      <c r="CO121" s="507"/>
      <c r="CP121" s="507"/>
    </row>
    <row r="122" spans="1:94">
      <c r="A122" s="584"/>
      <c r="B122" s="584"/>
      <c r="C122" s="584"/>
      <c r="D122" s="584"/>
      <c r="E122" s="584"/>
      <c r="F122" s="584"/>
      <c r="G122" s="584"/>
      <c r="H122" s="584"/>
      <c r="I122" s="584"/>
      <c r="J122" s="584"/>
      <c r="K122" s="584"/>
      <c r="L122" s="584"/>
      <c r="M122" s="584"/>
      <c r="N122" s="584"/>
      <c r="O122" s="584"/>
      <c r="P122" s="584"/>
      <c r="Q122" s="584"/>
      <c r="R122" s="584"/>
      <c r="S122" s="584"/>
      <c r="T122" s="584"/>
      <c r="U122" s="584"/>
      <c r="V122" s="584"/>
      <c r="W122" s="584"/>
      <c r="X122" s="584"/>
      <c r="Y122" s="584"/>
      <c r="Z122" s="584"/>
      <c r="AA122" s="584"/>
      <c r="AB122" s="584"/>
      <c r="AC122" s="584"/>
      <c r="AD122" s="584"/>
      <c r="AE122" s="584"/>
      <c r="AF122" s="584"/>
      <c r="AG122" s="584"/>
      <c r="AH122" s="584"/>
      <c r="AI122" s="584"/>
      <c r="AJ122" s="584"/>
      <c r="AK122" s="583"/>
      <c r="AL122" s="582"/>
      <c r="AM122" s="583"/>
      <c r="AN122" s="583"/>
      <c r="AO122" s="583"/>
      <c r="AP122" s="583"/>
      <c r="AQ122" s="583"/>
      <c r="AR122" s="507"/>
      <c r="AS122" s="507"/>
      <c r="AT122" s="507"/>
      <c r="AU122" s="507"/>
      <c r="AV122" s="507"/>
      <c r="AW122" s="507"/>
      <c r="AX122" s="507"/>
      <c r="AY122" s="507"/>
      <c r="AZ122" s="507"/>
      <c r="BA122" s="507"/>
      <c r="BB122" s="507"/>
      <c r="BC122" s="507"/>
      <c r="BD122" s="507"/>
      <c r="BE122" s="507"/>
      <c r="BF122" s="507"/>
      <c r="BG122" s="507"/>
      <c r="BH122" s="507"/>
      <c r="BI122" s="507"/>
      <c r="BJ122" s="507"/>
      <c r="BK122" s="507"/>
      <c r="BL122" s="507"/>
      <c r="BM122" s="507"/>
      <c r="BN122" s="507"/>
      <c r="BO122" s="507"/>
      <c r="BP122" s="507"/>
      <c r="BQ122" s="507"/>
      <c r="BR122" s="507"/>
      <c r="BS122" s="507"/>
      <c r="BT122" s="507"/>
      <c r="BU122" s="507"/>
      <c r="BV122" s="507"/>
      <c r="BW122" s="507"/>
      <c r="BX122" s="507"/>
      <c r="BY122" s="507"/>
      <c r="BZ122" s="507"/>
      <c r="CA122" s="507"/>
      <c r="CB122" s="507"/>
      <c r="CC122" s="507"/>
      <c r="CD122" s="507"/>
      <c r="CE122" s="507"/>
      <c r="CF122" s="507"/>
      <c r="CG122" s="507"/>
      <c r="CH122" s="507"/>
      <c r="CI122" s="507"/>
      <c r="CJ122" s="507"/>
      <c r="CK122" s="507"/>
      <c r="CL122" s="507"/>
      <c r="CM122" s="507"/>
      <c r="CN122" s="507"/>
      <c r="CO122" s="507"/>
      <c r="CP122" s="507"/>
    </row>
    <row r="123" spans="1:94">
      <c r="AL123" s="582"/>
      <c r="AM123" s="583"/>
      <c r="AN123" s="583"/>
      <c r="AO123" s="583"/>
      <c r="AP123" s="583"/>
      <c r="AQ123" s="583"/>
      <c r="AR123" s="507"/>
      <c r="AS123" s="507"/>
      <c r="AT123" s="507"/>
      <c r="AU123" s="507"/>
      <c r="AV123" s="507"/>
      <c r="AW123" s="507"/>
      <c r="AX123" s="507"/>
      <c r="AY123" s="507"/>
      <c r="AZ123" s="507"/>
      <c r="BA123" s="507"/>
      <c r="BB123" s="507"/>
      <c r="BC123" s="507"/>
      <c r="BD123" s="507"/>
      <c r="BE123" s="507"/>
      <c r="BF123" s="507"/>
      <c r="BG123" s="507"/>
      <c r="BH123" s="507"/>
      <c r="BI123" s="507"/>
      <c r="BJ123" s="507"/>
      <c r="BK123" s="507"/>
    </row>
  </sheetData>
  <sheetProtection algorithmName="SHA-512" hashValue="iQF53HxmGFsZs0m9tmbzBhtfnh83fDb3KATabE+hHYE6/tgbWXYA8yG/90w3Ejrmm1mTI/nJ6Jcqe8s2KmrpkQ==" saltValue="wMgqYTlcnqY4mPY/ZVmsuw==" spinCount="100000" sheet="1" objects="1" scenarios="1" selectLockedCells="1" selectUnlockedCells="1"/>
  <mergeCells count="435">
    <mergeCell ref="W33:X33"/>
    <mergeCell ref="W34:X34"/>
    <mergeCell ref="W35:X35"/>
    <mergeCell ref="W36:X36"/>
    <mergeCell ref="L59:M59"/>
    <mergeCell ref="L60:M60"/>
    <mergeCell ref="L61:M61"/>
    <mergeCell ref="L62:M62"/>
    <mergeCell ref="N56:O56"/>
    <mergeCell ref="R56:S56"/>
    <mergeCell ref="R58:S58"/>
    <mergeCell ref="N57:O57"/>
    <mergeCell ref="N60:O60"/>
    <mergeCell ref="N61:O61"/>
    <mergeCell ref="R61:S61"/>
    <mergeCell ref="N62:O62"/>
    <mergeCell ref="T47:U47"/>
    <mergeCell ref="V47:W47"/>
    <mergeCell ref="P44:Q44"/>
    <mergeCell ref="R44:S44"/>
    <mergeCell ref="T44:U44"/>
    <mergeCell ref="P42:Q42"/>
    <mergeCell ref="R42:S42"/>
    <mergeCell ref="T42:U42"/>
    <mergeCell ref="Y56:Z56"/>
    <mergeCell ref="T56:U56"/>
    <mergeCell ref="N58:O58"/>
    <mergeCell ref="R57:S57"/>
    <mergeCell ref="T58:U58"/>
    <mergeCell ref="J48:K48"/>
    <mergeCell ref="L48:M48"/>
    <mergeCell ref="N48:O48"/>
    <mergeCell ref="AD50:AE50"/>
    <mergeCell ref="Z53:AA53"/>
    <mergeCell ref="AB53:AC53"/>
    <mergeCell ref="AD53:AE53"/>
    <mergeCell ref="P52:Q52"/>
    <mergeCell ref="R52:S52"/>
    <mergeCell ref="T52:U52"/>
    <mergeCell ref="V52:W52"/>
    <mergeCell ref="AD51:AE51"/>
    <mergeCell ref="L56:M56"/>
    <mergeCell ref="L57:M57"/>
    <mergeCell ref="L58:M58"/>
    <mergeCell ref="H48:I48"/>
    <mergeCell ref="P49:Q49"/>
    <mergeCell ref="T55:U55"/>
    <mergeCell ref="Y55:Z55"/>
    <mergeCell ref="AC55:AD55"/>
    <mergeCell ref="AE55:AF55"/>
    <mergeCell ref="AB51:AC51"/>
    <mergeCell ref="R55:S55"/>
    <mergeCell ref="L54:M54"/>
    <mergeCell ref="L55:M55"/>
    <mergeCell ref="N51:O51"/>
    <mergeCell ref="AF50:AG50"/>
    <mergeCell ref="AF53:AG53"/>
    <mergeCell ref="AF51:AG51"/>
    <mergeCell ref="AJ50:AK50"/>
    <mergeCell ref="F50:G50"/>
    <mergeCell ref="H50:I50"/>
    <mergeCell ref="J50:K50"/>
    <mergeCell ref="L50:M50"/>
    <mergeCell ref="N50:O50"/>
    <mergeCell ref="P50:Q50"/>
    <mergeCell ref="R50:S50"/>
    <mergeCell ref="T50:U50"/>
    <mergeCell ref="V50:W50"/>
    <mergeCell ref="AH50:AI50"/>
    <mergeCell ref="X50:Y50"/>
    <mergeCell ref="Z50:AA50"/>
    <mergeCell ref="AB50:AC50"/>
    <mergeCell ref="A30:E30"/>
    <mergeCell ref="F30:G30"/>
    <mergeCell ref="H30:I30"/>
    <mergeCell ref="Z18:AB18"/>
    <mergeCell ref="AC18:AE18"/>
    <mergeCell ref="Z19:AB19"/>
    <mergeCell ref="AC19:AE19"/>
    <mergeCell ref="Z20:AB20"/>
    <mergeCell ref="AC20:AE20"/>
    <mergeCell ref="Z21:AB21"/>
    <mergeCell ref="AC21:AE21"/>
    <mergeCell ref="Z22:AB22"/>
    <mergeCell ref="AC22:AE22"/>
    <mergeCell ref="A27:E27"/>
    <mergeCell ref="F28:I29"/>
    <mergeCell ref="J30:K30"/>
    <mergeCell ref="L30:M30"/>
    <mergeCell ref="N30:O30"/>
    <mergeCell ref="F27:U27"/>
    <mergeCell ref="V27:AK31"/>
    <mergeCell ref="P31:Q31"/>
    <mergeCell ref="R31:S31"/>
    <mergeCell ref="T31:U31"/>
    <mergeCell ref="F31:G31"/>
    <mergeCell ref="AH53:AI53"/>
    <mergeCell ref="AJ53:AK53"/>
    <mergeCell ref="N53:O53"/>
    <mergeCell ref="P53:Q53"/>
    <mergeCell ref="R53:S53"/>
    <mergeCell ref="T53:U53"/>
    <mergeCell ref="V53:W53"/>
    <mergeCell ref="X53:Y53"/>
    <mergeCell ref="A53:E53"/>
    <mergeCell ref="F53:G53"/>
    <mergeCell ref="H53:I53"/>
    <mergeCell ref="J53:K53"/>
    <mergeCell ref="L53:M53"/>
    <mergeCell ref="AH51:AI51"/>
    <mergeCell ref="AJ51:AK51"/>
    <mergeCell ref="F52:G52"/>
    <mergeCell ref="H52:I52"/>
    <mergeCell ref="J52:K52"/>
    <mergeCell ref="L52:M52"/>
    <mergeCell ref="N52:O52"/>
    <mergeCell ref="P51:Q51"/>
    <mergeCell ref="R51:S51"/>
    <mergeCell ref="T51:U51"/>
    <mergeCell ref="V51:W51"/>
    <mergeCell ref="X51:Y51"/>
    <mergeCell ref="Z51:AA51"/>
    <mergeCell ref="AB52:AC52"/>
    <mergeCell ref="AD52:AE52"/>
    <mergeCell ref="AF52:AG52"/>
    <mergeCell ref="AH52:AI52"/>
    <mergeCell ref="AJ52:AK52"/>
    <mergeCell ref="X52:Y52"/>
    <mergeCell ref="Z52:AA52"/>
    <mergeCell ref="F51:G51"/>
    <mergeCell ref="H51:I51"/>
    <mergeCell ref="J51:K51"/>
    <mergeCell ref="L51:M51"/>
    <mergeCell ref="AJ48:AK48"/>
    <mergeCell ref="F49:G49"/>
    <mergeCell ref="H49:I49"/>
    <mergeCell ref="J49:K49"/>
    <mergeCell ref="L49:M49"/>
    <mergeCell ref="N49:O49"/>
    <mergeCell ref="P48:Q48"/>
    <mergeCell ref="R48:S48"/>
    <mergeCell ref="T48:U48"/>
    <mergeCell ref="V48:W48"/>
    <mergeCell ref="X48:Y48"/>
    <mergeCell ref="Z48:AA48"/>
    <mergeCell ref="AB49:AC49"/>
    <mergeCell ref="AD49:AE49"/>
    <mergeCell ref="AF49:AG49"/>
    <mergeCell ref="AH49:AI49"/>
    <mergeCell ref="AJ49:AK49"/>
    <mergeCell ref="X49:Y49"/>
    <mergeCell ref="Z49:AA49"/>
    <mergeCell ref="F48:G48"/>
    <mergeCell ref="R49:S49"/>
    <mergeCell ref="T49:U49"/>
    <mergeCell ref="AD48:AE48"/>
    <mergeCell ref="AF48:AG48"/>
    <mergeCell ref="AJ46:AK46"/>
    <mergeCell ref="X46:Y46"/>
    <mergeCell ref="Z46:AA46"/>
    <mergeCell ref="AB47:AC47"/>
    <mergeCell ref="AD47:AE47"/>
    <mergeCell ref="AF47:AG47"/>
    <mergeCell ref="AH47:AI47"/>
    <mergeCell ref="AJ47:AK47"/>
    <mergeCell ref="X47:Y47"/>
    <mergeCell ref="Z47:AA47"/>
    <mergeCell ref="AH48:AI48"/>
    <mergeCell ref="AB46:AC46"/>
    <mergeCell ref="AD46:AE46"/>
    <mergeCell ref="AF46:AG46"/>
    <mergeCell ref="AH46:AI46"/>
    <mergeCell ref="V49:W49"/>
    <mergeCell ref="AB48:AC48"/>
    <mergeCell ref="V45:W45"/>
    <mergeCell ref="AB45:AC45"/>
    <mergeCell ref="AD45:AE45"/>
    <mergeCell ref="AF45:AG45"/>
    <mergeCell ref="AH45:AI45"/>
    <mergeCell ref="AJ45:AK45"/>
    <mergeCell ref="X45:Y45"/>
    <mergeCell ref="Z45:AA45"/>
    <mergeCell ref="F47:G47"/>
    <mergeCell ref="H47:I47"/>
    <mergeCell ref="J47:K47"/>
    <mergeCell ref="L47:M47"/>
    <mergeCell ref="N47:O47"/>
    <mergeCell ref="P46:Q46"/>
    <mergeCell ref="R46:S46"/>
    <mergeCell ref="T46:U46"/>
    <mergeCell ref="V46:W46"/>
    <mergeCell ref="F46:G46"/>
    <mergeCell ref="H46:I46"/>
    <mergeCell ref="J46:K46"/>
    <mergeCell ref="L46:M46"/>
    <mergeCell ref="N46:O46"/>
    <mergeCell ref="P47:Q47"/>
    <mergeCell ref="R47:S47"/>
    <mergeCell ref="F45:G45"/>
    <mergeCell ref="H45:I45"/>
    <mergeCell ref="J45:K45"/>
    <mergeCell ref="L45:M45"/>
    <mergeCell ref="N45:O45"/>
    <mergeCell ref="F44:G44"/>
    <mergeCell ref="H44:I44"/>
    <mergeCell ref="J44:K44"/>
    <mergeCell ref="L44:M44"/>
    <mergeCell ref="N44:O44"/>
    <mergeCell ref="P45:Q45"/>
    <mergeCell ref="R45:S45"/>
    <mergeCell ref="T45:U45"/>
    <mergeCell ref="F43:G43"/>
    <mergeCell ref="H43:I43"/>
    <mergeCell ref="J43:K43"/>
    <mergeCell ref="L43:M43"/>
    <mergeCell ref="N43:O43"/>
    <mergeCell ref="F42:G42"/>
    <mergeCell ref="H42:I42"/>
    <mergeCell ref="J42:K42"/>
    <mergeCell ref="L42:M42"/>
    <mergeCell ref="N42:O42"/>
    <mergeCell ref="P43:Q43"/>
    <mergeCell ref="R43:S43"/>
    <mergeCell ref="T43:U43"/>
    <mergeCell ref="F41:G41"/>
    <mergeCell ref="H41:I41"/>
    <mergeCell ref="J41:K41"/>
    <mergeCell ref="L41:M41"/>
    <mergeCell ref="N41:O41"/>
    <mergeCell ref="P40:Q40"/>
    <mergeCell ref="R40:S40"/>
    <mergeCell ref="T40:U40"/>
    <mergeCell ref="F40:G40"/>
    <mergeCell ref="H40:I40"/>
    <mergeCell ref="J40:K40"/>
    <mergeCell ref="L40:M40"/>
    <mergeCell ref="N40:O40"/>
    <mergeCell ref="P41:Q41"/>
    <mergeCell ref="R41:S41"/>
    <mergeCell ref="T41:U41"/>
    <mergeCell ref="F39:G39"/>
    <mergeCell ref="H39:I39"/>
    <mergeCell ref="J39:K39"/>
    <mergeCell ref="L39:M39"/>
    <mergeCell ref="N39:O39"/>
    <mergeCell ref="P38:Q38"/>
    <mergeCell ref="R38:S38"/>
    <mergeCell ref="T38:U38"/>
    <mergeCell ref="F38:G38"/>
    <mergeCell ref="H38:I38"/>
    <mergeCell ref="J38:K38"/>
    <mergeCell ref="L38:M38"/>
    <mergeCell ref="N38:O38"/>
    <mergeCell ref="P39:Q39"/>
    <mergeCell ref="R39:S39"/>
    <mergeCell ref="T39:U39"/>
    <mergeCell ref="F37:G37"/>
    <mergeCell ref="H37:I37"/>
    <mergeCell ref="J37:K37"/>
    <mergeCell ref="L37:M37"/>
    <mergeCell ref="N37:O37"/>
    <mergeCell ref="P36:Q36"/>
    <mergeCell ref="R36:S36"/>
    <mergeCell ref="T36:U36"/>
    <mergeCell ref="F36:G36"/>
    <mergeCell ref="H36:I36"/>
    <mergeCell ref="J36:K36"/>
    <mergeCell ref="L36:M36"/>
    <mergeCell ref="N36:O36"/>
    <mergeCell ref="P37:Q37"/>
    <mergeCell ref="R37:S37"/>
    <mergeCell ref="T37:U37"/>
    <mergeCell ref="F35:G35"/>
    <mergeCell ref="H35:I35"/>
    <mergeCell ref="J35:K35"/>
    <mergeCell ref="L35:M35"/>
    <mergeCell ref="N35:O35"/>
    <mergeCell ref="P34:Q34"/>
    <mergeCell ref="R34:S34"/>
    <mergeCell ref="T34:U34"/>
    <mergeCell ref="F34:G34"/>
    <mergeCell ref="H34:I34"/>
    <mergeCell ref="J34:K34"/>
    <mergeCell ref="L34:M34"/>
    <mergeCell ref="N34:O34"/>
    <mergeCell ref="P35:Q35"/>
    <mergeCell ref="R35:S35"/>
    <mergeCell ref="T35:U35"/>
    <mergeCell ref="T33:U33"/>
    <mergeCell ref="F33:G33"/>
    <mergeCell ref="H33:I33"/>
    <mergeCell ref="J33:K33"/>
    <mergeCell ref="L33:M33"/>
    <mergeCell ref="N33:O33"/>
    <mergeCell ref="P32:Q32"/>
    <mergeCell ref="R32:S32"/>
    <mergeCell ref="T32:U32"/>
    <mergeCell ref="F32:G32"/>
    <mergeCell ref="H32:I32"/>
    <mergeCell ref="J32:K32"/>
    <mergeCell ref="L32:M32"/>
    <mergeCell ref="N32:O32"/>
    <mergeCell ref="H31:I31"/>
    <mergeCell ref="J31:K31"/>
    <mergeCell ref="L31:M31"/>
    <mergeCell ref="N31:O31"/>
    <mergeCell ref="J28:M28"/>
    <mergeCell ref="N28:O29"/>
    <mergeCell ref="P28:U29"/>
    <mergeCell ref="J29:K29"/>
    <mergeCell ref="L29:M29"/>
    <mergeCell ref="P30:Q30"/>
    <mergeCell ref="R30:S30"/>
    <mergeCell ref="T30:U30"/>
    <mergeCell ref="AC24:AD24"/>
    <mergeCell ref="AE24:AG24"/>
    <mergeCell ref="AH24:AI24"/>
    <mergeCell ref="T25:W25"/>
    <mergeCell ref="X25:Z25"/>
    <mergeCell ref="AA25:AB25"/>
    <mergeCell ref="AC25:AD25"/>
    <mergeCell ref="AE25:AG25"/>
    <mergeCell ref="AH25:AI25"/>
    <mergeCell ref="H22:J22"/>
    <mergeCell ref="K22:M22"/>
    <mergeCell ref="T22:V22"/>
    <mergeCell ref="T24:W24"/>
    <mergeCell ref="X24:Z24"/>
    <mergeCell ref="AA24:AB24"/>
    <mergeCell ref="H20:J20"/>
    <mergeCell ref="K20:M20"/>
    <mergeCell ref="T20:V20"/>
    <mergeCell ref="H21:J21"/>
    <mergeCell ref="K21:M21"/>
    <mergeCell ref="T21:V21"/>
    <mergeCell ref="W20:Y20"/>
    <mergeCell ref="W21:Y21"/>
    <mergeCell ref="W22:Y22"/>
    <mergeCell ref="H19:J19"/>
    <mergeCell ref="K19:M19"/>
    <mergeCell ref="T19:V19"/>
    <mergeCell ref="AF16:AH16"/>
    <mergeCell ref="AI16:AK16"/>
    <mergeCell ref="H17:J17"/>
    <mergeCell ref="K17:M17"/>
    <mergeCell ref="N17:P17"/>
    <mergeCell ref="Q17:S17"/>
    <mergeCell ref="T17:V17"/>
    <mergeCell ref="W17:Y17"/>
    <mergeCell ref="Z17:AB17"/>
    <mergeCell ref="AC17:AE17"/>
    <mergeCell ref="W18:Y18"/>
    <mergeCell ref="W19:Y19"/>
    <mergeCell ref="H16:J16"/>
    <mergeCell ref="K16:M16"/>
    <mergeCell ref="N16:P16"/>
    <mergeCell ref="Q16:S16"/>
    <mergeCell ref="T16:V16"/>
    <mergeCell ref="Q15:S15"/>
    <mergeCell ref="T15:V15"/>
    <mergeCell ref="W15:Y15"/>
    <mergeCell ref="Z15:AB15"/>
    <mergeCell ref="AC15:AE15"/>
    <mergeCell ref="AF15:AH15"/>
    <mergeCell ref="AI17:AK17"/>
    <mergeCell ref="H18:J18"/>
    <mergeCell ref="K18:M18"/>
    <mergeCell ref="T18:V18"/>
    <mergeCell ref="AI15:AK15"/>
    <mergeCell ref="H15:J15"/>
    <mergeCell ref="K15:M15"/>
    <mergeCell ref="N15:P15"/>
    <mergeCell ref="H14:J14"/>
    <mergeCell ref="A1:AK4"/>
    <mergeCell ref="A9:H9"/>
    <mergeCell ref="I9:X9"/>
    <mergeCell ref="Y9:AB9"/>
    <mergeCell ref="AC9:AE9"/>
    <mergeCell ref="AF9:AH9"/>
    <mergeCell ref="AI9:AK9"/>
    <mergeCell ref="A7:G7"/>
    <mergeCell ref="Y7:AB7"/>
    <mergeCell ref="A8:G8"/>
    <mergeCell ref="H8:AK8"/>
    <mergeCell ref="K14:M14"/>
    <mergeCell ref="N14:P14"/>
    <mergeCell ref="Q14:S14"/>
    <mergeCell ref="T14:V14"/>
    <mergeCell ref="W14:Y14"/>
    <mergeCell ref="Z14:AB14"/>
    <mergeCell ref="AC14:AE14"/>
    <mergeCell ref="AF14:AH14"/>
    <mergeCell ref="A5:G5"/>
    <mergeCell ref="Y5:AB5"/>
    <mergeCell ref="AC5:AK5"/>
    <mergeCell ref="A6:G6"/>
    <mergeCell ref="Y6:AB6"/>
    <mergeCell ref="AC6:AK6"/>
    <mergeCell ref="A12:G12"/>
    <mergeCell ref="H12:AK12"/>
    <mergeCell ref="H13:J13"/>
    <mergeCell ref="K13:M13"/>
    <mergeCell ref="N13:P13"/>
    <mergeCell ref="Q13:S13"/>
    <mergeCell ref="T13:V13"/>
    <mergeCell ref="W13:Y13"/>
    <mergeCell ref="Z13:AB13"/>
    <mergeCell ref="AC13:AE13"/>
    <mergeCell ref="AF13:AH13"/>
    <mergeCell ref="AI13:AK13"/>
    <mergeCell ref="A10:AK11"/>
    <mergeCell ref="BC10:BD10"/>
    <mergeCell ref="AT6:AT7"/>
    <mergeCell ref="R62:S62"/>
    <mergeCell ref="N18:P18"/>
    <mergeCell ref="Q18:S18"/>
    <mergeCell ref="N19:P19"/>
    <mergeCell ref="Q19:S19"/>
    <mergeCell ref="N20:P20"/>
    <mergeCell ref="Q20:S20"/>
    <mergeCell ref="N21:P21"/>
    <mergeCell ref="Q21:S21"/>
    <mergeCell ref="N22:P22"/>
    <mergeCell ref="Q22:S22"/>
    <mergeCell ref="P33:Q33"/>
    <mergeCell ref="R33:S33"/>
    <mergeCell ref="N59:O59"/>
    <mergeCell ref="R59:S59"/>
    <mergeCell ref="R60:S60"/>
    <mergeCell ref="N55:O55"/>
    <mergeCell ref="W16:Y16"/>
    <mergeCell ref="Z16:AB16"/>
    <mergeCell ref="AC16:AE16"/>
    <mergeCell ref="AF17:AH17"/>
    <mergeCell ref="AI14:AK14"/>
  </mergeCells>
  <conditionalFormatting sqref="F53:AK53">
    <cfRule type="expression" dxfId="310" priority="33" stopIfTrue="1">
      <formula>F53=0</formula>
    </cfRule>
  </conditionalFormatting>
  <conditionalFormatting sqref="H31:U31 H32:AE32 H33:V36 Z33:AE36 H37:AE39 H40:W40 Y40:AE40 H41:AE52">
    <cfRule type="expression" dxfId="309" priority="9">
      <formula>(H31&lt;&gt;0)</formula>
    </cfRule>
    <cfRule type="expression" dxfId="308" priority="10">
      <formula>(H31=0)</formula>
    </cfRule>
  </conditionalFormatting>
  <conditionalFormatting sqref="R55:S62">
    <cfRule type="expression" dxfId="307" priority="2" stopIfTrue="1">
      <formula>R55=0</formula>
    </cfRule>
  </conditionalFormatting>
  <conditionalFormatting sqref="X40">
    <cfRule type="expression" dxfId="306" priority="1">
      <formula>X40=0</formula>
    </cfRule>
  </conditionalFormatting>
  <conditionalFormatting sqref="AC56:AD56 AC58:AD62">
    <cfRule type="expression" dxfId="305" priority="40" stopIfTrue="1">
      <formula>AC56=0</formula>
    </cfRule>
  </conditionalFormatting>
  <conditionalFormatting sqref="AF32:AK52">
    <cfRule type="expression" dxfId="304" priority="16" stopIfTrue="1">
      <formula>AF32=0</formula>
    </cfRule>
  </conditionalFormatting>
  <pageMargins left="0.74803149606299213" right="0.19685039370078741" top="0.39370078740157483" bottom="0.39370078740157483" header="0.19685039370078741" footer="0.19685039370078741"/>
  <pageSetup paperSize="9" scale="71"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97DE6-6A67-484A-AD38-03E286394E71}">
  <sheetPr>
    <tabColor rgb="FF92D050"/>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14" width="3.7109375" style="404"/>
    <col min="15" max="15" width="6.7109375" style="404" customWidth="1"/>
    <col min="16" max="18" width="3.7109375" style="404"/>
    <col min="19" max="19" width="5.42578125" style="404" bestFit="1" customWidth="1"/>
    <col min="20" max="23" width="3.7109375" style="404"/>
    <col min="24" max="24" width="4" style="404" bestFit="1"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Effluents!$K$2</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tr">
        <f>'Emiss. Ops'!$I$4</f>
        <v>Normal Operations</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347</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0</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727</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'Diesel F'!G20</f>
        <v>44.890193469756099</v>
      </c>
      <c r="R16" s="1144"/>
      <c r="S16" s="1145"/>
      <c r="T16" s="1073">
        <f>'Diesel F'!E5</f>
        <v>76019.579999999987</v>
      </c>
      <c r="U16" s="1109"/>
      <c r="V16" s="1074"/>
      <c r="W16" s="1076" t="s">
        <v>604</v>
      </c>
      <c r="X16" s="1075"/>
      <c r="Y16" s="1077"/>
      <c r="Z16" s="1073">
        <f>'Diesel F'!E6</f>
        <v>16376.099999999999</v>
      </c>
      <c r="AA16" s="1109"/>
      <c r="AB16" s="1074"/>
      <c r="AC16" s="1076" t="s">
        <v>604</v>
      </c>
      <c r="AD16" s="1075"/>
      <c r="AE16" s="1077"/>
      <c r="AF16" s="1146">
        <f>'Diesel F'!E8</f>
        <v>5343.78</v>
      </c>
      <c r="AG16" s="1147"/>
      <c r="AH16" s="1148"/>
      <c r="AI16" s="1076" t="s">
        <v>604</v>
      </c>
      <c r="AJ16" s="1075"/>
      <c r="AK16" s="1077"/>
      <c r="AL16" s="303"/>
      <c r="AM16" s="303" t="s">
        <v>605</v>
      </c>
      <c r="AN16" s="303"/>
      <c r="AO16" s="303"/>
      <c r="AP16" s="351"/>
      <c r="AQ16" s="352"/>
      <c r="AR16" s="353"/>
      <c r="AS16" s="354"/>
      <c r="AT16" s="354"/>
      <c r="AU16" s="356"/>
      <c r="AV16" s="354"/>
      <c r="AW16" s="355"/>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1">
        <v>305.24099999999999</v>
      </c>
      <c r="I17" s="1132"/>
      <c r="J17" s="1133"/>
      <c r="K17" s="1134">
        <v>832.5</v>
      </c>
      <c r="L17" s="1135"/>
      <c r="M17" s="1136"/>
      <c r="N17" s="1137">
        <v>42.59</v>
      </c>
      <c r="O17" s="1138"/>
      <c r="P17" s="1139"/>
      <c r="Q17" s="1137">
        <v>45.61</v>
      </c>
      <c r="R17" s="1138"/>
      <c r="S17" s="1139"/>
      <c r="T17" s="1066">
        <f>$Q$17/$Q$16*T16</f>
        <v>77238.5408883567</v>
      </c>
      <c r="U17" s="1110"/>
      <c r="V17" s="1067"/>
      <c r="W17" s="1114">
        <f>T17/1000000/K17</f>
        <v>9.2779028094122163E-5</v>
      </c>
      <c r="X17" s="1115"/>
      <c r="Y17" s="1116"/>
      <c r="Z17" s="1066">
        <f>$Q$17/$Q$16*Z16</f>
        <v>16638.6879464714</v>
      </c>
      <c r="AA17" s="1110"/>
      <c r="AB17" s="1067"/>
      <c r="AC17" s="1114">
        <f>Z17/1000000/K17</f>
        <v>1.9986411947713393E-5</v>
      </c>
      <c r="AD17" s="1115"/>
      <c r="AE17" s="1116"/>
      <c r="AF17" s="1066">
        <f>$Q$17/$Q$16*AF16</f>
        <v>5429.4665930590891</v>
      </c>
      <c r="AG17" s="1110"/>
      <c r="AH17" s="1067"/>
      <c r="AI17" s="1060">
        <f>AF17/1000000/K17</f>
        <v>6.5218817934643711E-6</v>
      </c>
      <c r="AJ17" s="1059"/>
      <c r="AK17" s="1063"/>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123"/>
      <c r="O18" s="1069"/>
      <c r="P18" s="1124"/>
      <c r="Q18" s="1125"/>
      <c r="R18" s="1126"/>
      <c r="S18" s="112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125</v>
      </c>
      <c r="AA19" s="1118"/>
      <c r="AB19" s="1119"/>
      <c r="AC19" s="1117" t="s">
        <v>125</v>
      </c>
      <c r="AD19" s="1118"/>
      <c r="AE19" s="1119"/>
      <c r="AF19" s="358" t="s">
        <v>728</v>
      </c>
      <c r="AG19" s="31"/>
      <c r="AH19" s="31"/>
      <c r="AI19" s="31"/>
      <c r="AJ19" s="31"/>
      <c r="AK19" s="226"/>
      <c r="AL19" s="303"/>
      <c r="AM19" s="24" t="s">
        <v>699</v>
      </c>
      <c r="AN19" s="24">
        <v>15.6</v>
      </c>
      <c r="AO19" s="23" t="s">
        <v>609</v>
      </c>
      <c r="AP19" s="303"/>
      <c r="AQ19" s="303"/>
      <c r="AR19" s="356"/>
      <c r="AS19" s="354"/>
      <c r="AT19" s="355"/>
      <c r="AU19" s="351"/>
      <c r="AV19" s="354"/>
      <c r="AW19" s="355"/>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c r="I21" s="1109"/>
      <c r="J21" s="1074"/>
      <c r="K21" s="1076" t="s">
        <v>604</v>
      </c>
      <c r="L21" s="1075"/>
      <c r="M21" s="1077"/>
      <c r="N21" s="1073">
        <f>'Diesel F'!E7</f>
        <v>4999.0199999999986</v>
      </c>
      <c r="O21" s="1109"/>
      <c r="P21" s="1074"/>
      <c r="Q21" s="1076" t="s">
        <v>604</v>
      </c>
      <c r="R21" s="1075"/>
      <c r="S21" s="1077"/>
      <c r="T21" s="1073"/>
      <c r="U21" s="1109"/>
      <c r="V21" s="1074"/>
      <c r="W21" s="1214" t="s">
        <v>604</v>
      </c>
      <c r="X21" s="1215"/>
      <c r="Y21" s="1216"/>
      <c r="Z21" s="1073"/>
      <c r="AA21" s="1109"/>
      <c r="AB21" s="1074"/>
      <c r="AC21" s="1076" t="s">
        <v>604</v>
      </c>
      <c r="AD21" s="1075"/>
      <c r="AE21" s="1077"/>
      <c r="AF21" s="300"/>
      <c r="AG21" s="31"/>
      <c r="AH21" s="302"/>
      <c r="AI21" s="31"/>
      <c r="AJ21" s="31"/>
      <c r="AK21" s="32"/>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6"/>
      <c r="I22" s="1110"/>
      <c r="J22" s="1067"/>
      <c r="K22" s="1114"/>
      <c r="L22" s="1115"/>
      <c r="M22" s="1116"/>
      <c r="N22" s="1066">
        <f>$Q$17/$Q$16*N21</f>
        <v>5079.1784257649533</v>
      </c>
      <c r="O22" s="1110"/>
      <c r="P22" s="1067"/>
      <c r="Q22" s="1114">
        <f>N22/1000000/K17</f>
        <v>6.1011152261440878E-6</v>
      </c>
      <c r="R22" s="1115"/>
      <c r="S22" s="1116"/>
      <c r="T22" s="1099"/>
      <c r="U22" s="1048"/>
      <c r="V22" s="1058"/>
      <c r="W22" s="1211"/>
      <c r="X22" s="1212"/>
      <c r="Y22" s="1213"/>
      <c r="Z22" s="1066"/>
      <c r="AA22" s="1110"/>
      <c r="AB22" s="1067"/>
      <c r="AC22" s="1114"/>
      <c r="AD22" s="1115"/>
      <c r="AE22" s="1116"/>
      <c r="AF22" s="31"/>
      <c r="AG22" s="31"/>
      <c r="AH22" s="31"/>
      <c r="AI22" s="31"/>
      <c r="AJ22" s="31"/>
      <c r="AK22" s="32"/>
      <c r="AL22" s="303"/>
      <c r="AM22" s="303"/>
      <c r="AN22" s="303"/>
      <c r="AO22" s="303"/>
      <c r="AP22" s="303"/>
      <c r="AQ22" s="303"/>
      <c r="AR22" s="356"/>
      <c r="AS22" s="354"/>
      <c r="AT22" s="355"/>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045"/>
      <c r="I23" s="1033"/>
      <c r="J23" s="1046"/>
      <c r="K23" s="1089"/>
      <c r="L23" s="1090"/>
      <c r="M23" s="1091"/>
      <c r="N23" s="1045"/>
      <c r="O23" s="1033"/>
      <c r="P23" s="1046"/>
      <c r="Q23" s="1096"/>
      <c r="R23" s="1097"/>
      <c r="S23" s="1098"/>
      <c r="T23" s="1099"/>
      <c r="U23" s="1048"/>
      <c r="V23" s="1058"/>
      <c r="W23" s="1096"/>
      <c r="X23" s="1097"/>
      <c r="Y23" s="1098"/>
      <c r="Z23" s="1086"/>
      <c r="AA23" s="1087"/>
      <c r="AB23" s="1088"/>
      <c r="AC23" s="1089"/>
      <c r="AD23" s="1090"/>
      <c r="AE23" s="1091"/>
      <c r="AF23" s="31"/>
      <c r="AG23" s="31"/>
      <c r="AH23" s="31"/>
      <c r="AI23" s="31"/>
      <c r="AJ23" s="31"/>
      <c r="AK23" s="32"/>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v>0.8</v>
      </c>
      <c r="I25" s="31" t="s">
        <v>590</v>
      </c>
      <c r="J25" s="31"/>
      <c r="K25" s="31"/>
      <c r="L25" s="31" t="s">
        <v>615</v>
      </c>
      <c r="M25" s="31"/>
      <c r="N25" s="31"/>
      <c r="O25" s="31"/>
      <c r="P25" s="31"/>
      <c r="Q25" s="31"/>
      <c r="R25" s="31"/>
      <c r="S25" s="32" t="s">
        <v>616</v>
      </c>
      <c r="T25" s="1092" t="str">
        <f>A17</f>
        <v>Diesel</v>
      </c>
      <c r="U25" s="1093"/>
      <c r="V25" s="1093"/>
      <c r="W25" s="1093"/>
      <c r="X25" s="1094">
        <v>1</v>
      </c>
      <c r="Y25" s="1094"/>
      <c r="Z25" s="1094"/>
      <c r="AA25" s="1093" t="s">
        <v>617</v>
      </c>
      <c r="AB25" s="1093"/>
      <c r="AC25" s="1095">
        <f>X25/H17</f>
        <v>3.2760998686283955E-3</v>
      </c>
      <c r="AD25" s="1095"/>
      <c r="AE25" s="1093" t="s">
        <v>618</v>
      </c>
      <c r="AF25" s="1093"/>
      <c r="AG25" s="1093"/>
      <c r="AH25" s="1198">
        <f>X25*N17/3600</f>
        <v>1.1830555555555556E-2</v>
      </c>
      <c r="AI25" s="1198"/>
      <c r="AJ25" s="361" t="s">
        <v>590</v>
      </c>
      <c r="AK25" s="362"/>
      <c r="AL25" s="303"/>
      <c r="AM25" s="363">
        <f>X25*W22</f>
        <v>0</v>
      </c>
      <c r="AN25" s="303"/>
      <c r="AO25" s="303"/>
      <c r="AP25" s="303"/>
      <c r="AQ25" s="303"/>
      <c r="AR25" s="351"/>
      <c r="AS25" s="354"/>
      <c r="AT25" s="355"/>
      <c r="AU25" s="356"/>
      <c r="AV25" s="354"/>
      <c r="AW25" s="355"/>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0</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t="s">
        <v>718</v>
      </c>
      <c r="B27" s="1081"/>
      <c r="C27" s="1081"/>
      <c r="D27" s="1081"/>
      <c r="E27" s="1081"/>
      <c r="F27" s="1042" t="str">
        <f>A17</f>
        <v>Diesel</v>
      </c>
      <c r="G27" s="1043"/>
      <c r="H27" s="1043"/>
      <c r="I27" s="1043"/>
      <c r="J27" s="1043"/>
      <c r="K27" s="1043"/>
      <c r="L27" s="1043"/>
      <c r="M27" s="1043"/>
      <c r="N27" s="1043"/>
      <c r="O27" s="1043"/>
      <c r="P27" s="1043"/>
      <c r="Q27" s="1043"/>
      <c r="R27" s="1043"/>
      <c r="S27" s="1043"/>
      <c r="T27" s="1043"/>
      <c r="U27" s="1080"/>
      <c r="V27" s="31"/>
      <c r="W27" s="31"/>
      <c r="X27" s="270">
        <f>AH25</f>
        <v>1.1830555555555556E-2</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1">
        <v>104</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1">
        <f>X27*X28</f>
        <v>1.2303777777777778</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1">
        <f>X29*3600/1000</f>
        <v>4.42936</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196">
        <v>0</v>
      </c>
      <c r="G31" s="1197"/>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BF33</f>
        <v>3.7672634101823899E-6</v>
      </c>
      <c r="G32" s="1195"/>
      <c r="H32" s="1051">
        <f>F32*$AC$25</f>
        <v>1.2341931163187088E-8</v>
      </c>
      <c r="I32" s="1052"/>
      <c r="J32" s="1059"/>
      <c r="K32" s="1059"/>
      <c r="L32" s="1060"/>
      <c r="M32" s="1059"/>
      <c r="N32" s="1054">
        <f t="shared" si="2"/>
        <v>1.979892597198473E-7</v>
      </c>
      <c r="O32" s="1055"/>
      <c r="P32" s="1061">
        <f>R32/$R$53</f>
        <v>0</v>
      </c>
      <c r="Q32" s="1062"/>
      <c r="R32" s="1060">
        <f>T32/$AR32</f>
        <v>0</v>
      </c>
      <c r="S32" s="1059"/>
      <c r="T32" s="1064">
        <f>$K$22*$X$25</f>
        <v>0</v>
      </c>
      <c r="U32" s="1065"/>
      <c r="V32" s="31"/>
      <c r="W32" s="31"/>
      <c r="X32" s="272"/>
      <c r="Y32" s="272"/>
      <c r="Z32" s="31"/>
      <c r="AA32" s="31"/>
      <c r="AB32" s="31"/>
      <c r="AC32" s="31"/>
      <c r="AD32" s="272"/>
      <c r="AE32" s="272"/>
      <c r="AF32" s="382"/>
      <c r="AG32" s="382"/>
      <c r="AH32" s="31"/>
      <c r="AI32" s="31"/>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31"/>
      <c r="W33" s="31"/>
      <c r="X33" s="272"/>
      <c r="Y33" s="1183" t="s">
        <v>348</v>
      </c>
      <c r="Z33" s="1248"/>
      <c r="AA33" s="1248"/>
      <c r="AB33" s="1248"/>
      <c r="AC33" s="1248"/>
      <c r="AD33" s="1248"/>
      <c r="AE33" s="1248"/>
      <c r="AF33" s="1248"/>
      <c r="AG33" s="1248"/>
      <c r="AH33" s="1248"/>
      <c r="AI33" s="1248"/>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BF34</f>
        <v>2.32021919756754E-4</v>
      </c>
      <c r="G34" s="1050"/>
      <c r="H34" s="1051">
        <f t="shared" si="1"/>
        <v>7.6012698083400989E-7</v>
      </c>
      <c r="I34" s="1052"/>
      <c r="J34" s="1059"/>
      <c r="K34" s="1059"/>
      <c r="L34" s="1060"/>
      <c r="M34" s="1059"/>
      <c r="N34" s="1054">
        <f t="shared" si="2"/>
        <v>2.2855498059717008E-5</v>
      </c>
      <c r="O34" s="1055"/>
      <c r="P34" s="1061">
        <f t="shared" si="10"/>
        <v>0</v>
      </c>
      <c r="Q34" s="1062"/>
      <c r="R34" s="1059">
        <f>T34/$AR34</f>
        <v>0</v>
      </c>
      <c r="S34" s="1059"/>
      <c r="T34" s="1061">
        <f t="shared" si="11"/>
        <v>0</v>
      </c>
      <c r="U34" s="1062"/>
      <c r="V34" s="31"/>
      <c r="W34" s="31"/>
      <c r="X34" s="272"/>
      <c r="Y34" s="1248"/>
      <c r="Z34" s="1248"/>
      <c r="AA34" s="1248"/>
      <c r="AB34" s="1248"/>
      <c r="AC34" s="1248"/>
      <c r="AD34" s="1248"/>
      <c r="AE34" s="1248"/>
      <c r="AF34" s="1248"/>
      <c r="AG34" s="1248"/>
      <c r="AH34" s="1248"/>
      <c r="AI34" s="1248"/>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31"/>
      <c r="W35" s="31"/>
      <c r="X35" s="272"/>
      <c r="Y35" s="1248"/>
      <c r="Z35" s="1248"/>
      <c r="AA35" s="1248"/>
      <c r="AB35" s="1248"/>
      <c r="AC35" s="1248"/>
      <c r="AD35" s="1248"/>
      <c r="AE35" s="1248"/>
      <c r="AF35" s="1248"/>
      <c r="AG35" s="1248"/>
      <c r="AH35" s="1248"/>
      <c r="AI35" s="1248"/>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BF35</f>
        <v>4.1140406723645098E-3</v>
      </c>
      <c r="G36" s="1050"/>
      <c r="H36" s="1051">
        <f t="shared" si="1"/>
        <v>1.3478008106265246E-5</v>
      </c>
      <c r="I36" s="1052"/>
      <c r="J36" s="1059"/>
      <c r="K36" s="1059"/>
      <c r="L36" s="1060"/>
      <c r="M36" s="1059"/>
      <c r="N36" s="1054">
        <f t="shared" si="2"/>
        <v>5.9429928943765978E-4</v>
      </c>
      <c r="O36" s="1055"/>
      <c r="P36" s="1061">
        <f t="shared" si="10"/>
        <v>0</v>
      </c>
      <c r="Q36" s="1062"/>
      <c r="R36" s="1059">
        <f t="shared" si="12"/>
        <v>0</v>
      </c>
      <c r="S36" s="1059"/>
      <c r="T36" s="1061">
        <f t="shared" si="11"/>
        <v>0</v>
      </c>
      <c r="U36" s="1062"/>
      <c r="V36" s="31"/>
      <c r="W36" s="31"/>
      <c r="X36" s="272"/>
      <c r="Y36" s="1248"/>
      <c r="Z36" s="1248"/>
      <c r="AA36" s="1248"/>
      <c r="AB36" s="1248"/>
      <c r="AC36" s="1248"/>
      <c r="AD36" s="1248"/>
      <c r="AE36" s="1248"/>
      <c r="AF36" s="1248"/>
      <c r="AG36" s="1248"/>
      <c r="AH36" s="1248"/>
      <c r="AI36" s="1248"/>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31"/>
      <c r="W37" s="31"/>
      <c r="X37" s="272"/>
      <c r="Y37" s="1248"/>
      <c r="Z37" s="1248"/>
      <c r="AA37" s="1248"/>
      <c r="AB37" s="1248"/>
      <c r="AC37" s="1248"/>
      <c r="AD37" s="1248"/>
      <c r="AE37" s="1248"/>
      <c r="AF37" s="1248"/>
      <c r="AG37" s="1248"/>
      <c r="AH37" s="1248"/>
      <c r="AI37" s="1248"/>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BF36</f>
        <v>4.2987554978870402E-3</v>
      </c>
      <c r="G38" s="1050"/>
      <c r="H38" s="1051">
        <f t="shared" si="1"/>
        <v>1.4083152321893326E-5</v>
      </c>
      <c r="I38" s="1052"/>
      <c r="J38" s="1059"/>
      <c r="K38" s="1059"/>
      <c r="L38" s="1060"/>
      <c r="M38" s="1059"/>
      <c r="N38" s="1054">
        <f t="shared" si="2"/>
        <v>8.1851281294844009E-4</v>
      </c>
      <c r="O38" s="1055"/>
      <c r="P38" s="1061">
        <f t="shared" si="10"/>
        <v>0</v>
      </c>
      <c r="Q38" s="1062"/>
      <c r="R38" s="1059">
        <f t="shared" si="12"/>
        <v>0</v>
      </c>
      <c r="S38" s="1059"/>
      <c r="T38" s="1061">
        <f t="shared" si="11"/>
        <v>0</v>
      </c>
      <c r="U38" s="1062"/>
      <c r="V38" s="31"/>
      <c r="W38" s="31"/>
      <c r="X38" s="272"/>
      <c r="Y38" s="1248"/>
      <c r="Z38" s="1248"/>
      <c r="AA38" s="1248"/>
      <c r="AB38" s="1248"/>
      <c r="AC38" s="1248"/>
      <c r="AD38" s="1248"/>
      <c r="AE38" s="1248"/>
      <c r="AF38" s="1248"/>
      <c r="AG38" s="1248"/>
      <c r="AH38" s="1248"/>
      <c r="AI38" s="1248"/>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f>BF37</f>
        <v>1.33109664079022E-2</v>
      </c>
      <c r="G39" s="1050"/>
      <c r="H39" s="1051">
        <f t="shared" si="1"/>
        <v>4.3608055300245387E-5</v>
      </c>
      <c r="I39" s="1052"/>
      <c r="J39" s="1059"/>
      <c r="K39" s="1059"/>
      <c r="L39" s="1060"/>
      <c r="M39" s="1059"/>
      <c r="N39" s="1054">
        <f t="shared" si="2"/>
        <v>2.5345001740502619E-3</v>
      </c>
      <c r="O39" s="1055"/>
      <c r="P39" s="1061">
        <f t="shared" si="10"/>
        <v>0</v>
      </c>
      <c r="Q39" s="1062"/>
      <c r="R39" s="1059">
        <f t="shared" si="12"/>
        <v>0</v>
      </c>
      <c r="S39" s="1059"/>
      <c r="T39" s="1061">
        <f t="shared" si="11"/>
        <v>0</v>
      </c>
      <c r="U39" s="1062"/>
      <c r="V39" s="31"/>
      <c r="W39" s="31"/>
      <c r="X39" s="272"/>
      <c r="Y39" s="272"/>
      <c r="Z39" s="31"/>
      <c r="AA39" s="31"/>
      <c r="AB39" s="31"/>
      <c r="AC39" s="31"/>
      <c r="AD39" s="272"/>
      <c r="AE39" s="272"/>
      <c r="AF39" s="382"/>
      <c r="AG39" s="382"/>
      <c r="AH39" s="31"/>
      <c r="AI39" s="31"/>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BF38</f>
        <v>1.4450640107125301E-2</v>
      </c>
      <c r="G40" s="1050"/>
      <c r="H40" s="1051">
        <f t="shared" si="1"/>
        <v>4.7341740156549419E-5</v>
      </c>
      <c r="I40" s="1052"/>
      <c r="J40" s="1059"/>
      <c r="K40" s="1059"/>
      <c r="L40" s="1060"/>
      <c r="M40" s="1059"/>
      <c r="N40" s="1054">
        <f t="shared" si="2"/>
        <v>3.4155171853344143E-3</v>
      </c>
      <c r="O40" s="1055"/>
      <c r="P40" s="1061">
        <f t="shared" si="10"/>
        <v>0</v>
      </c>
      <c r="Q40" s="1062"/>
      <c r="R40" s="1059">
        <f t="shared" si="12"/>
        <v>0</v>
      </c>
      <c r="S40" s="1059"/>
      <c r="T40" s="1061">
        <f t="shared" si="11"/>
        <v>0</v>
      </c>
      <c r="U40" s="1062"/>
      <c r="V40" s="1032"/>
      <c r="W40" s="1032"/>
      <c r="X40" s="1033"/>
      <c r="Y40" s="1033"/>
      <c r="Z40" s="1032"/>
      <c r="AA40" s="1032"/>
      <c r="AB40" s="1032"/>
      <c r="AC40" s="1032"/>
      <c r="AD40" s="1033"/>
      <c r="AE40" s="1033"/>
      <c r="AF40" s="1047"/>
      <c r="AG40" s="1047"/>
      <c r="AH40" s="1032"/>
      <c r="AI40" s="1032"/>
      <c r="AJ40" s="1069"/>
      <c r="AK40" s="1124"/>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BF40</f>
        <v>1.8657920075756399E-2</v>
      </c>
      <c r="G41" s="1050"/>
      <c r="H41" s="1051">
        <f t="shared" si="1"/>
        <v>6.1125209509064647E-5</v>
      </c>
      <c r="I41" s="1052"/>
      <c r="J41" s="1059"/>
      <c r="K41" s="1059"/>
      <c r="L41" s="1060"/>
      <c r="M41" s="1059"/>
      <c r="N41" s="1054">
        <f t="shared" si="2"/>
        <v>4.409939365240978E-3</v>
      </c>
      <c r="O41" s="1055"/>
      <c r="P41" s="1061">
        <f t="shared" si="10"/>
        <v>0</v>
      </c>
      <c r="Q41" s="1062"/>
      <c r="R41" s="1059">
        <f t="shared" si="12"/>
        <v>0</v>
      </c>
      <c r="S41" s="1059"/>
      <c r="T41" s="1061">
        <f t="shared" si="11"/>
        <v>0</v>
      </c>
      <c r="U41" s="1062"/>
      <c r="V41" s="1032"/>
      <c r="W41" s="1032"/>
      <c r="X41" s="1033"/>
      <c r="Y41" s="1033"/>
      <c r="Z41" s="1032"/>
      <c r="AA41" s="1032"/>
      <c r="AB41" s="1032"/>
      <c r="AC41" s="1032"/>
      <c r="AD41" s="1033"/>
      <c r="AE41" s="1033"/>
      <c r="AF41" s="1047"/>
      <c r="AG41" s="1047"/>
      <c r="AH41" s="1032"/>
      <c r="AI41" s="1032"/>
      <c r="AJ41" s="1069"/>
      <c r="AK41" s="1124"/>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425</v>
      </c>
      <c r="B42" s="376"/>
      <c r="C42" s="376"/>
      <c r="D42" s="376"/>
      <c r="E42" s="377"/>
      <c r="F42" s="1049">
        <f>SUM(BF41:BF75)</f>
        <v>0.94337200608568694</v>
      </c>
      <c r="G42" s="1050"/>
      <c r="H42" s="1064">
        <f t="shared" si="1"/>
        <v>3.090580905205025E-3</v>
      </c>
      <c r="I42" s="1065"/>
      <c r="J42" s="1059"/>
      <c r="K42" s="1059"/>
      <c r="L42" s="1060"/>
      <c r="M42" s="1059"/>
      <c r="N42" s="1054">
        <f t="shared" si="2"/>
        <v>0.98807385924048197</v>
      </c>
      <c r="O42" s="1055"/>
      <c r="P42" s="1061">
        <f t="shared" si="10"/>
        <v>0</v>
      </c>
      <c r="Q42" s="1062"/>
      <c r="R42" s="1059">
        <f t="shared" si="12"/>
        <v>0</v>
      </c>
      <c r="S42" s="1059"/>
      <c r="T42" s="1061">
        <f t="shared" si="11"/>
        <v>0</v>
      </c>
      <c r="U42" s="1062"/>
      <c r="V42" s="1032"/>
      <c r="W42" s="1032"/>
      <c r="X42" s="1033"/>
      <c r="Y42" s="1033"/>
      <c r="Z42" s="1032"/>
      <c r="AA42" s="1032"/>
      <c r="AB42" s="1032"/>
      <c r="AC42" s="1032"/>
      <c r="AD42" s="1033"/>
      <c r="AE42" s="1033"/>
      <c r="AF42" s="1047"/>
      <c r="AG42" s="1047"/>
      <c r="AH42" s="1032"/>
      <c r="AI42" s="1032"/>
      <c r="AJ42" s="1048"/>
      <c r="AK42" s="105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0.10786058032263861</v>
      </c>
      <c r="K45" s="1070"/>
      <c r="L45" s="1060">
        <f>0.15*J45</f>
        <v>1.6179087048395789E-2</v>
      </c>
      <c r="M45" s="1059"/>
      <c r="N45" s="1066">
        <f t="shared" si="2"/>
        <v>3.9692693558731005</v>
      </c>
      <c r="O45" s="1067"/>
      <c r="P45" s="1061">
        <f t="shared" si="10"/>
        <v>2.6677885602713641E-2</v>
      </c>
      <c r="Q45" s="1062"/>
      <c r="R45" s="1059">
        <f>L45+SUMPRODUCT(R32:R44,$AS32:$AS44)</f>
        <v>1.6179087048395789E-2</v>
      </c>
      <c r="S45" s="1059"/>
      <c r="T45" s="1071">
        <f>R45*$AR45</f>
        <v>0.51773078554866525</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BF31</f>
        <v>1.4415226502516399E-10</v>
      </c>
      <c r="G46" s="1195"/>
      <c r="H46" s="1061">
        <f t="shared" si="1"/>
        <v>4.7225721651142546E-13</v>
      </c>
      <c r="I46" s="1062"/>
      <c r="J46" s="1059">
        <f>0.79/0.21*J45</f>
        <v>0.40576123073754528</v>
      </c>
      <c r="K46" s="1063"/>
      <c r="L46" s="1060">
        <f>0.71/0.29*L45</f>
        <v>3.9610868290900041E-2</v>
      </c>
      <c r="M46" s="1059"/>
      <c r="N46" s="1066">
        <f>SUM(H46,J46,L46)*AR46</f>
        <v>12.470418772809692</v>
      </c>
      <c r="O46" s="1067"/>
      <c r="P46" s="1064">
        <f t="shared" si="10"/>
        <v>0.73437593020060521</v>
      </c>
      <c r="Q46" s="1065"/>
      <c r="R46" s="1064">
        <f>$H46+J46+L46-R49</f>
        <v>0.44537008209352419</v>
      </c>
      <c r="S46" s="1065"/>
      <c r="T46" s="1066">
        <f>R46*$AR46</f>
        <v>12.470362298618678</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1.176573655766454E-6</v>
      </c>
      <c r="Q47" s="1062"/>
      <c r="R47" s="1059">
        <f>T47/$AR$47</f>
        <v>7.1354558899369492E-7</v>
      </c>
      <c r="S47" s="1059"/>
      <c r="T47" s="1064">
        <f>$AC17*$X25</f>
        <v>1.9986411947713393E-5</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BF32</f>
        <v>1.04835044112351E-6</v>
      </c>
      <c r="G48" s="1195"/>
      <c r="H48" s="1061">
        <f t="shared" si="1"/>
        <v>3.4345007424412516E-9</v>
      </c>
      <c r="I48" s="1062"/>
      <c r="J48" s="1059"/>
      <c r="K48" s="1059"/>
      <c r="L48" s="1060"/>
      <c r="M48" s="1059"/>
      <c r="N48" s="1061">
        <f t="shared" si="2"/>
        <v>1.5115237767483948E-7</v>
      </c>
      <c r="O48" s="1062"/>
      <c r="P48" s="1064">
        <f t="shared" si="10"/>
        <v>0.11676935192729565</v>
      </c>
      <c r="Q48" s="1065"/>
      <c r="R48" s="1068">
        <f>SUMPRODUCT($H31:$H52,$AU31:$AU52)+$H48-R47-SUMPRODUCT(R32:R42,$AU32:$AU42)</f>
        <v>7.081601359083381E-2</v>
      </c>
      <c r="S48" s="1059"/>
      <c r="T48" s="1066">
        <f>R48*$AR48</f>
        <v>3.1166127581325958</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3.3257483275116937E-6</v>
      </c>
      <c r="Q49" s="1062"/>
      <c r="R49" s="1060">
        <f>T49/$AR49</f>
        <v>2.016935393350482E-6</v>
      </c>
      <c r="S49" s="1063"/>
      <c r="T49" s="1064">
        <f>$W17*$X25</f>
        <v>9.2779028094122163E-5</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1.5719062744120603E-7</v>
      </c>
      <c r="Q51" s="1062"/>
      <c r="R51" s="1066">
        <f>T51/$AR51</f>
        <v>9.5329925408501372E-8</v>
      </c>
      <c r="S51" s="1067"/>
      <c r="T51" s="1060">
        <f>Q22*X25</f>
        <v>6.1011152261440878E-6</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193">
        <f>BF76</f>
        <v>1.4951987737782399E-3</v>
      </c>
      <c r="G52" s="1194"/>
      <c r="H52" s="1051">
        <f t="shared" si="1"/>
        <v>4.8984205063482297E-6</v>
      </c>
      <c r="I52" s="1052"/>
      <c r="J52" s="1032"/>
      <c r="K52" s="1032"/>
      <c r="L52" s="1053"/>
      <c r="M52" s="1032"/>
      <c r="N52" s="1054">
        <f t="shared" si="2"/>
        <v>8.82499438423697E-5</v>
      </c>
      <c r="O52" s="1055"/>
      <c r="P52" s="1056">
        <f t="shared" si="10"/>
        <v>0.12217217275677479</v>
      </c>
      <c r="Q52" s="1057"/>
      <c r="R52" s="1044">
        <f>SUMPRODUCT(H31:H52,$AV31:$AV52)+H52-SUMPRODUCT(R32:R42,$AV32:$AV42)</f>
        <v>7.4092611661939464E-2</v>
      </c>
      <c r="S52" s="1044"/>
      <c r="T52" s="1045">
        <f>R52*$AR52</f>
        <v>1.3348524917015012</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0.99993636529826091</v>
      </c>
      <c r="G53" s="1038"/>
      <c r="H53" s="1039">
        <f>SUM(H31:H52)</f>
        <v>3.275891394990388E-3</v>
      </c>
      <c r="I53" s="1040"/>
      <c r="J53" s="1041">
        <f>SUM(J31:J52)</f>
        <v>0.5136218110601839</v>
      </c>
      <c r="K53" s="1041"/>
      <c r="L53" s="1042">
        <f>SUM(L31:L52)</f>
        <v>5.578995533929583E-2</v>
      </c>
      <c r="M53" s="1043"/>
      <c r="N53" s="1030">
        <f>SUM(N31:N52)</f>
        <v>17.439646211333827</v>
      </c>
      <c r="O53" s="1031"/>
      <c r="P53" s="1028">
        <f>SUM(P31:P52)</f>
        <v>1</v>
      </c>
      <c r="Q53" s="1029"/>
      <c r="R53" s="1030">
        <f>SUM(R31:R52)</f>
        <v>0.60646062020560099</v>
      </c>
      <c r="S53" s="1031"/>
      <c r="T53" s="1030">
        <f>SUM(T31:T52)</f>
        <v>17.439677200556705</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2.577195224836727E-5</v>
      </c>
      <c r="M55" s="1186"/>
      <c r="N55" s="1192">
        <f>W17*$X$25</f>
        <v>9.2779028094122163E-5</v>
      </c>
      <c r="O55" s="1192"/>
      <c r="P55" s="31" t="s">
        <v>617</v>
      </c>
      <c r="Q55" s="31"/>
      <c r="R55" s="1249">
        <f>N55*4/1000</f>
        <v>3.7111611237648866E-7</v>
      </c>
      <c r="S55" s="1249"/>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185">
        <f t="shared" ref="L56:L61" si="13">N56*1000/3600</f>
        <v>5.5517810965870539E-6</v>
      </c>
      <c r="M56" s="1186"/>
      <c r="N56" s="1192">
        <f>AC17*$X$25</f>
        <v>1.9986411947713393E-5</v>
      </c>
      <c r="O56" s="1192"/>
      <c r="P56" s="31" t="s">
        <v>617</v>
      </c>
      <c r="Q56" s="31"/>
      <c r="R56" s="1249">
        <f t="shared" ref="R56:R61" si="14">N56*4/1000</f>
        <v>7.9945647790853576E-8</v>
      </c>
      <c r="S56" s="1249"/>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185">
        <f t="shared" si="13"/>
        <v>1.8116338315178808E-6</v>
      </c>
      <c r="M57" s="1186"/>
      <c r="N57" s="1192">
        <f>AI17*$X$25</f>
        <v>6.5218817934643711E-6</v>
      </c>
      <c r="O57" s="1192"/>
      <c r="P57" s="31" t="s">
        <v>617</v>
      </c>
      <c r="Q57" s="31"/>
      <c r="R57" s="1249">
        <f t="shared" si="14"/>
        <v>2.6087527173857483E-8</v>
      </c>
      <c r="S57" s="1249"/>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185">
        <f t="shared" si="13"/>
        <v>0</v>
      </c>
      <c r="M58" s="1186"/>
      <c r="N58" s="1191">
        <f>K22*$X$25</f>
        <v>0</v>
      </c>
      <c r="O58" s="1191"/>
      <c r="P58" s="31" t="s">
        <v>617</v>
      </c>
      <c r="Q58" s="31"/>
      <c r="R58" s="1024">
        <f t="shared" si="14"/>
        <v>0</v>
      </c>
      <c r="S58" s="1024"/>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185">
        <f t="shared" si="13"/>
        <v>0</v>
      </c>
      <c r="M59" s="1186"/>
      <c r="N59" s="1192">
        <f>X25*W22</f>
        <v>0</v>
      </c>
      <c r="O59" s="1192"/>
      <c r="P59" s="31" t="s">
        <v>617</v>
      </c>
      <c r="Q59" s="31"/>
      <c r="R59" s="1024">
        <f t="shared" si="14"/>
        <v>0</v>
      </c>
      <c r="S59" s="1024"/>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1.6947542294844687E-6</v>
      </c>
      <c r="M60" s="1186"/>
      <c r="N60" s="1191">
        <f>Q22*$X$25</f>
        <v>6.1011152261440878E-6</v>
      </c>
      <c r="O60" s="1191"/>
      <c r="P60" s="31" t="s">
        <v>617</v>
      </c>
      <c r="Q60" s="31"/>
      <c r="R60" s="1024">
        <f t="shared" si="14"/>
        <v>2.4404460904576351E-8</v>
      </c>
      <c r="S60" s="1024"/>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0</v>
      </c>
      <c r="M61" s="1186"/>
      <c r="N61" s="1191">
        <f>AC22*$X$25</f>
        <v>0</v>
      </c>
      <c r="O61" s="1191"/>
      <c r="P61" s="31" t="s">
        <v>617</v>
      </c>
      <c r="Q61" s="31"/>
      <c r="R61" s="1024">
        <f t="shared" si="14"/>
        <v>0</v>
      </c>
      <c r="S61" s="1024"/>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187">
        <f>O62*1000/3600</f>
        <v>0.84092662441332866</v>
      </c>
      <c r="M62" s="1188"/>
      <c r="N62" s="31"/>
      <c r="O62" s="394">
        <f>'Diesel F'!I56*X25</f>
        <v>3.0273358478879833</v>
      </c>
      <c r="P62" s="395" t="s">
        <v>617</v>
      </c>
      <c r="Q62" s="395"/>
      <c r="R62" s="1249">
        <f>O62*4/1000</f>
        <v>1.2109343391551933E-2</v>
      </c>
      <c r="S62" s="1249"/>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680</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682</v>
      </c>
      <c r="B65" s="31" t="s">
        <v>683</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701</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415" t="s">
        <v>38</v>
      </c>
      <c r="B67" s="31" t="s">
        <v>687</v>
      </c>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32" t="s">
        <v>41</v>
      </c>
      <c r="B68" s="147" t="s">
        <v>689</v>
      </c>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BHrBMWr6kNi5HVPUFXddFB42LBRVHJtJ9jXSpxrU73EL4kmTTU4UtjbQPJq5OlotGSNHtiSj6DYZVV/93AqSOA==" saltValue="vujIDcoRImt3QkzgbkmnWA==" spinCount="100000" sheet="1" objects="1" scenarios="1" selectLockedCells="1" selectUnlockedCells="1"/>
  <mergeCells count="473">
    <mergeCell ref="L62:M62"/>
    <mergeCell ref="R62:S62"/>
    <mergeCell ref="AE59:AF59"/>
    <mergeCell ref="L60:M60"/>
    <mergeCell ref="N60:O60"/>
    <mergeCell ref="R60:S60"/>
    <mergeCell ref="L61:M61"/>
    <mergeCell ref="N61:O61"/>
    <mergeCell ref="R61:S61"/>
    <mergeCell ref="L58:M58"/>
    <mergeCell ref="N58:O58"/>
    <mergeCell ref="R58:S58"/>
    <mergeCell ref="L59:M59"/>
    <mergeCell ref="N59:O59"/>
    <mergeCell ref="R59:S59"/>
    <mergeCell ref="T59:U59"/>
    <mergeCell ref="Y59:Z59"/>
    <mergeCell ref="AC59:AD59"/>
    <mergeCell ref="AE55:AF55"/>
    <mergeCell ref="L56:M56"/>
    <mergeCell ref="N56:O56"/>
    <mergeCell ref="R56:S56"/>
    <mergeCell ref="L57:M57"/>
    <mergeCell ref="N57:O57"/>
    <mergeCell ref="R57:S57"/>
    <mergeCell ref="T57:U57"/>
    <mergeCell ref="Y57:Z57"/>
    <mergeCell ref="AC57:AD57"/>
    <mergeCell ref="L55:M55"/>
    <mergeCell ref="N55:O55"/>
    <mergeCell ref="R55:S55"/>
    <mergeCell ref="T55:U55"/>
    <mergeCell ref="Y55:Z55"/>
    <mergeCell ref="AC55:AD55"/>
    <mergeCell ref="AE57:AF57"/>
    <mergeCell ref="AB53:AC53"/>
    <mergeCell ref="AD53:AE53"/>
    <mergeCell ref="AF53:AG53"/>
    <mergeCell ref="AH53:AI53"/>
    <mergeCell ref="AJ53:AK53"/>
    <mergeCell ref="L54:M54"/>
    <mergeCell ref="P53:Q53"/>
    <mergeCell ref="R53:S53"/>
    <mergeCell ref="T53:U53"/>
    <mergeCell ref="V53:W53"/>
    <mergeCell ref="X53:Y53"/>
    <mergeCell ref="Z53:AA53"/>
    <mergeCell ref="A53:E53"/>
    <mergeCell ref="F53:G53"/>
    <mergeCell ref="H53:I53"/>
    <mergeCell ref="J53:K53"/>
    <mergeCell ref="L53:M53"/>
    <mergeCell ref="N53:O53"/>
    <mergeCell ref="R52:S52"/>
    <mergeCell ref="T52:U52"/>
    <mergeCell ref="V52:W52"/>
    <mergeCell ref="AF51:AG51"/>
    <mergeCell ref="AH51:AI51"/>
    <mergeCell ref="AJ51:AK51"/>
    <mergeCell ref="F52:G52"/>
    <mergeCell ref="H52:I52"/>
    <mergeCell ref="J52:K52"/>
    <mergeCell ref="L52:M52"/>
    <mergeCell ref="N52:O52"/>
    <mergeCell ref="P52:Q52"/>
    <mergeCell ref="R51:S51"/>
    <mergeCell ref="T51:U51"/>
    <mergeCell ref="V51:W51"/>
    <mergeCell ref="X51:Y51"/>
    <mergeCell ref="Z51:AA51"/>
    <mergeCell ref="AB51:AC51"/>
    <mergeCell ref="AD52:AE52"/>
    <mergeCell ref="AF52:AG52"/>
    <mergeCell ref="AH52:AI52"/>
    <mergeCell ref="AJ52:AK52"/>
    <mergeCell ref="X52:Y52"/>
    <mergeCell ref="Z52:AA52"/>
    <mergeCell ref="AB52:AC52"/>
    <mergeCell ref="F51:G51"/>
    <mergeCell ref="H51:I51"/>
    <mergeCell ref="J51:K51"/>
    <mergeCell ref="L51:M51"/>
    <mergeCell ref="N51:O51"/>
    <mergeCell ref="P51:Q51"/>
    <mergeCell ref="R50:S50"/>
    <mergeCell ref="T50:U50"/>
    <mergeCell ref="V50:W50"/>
    <mergeCell ref="AD49:AE49"/>
    <mergeCell ref="J49:K49"/>
    <mergeCell ref="L49:M49"/>
    <mergeCell ref="N49:O49"/>
    <mergeCell ref="P49:Q49"/>
    <mergeCell ref="AD51:AE51"/>
    <mergeCell ref="AF49:AG49"/>
    <mergeCell ref="AH49:AI49"/>
    <mergeCell ref="AJ49:AK49"/>
    <mergeCell ref="F50:G50"/>
    <mergeCell ref="H50:I50"/>
    <mergeCell ref="J50:K50"/>
    <mergeCell ref="L50:M50"/>
    <mergeCell ref="N50:O50"/>
    <mergeCell ref="P50:Q50"/>
    <mergeCell ref="R49:S49"/>
    <mergeCell ref="T49:U49"/>
    <mergeCell ref="V49:W49"/>
    <mergeCell ref="X49:Y49"/>
    <mergeCell ref="Z49:AA49"/>
    <mergeCell ref="AB49:AC49"/>
    <mergeCell ref="AD50:AE50"/>
    <mergeCell ref="AF50:AG50"/>
    <mergeCell ref="AH50:AI50"/>
    <mergeCell ref="AJ50:AK50"/>
    <mergeCell ref="X50:Y50"/>
    <mergeCell ref="Z50:AA50"/>
    <mergeCell ref="AB50:AC50"/>
    <mergeCell ref="F49:G49"/>
    <mergeCell ref="H49:I49"/>
    <mergeCell ref="AD47:AE47"/>
    <mergeCell ref="AF47:AG47"/>
    <mergeCell ref="AH47:AI47"/>
    <mergeCell ref="AJ47:AK47"/>
    <mergeCell ref="F48:G48"/>
    <mergeCell ref="H48:I48"/>
    <mergeCell ref="J48:K48"/>
    <mergeCell ref="L48:M48"/>
    <mergeCell ref="N48:O48"/>
    <mergeCell ref="P48:Q48"/>
    <mergeCell ref="R47:S47"/>
    <mergeCell ref="T47:U47"/>
    <mergeCell ref="V47:W47"/>
    <mergeCell ref="X47:Y47"/>
    <mergeCell ref="Z47:AA47"/>
    <mergeCell ref="AB47:AC47"/>
    <mergeCell ref="AD48:AE48"/>
    <mergeCell ref="AF48:AG48"/>
    <mergeCell ref="AH48:AI48"/>
    <mergeCell ref="AJ48:AK48"/>
    <mergeCell ref="X48:Y48"/>
    <mergeCell ref="Z48:AA48"/>
    <mergeCell ref="AB48:AC48"/>
    <mergeCell ref="F47:G47"/>
    <mergeCell ref="H47:I47"/>
    <mergeCell ref="J47:K47"/>
    <mergeCell ref="L47:M47"/>
    <mergeCell ref="N47:O47"/>
    <mergeCell ref="P47:Q47"/>
    <mergeCell ref="R46:S46"/>
    <mergeCell ref="T46:U46"/>
    <mergeCell ref="V46:W46"/>
    <mergeCell ref="R48:S48"/>
    <mergeCell ref="T48:U48"/>
    <mergeCell ref="V48:W48"/>
    <mergeCell ref="AF45:AG45"/>
    <mergeCell ref="AH45:AI45"/>
    <mergeCell ref="AJ45:AK45"/>
    <mergeCell ref="F46:G46"/>
    <mergeCell ref="H46:I46"/>
    <mergeCell ref="J46:K46"/>
    <mergeCell ref="L46:M46"/>
    <mergeCell ref="N46:O46"/>
    <mergeCell ref="P46:Q46"/>
    <mergeCell ref="R45:S45"/>
    <mergeCell ref="T45:U45"/>
    <mergeCell ref="V45:W45"/>
    <mergeCell ref="X45:Y45"/>
    <mergeCell ref="Z45:AA45"/>
    <mergeCell ref="AB45:AC45"/>
    <mergeCell ref="AD46:AE46"/>
    <mergeCell ref="AF46:AG46"/>
    <mergeCell ref="AH46:AI46"/>
    <mergeCell ref="AJ46:AK46"/>
    <mergeCell ref="X46:Y46"/>
    <mergeCell ref="Z46:AA46"/>
    <mergeCell ref="AB46:AC46"/>
    <mergeCell ref="F45:G45"/>
    <mergeCell ref="H45:I45"/>
    <mergeCell ref="J45:K45"/>
    <mergeCell ref="L45:M45"/>
    <mergeCell ref="N45:O45"/>
    <mergeCell ref="P45:Q45"/>
    <mergeCell ref="R44:S44"/>
    <mergeCell ref="T44:U44"/>
    <mergeCell ref="V44:W44"/>
    <mergeCell ref="AD43:AE43"/>
    <mergeCell ref="J43:K43"/>
    <mergeCell ref="L43:M43"/>
    <mergeCell ref="N43:O43"/>
    <mergeCell ref="P43:Q43"/>
    <mergeCell ref="AD45:AE45"/>
    <mergeCell ref="AF43:AG43"/>
    <mergeCell ref="AH43:AI43"/>
    <mergeCell ref="AJ43:AK43"/>
    <mergeCell ref="F44:G44"/>
    <mergeCell ref="H44:I44"/>
    <mergeCell ref="J44:K44"/>
    <mergeCell ref="L44:M44"/>
    <mergeCell ref="N44:O44"/>
    <mergeCell ref="P44:Q44"/>
    <mergeCell ref="R43:S43"/>
    <mergeCell ref="T43:U43"/>
    <mergeCell ref="V43:W43"/>
    <mergeCell ref="X43:Y43"/>
    <mergeCell ref="Z43:AA43"/>
    <mergeCell ref="AB43:AC43"/>
    <mergeCell ref="AD44:AE44"/>
    <mergeCell ref="AF44:AG44"/>
    <mergeCell ref="AH44:AI44"/>
    <mergeCell ref="AJ44:AK44"/>
    <mergeCell ref="X44:Y44"/>
    <mergeCell ref="Z44:AA44"/>
    <mergeCell ref="AB44:AC44"/>
    <mergeCell ref="F43:G43"/>
    <mergeCell ref="H43:I43"/>
    <mergeCell ref="R42:S42"/>
    <mergeCell ref="T42:U42"/>
    <mergeCell ref="V42:W42"/>
    <mergeCell ref="AH41:AI41"/>
    <mergeCell ref="AJ41:AK41"/>
    <mergeCell ref="F42:G42"/>
    <mergeCell ref="H42:I42"/>
    <mergeCell ref="J42:K42"/>
    <mergeCell ref="L42:M42"/>
    <mergeCell ref="N42:O42"/>
    <mergeCell ref="P42:Q42"/>
    <mergeCell ref="R41:S41"/>
    <mergeCell ref="T41:U41"/>
    <mergeCell ref="V41:W41"/>
    <mergeCell ref="X41:Y41"/>
    <mergeCell ref="Z41:AA41"/>
    <mergeCell ref="AB41:AC41"/>
    <mergeCell ref="AD42:AE42"/>
    <mergeCell ref="AF42:AG42"/>
    <mergeCell ref="AH42:AI42"/>
    <mergeCell ref="AJ42:AK42"/>
    <mergeCell ref="X42:Y42"/>
    <mergeCell ref="Z42:AA42"/>
    <mergeCell ref="AB42:AC42"/>
    <mergeCell ref="AD40:AE40"/>
    <mergeCell ref="AF40:AG40"/>
    <mergeCell ref="AH40:AI40"/>
    <mergeCell ref="AJ40:AK40"/>
    <mergeCell ref="F41:G41"/>
    <mergeCell ref="H41:I41"/>
    <mergeCell ref="J41:K41"/>
    <mergeCell ref="L41:M41"/>
    <mergeCell ref="N41:O41"/>
    <mergeCell ref="P41:Q41"/>
    <mergeCell ref="R40:S40"/>
    <mergeCell ref="T40:U40"/>
    <mergeCell ref="V40:W40"/>
    <mergeCell ref="X40:Y40"/>
    <mergeCell ref="Z40:AA40"/>
    <mergeCell ref="AB40:AC40"/>
    <mergeCell ref="F40:G40"/>
    <mergeCell ref="H40:I40"/>
    <mergeCell ref="J40:K40"/>
    <mergeCell ref="L40:M40"/>
    <mergeCell ref="N40:O40"/>
    <mergeCell ref="P40:Q40"/>
    <mergeCell ref="AD41:AE41"/>
    <mergeCell ref="AF41:AG41"/>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T35:U35"/>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R33:S33"/>
    <mergeCell ref="T33:U33"/>
    <mergeCell ref="Y33:AI38"/>
    <mergeCell ref="F34:G34"/>
    <mergeCell ref="H34:I34"/>
    <mergeCell ref="J34:K34"/>
    <mergeCell ref="L34:M34"/>
    <mergeCell ref="N34:O34"/>
    <mergeCell ref="P34:Q34"/>
    <mergeCell ref="R34:S34"/>
    <mergeCell ref="F33:G33"/>
    <mergeCell ref="H33:I33"/>
    <mergeCell ref="J33:K33"/>
    <mergeCell ref="L33:M33"/>
    <mergeCell ref="N33:O33"/>
    <mergeCell ref="P33:Q33"/>
    <mergeCell ref="T34:U34"/>
    <mergeCell ref="F35:G35"/>
    <mergeCell ref="H35:I35"/>
    <mergeCell ref="J35:K35"/>
    <mergeCell ref="L35:M35"/>
    <mergeCell ref="N35:O35"/>
    <mergeCell ref="P35:Q35"/>
    <mergeCell ref="R35:S35"/>
    <mergeCell ref="F31:G31"/>
    <mergeCell ref="H31:I31"/>
    <mergeCell ref="J31:K31"/>
    <mergeCell ref="L31:M31"/>
    <mergeCell ref="N31:O31"/>
    <mergeCell ref="P31:Q31"/>
    <mergeCell ref="R31:S31"/>
    <mergeCell ref="T31:U31"/>
    <mergeCell ref="F32:G32"/>
    <mergeCell ref="H32:I32"/>
    <mergeCell ref="J32:K32"/>
    <mergeCell ref="L32:M32"/>
    <mergeCell ref="N32:O32"/>
    <mergeCell ref="P32:Q32"/>
    <mergeCell ref="R32:S32"/>
    <mergeCell ref="T32:U32"/>
    <mergeCell ref="A30:E30"/>
    <mergeCell ref="F30:G30"/>
    <mergeCell ref="H30:I30"/>
    <mergeCell ref="J30:K30"/>
    <mergeCell ref="L30:M30"/>
    <mergeCell ref="N30:O30"/>
    <mergeCell ref="A27:E27"/>
    <mergeCell ref="F27:U27"/>
    <mergeCell ref="F28:I29"/>
    <mergeCell ref="J28:M28"/>
    <mergeCell ref="N28:O29"/>
    <mergeCell ref="P28:U29"/>
    <mergeCell ref="J29:K29"/>
    <mergeCell ref="L29:M29"/>
    <mergeCell ref="P30:Q30"/>
    <mergeCell ref="R30:S30"/>
    <mergeCell ref="T30:U30"/>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F31:U52">
    <cfRule type="expression" dxfId="303" priority="2">
      <formula>F31=0</formula>
    </cfRule>
  </conditionalFormatting>
  <conditionalFormatting sqref="V31:AK32 V33:X38 AJ33:AK38 V39:AK52">
    <cfRule type="expression" dxfId="302" priority="3">
      <formula>V31=0</formula>
    </cfRule>
  </conditionalFormatting>
  <conditionalFormatting sqref="V53:AK53">
    <cfRule type="expression" dxfId="301" priority="4" stopIfTrue="1">
      <formula>V53=0</formula>
    </cfRule>
  </conditionalFormatting>
  <conditionalFormatting sqref="Y33">
    <cfRule type="expression" dxfId="300" priority="1">
      <formula>Y33=0</formula>
    </cfRule>
  </conditionalFormatting>
  <conditionalFormatting sqref="Y56:Y62 AC56:AD62 N57 N59">
    <cfRule type="expression" dxfId="299" priority="5" stopIfTrue="1">
      <formula>N56=0</formula>
    </cfRule>
  </conditionalFormatting>
  <pageMargins left="0.7" right="0.7" top="0.75" bottom="0.75" header="0.3" footer="0.3"/>
  <pageSetup paperSize="9" scale="61" orientation="portrait" r:id="rId1"/>
  <headerFooter>
    <oddFooter>&amp;C_x000D_&amp;1#&amp;"Calibri"&amp;10&amp;K000000 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CP124"/>
  <sheetViews>
    <sheetView showGridLines="0" view="pageBreakPreview" zoomScaleNormal="100" zoomScaleSheetLayoutView="100" workbookViewId="0">
      <selection activeCell="A6" sqref="A6:G6"/>
    </sheetView>
  </sheetViews>
  <sheetFormatPr defaultColWidth="3.7109375" defaultRowHeight="15"/>
  <cols>
    <col min="1" max="6" width="3.7109375" style="290"/>
    <col min="7" max="7" width="4.42578125" style="290" customWidth="1"/>
    <col min="8" max="11" width="3.7109375" style="290"/>
    <col min="12" max="12" width="6.7109375" style="290" bestFit="1" customWidth="1"/>
    <col min="13" max="13" width="5.28515625" style="290" customWidth="1"/>
    <col min="14" max="14" width="3.7109375" style="290"/>
    <col min="15" max="16" width="6.7109375" style="290" customWidth="1"/>
    <col min="17" max="18" width="3.7109375" style="290"/>
    <col min="19" max="19" width="5.42578125" style="290" customWidth="1"/>
    <col min="20" max="23" width="3.7109375" style="290"/>
    <col min="24" max="24" width="7" style="290" customWidth="1"/>
    <col min="25" max="37" width="3.7109375" style="290"/>
    <col min="38" max="38" width="3.7109375" style="247"/>
    <col min="39" max="50" width="8.7109375" style="247" customWidth="1"/>
    <col min="51" max="57" width="3.7109375" style="247"/>
    <col min="58" max="59" width="3.7109375" style="285"/>
    <col min="60" max="16384" width="3.7109375" style="247"/>
  </cols>
  <sheetData>
    <row r="1" spans="1:94"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8"/>
      <c r="AL1" s="238"/>
      <c r="AM1" s="238"/>
      <c r="AN1" s="238"/>
      <c r="AO1" s="238"/>
      <c r="AP1" s="238"/>
      <c r="AQ1" s="238"/>
      <c r="AR1" s="238"/>
      <c r="AS1" s="238"/>
      <c r="AT1" s="238"/>
      <c r="AU1" s="238"/>
      <c r="AV1" s="238"/>
      <c r="AW1" s="238"/>
      <c r="AX1" s="238"/>
      <c r="AY1" s="238"/>
      <c r="AZ1" s="238"/>
      <c r="BA1" s="238"/>
      <c r="BB1" s="238"/>
      <c r="BC1" s="238"/>
      <c r="BD1" s="238"/>
      <c r="BE1" s="238"/>
      <c r="BF1" s="239"/>
      <c r="BG1" s="239"/>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c r="CM1" s="238"/>
      <c r="CN1" s="238"/>
      <c r="CO1" s="238"/>
      <c r="CP1" s="238"/>
    </row>
    <row r="2" spans="1:94"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1"/>
      <c r="AL2" s="238"/>
      <c r="AM2" s="238"/>
      <c r="AN2" s="238"/>
      <c r="AO2" s="238"/>
      <c r="AP2" s="238"/>
      <c r="AQ2" s="238"/>
      <c r="AR2" s="238"/>
      <c r="AS2" s="238"/>
      <c r="AT2" s="238"/>
      <c r="AU2" s="238"/>
      <c r="AV2" s="238"/>
      <c r="AW2" s="238"/>
      <c r="AX2" s="238"/>
      <c r="AY2" s="238"/>
      <c r="AZ2" s="238"/>
      <c r="BA2" s="238"/>
      <c r="BB2" s="238"/>
      <c r="BC2" s="238"/>
      <c r="BD2" s="238"/>
      <c r="BE2" s="238"/>
      <c r="BF2" s="239"/>
      <c r="BG2" s="239"/>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row>
    <row r="3" spans="1:94"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1"/>
      <c r="AL3" s="238"/>
      <c r="AM3" s="238"/>
      <c r="AN3" s="238"/>
      <c r="AO3" s="238"/>
      <c r="AP3" s="238"/>
      <c r="AQ3" s="238"/>
      <c r="AR3" s="238"/>
      <c r="AS3" s="238"/>
      <c r="AT3" s="238"/>
      <c r="AU3" s="238"/>
      <c r="AV3" s="238"/>
      <c r="AW3" s="238"/>
      <c r="AX3" s="238"/>
      <c r="AY3" s="238"/>
      <c r="AZ3" s="238"/>
      <c r="BA3" s="238"/>
      <c r="BB3" s="238"/>
      <c r="BC3" s="238"/>
      <c r="BD3" s="238"/>
      <c r="BE3" s="238"/>
      <c r="BF3" s="239"/>
      <c r="BG3" s="239"/>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row>
    <row r="4" spans="1:94"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4"/>
      <c r="AL4" s="238"/>
      <c r="AM4" s="241"/>
      <c r="AN4" s="241"/>
      <c r="AO4" s="241"/>
      <c r="AP4" s="242" t="s">
        <v>576</v>
      </c>
      <c r="AQ4" s="242" t="s">
        <v>577</v>
      </c>
      <c r="AR4" s="242" t="s">
        <v>578</v>
      </c>
      <c r="AS4" s="241"/>
      <c r="AT4" s="241"/>
      <c r="AU4" s="241"/>
      <c r="AV4" s="241"/>
      <c r="AW4" s="241"/>
      <c r="AX4" s="238"/>
      <c r="AY4" s="238"/>
      <c r="AZ4" s="238"/>
      <c r="BA4" s="238"/>
      <c r="BB4" s="238"/>
      <c r="BC4" s="238"/>
      <c r="BD4" s="238"/>
      <c r="BE4" s="238"/>
      <c r="BF4" s="239"/>
      <c r="BG4" s="239"/>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row>
    <row r="5" spans="1:94" ht="15" customHeight="1">
      <c r="A5" s="875" t="s">
        <v>22</v>
      </c>
      <c r="B5" s="876"/>
      <c r="C5" s="876"/>
      <c r="D5" s="876"/>
      <c r="E5" s="876"/>
      <c r="F5" s="876"/>
      <c r="G5" s="876"/>
      <c r="H5" s="27" t="str">
        <f>'Emiss. Ops'!$C$2</f>
        <v>OMVP</v>
      </c>
      <c r="I5" s="27"/>
      <c r="J5" s="27"/>
      <c r="K5" s="27"/>
      <c r="L5" s="27"/>
      <c r="M5" s="27"/>
      <c r="N5" s="27"/>
      <c r="O5" s="27"/>
      <c r="P5" s="27"/>
      <c r="Q5" s="27"/>
      <c r="R5" s="27"/>
      <c r="S5" s="27"/>
      <c r="T5" s="27"/>
      <c r="U5" s="27"/>
      <c r="V5" s="27"/>
      <c r="W5" s="27"/>
      <c r="X5" s="27"/>
      <c r="Y5" s="876" t="s">
        <v>23</v>
      </c>
      <c r="Z5" s="876"/>
      <c r="AA5" s="876"/>
      <c r="AB5" s="876"/>
      <c r="AC5" s="877" t="str">
        <f>Effluents!$K$2</f>
        <v>PRJ-001030</v>
      </c>
      <c r="AD5" s="877"/>
      <c r="AE5" s="877"/>
      <c r="AF5" s="877"/>
      <c r="AG5" s="877"/>
      <c r="AH5" s="877"/>
      <c r="AI5" s="877"/>
      <c r="AJ5" s="877"/>
      <c r="AK5" s="878"/>
      <c r="AL5" s="243"/>
      <c r="AM5" s="244"/>
      <c r="AN5" s="244"/>
      <c r="AO5" s="244"/>
      <c r="AP5" s="245" t="s">
        <v>386</v>
      </c>
      <c r="AQ5" s="245" t="s">
        <v>729</v>
      </c>
      <c r="AR5" s="242">
        <v>1020</v>
      </c>
      <c r="AS5" s="244"/>
      <c r="AT5" s="244"/>
      <c r="AU5" s="244"/>
      <c r="AV5" s="244"/>
      <c r="AW5" s="244"/>
      <c r="AX5" s="238"/>
      <c r="AY5" s="238"/>
      <c r="AZ5" s="238"/>
      <c r="BA5" s="243"/>
      <c r="BB5" s="243"/>
      <c r="BC5" s="243"/>
      <c r="BD5" s="243"/>
      <c r="BE5" s="243"/>
      <c r="BF5" s="246"/>
      <c r="BG5" s="246"/>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row>
    <row r="6" spans="1:94" ht="15" customHeight="1">
      <c r="A6" s="862" t="s">
        <v>24</v>
      </c>
      <c r="B6" s="863"/>
      <c r="C6" s="863"/>
      <c r="D6" s="863"/>
      <c r="E6" s="863"/>
      <c r="F6" s="863"/>
      <c r="G6" s="863"/>
      <c r="H6" s="30" t="str">
        <f>'Emiss. Ops'!$C$3</f>
        <v>OMV Neptun BAT Study &amp; ESIA</v>
      </c>
      <c r="I6" s="30"/>
      <c r="J6" s="30"/>
      <c r="K6" s="30"/>
      <c r="L6" s="30"/>
      <c r="M6" s="30"/>
      <c r="N6" s="30"/>
      <c r="O6" s="30"/>
      <c r="P6" s="30"/>
      <c r="Q6" s="30"/>
      <c r="R6" s="30"/>
      <c r="S6" s="30"/>
      <c r="T6" s="30"/>
      <c r="U6" s="30"/>
      <c r="V6" s="30"/>
      <c r="W6" s="30"/>
      <c r="X6" s="30"/>
      <c r="Y6" s="863" t="s">
        <v>25</v>
      </c>
      <c r="Z6" s="863"/>
      <c r="AA6" s="863"/>
      <c r="AB6" s="863"/>
      <c r="AC6" s="860"/>
      <c r="AD6" s="860"/>
      <c r="AE6" s="860"/>
      <c r="AF6" s="860"/>
      <c r="AG6" s="860"/>
      <c r="AH6" s="860"/>
      <c r="AI6" s="860"/>
      <c r="AJ6" s="860"/>
      <c r="AK6" s="861"/>
      <c r="AL6" s="243"/>
      <c r="AM6" s="244"/>
      <c r="AN6" s="244"/>
      <c r="AO6" s="242"/>
      <c r="AP6" s="245" t="s">
        <v>406</v>
      </c>
      <c r="AQ6" s="245" t="s">
        <v>339</v>
      </c>
      <c r="AR6" s="245">
        <v>0.45400000000000001</v>
      </c>
      <c r="AS6" s="242"/>
      <c r="AT6" s="244"/>
      <c r="AU6" s="244"/>
      <c r="AV6" s="244"/>
      <c r="AW6" s="244"/>
      <c r="AX6" s="238"/>
      <c r="AY6" s="238"/>
      <c r="AZ6" s="238"/>
      <c r="BA6" s="243"/>
      <c r="BB6" s="243"/>
      <c r="BC6" s="243"/>
      <c r="BD6" s="243"/>
      <c r="BE6" s="243"/>
      <c r="BF6" s="246"/>
      <c r="BG6" s="246"/>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row>
    <row r="7" spans="1:94" ht="15" customHeight="1">
      <c r="A7" s="862" t="s">
        <v>26</v>
      </c>
      <c r="B7" s="863"/>
      <c r="C7" s="863"/>
      <c r="D7" s="863"/>
      <c r="E7" s="863"/>
      <c r="F7" s="863"/>
      <c r="G7" s="863"/>
      <c r="H7" s="30" t="str">
        <f>'Emiss. Ops'!$C$4</f>
        <v>Emissions Inventory</v>
      </c>
      <c r="I7" s="30"/>
      <c r="J7" s="30"/>
      <c r="K7" s="30"/>
      <c r="L7" s="30"/>
      <c r="M7" s="30"/>
      <c r="N7" s="30"/>
      <c r="O7" s="30"/>
      <c r="P7" s="30"/>
      <c r="Q7" s="30"/>
      <c r="R7" s="30"/>
      <c r="S7" s="30"/>
      <c r="T7" s="30"/>
      <c r="U7" s="30"/>
      <c r="V7" s="30"/>
      <c r="W7" s="30"/>
      <c r="X7" s="30"/>
      <c r="Y7" s="863" t="s">
        <v>27</v>
      </c>
      <c r="Z7" s="863"/>
      <c r="AA7" s="863"/>
      <c r="AB7" s="863"/>
      <c r="AC7" s="30" t="str">
        <f>'Emiss. Ops'!$I$4</f>
        <v>Normal Operations</v>
      </c>
      <c r="AD7" s="31"/>
      <c r="AE7" s="31"/>
      <c r="AF7" s="31"/>
      <c r="AG7" s="31"/>
      <c r="AH7" s="31"/>
      <c r="AI7" s="31"/>
      <c r="AJ7" s="31"/>
      <c r="AK7" s="32"/>
      <c r="AL7" s="243"/>
      <c r="AM7" s="244"/>
      <c r="AN7" s="244"/>
      <c r="AO7" s="242"/>
      <c r="AP7" s="245" t="s">
        <v>407</v>
      </c>
      <c r="AQ7" s="245" t="s">
        <v>730</v>
      </c>
      <c r="AR7" s="248">
        <f>0.305^3</f>
        <v>2.8372624999999999E-2</v>
      </c>
      <c r="AS7" s="242"/>
      <c r="AT7" s="244"/>
      <c r="AU7" s="244"/>
      <c r="AV7" s="244"/>
      <c r="AW7" s="244"/>
      <c r="AX7" s="238"/>
      <c r="AY7" s="238"/>
      <c r="AZ7" s="238"/>
      <c r="BA7" s="243"/>
      <c r="BB7" s="243"/>
      <c r="BC7" s="243"/>
      <c r="BD7" s="243"/>
      <c r="BE7" s="243"/>
      <c r="BF7" s="246"/>
      <c r="BG7" s="246"/>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row>
    <row r="8" spans="1:94"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8"/>
      <c r="AH8" s="1288"/>
      <c r="AI8" s="1288"/>
      <c r="AJ8" s="1288"/>
      <c r="AK8" s="1289"/>
      <c r="AL8" s="243"/>
      <c r="AM8" s="244"/>
      <c r="AN8" s="244"/>
      <c r="AO8" s="242"/>
      <c r="AP8" s="245" t="s">
        <v>729</v>
      </c>
      <c r="AQ8" s="245" t="s">
        <v>731</v>
      </c>
      <c r="AR8" s="249">
        <f>AR6/AR7 * ((AN18+273.15)/(AN20+273.15))</f>
        <v>16.912595854908194</v>
      </c>
      <c r="AS8" s="242"/>
      <c r="AT8" s="244"/>
      <c r="AU8" s="244"/>
      <c r="AV8" s="244"/>
      <c r="AW8" s="244"/>
      <c r="AX8" s="238"/>
      <c r="AY8" s="238"/>
      <c r="AZ8" s="238"/>
      <c r="BA8" s="243"/>
      <c r="BB8" s="243"/>
      <c r="BC8" s="243"/>
      <c r="BD8" s="243"/>
      <c r="BE8" s="243"/>
      <c r="BF8" s="246"/>
      <c r="BG8" s="246"/>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row>
    <row r="9" spans="1:94"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8"/>
      <c r="AH9" s="1288"/>
      <c r="AI9" s="1288"/>
      <c r="AJ9" s="1288"/>
      <c r="AK9" s="1289"/>
      <c r="AL9" s="243"/>
      <c r="AM9" s="244"/>
      <c r="AN9" s="244"/>
      <c r="AO9" s="242"/>
      <c r="AP9" s="242" t="s">
        <v>409</v>
      </c>
      <c r="AQ9" s="242" t="s">
        <v>410</v>
      </c>
      <c r="AR9" s="242">
        <v>947</v>
      </c>
      <c r="AS9" s="242"/>
      <c r="AT9" s="244"/>
      <c r="AU9" s="244"/>
      <c r="AV9" s="244"/>
      <c r="AW9" s="244"/>
      <c r="AX9" s="238"/>
      <c r="AY9" s="238"/>
      <c r="AZ9" s="238"/>
      <c r="BA9" s="243"/>
      <c r="BB9" s="243"/>
      <c r="BC9" s="243"/>
      <c r="BD9" s="243"/>
      <c r="BE9" s="243"/>
      <c r="BF9" s="246"/>
      <c r="BG9" s="246"/>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row>
    <row r="10" spans="1:94"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1283"/>
      <c r="V10" s="1283"/>
      <c r="W10" s="1283"/>
      <c r="X10" s="1283"/>
      <c r="Y10" s="859" t="s">
        <v>28</v>
      </c>
      <c r="Z10" s="859"/>
      <c r="AA10" s="859"/>
      <c r="AB10" s="859"/>
      <c r="AC10" s="1284"/>
      <c r="AD10" s="1284"/>
      <c r="AE10" s="1284"/>
      <c r="AF10" s="1285"/>
      <c r="AG10" s="1285"/>
      <c r="AH10" s="1285"/>
      <c r="AI10" s="1286"/>
      <c r="AJ10" s="1286"/>
      <c r="AK10" s="1287"/>
      <c r="AL10" s="238"/>
      <c r="AM10" s="241"/>
      <c r="AN10" s="241"/>
      <c r="AO10" s="245"/>
      <c r="AP10" s="245" t="s">
        <v>710</v>
      </c>
      <c r="AQ10" s="245" t="s">
        <v>709</v>
      </c>
      <c r="AR10" s="245">
        <v>1E-3</v>
      </c>
      <c r="AS10" s="245"/>
      <c r="AT10" s="241"/>
      <c r="AU10" s="241"/>
      <c r="AV10" s="241"/>
      <c r="AW10" s="241"/>
      <c r="AX10" s="238"/>
      <c r="AY10" s="238"/>
      <c r="AZ10" s="238"/>
      <c r="BA10" s="238"/>
      <c r="BB10" s="238"/>
      <c r="BC10" s="238"/>
      <c r="BD10" s="238"/>
      <c r="BE10" s="238"/>
      <c r="BF10" s="239"/>
      <c r="BG10" s="239"/>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row>
    <row r="11" spans="1:94" s="240" customFormat="1" ht="14.25" customHeight="1">
      <c r="A11" s="1271" t="s">
        <v>349</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3"/>
      <c r="AL11" s="238"/>
      <c r="AM11" s="241"/>
      <c r="AN11" s="241"/>
      <c r="AO11" s="245"/>
      <c r="AP11" s="245" t="s">
        <v>732</v>
      </c>
      <c r="AQ11" s="245" t="s">
        <v>409</v>
      </c>
      <c r="AR11" s="245">
        <f>1/(AR9/1000000)</f>
        <v>1055.9662090813094</v>
      </c>
      <c r="AS11" s="245"/>
      <c r="AT11" s="241"/>
      <c r="AU11" s="241"/>
      <c r="AV11" s="241"/>
      <c r="AW11" s="241"/>
      <c r="AX11" s="238"/>
      <c r="AY11" s="238"/>
      <c r="AZ11" s="238"/>
      <c r="BA11" s="238"/>
      <c r="BB11" s="238"/>
      <c r="BC11" s="238"/>
      <c r="BD11" s="238"/>
      <c r="BE11" s="238"/>
      <c r="BF11" s="239"/>
      <c r="BG11" s="239"/>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row>
    <row r="12" spans="1:94" s="240" customFormat="1" ht="14.25" customHeight="1">
      <c r="A12" s="1274"/>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5"/>
      <c r="AH12" s="1275"/>
      <c r="AI12" s="1275"/>
      <c r="AJ12" s="1275"/>
      <c r="AK12" s="1276"/>
      <c r="AL12" s="238"/>
      <c r="AM12" s="241"/>
      <c r="AN12" s="241"/>
      <c r="AO12" s="245"/>
      <c r="AP12" s="245"/>
      <c r="AQ12" s="245"/>
      <c r="AR12" s="245"/>
      <c r="AS12" s="245"/>
      <c r="AT12" s="241"/>
      <c r="AU12" s="241"/>
      <c r="AV12" s="241"/>
      <c r="AW12" s="241"/>
      <c r="AX12" s="238"/>
      <c r="AY12" s="238"/>
      <c r="AZ12" s="238"/>
      <c r="BA12" s="238"/>
      <c r="BB12" s="238"/>
      <c r="BC12" s="238"/>
      <c r="BD12" s="238"/>
      <c r="BE12" s="238"/>
      <c r="BF12" s="239"/>
      <c r="BG12" s="239"/>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row>
    <row r="13" spans="1:94" s="240" customFormat="1" ht="14.25" customHeight="1">
      <c r="A13" s="1277" t="s">
        <v>587</v>
      </c>
      <c r="B13" s="1278"/>
      <c r="C13" s="1278"/>
      <c r="D13" s="1278"/>
      <c r="E13" s="1278"/>
      <c r="F13" s="1278"/>
      <c r="G13" s="1279"/>
      <c r="H13" s="1280" t="s">
        <v>733</v>
      </c>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2"/>
      <c r="AL13" s="238"/>
      <c r="AM13" s="241"/>
      <c r="AN13" s="241"/>
      <c r="AO13" s="241"/>
      <c r="AP13" s="241"/>
      <c r="AQ13" s="241"/>
      <c r="AR13" s="241"/>
      <c r="AS13" s="241"/>
      <c r="AT13" s="241"/>
      <c r="AU13" s="241"/>
      <c r="AV13" s="241"/>
      <c r="AW13" s="241"/>
      <c r="AX13" s="241"/>
      <c r="AY13" s="241"/>
      <c r="AZ13" s="241"/>
      <c r="BA13" s="238"/>
      <c r="BB13" s="238"/>
      <c r="BC13" s="238"/>
      <c r="BD13" s="238"/>
      <c r="BE13" s="238"/>
      <c r="BF13" s="239"/>
      <c r="BG13" s="239"/>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row>
    <row r="14" spans="1:94" s="240" customFormat="1" ht="14.25" customHeight="1">
      <c r="A14" s="279" t="s">
        <v>589</v>
      </c>
      <c r="B14" s="429"/>
      <c r="C14" s="429"/>
      <c r="D14" s="429"/>
      <c r="E14" s="429"/>
      <c r="F14" s="429"/>
      <c r="G14" s="429"/>
      <c r="H14" s="1271" t="s">
        <v>590</v>
      </c>
      <c r="I14" s="1272"/>
      <c r="J14" s="1273"/>
      <c r="K14" s="1271" t="s">
        <v>591</v>
      </c>
      <c r="L14" s="1272"/>
      <c r="M14" s="1273"/>
      <c r="N14" s="1271" t="s">
        <v>592</v>
      </c>
      <c r="O14" s="1272"/>
      <c r="P14" s="1273"/>
      <c r="Q14" s="1271" t="s">
        <v>400</v>
      </c>
      <c r="R14" s="1272"/>
      <c r="S14" s="1273"/>
      <c r="T14" s="1271" t="s">
        <v>593</v>
      </c>
      <c r="U14" s="1272"/>
      <c r="V14" s="1273"/>
      <c r="W14" s="1271" t="s">
        <v>593</v>
      </c>
      <c r="X14" s="1272"/>
      <c r="Y14" s="1273"/>
      <c r="Z14" s="1271" t="s">
        <v>115</v>
      </c>
      <c r="AA14" s="1272"/>
      <c r="AB14" s="1273"/>
      <c r="AC14" s="1271" t="s">
        <v>115</v>
      </c>
      <c r="AD14" s="1272"/>
      <c r="AE14" s="1273"/>
      <c r="AF14" s="1271" t="s">
        <v>116</v>
      </c>
      <c r="AG14" s="1272"/>
      <c r="AH14" s="1273"/>
      <c r="AI14" s="1271" t="s">
        <v>116</v>
      </c>
      <c r="AJ14" s="1272"/>
      <c r="AK14" s="1273"/>
      <c r="AL14" s="238"/>
      <c r="AM14" s="241"/>
      <c r="AN14" s="241"/>
      <c r="AO14" s="241"/>
      <c r="AP14" s="241"/>
      <c r="AQ14" s="430"/>
      <c r="AR14" s="241"/>
      <c r="AS14" s="241"/>
      <c r="AT14" s="241"/>
      <c r="AU14" s="241"/>
      <c r="AV14" s="241"/>
      <c r="AW14" s="241"/>
      <c r="AX14" s="238"/>
      <c r="AY14" s="238"/>
      <c r="AZ14" s="238"/>
      <c r="BA14" s="238"/>
      <c r="BB14" s="238"/>
      <c r="BC14" s="238"/>
      <c r="BD14" s="238"/>
      <c r="BE14" s="238"/>
      <c r="BF14" s="239"/>
      <c r="BG14" s="239"/>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row>
    <row r="15" spans="1:94" s="240" customFormat="1" ht="14.25" customHeight="1">
      <c r="A15" s="250"/>
      <c r="B15" s="251"/>
      <c r="C15" s="251"/>
      <c r="D15" s="251"/>
      <c r="E15" s="251"/>
      <c r="F15" s="251"/>
      <c r="G15" s="251"/>
      <c r="H15" s="1302" t="s">
        <v>594</v>
      </c>
      <c r="I15" s="1283"/>
      <c r="J15" s="1303"/>
      <c r="K15" s="1302" t="s">
        <v>595</v>
      </c>
      <c r="L15" s="1283"/>
      <c r="M15" s="1303"/>
      <c r="N15" s="1302" t="s">
        <v>596</v>
      </c>
      <c r="O15" s="1283"/>
      <c r="P15" s="1303"/>
      <c r="Q15" s="1302" t="s">
        <v>597</v>
      </c>
      <c r="R15" s="1283"/>
      <c r="S15" s="1303"/>
      <c r="T15" s="1302" t="s">
        <v>734</v>
      </c>
      <c r="U15" s="1283"/>
      <c r="V15" s="1303"/>
      <c r="W15" s="1302" t="s">
        <v>599</v>
      </c>
      <c r="X15" s="1283"/>
      <c r="Y15" s="1303"/>
      <c r="Z15" s="1302" t="s">
        <v>734</v>
      </c>
      <c r="AA15" s="1283"/>
      <c r="AB15" s="1303"/>
      <c r="AC15" s="1302" t="s">
        <v>599</v>
      </c>
      <c r="AD15" s="1283"/>
      <c r="AE15" s="1303"/>
      <c r="AF15" s="1302" t="s">
        <v>734</v>
      </c>
      <c r="AG15" s="1283"/>
      <c r="AH15" s="1303"/>
      <c r="AI15" s="1302" t="s">
        <v>599</v>
      </c>
      <c r="AJ15" s="1283"/>
      <c r="AK15" s="1303"/>
      <c r="AL15" s="238"/>
      <c r="AM15" s="241"/>
      <c r="AN15" s="241"/>
      <c r="AO15" s="241"/>
      <c r="AP15" s="431" t="s">
        <v>393</v>
      </c>
      <c r="AQ15" s="432"/>
      <c r="AR15" s="433"/>
      <c r="AS15" s="431" t="s">
        <v>115</v>
      </c>
      <c r="AT15" s="432"/>
      <c r="AU15" s="433"/>
      <c r="AY15" s="238"/>
      <c r="AZ15" s="238"/>
      <c r="BA15" s="238"/>
      <c r="BB15" s="238"/>
      <c r="BC15" s="238"/>
      <c r="BD15" s="238"/>
      <c r="BE15" s="238"/>
      <c r="BF15" s="239"/>
      <c r="BG15" s="239"/>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row>
    <row r="16" spans="1:94" s="240" customFormat="1" ht="14.25" customHeight="1">
      <c r="A16" s="596" t="s">
        <v>735</v>
      </c>
      <c r="B16" s="435"/>
      <c r="C16" s="435"/>
      <c r="D16" s="435"/>
      <c r="E16" s="435"/>
      <c r="F16" s="435"/>
      <c r="G16" s="436"/>
      <c r="H16" s="1304"/>
      <c r="I16" s="1305"/>
      <c r="J16" s="1306"/>
      <c r="K16" s="1307"/>
      <c r="L16" s="1308"/>
      <c r="M16" s="1309"/>
      <c r="N16" s="1304"/>
      <c r="O16" s="1305"/>
      <c r="P16" s="1306"/>
      <c r="Q16" s="1310">
        <f>GTGs!Q15</f>
        <v>37.956295834166582</v>
      </c>
      <c r="R16" s="1311"/>
      <c r="S16" s="1312"/>
      <c r="T16" s="1313">
        <f>AR17</f>
        <v>1173.0576484964322</v>
      </c>
      <c r="U16" s="1314"/>
      <c r="V16" s="1315"/>
      <c r="W16" s="1316"/>
      <c r="X16" s="1317"/>
      <c r="Y16" s="1318"/>
      <c r="Z16" s="1313">
        <f>AU17</f>
        <v>6382.8136756423519</v>
      </c>
      <c r="AA16" s="1314"/>
      <c r="AB16" s="1315"/>
      <c r="AC16" s="1316"/>
      <c r="AD16" s="1317"/>
      <c r="AE16" s="1318"/>
      <c r="AF16" s="1319">
        <f>AR21</f>
        <v>40</v>
      </c>
      <c r="AG16" s="1320"/>
      <c r="AH16" s="1321"/>
      <c r="AI16" s="1304" t="s">
        <v>604</v>
      </c>
      <c r="AJ16" s="1305"/>
      <c r="AK16" s="1306"/>
      <c r="AL16" s="238"/>
      <c r="AM16" s="241" t="s">
        <v>605</v>
      </c>
      <c r="AN16" s="241"/>
      <c r="AO16" s="241"/>
      <c r="AP16" s="437" t="s">
        <v>386</v>
      </c>
      <c r="AQ16" s="437" t="s">
        <v>714</v>
      </c>
      <c r="AR16" s="437" t="s">
        <v>715</v>
      </c>
      <c r="AS16" s="437" t="s">
        <v>386</v>
      </c>
      <c r="AT16" s="437" t="s">
        <v>714</v>
      </c>
      <c r="AU16" s="437" t="s">
        <v>715</v>
      </c>
      <c r="AY16" s="238"/>
      <c r="AZ16" s="238"/>
      <c r="BA16" s="238"/>
      <c r="BB16" s="238"/>
      <c r="BC16" s="238"/>
      <c r="BD16" s="238"/>
      <c r="BE16" s="238"/>
      <c r="BF16" s="239"/>
      <c r="BG16" s="239"/>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row>
    <row r="17" spans="1:94" s="240" customFormat="1" ht="14.25" customHeight="1">
      <c r="A17" s="438" t="s">
        <v>736</v>
      </c>
      <c r="B17" s="439"/>
      <c r="C17" s="439"/>
      <c r="D17" s="439"/>
      <c r="E17" s="439"/>
      <c r="F17" s="439"/>
      <c r="G17" s="440"/>
      <c r="H17" s="1137">
        <f>CO2eEF!M16</f>
        <v>16.2</v>
      </c>
      <c r="I17" s="1138"/>
      <c r="J17" s="1139"/>
      <c r="K17" s="1231">
        <f>CO2eEF!M12</f>
        <v>0.68300000000000005</v>
      </c>
      <c r="L17" s="1232"/>
      <c r="M17" s="1233"/>
      <c r="N17" s="1137">
        <f>CO2eEF!M19</f>
        <v>49.78</v>
      </c>
      <c r="O17" s="1138"/>
      <c r="P17" s="1139"/>
      <c r="Q17" s="1137">
        <f>CO2eEF!M21</f>
        <v>37.770000000000003</v>
      </c>
      <c r="R17" s="1138"/>
      <c r="S17" s="1139"/>
      <c r="T17" s="1340">
        <f>Q17/Q16*T16</f>
        <v>1167.3000857957165</v>
      </c>
      <c r="U17" s="1341"/>
      <c r="V17" s="1342"/>
      <c r="W17" s="1322">
        <f>T17/1000000/K17</f>
        <v>1.7090777244446798E-3</v>
      </c>
      <c r="X17" s="1323"/>
      <c r="Y17" s="1324"/>
      <c r="Z17" s="1340">
        <f>Q17/Q16*Z16</f>
        <v>6351.4857609472811</v>
      </c>
      <c r="AA17" s="1341"/>
      <c r="AB17" s="1342"/>
      <c r="AC17" s="1322">
        <f>Z17/$K17/1000000</f>
        <v>9.2993935006548765E-3</v>
      </c>
      <c r="AD17" s="1323"/>
      <c r="AE17" s="1324"/>
      <c r="AF17" s="1299">
        <f>Q17/Q16*AF16</f>
        <v>39.80367332473061</v>
      </c>
      <c r="AG17" s="1300"/>
      <c r="AH17" s="1301"/>
      <c r="AI17" s="1322">
        <f>AF17/$K17/1000000</f>
        <v>5.8277706185549935E-5</v>
      </c>
      <c r="AJ17" s="1323"/>
      <c r="AK17" s="1324"/>
      <c r="AL17" s="238"/>
      <c r="AM17" s="441" t="s">
        <v>606</v>
      </c>
      <c r="AN17" s="241">
        <v>60</v>
      </c>
      <c r="AO17" s="241" t="s">
        <v>607</v>
      </c>
      <c r="AP17" s="442">
        <v>6.8000000000000005E-2</v>
      </c>
      <c r="AQ17" s="443">
        <f>AR5*$AP$17</f>
        <v>69.36</v>
      </c>
      <c r="AR17" s="443">
        <f>$AR$8*AQ17</f>
        <v>1173.0576484964322</v>
      </c>
      <c r="AS17" s="444">
        <v>0.37</v>
      </c>
      <c r="AT17" s="445">
        <f>AS17*AR5</f>
        <v>377.4</v>
      </c>
      <c r="AU17" s="446">
        <f>AT17*AR8</f>
        <v>6382.8136756423519</v>
      </c>
      <c r="AY17" s="238"/>
      <c r="AZ17" s="238"/>
      <c r="BA17" s="238"/>
      <c r="BB17" s="238"/>
      <c r="BC17" s="238"/>
      <c r="BD17" s="238"/>
      <c r="BE17" s="238"/>
      <c r="BF17" s="239"/>
      <c r="BG17" s="239"/>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row>
    <row r="18" spans="1:94" s="240" customFormat="1" ht="14.25" customHeight="1">
      <c r="A18" s="133"/>
      <c r="B18" s="251"/>
      <c r="C18" s="251"/>
      <c r="D18" s="251"/>
      <c r="E18" s="251"/>
      <c r="F18" s="251"/>
      <c r="G18" s="251"/>
      <c r="H18" s="1325"/>
      <c r="I18" s="1326"/>
      <c r="J18" s="1327"/>
      <c r="K18" s="1328"/>
      <c r="L18" s="1329"/>
      <c r="M18" s="1330"/>
      <c r="N18" s="1331"/>
      <c r="O18" s="1332"/>
      <c r="P18" s="1333"/>
      <c r="Q18" s="1334"/>
      <c r="R18" s="1335"/>
      <c r="S18" s="1336"/>
      <c r="T18" s="1337"/>
      <c r="U18" s="1338"/>
      <c r="V18" s="1339"/>
      <c r="W18" s="1302"/>
      <c r="X18" s="1283"/>
      <c r="Y18" s="1303"/>
      <c r="Z18" s="1337"/>
      <c r="AA18" s="1338"/>
      <c r="AB18" s="1339"/>
      <c r="AC18" s="1302"/>
      <c r="AD18" s="1283"/>
      <c r="AE18" s="1303"/>
      <c r="AF18" s="1343"/>
      <c r="AG18" s="1344"/>
      <c r="AH18" s="1345"/>
      <c r="AI18" s="1302"/>
      <c r="AJ18" s="1283"/>
      <c r="AK18" s="1303"/>
      <c r="AL18" s="238"/>
      <c r="AM18" s="441" t="s">
        <v>608</v>
      </c>
      <c r="AN18" s="447">
        <f>(AN17 - 32) * 5/9</f>
        <v>15.555555555555555</v>
      </c>
      <c r="AO18" s="241" t="s">
        <v>609</v>
      </c>
      <c r="AP18" s="444"/>
      <c r="AQ18" s="448"/>
      <c r="AR18" s="446"/>
      <c r="AS18" s="444"/>
      <c r="AT18" s="445"/>
      <c r="AU18" s="446"/>
      <c r="AY18" s="238"/>
      <c r="AZ18" s="238"/>
      <c r="BA18" s="238"/>
      <c r="BB18" s="238"/>
      <c r="BC18" s="238"/>
      <c r="BD18" s="238"/>
      <c r="BE18" s="238"/>
      <c r="BF18" s="239"/>
      <c r="BG18" s="239"/>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row>
    <row r="19" spans="1:94" s="240" customFormat="1" ht="14.25" customHeight="1">
      <c r="A19" s="279" t="s">
        <v>589</v>
      </c>
      <c r="B19" s="429"/>
      <c r="C19" s="429"/>
      <c r="D19" s="429"/>
      <c r="E19" s="429"/>
      <c r="F19" s="429"/>
      <c r="G19" s="449"/>
      <c r="H19" s="1271" t="s">
        <v>122</v>
      </c>
      <c r="I19" s="1272"/>
      <c r="J19" s="1273"/>
      <c r="K19" s="1271" t="s">
        <v>122</v>
      </c>
      <c r="L19" s="1272"/>
      <c r="M19" s="1273"/>
      <c r="N19" s="1271" t="s">
        <v>124</v>
      </c>
      <c r="O19" s="1272"/>
      <c r="P19" s="1273"/>
      <c r="Q19" s="1271" t="s">
        <v>124</v>
      </c>
      <c r="R19" s="1272"/>
      <c r="S19" s="1273"/>
      <c r="T19" s="1117" t="s">
        <v>123</v>
      </c>
      <c r="U19" s="1118"/>
      <c r="V19" s="1119"/>
      <c r="W19" s="1117" t="s">
        <v>123</v>
      </c>
      <c r="X19" s="1118"/>
      <c r="Y19" s="1119"/>
      <c r="Z19" s="1117" t="s">
        <v>716</v>
      </c>
      <c r="AA19" s="1118"/>
      <c r="AB19" s="1119"/>
      <c r="AC19" s="1117" t="s">
        <v>125</v>
      </c>
      <c r="AD19" s="1118"/>
      <c r="AE19" s="1119"/>
      <c r="AF19" s="30"/>
      <c r="AG19" s="30"/>
      <c r="AH19" s="30"/>
      <c r="AI19" s="30"/>
      <c r="AJ19" s="30"/>
      <c r="AK19" s="280"/>
      <c r="AL19" s="238"/>
      <c r="AM19" s="241"/>
      <c r="AN19" s="241"/>
      <c r="AO19" s="241"/>
      <c r="AP19" s="431" t="s">
        <v>116</v>
      </c>
      <c r="AQ19" s="432"/>
      <c r="AR19" s="433"/>
      <c r="AS19" s="431" t="s">
        <v>122</v>
      </c>
      <c r="AT19" s="432"/>
      <c r="AU19" s="433"/>
      <c r="AV19" s="238"/>
      <c r="AW19" s="238"/>
      <c r="AX19" s="238"/>
      <c r="AY19" s="238"/>
      <c r="AZ19" s="238"/>
      <c r="BA19" s="238"/>
      <c r="BB19" s="238"/>
      <c r="BC19" s="238"/>
      <c r="BD19" s="238"/>
      <c r="BE19" s="238"/>
      <c r="BF19" s="239"/>
      <c r="BG19" s="239"/>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row>
    <row r="20" spans="1:94" s="240" customFormat="1" ht="14.25" customHeight="1">
      <c r="A20" s="250"/>
      <c r="B20" s="251"/>
      <c r="C20" s="251"/>
      <c r="D20" s="251"/>
      <c r="E20" s="251"/>
      <c r="F20" s="251"/>
      <c r="G20" s="450"/>
      <c r="H20" s="1302" t="s">
        <v>734</v>
      </c>
      <c r="I20" s="1283"/>
      <c r="J20" s="1303"/>
      <c r="K20" s="1302" t="s">
        <v>599</v>
      </c>
      <c r="L20" s="1283"/>
      <c r="M20" s="1303"/>
      <c r="N20" s="1302" t="s">
        <v>734</v>
      </c>
      <c r="O20" s="1283"/>
      <c r="P20" s="1303"/>
      <c r="Q20" s="1302" t="s">
        <v>599</v>
      </c>
      <c r="R20" s="1283"/>
      <c r="S20" s="1303"/>
      <c r="T20" s="1089" t="s">
        <v>598</v>
      </c>
      <c r="U20" s="1090"/>
      <c r="V20" s="1091"/>
      <c r="W20" s="1089" t="s">
        <v>599</v>
      </c>
      <c r="X20" s="1090"/>
      <c r="Y20" s="1091"/>
      <c r="Z20" s="1089" t="s">
        <v>598</v>
      </c>
      <c r="AA20" s="1090"/>
      <c r="AB20" s="1091"/>
      <c r="AC20" s="1089" t="s">
        <v>599</v>
      </c>
      <c r="AD20" s="1090"/>
      <c r="AE20" s="1091"/>
      <c r="AF20" s="30"/>
      <c r="AG20" s="30"/>
      <c r="AH20" s="30"/>
      <c r="AI20" s="30"/>
      <c r="AJ20" s="30"/>
      <c r="AK20" s="253"/>
      <c r="AL20" s="238"/>
      <c r="AM20" s="441"/>
      <c r="AN20" s="241"/>
      <c r="AO20" s="241"/>
      <c r="AP20" s="437" t="s">
        <v>737</v>
      </c>
      <c r="AQ20" s="451" t="s">
        <v>738</v>
      </c>
      <c r="AR20" s="451" t="s">
        <v>731</v>
      </c>
      <c r="AS20" s="437" t="s">
        <v>386</v>
      </c>
      <c r="AT20" s="437" t="s">
        <v>714</v>
      </c>
      <c r="AU20" s="437" t="s">
        <v>715</v>
      </c>
      <c r="AV20" s="238"/>
      <c r="AW20" s="238"/>
      <c r="AX20" s="238"/>
      <c r="AY20" s="238"/>
      <c r="AZ20" s="238"/>
      <c r="BA20" s="238"/>
      <c r="BB20" s="238"/>
      <c r="BC20" s="238"/>
      <c r="BD20" s="238"/>
      <c r="BE20" s="238"/>
      <c r="BF20" s="239"/>
      <c r="BG20" s="239"/>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row>
    <row r="21" spans="1:94" s="240" customFormat="1" ht="14.25" customHeight="1">
      <c r="A21" s="596" t="s">
        <v>735</v>
      </c>
      <c r="B21" s="597"/>
      <c r="C21" s="597"/>
      <c r="D21" s="597"/>
      <c r="E21" s="597"/>
      <c r="F21" s="597"/>
      <c r="G21" s="598"/>
      <c r="H21" s="1313">
        <f>AU21</f>
        <v>2415.11868808089</v>
      </c>
      <c r="I21" s="1314"/>
      <c r="J21" s="1315"/>
      <c r="K21" s="1304"/>
      <c r="L21" s="1305"/>
      <c r="M21" s="1306"/>
      <c r="N21" s="1364"/>
      <c r="O21" s="1365"/>
      <c r="P21" s="1366"/>
      <c r="Q21" s="1367"/>
      <c r="R21" s="1368"/>
      <c r="S21" s="1369"/>
      <c r="T21" s="1262"/>
      <c r="U21" s="1263"/>
      <c r="V21" s="1264"/>
      <c r="W21" s="1265"/>
      <c r="X21" s="1266"/>
      <c r="Y21" s="1267"/>
      <c r="Z21" s="1262"/>
      <c r="AA21" s="1263"/>
      <c r="AB21" s="1264"/>
      <c r="AC21" s="1268"/>
      <c r="AD21" s="1269"/>
      <c r="AE21" s="1270"/>
      <c r="AF21" s="30"/>
      <c r="AG21" s="30"/>
      <c r="AH21" s="30"/>
      <c r="AI21" s="30"/>
      <c r="AJ21" s="30"/>
      <c r="AK21" s="253"/>
      <c r="AL21" s="238"/>
      <c r="AM21" s="241"/>
      <c r="AN21" s="241"/>
      <c r="AO21" s="241"/>
      <c r="AP21" s="444">
        <v>40</v>
      </c>
      <c r="AQ21" s="452">
        <f>AP21/1000000/1000/AR10</f>
        <v>4.0000000000000003E-5</v>
      </c>
      <c r="AR21" s="446">
        <f>AQ21*1000000</f>
        <v>40</v>
      </c>
      <c r="AS21" s="444">
        <v>0.14000000000000001</v>
      </c>
      <c r="AT21" s="443">
        <f>AS21*$AR$5</f>
        <v>142.80000000000001</v>
      </c>
      <c r="AU21" s="443">
        <f>$AR$8*AT21</f>
        <v>2415.11868808089</v>
      </c>
      <c r="AV21" s="238"/>
      <c r="AW21" s="238"/>
      <c r="AX21" s="238"/>
      <c r="AY21" s="238"/>
      <c r="AZ21" s="238"/>
      <c r="BA21" s="238"/>
      <c r="BB21" s="238"/>
      <c r="BC21" s="238"/>
      <c r="BD21" s="238"/>
      <c r="BE21" s="238"/>
      <c r="BF21" s="239"/>
      <c r="BG21" s="239"/>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row>
    <row r="22" spans="1:94" s="240" customFormat="1" ht="14.25" customHeight="1">
      <c r="A22" s="438" t="str">
        <f>A17</f>
        <v>Flare - Fuel Gas</v>
      </c>
      <c r="B22" s="439"/>
      <c r="C22" s="439"/>
      <c r="D22" s="439"/>
      <c r="E22" s="439"/>
      <c r="F22" s="439"/>
      <c r="G22" s="440"/>
      <c r="H22" s="1340">
        <f>Q17/Q16*H21</f>
        <v>2403.2648825205929</v>
      </c>
      <c r="I22" s="1341"/>
      <c r="J22" s="1342"/>
      <c r="K22" s="1322">
        <f>H22/1000000/$K17</f>
        <v>3.5186894326802239E-3</v>
      </c>
      <c r="L22" s="1323"/>
      <c r="M22" s="1324"/>
      <c r="N22" s="1346"/>
      <c r="O22" s="1347"/>
      <c r="P22" s="1348"/>
      <c r="Q22" s="1349"/>
      <c r="R22" s="1350"/>
      <c r="S22" s="1351"/>
      <c r="T22" s="1256"/>
      <c r="U22" s="1257"/>
      <c r="V22" s="1258"/>
      <c r="W22" s="1253"/>
      <c r="X22" s="1254"/>
      <c r="Y22" s="1255"/>
      <c r="Z22" s="1250"/>
      <c r="AA22" s="1251"/>
      <c r="AB22" s="1252"/>
      <c r="AC22" s="1253"/>
      <c r="AD22" s="1254"/>
      <c r="AE22" s="1255"/>
      <c r="AF22" s="30"/>
      <c r="AG22" s="30"/>
      <c r="AH22" s="30"/>
      <c r="AI22" s="30"/>
      <c r="AJ22" s="30"/>
      <c r="AK22" s="253"/>
      <c r="AL22" s="238"/>
      <c r="AM22" s="241"/>
      <c r="AN22" s="241"/>
      <c r="AO22" s="241"/>
      <c r="AP22" s="444"/>
      <c r="AQ22" s="452"/>
      <c r="AR22" s="446"/>
      <c r="AS22" s="444"/>
      <c r="AT22" s="445"/>
      <c r="AU22" s="446"/>
      <c r="AV22" s="238"/>
      <c r="AW22" s="238"/>
      <c r="AX22" s="238"/>
      <c r="AY22" s="238"/>
      <c r="AZ22" s="238"/>
      <c r="BA22" s="238"/>
      <c r="BB22" s="238"/>
      <c r="BC22" s="238"/>
      <c r="BD22" s="238"/>
      <c r="BE22" s="238"/>
      <c r="BF22" s="239"/>
      <c r="BG22" s="239"/>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row>
    <row r="23" spans="1:94" s="240" customFormat="1" ht="14.25" customHeight="1">
      <c r="A23" s="133"/>
      <c r="B23" s="30"/>
      <c r="C23" s="30"/>
      <c r="D23" s="30"/>
      <c r="E23" s="30"/>
      <c r="F23" s="30"/>
      <c r="G23" s="253"/>
      <c r="H23" s="1352"/>
      <c r="I23" s="1353"/>
      <c r="J23" s="1354"/>
      <c r="K23" s="1355"/>
      <c r="L23" s="1356"/>
      <c r="M23" s="1357"/>
      <c r="N23" s="1358"/>
      <c r="O23" s="1359"/>
      <c r="P23" s="1360"/>
      <c r="Q23" s="1361"/>
      <c r="R23" s="1362"/>
      <c r="S23" s="1363"/>
      <c r="T23" s="1256"/>
      <c r="U23" s="1257"/>
      <c r="V23" s="1258"/>
      <c r="W23" s="1259"/>
      <c r="X23" s="1260"/>
      <c r="Y23" s="1261"/>
      <c r="Z23" s="1259"/>
      <c r="AA23" s="1260"/>
      <c r="AB23" s="1261"/>
      <c r="AC23" s="1259"/>
      <c r="AD23" s="1260"/>
      <c r="AE23" s="1261"/>
      <c r="AF23" s="30"/>
      <c r="AG23" s="30"/>
      <c r="AH23" s="30"/>
      <c r="AI23" s="30"/>
      <c r="AJ23" s="30"/>
      <c r="AK23" s="253"/>
      <c r="AL23" s="238"/>
      <c r="AM23" s="453">
        <f>X25/K17</f>
        <v>42.459736456808201</v>
      </c>
      <c r="AN23" s="241"/>
      <c r="AO23" s="241"/>
      <c r="AS23" s="245"/>
      <c r="AT23" s="454"/>
      <c r="AU23" s="455"/>
      <c r="AV23" s="238"/>
      <c r="AW23" s="238"/>
      <c r="AX23" s="238"/>
      <c r="AY23" s="238"/>
      <c r="AZ23" s="238"/>
      <c r="BA23" s="238"/>
      <c r="BB23" s="238"/>
      <c r="BC23" s="238"/>
      <c r="BD23" s="238"/>
      <c r="BE23" s="238"/>
      <c r="BF23" s="239"/>
      <c r="BG23" s="239"/>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row>
    <row r="24" spans="1:94" s="240" customFormat="1" ht="14.25" customHeight="1">
      <c r="A24" s="279" t="s">
        <v>612</v>
      </c>
      <c r="B24" s="132"/>
      <c r="C24" s="132"/>
      <c r="D24" s="132"/>
      <c r="E24" s="132"/>
      <c r="F24" s="132"/>
      <c r="G24" s="132"/>
      <c r="H24" s="132"/>
      <c r="I24" s="132"/>
      <c r="J24" s="132"/>
      <c r="K24" s="132"/>
      <c r="L24" s="132"/>
      <c r="M24" s="132"/>
      <c r="N24" s="132"/>
      <c r="O24" s="132"/>
      <c r="P24" s="132"/>
      <c r="Q24" s="132"/>
      <c r="R24" s="132"/>
      <c r="S24" s="280"/>
      <c r="T24" s="587" t="s">
        <v>613</v>
      </c>
      <c r="U24" s="435"/>
      <c r="V24" s="435"/>
      <c r="W24" s="435"/>
      <c r="X24" s="435"/>
      <c r="Y24" s="435"/>
      <c r="Z24" s="435"/>
      <c r="AA24" s="435"/>
      <c r="AB24" s="435"/>
      <c r="AC24" s="435"/>
      <c r="AD24" s="435"/>
      <c r="AE24" s="435"/>
      <c r="AF24" s="435"/>
      <c r="AG24" s="435"/>
      <c r="AH24" s="435"/>
      <c r="AI24" s="435"/>
      <c r="AJ24" s="435"/>
      <c r="AK24" s="436"/>
      <c r="AL24" s="238"/>
      <c r="AM24" s="241"/>
      <c r="AN24" s="241"/>
      <c r="AO24" s="241"/>
      <c r="AP24" s="241"/>
      <c r="AQ24" s="241"/>
      <c r="AR24" s="241"/>
      <c r="AS24" s="241"/>
      <c r="AT24" s="241"/>
      <c r="AU24" s="241"/>
      <c r="AV24" s="241"/>
      <c r="AW24" s="241"/>
      <c r="AX24" s="238"/>
      <c r="AY24" s="238"/>
      <c r="AZ24" s="238"/>
      <c r="BA24" s="238"/>
      <c r="BB24" s="238"/>
      <c r="BC24" s="238"/>
      <c r="BD24" s="238"/>
      <c r="BE24" s="238"/>
      <c r="BF24" s="239"/>
      <c r="BG24" s="239"/>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row>
    <row r="25" spans="1:94" s="240" customFormat="1" ht="14.25" customHeight="1">
      <c r="A25" s="133" t="s">
        <v>614</v>
      </c>
      <c r="B25" s="30"/>
      <c r="C25" s="30"/>
      <c r="D25" s="30"/>
      <c r="E25" s="30"/>
      <c r="F25" s="30"/>
      <c r="G25" s="30"/>
      <c r="H25" s="588"/>
      <c r="I25" s="30" t="s">
        <v>590</v>
      </c>
      <c r="J25" s="30"/>
      <c r="K25" s="30"/>
      <c r="L25" s="30" t="s">
        <v>615</v>
      </c>
      <c r="M25" s="30"/>
      <c r="N25" s="30"/>
      <c r="O25" s="30"/>
      <c r="P25" s="30"/>
      <c r="Q25" s="30"/>
      <c r="R25" s="30"/>
      <c r="S25" s="253" t="s">
        <v>616</v>
      </c>
      <c r="T25" s="1294" t="str">
        <f>A17</f>
        <v>Flare - Fuel Gas</v>
      </c>
      <c r="U25" s="1295"/>
      <c r="V25" s="1295"/>
      <c r="W25" s="1295"/>
      <c r="X25" s="1296">
        <f>X42*1000/365.25/24</f>
        <v>29.000000000000004</v>
      </c>
      <c r="Y25" s="1296"/>
      <c r="Z25" s="1296"/>
      <c r="AA25" s="1295" t="s">
        <v>617</v>
      </c>
      <c r="AB25" s="1295"/>
      <c r="AC25" s="1297">
        <f>X25/H17</f>
        <v>1.7901234567901239</v>
      </c>
      <c r="AD25" s="1297"/>
      <c r="AE25" s="1295" t="s">
        <v>618</v>
      </c>
      <c r="AF25" s="1295"/>
      <c r="AG25" s="1295"/>
      <c r="AH25" s="1298">
        <f>X25*N17/3600</f>
        <v>0.40100555555555562</v>
      </c>
      <c r="AI25" s="1298"/>
      <c r="AJ25" s="479" t="s">
        <v>590</v>
      </c>
      <c r="AK25" s="480"/>
      <c r="AL25" s="238"/>
      <c r="AM25" s="254">
        <f>X25*W22</f>
        <v>0</v>
      </c>
      <c r="AN25" s="241"/>
      <c r="AO25" s="241"/>
      <c r="AP25" s="241"/>
      <c r="AQ25" s="241"/>
      <c r="AR25" s="241"/>
      <c r="AS25" s="241"/>
      <c r="AT25" s="241"/>
      <c r="AU25" s="241"/>
      <c r="AV25" s="241"/>
      <c r="AW25" s="241"/>
      <c r="AX25" s="238"/>
      <c r="AY25" s="238"/>
      <c r="AZ25" s="238"/>
      <c r="BA25" s="238"/>
      <c r="BB25" s="238"/>
      <c r="BC25" s="238"/>
      <c r="BD25" s="238"/>
      <c r="BE25" s="238"/>
      <c r="BF25" s="239"/>
      <c r="BG25" s="239"/>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row>
    <row r="26" spans="1:94" s="240" customFormat="1" ht="14.25" customHeight="1">
      <c r="A26" s="250" t="s">
        <v>619</v>
      </c>
      <c r="B26" s="251"/>
      <c r="C26" s="251"/>
      <c r="D26" s="251"/>
      <c r="E26" s="251"/>
      <c r="F26" s="251"/>
      <c r="G26" s="251"/>
      <c r="H26" s="252"/>
      <c r="I26" s="251" t="s">
        <v>590</v>
      </c>
      <c r="J26" s="251"/>
      <c r="K26" s="251"/>
      <c r="L26" s="251"/>
      <c r="M26" s="251"/>
      <c r="N26" s="251"/>
      <c r="O26" s="251"/>
      <c r="P26" s="251"/>
      <c r="Q26" s="251"/>
      <c r="R26" s="251"/>
      <c r="S26" s="450"/>
      <c r="T26" s="1292"/>
      <c r="U26" s="1286"/>
      <c r="V26" s="860"/>
      <c r="W26" s="860"/>
      <c r="X26" s="1293"/>
      <c r="Y26" s="1293"/>
      <c r="Z26" s="1293"/>
      <c r="AA26" s="860"/>
      <c r="AB26" s="860"/>
      <c r="AC26" s="1293"/>
      <c r="AD26" s="1293"/>
      <c r="AE26" s="860"/>
      <c r="AF26" s="860"/>
      <c r="AG26" s="860"/>
      <c r="AH26" s="1293"/>
      <c r="AI26" s="1293"/>
      <c r="AJ26" s="30"/>
      <c r="AK26" s="253"/>
      <c r="AL26" s="238"/>
      <c r="AM26" s="254">
        <f>W22*SUM(N33:O42)</f>
        <v>0</v>
      </c>
      <c r="AN26" s="241"/>
      <c r="AO26" s="241"/>
      <c r="AP26" s="241"/>
      <c r="AQ26" s="241"/>
      <c r="AR26" s="241"/>
      <c r="AS26" s="241"/>
      <c r="AT26" s="241"/>
      <c r="AU26" s="241"/>
      <c r="AV26" s="241"/>
      <c r="AW26" s="241"/>
      <c r="AX26" s="238"/>
      <c r="AY26" s="238"/>
      <c r="AZ26" s="238"/>
      <c r="BA26" s="238"/>
      <c r="BB26" s="238"/>
      <c r="BC26" s="238"/>
      <c r="BD26" s="238"/>
      <c r="BE26" s="238"/>
      <c r="BF26" s="239"/>
      <c r="BG26" s="239"/>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row>
    <row r="27" spans="1:94" s="240" customFormat="1" ht="14.25" customHeight="1">
      <c r="A27" s="1370" t="s">
        <v>718</v>
      </c>
      <c r="B27" s="1370"/>
      <c r="C27" s="1370"/>
      <c r="D27" s="1370"/>
      <c r="E27" s="1370"/>
      <c r="F27" s="1371" t="str">
        <f>A17</f>
        <v>Flare - Fuel Gas</v>
      </c>
      <c r="G27" s="1372"/>
      <c r="H27" s="1372"/>
      <c r="I27" s="1372"/>
      <c r="J27" s="1372"/>
      <c r="K27" s="1372"/>
      <c r="L27" s="1372"/>
      <c r="M27" s="1372"/>
      <c r="N27" s="1372"/>
      <c r="O27" s="1372"/>
      <c r="P27" s="1372"/>
      <c r="Q27" s="1372"/>
      <c r="R27" s="1372"/>
      <c r="S27" s="1372"/>
      <c r="T27" s="1372"/>
      <c r="U27" s="1373"/>
      <c r="V27" s="30"/>
      <c r="W27" s="1402" t="s">
        <v>739</v>
      </c>
      <c r="X27" s="1184"/>
      <c r="Y27" s="1184"/>
      <c r="Z27" s="1184"/>
      <c r="AA27" s="1184"/>
      <c r="AB27" s="1184"/>
      <c r="AC27" s="1184"/>
      <c r="AD27" s="1184"/>
      <c r="AE27" s="1184"/>
      <c r="AF27" s="1184"/>
      <c r="AG27" s="1184"/>
      <c r="AH27" s="1184"/>
      <c r="AI27" s="1184"/>
      <c r="AJ27" s="1184"/>
      <c r="AK27" s="253"/>
      <c r="AL27" s="255"/>
      <c r="AM27" s="241"/>
      <c r="AN27" s="241"/>
      <c r="AO27" s="241"/>
      <c r="AP27" s="241"/>
      <c r="AQ27" s="241"/>
      <c r="AR27" s="241"/>
      <c r="AS27" s="241"/>
      <c r="AT27" s="241"/>
      <c r="AU27" s="241"/>
      <c r="AV27" s="241"/>
      <c r="AW27" s="241"/>
      <c r="AX27" s="241"/>
      <c r="AY27" s="241"/>
      <c r="AZ27" s="238"/>
      <c r="BA27" s="238"/>
      <c r="BB27" s="238"/>
      <c r="BC27" s="238"/>
      <c r="BD27" s="238"/>
      <c r="BE27" s="238"/>
      <c r="BF27" s="239"/>
      <c r="BG27" s="239"/>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row>
    <row r="28" spans="1:94" s="240" customFormat="1" ht="14.25" customHeight="1">
      <c r="A28" s="256" t="s">
        <v>620</v>
      </c>
      <c r="B28" s="30"/>
      <c r="C28" s="30"/>
      <c r="D28" s="30"/>
      <c r="E28" s="30"/>
      <c r="F28" s="1374"/>
      <c r="G28" s="1374"/>
      <c r="H28" s="1374"/>
      <c r="I28" s="1374"/>
      <c r="J28" s="1375" t="s">
        <v>120</v>
      </c>
      <c r="K28" s="1375"/>
      <c r="L28" s="1375"/>
      <c r="M28" s="1375"/>
      <c r="N28" s="1374" t="s">
        <v>621</v>
      </c>
      <c r="O28" s="1374"/>
      <c r="P28" s="1375" t="s">
        <v>622</v>
      </c>
      <c r="Q28" s="1375"/>
      <c r="R28" s="1375"/>
      <c r="S28" s="1375"/>
      <c r="T28" s="1375"/>
      <c r="U28" s="1375"/>
      <c r="V28" s="257"/>
      <c r="W28" s="1184"/>
      <c r="X28" s="1184"/>
      <c r="Y28" s="1184"/>
      <c r="Z28" s="1184"/>
      <c r="AA28" s="1184"/>
      <c r="AB28" s="1184"/>
      <c r="AC28" s="1184"/>
      <c r="AD28" s="1184"/>
      <c r="AE28" s="1184"/>
      <c r="AF28" s="1184"/>
      <c r="AG28" s="1184"/>
      <c r="AH28" s="1184"/>
      <c r="AI28" s="1184"/>
      <c r="AJ28" s="1184"/>
      <c r="AK28" s="253"/>
      <c r="AL28" s="255"/>
      <c r="AM28" s="241"/>
      <c r="AN28" s="241"/>
      <c r="AO28" s="241"/>
      <c r="AP28" s="241"/>
      <c r="AQ28" s="241"/>
      <c r="AR28" s="241"/>
      <c r="AS28" s="241"/>
      <c r="AT28" s="241"/>
      <c r="AU28" s="241"/>
      <c r="AV28" s="241"/>
      <c r="AW28" s="241"/>
      <c r="AX28" s="241"/>
      <c r="AY28" s="241"/>
      <c r="AZ28" s="238"/>
      <c r="BA28" s="238"/>
      <c r="BB28" s="238"/>
      <c r="BC28" s="238"/>
      <c r="BD28" s="238"/>
      <c r="BE28" s="238"/>
      <c r="BF28" s="239"/>
      <c r="BG28" s="239"/>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38"/>
      <c r="CN28" s="238"/>
      <c r="CO28" s="238"/>
      <c r="CP28" s="238"/>
    </row>
    <row r="29" spans="1:94" s="240" customFormat="1" ht="14.25" customHeight="1">
      <c r="A29" s="133"/>
      <c r="B29" s="30"/>
      <c r="C29" s="30"/>
      <c r="D29" s="30"/>
      <c r="E29" s="30"/>
      <c r="F29" s="1374"/>
      <c r="G29" s="1374"/>
      <c r="H29" s="1374"/>
      <c r="I29" s="1374"/>
      <c r="J29" s="1375" t="s">
        <v>624</v>
      </c>
      <c r="K29" s="1375"/>
      <c r="L29" s="1375" t="s">
        <v>625</v>
      </c>
      <c r="M29" s="1375"/>
      <c r="N29" s="1374"/>
      <c r="O29" s="1374"/>
      <c r="P29" s="1375"/>
      <c r="Q29" s="1375"/>
      <c r="R29" s="1375"/>
      <c r="S29" s="1375"/>
      <c r="T29" s="1375"/>
      <c r="U29" s="1375"/>
      <c r="V29" s="257"/>
      <c r="W29" s="1184"/>
      <c r="X29" s="1184"/>
      <c r="Y29" s="1184"/>
      <c r="Z29" s="1184"/>
      <c r="AA29" s="1184"/>
      <c r="AB29" s="1184"/>
      <c r="AC29" s="1184"/>
      <c r="AD29" s="1184"/>
      <c r="AE29" s="1184"/>
      <c r="AF29" s="1184"/>
      <c r="AG29" s="1184"/>
      <c r="AH29" s="1184"/>
      <c r="AI29" s="1184"/>
      <c r="AJ29" s="1184"/>
      <c r="AK29" s="253"/>
      <c r="AL29" s="258"/>
      <c r="AM29" s="259" t="s">
        <v>740</v>
      </c>
      <c r="AN29" s="259"/>
      <c r="AO29" s="259"/>
      <c r="AP29" s="259"/>
      <c r="AQ29" s="259"/>
      <c r="AR29" s="259"/>
      <c r="AS29" s="259" t="s">
        <v>741</v>
      </c>
      <c r="AT29" s="259"/>
      <c r="AU29" s="259" t="s">
        <v>742</v>
      </c>
      <c r="AV29" s="259"/>
      <c r="AW29" s="259"/>
      <c r="AX29" s="259"/>
      <c r="AY29" s="258"/>
      <c r="AZ29" s="238"/>
      <c r="BA29" s="238"/>
      <c r="BB29" s="238"/>
      <c r="BC29" s="238"/>
      <c r="BD29" s="238"/>
      <c r="BE29" s="238"/>
      <c r="BF29" s="239"/>
      <c r="BG29" s="239"/>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row>
    <row r="30" spans="1:94" s="240" customFormat="1" ht="14.25" customHeight="1">
      <c r="A30" s="1376" t="s">
        <v>630</v>
      </c>
      <c r="B30" s="1376"/>
      <c r="C30" s="1376"/>
      <c r="D30" s="1376"/>
      <c r="E30" s="1376"/>
      <c r="F30" s="1375" t="s">
        <v>631</v>
      </c>
      <c r="G30" s="1375"/>
      <c r="H30" s="1375" t="s">
        <v>618</v>
      </c>
      <c r="I30" s="1375"/>
      <c r="J30" s="1373" t="s">
        <v>618</v>
      </c>
      <c r="K30" s="1375"/>
      <c r="L30" s="1375" t="s">
        <v>618</v>
      </c>
      <c r="M30" s="1375"/>
      <c r="N30" s="1375" t="s">
        <v>617</v>
      </c>
      <c r="O30" s="1375"/>
      <c r="P30" s="1375" t="s">
        <v>631</v>
      </c>
      <c r="Q30" s="1375"/>
      <c r="R30" s="1371" t="s">
        <v>618</v>
      </c>
      <c r="S30" s="1373"/>
      <c r="T30" s="1371" t="s">
        <v>617</v>
      </c>
      <c r="U30" s="1373"/>
      <c r="V30" s="30"/>
      <c r="W30" s="1184"/>
      <c r="X30" s="1184"/>
      <c r="Y30" s="1184"/>
      <c r="Z30" s="1184"/>
      <c r="AA30" s="1184"/>
      <c r="AB30" s="1184"/>
      <c r="AC30" s="1184"/>
      <c r="AD30" s="1184"/>
      <c r="AE30" s="1184"/>
      <c r="AF30" s="1184"/>
      <c r="AG30" s="1184"/>
      <c r="AH30" s="1184"/>
      <c r="AI30" s="1184"/>
      <c r="AJ30" s="1184"/>
      <c r="AK30" s="253"/>
      <c r="AL30" s="258"/>
      <c r="AM30" s="259" t="s">
        <v>633</v>
      </c>
      <c r="AN30" s="259" t="s">
        <v>634</v>
      </c>
      <c r="AO30" s="259" t="s">
        <v>635</v>
      </c>
      <c r="AP30" s="259" t="s">
        <v>636</v>
      </c>
      <c r="AQ30" s="259" t="s">
        <v>637</v>
      </c>
      <c r="AR30" s="259" t="s">
        <v>590</v>
      </c>
      <c r="AS30" s="259" t="s">
        <v>428</v>
      </c>
      <c r="AT30" s="259" t="s">
        <v>429</v>
      </c>
      <c r="AU30" s="259" t="s">
        <v>126</v>
      </c>
      <c r="AV30" s="259" t="s">
        <v>431</v>
      </c>
      <c r="AW30" s="259" t="s">
        <v>429</v>
      </c>
      <c r="AX30" s="259" t="s">
        <v>124</v>
      </c>
      <c r="AY30" s="258"/>
      <c r="AZ30" s="238"/>
      <c r="BA30" s="238"/>
      <c r="BB30" s="238"/>
      <c r="BC30" s="238"/>
      <c r="BD30" s="238"/>
      <c r="BE30" s="238"/>
      <c r="BF30" s="239" t="s">
        <v>128</v>
      </c>
      <c r="BG30" s="239" t="s">
        <v>743</v>
      </c>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row>
    <row r="31" spans="1:94" s="240" customFormat="1" ht="14.25" customHeight="1">
      <c r="A31" s="260" t="s">
        <v>638</v>
      </c>
      <c r="B31" s="261"/>
      <c r="C31" s="261"/>
      <c r="D31" s="261"/>
      <c r="E31" s="262"/>
      <c r="F31" s="1377">
        <v>0</v>
      </c>
      <c r="G31" s="1378"/>
      <c r="H31" s="1379">
        <f t="shared" ref="H31:H51" si="0">F31*$AC$25</f>
        <v>0</v>
      </c>
      <c r="I31" s="1381"/>
      <c r="J31" s="1380"/>
      <c r="K31" s="1380"/>
      <c r="L31" s="1379"/>
      <c r="M31" s="1380"/>
      <c r="N31" s="1379">
        <f t="shared" ref="N31:N51" si="1">SUM(H31,J31,L31)*AR31</f>
        <v>0</v>
      </c>
      <c r="O31" s="1380"/>
      <c r="P31" s="1379"/>
      <c r="Q31" s="1381"/>
      <c r="R31" s="1379"/>
      <c r="S31" s="1380"/>
      <c r="T31" s="1379"/>
      <c r="U31" s="1381"/>
      <c r="V31" s="263"/>
      <c r="W31" s="263"/>
      <c r="X31" s="263"/>
      <c r="Y31" s="263"/>
      <c r="Z31" s="263"/>
      <c r="AA31" s="263"/>
      <c r="AB31" s="263"/>
      <c r="AC31" s="263"/>
      <c r="AD31" s="263"/>
      <c r="AE31" s="263"/>
      <c r="AF31" s="263"/>
      <c r="AG31" s="263"/>
      <c r="AH31" s="263"/>
      <c r="AI31" s="263"/>
      <c r="AJ31" s="263"/>
      <c r="AK31" s="264"/>
      <c r="AL31" s="258"/>
      <c r="AM31" s="259"/>
      <c r="AN31" s="259">
        <v>2</v>
      </c>
      <c r="AO31" s="259"/>
      <c r="AP31" s="259"/>
      <c r="AQ31" s="259"/>
      <c r="AR31" s="265">
        <f>AM31*12.01+AN31*1.008+AO31*16+AP31*14+AQ31*32</f>
        <v>2.016</v>
      </c>
      <c r="AS31" s="259">
        <f>AM31*1+AN31*0.25+AQ31*1</f>
        <v>0.5</v>
      </c>
      <c r="AT31" s="266">
        <f>0.79/0.21*AS31</f>
        <v>1.8809523809523812</v>
      </c>
      <c r="AU31" s="259">
        <f>1*AM31</f>
        <v>0</v>
      </c>
      <c r="AV31" s="259">
        <f>AN31/2</f>
        <v>1</v>
      </c>
      <c r="AW31" s="266">
        <f>AP31*0.5+AT31</f>
        <v>1.8809523809523812</v>
      </c>
      <c r="AX31" s="259">
        <f>AQ31*1</f>
        <v>0</v>
      </c>
      <c r="AY31" s="258"/>
      <c r="AZ31" s="238"/>
      <c r="BA31" s="238"/>
      <c r="BB31" s="238"/>
      <c r="BC31" s="238"/>
      <c r="BD31" s="238"/>
      <c r="BE31" s="239" t="s">
        <v>639</v>
      </c>
      <c r="BF31" s="239">
        <v>1.4200000000000001E-2</v>
      </c>
      <c r="BG31" s="239">
        <v>2.9999999999999997E-4</v>
      </c>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row>
    <row r="32" spans="1:94" s="240" customFormat="1" ht="14.25" customHeight="1">
      <c r="A32" s="267" t="s">
        <v>122</v>
      </c>
      <c r="B32" s="268"/>
      <c r="C32" s="268"/>
      <c r="D32" s="268"/>
      <c r="E32" s="269"/>
      <c r="F32" s="1377">
        <f>CO2eEF!M26</f>
        <v>0.99629999999999996</v>
      </c>
      <c r="G32" s="1378"/>
      <c r="H32" s="1299">
        <f>F32*$AC$25</f>
        <v>1.7835000000000003</v>
      </c>
      <c r="I32" s="1301"/>
      <c r="J32" s="1300"/>
      <c r="K32" s="1300"/>
      <c r="L32" s="1299"/>
      <c r="M32" s="1300"/>
      <c r="N32" s="1299">
        <f t="shared" si="1"/>
        <v>28.610907000000008</v>
      </c>
      <c r="O32" s="1301"/>
      <c r="P32" s="1299">
        <f>R32/$R$52</f>
        <v>3.3755669473594307E-4</v>
      </c>
      <c r="Q32" s="1301"/>
      <c r="R32" s="1299">
        <f>T32/$AR32</f>
        <v>6.3609271629302142E-3</v>
      </c>
      <c r="S32" s="1300"/>
      <c r="T32" s="1299">
        <f>$K22*$X25</f>
        <v>0.1020419935477265</v>
      </c>
      <c r="U32" s="1301"/>
      <c r="V32" s="263"/>
      <c r="W32" s="263"/>
      <c r="X32" s="263"/>
      <c r="Y32" s="263"/>
      <c r="Z32" s="263"/>
      <c r="AA32" s="263"/>
      <c r="AB32" s="263"/>
      <c r="AC32" s="263"/>
      <c r="AD32" s="263"/>
      <c r="AE32" s="263"/>
      <c r="AF32" s="263"/>
      <c r="AG32" s="263"/>
      <c r="AH32" s="263"/>
      <c r="AI32" s="263"/>
      <c r="AJ32" s="263"/>
      <c r="AK32" s="264"/>
      <c r="AL32" s="258"/>
      <c r="AM32" s="259">
        <v>1</v>
      </c>
      <c r="AN32" s="259">
        <v>4</v>
      </c>
      <c r="AO32" s="259"/>
      <c r="AP32" s="259"/>
      <c r="AQ32" s="259"/>
      <c r="AR32" s="265">
        <f t="shared" ref="AR32:AR47" si="2">AM32*12.01+AN32*1.008+AO32*16+AP32*14+AQ32*32</f>
        <v>16.042000000000002</v>
      </c>
      <c r="AS32" s="259">
        <f t="shared" ref="AS32:AS46" si="3">AM32*1+AN32*0.25+AQ32*1</f>
        <v>2</v>
      </c>
      <c r="AT32" s="266">
        <f t="shared" ref="AT32:AT46" si="4">0.79/0.21*AS32</f>
        <v>7.5238095238095246</v>
      </c>
      <c r="AU32" s="259">
        <f t="shared" ref="AU32:AU46" si="5">1*AM32</f>
        <v>1</v>
      </c>
      <c r="AV32" s="259">
        <f t="shared" ref="AV32:AV46" si="6">AN32/2</f>
        <v>2</v>
      </c>
      <c r="AW32" s="266">
        <f t="shared" ref="AW32:AW46" si="7">AP32*0.5+AT32</f>
        <v>7.5238095238095246</v>
      </c>
      <c r="AX32" s="259">
        <f t="shared" ref="AX32:AX46" si="8">AQ32*1</f>
        <v>0</v>
      </c>
      <c r="AY32" s="258"/>
      <c r="AZ32" s="238"/>
      <c r="BA32" s="238"/>
      <c r="BB32" s="238"/>
      <c r="BC32" s="238"/>
      <c r="BD32" s="238"/>
      <c r="BE32" s="239" t="s">
        <v>126</v>
      </c>
      <c r="BF32" s="239">
        <v>9.5999999999999992E-3</v>
      </c>
      <c r="BG32" s="239">
        <v>0.77539999999999998</v>
      </c>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row>
    <row r="33" spans="1:94" s="240" customFormat="1" ht="14.25" customHeight="1">
      <c r="A33" s="267" t="s">
        <v>641</v>
      </c>
      <c r="B33" s="268"/>
      <c r="C33" s="268"/>
      <c r="D33" s="268"/>
      <c r="E33" s="269"/>
      <c r="F33" s="1377">
        <v>0</v>
      </c>
      <c r="G33" s="1378"/>
      <c r="H33" s="1299">
        <f t="shared" si="0"/>
        <v>0</v>
      </c>
      <c r="I33" s="1301"/>
      <c r="J33" s="1300"/>
      <c r="K33" s="1300"/>
      <c r="L33" s="1299"/>
      <c r="M33" s="1300"/>
      <c r="N33" s="1299">
        <f t="shared" si="1"/>
        <v>0</v>
      </c>
      <c r="O33" s="1301"/>
      <c r="P33" s="1299"/>
      <c r="Q33" s="1301"/>
      <c r="R33" s="1300"/>
      <c r="S33" s="1300"/>
      <c r="T33" s="1299"/>
      <c r="U33" s="1301"/>
      <c r="V33" s="263"/>
      <c r="W33" s="263"/>
      <c r="X33" s="270">
        <f>AH25</f>
        <v>0.40100555555555562</v>
      </c>
      <c r="Y33" s="31" t="s">
        <v>590</v>
      </c>
      <c r="Z33" s="270"/>
      <c r="AA33" s="263"/>
      <c r="AB33" s="263"/>
      <c r="AC33" s="263"/>
      <c r="AD33" s="263"/>
      <c r="AE33" s="263"/>
      <c r="AF33" s="263"/>
      <c r="AG33" s="263"/>
      <c r="AH33" s="263"/>
      <c r="AI33" s="263"/>
      <c r="AJ33" s="263"/>
      <c r="AK33" s="264"/>
      <c r="AL33" s="258"/>
      <c r="AM33" s="259">
        <v>2</v>
      </c>
      <c r="AN33" s="259">
        <v>4</v>
      </c>
      <c r="AO33" s="259"/>
      <c r="AP33" s="259"/>
      <c r="AQ33" s="259"/>
      <c r="AR33" s="265">
        <f t="shared" si="2"/>
        <v>28.052</v>
      </c>
      <c r="AS33" s="259">
        <f t="shared" si="3"/>
        <v>3</v>
      </c>
      <c r="AT33" s="266">
        <f t="shared" si="4"/>
        <v>11.285714285714286</v>
      </c>
      <c r="AU33" s="259">
        <f t="shared" si="5"/>
        <v>2</v>
      </c>
      <c r="AV33" s="259">
        <f t="shared" si="6"/>
        <v>2</v>
      </c>
      <c r="AW33" s="266">
        <f t="shared" si="7"/>
        <v>11.285714285714286</v>
      </c>
      <c r="AX33" s="259">
        <f t="shared" si="8"/>
        <v>0</v>
      </c>
      <c r="AY33" s="258"/>
      <c r="AZ33" s="238"/>
      <c r="BA33" s="238"/>
      <c r="BB33" s="238"/>
      <c r="BC33" s="238"/>
      <c r="BD33" s="238"/>
      <c r="BE33" s="239" t="s">
        <v>642</v>
      </c>
      <c r="BF33" s="239">
        <v>0.60499999999999998</v>
      </c>
      <c r="BG33" s="239">
        <v>1.43E-2</v>
      </c>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row>
    <row r="34" spans="1:94" s="240" customFormat="1" ht="14.25" customHeight="1">
      <c r="A34" s="267" t="s">
        <v>643</v>
      </c>
      <c r="B34" s="268"/>
      <c r="C34" s="268"/>
      <c r="D34" s="268"/>
      <c r="E34" s="269"/>
      <c r="F34" s="1377">
        <f>CO2eEF!M27</f>
        <v>7.000000000000001E-4</v>
      </c>
      <c r="G34" s="1378"/>
      <c r="H34" s="1299">
        <f t="shared" si="0"/>
        <v>1.2530864197530869E-3</v>
      </c>
      <c r="I34" s="1301"/>
      <c r="J34" s="1300"/>
      <c r="K34" s="1300"/>
      <c r="L34" s="1299"/>
      <c r="M34" s="1300"/>
      <c r="N34" s="1299">
        <f t="shared" si="1"/>
        <v>3.7677802469135817E-2</v>
      </c>
      <c r="O34" s="1301"/>
      <c r="P34" s="1299">
        <f>R34/$R$52</f>
        <v>0</v>
      </c>
      <c r="Q34" s="1301"/>
      <c r="R34" s="1300">
        <f>T34/$AR34</f>
        <v>0</v>
      </c>
      <c r="S34" s="1300"/>
      <c r="T34" s="1299">
        <f>$Q$22*N34</f>
        <v>0</v>
      </c>
      <c r="U34" s="1301"/>
      <c r="V34" s="263"/>
      <c r="W34" s="263"/>
      <c r="X34" s="31">
        <f>365*24</f>
        <v>8760</v>
      </c>
      <c r="Y34" s="31" t="s">
        <v>623</v>
      </c>
      <c r="Z34" s="270"/>
      <c r="AA34" s="263"/>
      <c r="AB34" s="263"/>
      <c r="AC34" s="263"/>
      <c r="AD34" s="263"/>
      <c r="AE34" s="263"/>
      <c r="AF34" s="263"/>
      <c r="AG34" s="263"/>
      <c r="AH34" s="263"/>
      <c r="AI34" s="263"/>
      <c r="AJ34" s="263"/>
      <c r="AK34" s="264"/>
      <c r="AL34" s="258"/>
      <c r="AM34" s="259">
        <v>2</v>
      </c>
      <c r="AN34" s="259">
        <v>6</v>
      </c>
      <c r="AO34" s="259"/>
      <c r="AP34" s="259"/>
      <c r="AQ34" s="259"/>
      <c r="AR34" s="265">
        <f t="shared" si="2"/>
        <v>30.067999999999998</v>
      </c>
      <c r="AS34" s="259">
        <f t="shared" si="3"/>
        <v>3.5</v>
      </c>
      <c r="AT34" s="266">
        <f t="shared" si="4"/>
        <v>13.166666666666668</v>
      </c>
      <c r="AU34" s="259">
        <f t="shared" si="5"/>
        <v>2</v>
      </c>
      <c r="AV34" s="259">
        <f t="shared" si="6"/>
        <v>3</v>
      </c>
      <c r="AW34" s="266">
        <f t="shared" si="7"/>
        <v>13.166666666666668</v>
      </c>
      <c r="AX34" s="259">
        <f t="shared" si="8"/>
        <v>0</v>
      </c>
      <c r="AY34" s="258"/>
      <c r="AZ34" s="238"/>
      <c r="BA34" s="238"/>
      <c r="BB34" s="238"/>
      <c r="BC34" s="238"/>
      <c r="BD34" s="238"/>
      <c r="BE34" s="239" t="s">
        <v>644</v>
      </c>
      <c r="BF34" s="239">
        <v>0.17519999999999999</v>
      </c>
      <c r="BG34" s="239">
        <v>1.9E-3</v>
      </c>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38"/>
      <c r="CN34" s="238"/>
      <c r="CO34" s="238"/>
      <c r="CP34" s="238"/>
    </row>
    <row r="35" spans="1:94" s="240" customFormat="1" ht="14.25" customHeight="1">
      <c r="A35" s="267" t="s">
        <v>418</v>
      </c>
      <c r="B35" s="268"/>
      <c r="C35" s="268"/>
      <c r="D35" s="268"/>
      <c r="E35" s="269"/>
      <c r="F35" s="1377">
        <v>0</v>
      </c>
      <c r="G35" s="1378"/>
      <c r="H35" s="1299">
        <f t="shared" si="0"/>
        <v>0</v>
      </c>
      <c r="I35" s="1301"/>
      <c r="J35" s="1300"/>
      <c r="K35" s="1300"/>
      <c r="L35" s="1299"/>
      <c r="M35" s="1300"/>
      <c r="N35" s="1299">
        <f t="shared" si="1"/>
        <v>0</v>
      </c>
      <c r="O35" s="1301"/>
      <c r="P35" s="1299"/>
      <c r="Q35" s="1301"/>
      <c r="R35" s="1300"/>
      <c r="S35" s="1300"/>
      <c r="T35" s="1299"/>
      <c r="U35" s="1301"/>
      <c r="V35" s="263"/>
      <c r="W35" s="263"/>
      <c r="X35" s="272">
        <f>X33*X34</f>
        <v>3512.8086666666672</v>
      </c>
      <c r="Y35" s="31" t="s">
        <v>626</v>
      </c>
      <c r="Z35" s="270"/>
      <c r="AA35" s="263"/>
      <c r="AB35" s="263"/>
      <c r="AC35" s="263"/>
      <c r="AD35" s="263"/>
      <c r="AE35" s="263"/>
      <c r="AF35" s="263"/>
      <c r="AG35" s="263"/>
      <c r="AH35" s="263"/>
      <c r="AI35" s="263"/>
      <c r="AJ35" s="263"/>
      <c r="AK35" s="264"/>
      <c r="AL35" s="258"/>
      <c r="AM35" s="259">
        <v>3</v>
      </c>
      <c r="AN35" s="259">
        <v>6</v>
      </c>
      <c r="AO35" s="259"/>
      <c r="AP35" s="259"/>
      <c r="AQ35" s="259"/>
      <c r="AR35" s="265">
        <f t="shared" si="2"/>
        <v>42.078000000000003</v>
      </c>
      <c r="AS35" s="259">
        <f t="shared" si="3"/>
        <v>4.5</v>
      </c>
      <c r="AT35" s="266">
        <f t="shared" si="4"/>
        <v>16.928571428571431</v>
      </c>
      <c r="AU35" s="259">
        <f t="shared" si="5"/>
        <v>3</v>
      </c>
      <c r="AV35" s="259">
        <f t="shared" si="6"/>
        <v>3</v>
      </c>
      <c r="AW35" s="266">
        <f t="shared" si="7"/>
        <v>16.928571428571431</v>
      </c>
      <c r="AX35" s="259">
        <f t="shared" si="8"/>
        <v>0</v>
      </c>
      <c r="AY35" s="258"/>
      <c r="AZ35" s="238"/>
      <c r="BA35" s="238"/>
      <c r="BB35" s="238"/>
      <c r="BC35" s="238"/>
      <c r="BD35" s="238"/>
      <c r="BE35" s="239" t="s">
        <v>645</v>
      </c>
      <c r="BF35" s="239">
        <v>0.1139</v>
      </c>
      <c r="BG35" s="239">
        <v>3.5999999999999999E-3</v>
      </c>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row>
    <row r="36" spans="1:94" s="240" customFormat="1" ht="14.25" customHeight="1">
      <c r="A36" s="267" t="s">
        <v>419</v>
      </c>
      <c r="B36" s="268"/>
      <c r="C36" s="268"/>
      <c r="D36" s="268"/>
      <c r="E36" s="269"/>
      <c r="F36" s="1377">
        <f>CO2eEF!M28</f>
        <v>2.0000000000000001E-4</v>
      </c>
      <c r="G36" s="1378"/>
      <c r="H36" s="1299">
        <f t="shared" si="0"/>
        <v>3.5802469135802478E-4</v>
      </c>
      <c r="I36" s="1301"/>
      <c r="J36" s="1300"/>
      <c r="K36" s="1300"/>
      <c r="L36" s="1299"/>
      <c r="M36" s="1300"/>
      <c r="N36" s="1299">
        <f t="shared" si="1"/>
        <v>1.5786740740740744E-2</v>
      </c>
      <c r="O36" s="1301"/>
      <c r="P36" s="1299">
        <f>R36/$R$52</f>
        <v>0</v>
      </c>
      <c r="Q36" s="1301"/>
      <c r="R36" s="1300">
        <f>T36/$AR36</f>
        <v>0</v>
      </c>
      <c r="S36" s="1300"/>
      <c r="T36" s="1299">
        <f>$Q$22*N36</f>
        <v>0</v>
      </c>
      <c r="U36" s="1301"/>
      <c r="V36" s="263"/>
      <c r="W36" s="263"/>
      <c r="X36" s="272">
        <f>X35*3600/1000</f>
        <v>12646.111200000003</v>
      </c>
      <c r="Y36" s="31" t="s">
        <v>632</v>
      </c>
      <c r="Z36" s="270"/>
      <c r="AA36" s="263"/>
      <c r="AB36" s="263"/>
      <c r="AC36" s="263"/>
      <c r="AD36" s="263"/>
      <c r="AE36" s="263"/>
      <c r="AF36" s="263"/>
      <c r="AG36" s="263"/>
      <c r="AH36" s="263"/>
      <c r="AI36" s="263"/>
      <c r="AJ36" s="263"/>
      <c r="AK36" s="264"/>
      <c r="AL36" s="258"/>
      <c r="AM36" s="259">
        <v>3</v>
      </c>
      <c r="AN36" s="259">
        <v>8</v>
      </c>
      <c r="AO36" s="259"/>
      <c r="AP36" s="259"/>
      <c r="AQ36" s="259"/>
      <c r="AR36" s="265">
        <f t="shared" si="2"/>
        <v>44.094000000000001</v>
      </c>
      <c r="AS36" s="259">
        <f t="shared" si="3"/>
        <v>5</v>
      </c>
      <c r="AT36" s="266">
        <f t="shared" si="4"/>
        <v>18.80952380952381</v>
      </c>
      <c r="AU36" s="259">
        <f t="shared" si="5"/>
        <v>3</v>
      </c>
      <c r="AV36" s="259">
        <f t="shared" si="6"/>
        <v>4</v>
      </c>
      <c r="AW36" s="266">
        <f t="shared" si="7"/>
        <v>18.80952380952381</v>
      </c>
      <c r="AX36" s="259">
        <f t="shared" si="8"/>
        <v>0</v>
      </c>
      <c r="AY36" s="258"/>
      <c r="AZ36" s="238"/>
      <c r="BA36" s="238"/>
      <c r="BB36" s="238"/>
      <c r="BC36" s="238"/>
      <c r="BD36" s="238"/>
      <c r="BE36" s="239" t="s">
        <v>646</v>
      </c>
      <c r="BF36" s="239">
        <v>1.7100000000000001E-2</v>
      </c>
      <c r="BG36" s="239">
        <v>1E-3</v>
      </c>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row>
    <row r="37" spans="1:94" s="240" customFormat="1" ht="14.25" customHeight="1">
      <c r="A37" s="267" t="s">
        <v>420</v>
      </c>
      <c r="B37" s="268"/>
      <c r="C37" s="268"/>
      <c r="D37" s="268"/>
      <c r="E37" s="269"/>
      <c r="F37" s="1377">
        <v>0</v>
      </c>
      <c r="G37" s="1378"/>
      <c r="H37" s="1299">
        <f t="shared" si="0"/>
        <v>0</v>
      </c>
      <c r="I37" s="1301"/>
      <c r="J37" s="1300"/>
      <c r="K37" s="1300"/>
      <c r="L37" s="1299"/>
      <c r="M37" s="1300"/>
      <c r="N37" s="1299">
        <f t="shared" si="1"/>
        <v>0</v>
      </c>
      <c r="O37" s="1301"/>
      <c r="P37" s="1299"/>
      <c r="Q37" s="1301"/>
      <c r="R37" s="1300"/>
      <c r="S37" s="1300"/>
      <c r="T37" s="1299"/>
      <c r="U37" s="1301"/>
      <c r="V37" s="263"/>
      <c r="W37" s="263"/>
      <c r="X37" s="263"/>
      <c r="Y37" s="263"/>
      <c r="Z37" s="263"/>
      <c r="AA37" s="263"/>
      <c r="AB37" s="263"/>
      <c r="AC37" s="263"/>
      <c r="AD37" s="263"/>
      <c r="AE37" s="263"/>
      <c r="AF37" s="263"/>
      <c r="AG37" s="263"/>
      <c r="AH37" s="263"/>
      <c r="AI37" s="263"/>
      <c r="AJ37" s="263"/>
      <c r="AK37" s="264"/>
      <c r="AL37" s="258"/>
      <c r="AM37" s="259">
        <v>4</v>
      </c>
      <c r="AN37" s="259">
        <v>8</v>
      </c>
      <c r="AO37" s="259"/>
      <c r="AP37" s="259"/>
      <c r="AQ37" s="259"/>
      <c r="AR37" s="265">
        <f t="shared" si="2"/>
        <v>56.103999999999999</v>
      </c>
      <c r="AS37" s="259">
        <f t="shared" si="3"/>
        <v>6</v>
      </c>
      <c r="AT37" s="266">
        <f t="shared" si="4"/>
        <v>22.571428571428573</v>
      </c>
      <c r="AU37" s="259">
        <f t="shared" si="5"/>
        <v>4</v>
      </c>
      <c r="AV37" s="259">
        <f t="shared" si="6"/>
        <v>4</v>
      </c>
      <c r="AW37" s="266">
        <f t="shared" si="7"/>
        <v>22.571428571428573</v>
      </c>
      <c r="AX37" s="259">
        <f t="shared" si="8"/>
        <v>0</v>
      </c>
      <c r="AY37" s="258"/>
      <c r="AZ37" s="238"/>
      <c r="BA37" s="238"/>
      <c r="BB37" s="238"/>
      <c r="BC37" s="238"/>
      <c r="BD37" s="238"/>
      <c r="BE37" s="239" t="s">
        <v>647</v>
      </c>
      <c r="BF37" s="239">
        <v>4.5900000000000003E-2</v>
      </c>
      <c r="BG37" s="239">
        <v>2.3999999999999998E-3</v>
      </c>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row>
    <row r="38" spans="1:94" s="240" customFormat="1" ht="14.25" customHeight="1">
      <c r="A38" s="267" t="s">
        <v>421</v>
      </c>
      <c r="B38" s="268"/>
      <c r="C38" s="268"/>
      <c r="D38" s="268"/>
      <c r="E38" s="269"/>
      <c r="F38" s="1377">
        <f>CO2eEF!M29</f>
        <v>1E-4</v>
      </c>
      <c r="G38" s="1378"/>
      <c r="H38" s="1299">
        <f t="shared" si="0"/>
        <v>1.7901234567901239E-4</v>
      </c>
      <c r="I38" s="1301"/>
      <c r="J38" s="1300"/>
      <c r="K38" s="1300"/>
      <c r="L38" s="1299"/>
      <c r="M38" s="1300"/>
      <c r="N38" s="1299">
        <f t="shared" si="1"/>
        <v>1.04041975308642E-2</v>
      </c>
      <c r="O38" s="1301"/>
      <c r="P38" s="1299">
        <f>R38/$R$52</f>
        <v>0</v>
      </c>
      <c r="Q38" s="1301"/>
      <c r="R38" s="1300">
        <f>T38/$AR38</f>
        <v>0</v>
      </c>
      <c r="S38" s="1300"/>
      <c r="T38" s="1299">
        <f>$Q$22*N38</f>
        <v>0</v>
      </c>
      <c r="U38" s="1301"/>
      <c r="V38" s="263"/>
      <c r="W38" s="263"/>
      <c r="X38" s="263"/>
      <c r="Y38" s="263"/>
      <c r="Z38" s="263"/>
      <c r="AA38" s="263"/>
      <c r="AB38" s="263"/>
      <c r="AC38" s="263"/>
      <c r="AD38" s="263"/>
      <c r="AE38" s="263"/>
      <c r="AF38" s="263"/>
      <c r="AG38" s="263"/>
      <c r="AH38" s="263"/>
      <c r="AI38" s="263"/>
      <c r="AJ38" s="263"/>
      <c r="AK38" s="264"/>
      <c r="AL38" s="258"/>
      <c r="AM38" s="259">
        <v>4</v>
      </c>
      <c r="AN38" s="259">
        <v>10</v>
      </c>
      <c r="AO38" s="259"/>
      <c r="AP38" s="259"/>
      <c r="AQ38" s="259"/>
      <c r="AR38" s="265">
        <f>AM38*12.01+AN38*1.008+AO38*16+AP38*14+AQ38*32</f>
        <v>58.12</v>
      </c>
      <c r="AS38" s="259">
        <f t="shared" si="3"/>
        <v>6.5</v>
      </c>
      <c r="AT38" s="266">
        <f t="shared" si="4"/>
        <v>24.452380952380956</v>
      </c>
      <c r="AU38" s="259">
        <f t="shared" si="5"/>
        <v>4</v>
      </c>
      <c r="AV38" s="259">
        <f t="shared" si="6"/>
        <v>5</v>
      </c>
      <c r="AW38" s="266">
        <f t="shared" si="7"/>
        <v>24.452380952380956</v>
      </c>
      <c r="AX38" s="259">
        <f t="shared" si="8"/>
        <v>0</v>
      </c>
      <c r="AY38" s="258"/>
      <c r="AZ38" s="238"/>
      <c r="BA38" s="238"/>
      <c r="BB38" s="238"/>
      <c r="BC38" s="238"/>
      <c r="BD38" s="238"/>
      <c r="BE38" s="239" t="s">
        <v>648</v>
      </c>
      <c r="BF38" s="239">
        <v>8.2000000000000007E-3</v>
      </c>
      <c r="BG38" s="239">
        <v>1.6000000000000001E-3</v>
      </c>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row>
    <row r="39" spans="1:94" s="240" customFormat="1" ht="14.25" customHeight="1">
      <c r="A39" s="267" t="s">
        <v>422</v>
      </c>
      <c r="B39" s="268"/>
      <c r="C39" s="268"/>
      <c r="D39" s="268"/>
      <c r="E39" s="269"/>
      <c r="F39" s="1377">
        <f>CO2eEF!M30</f>
        <v>0</v>
      </c>
      <c r="G39" s="1378"/>
      <c r="H39" s="1299">
        <f t="shared" si="0"/>
        <v>0</v>
      </c>
      <c r="I39" s="1301"/>
      <c r="J39" s="1300"/>
      <c r="K39" s="1300"/>
      <c r="L39" s="1299"/>
      <c r="M39" s="1300"/>
      <c r="N39" s="1299">
        <f t="shared" si="1"/>
        <v>0</v>
      </c>
      <c r="O39" s="1301"/>
      <c r="P39" s="1299">
        <f>R39/$R$52</f>
        <v>0</v>
      </c>
      <c r="Q39" s="1301"/>
      <c r="R39" s="1300">
        <f>T39/$AR39</f>
        <v>0</v>
      </c>
      <c r="S39" s="1300"/>
      <c r="T39" s="1299">
        <f>$Q$22*N39</f>
        <v>0</v>
      </c>
      <c r="U39" s="1301"/>
      <c r="V39" s="263"/>
      <c r="W39" s="263"/>
      <c r="X39" s="263" t="s">
        <v>720</v>
      </c>
      <c r="Y39" s="263"/>
      <c r="Z39" s="263"/>
      <c r="AA39" s="263"/>
      <c r="AB39" s="263"/>
      <c r="AC39" s="263"/>
      <c r="AD39" s="263"/>
      <c r="AE39" s="263"/>
      <c r="AF39" s="263"/>
      <c r="AG39" s="263"/>
      <c r="AH39" s="263"/>
      <c r="AI39" s="263"/>
      <c r="AJ39" s="263"/>
      <c r="AK39" s="264"/>
      <c r="AL39" s="258"/>
      <c r="AM39" s="259">
        <v>4</v>
      </c>
      <c r="AN39" s="259">
        <v>10</v>
      </c>
      <c r="AO39" s="259"/>
      <c r="AP39" s="259"/>
      <c r="AQ39" s="259"/>
      <c r="AR39" s="265">
        <f t="shared" si="2"/>
        <v>58.12</v>
      </c>
      <c r="AS39" s="259">
        <f t="shared" si="3"/>
        <v>6.5</v>
      </c>
      <c r="AT39" s="266">
        <f t="shared" si="4"/>
        <v>24.452380952380956</v>
      </c>
      <c r="AU39" s="259">
        <f t="shared" si="5"/>
        <v>4</v>
      </c>
      <c r="AV39" s="259">
        <f t="shared" si="6"/>
        <v>5</v>
      </c>
      <c r="AW39" s="266">
        <f t="shared" si="7"/>
        <v>24.452380952380956</v>
      </c>
      <c r="AX39" s="259">
        <f t="shared" si="8"/>
        <v>0</v>
      </c>
      <c r="AY39" s="258"/>
      <c r="AZ39" s="238"/>
      <c r="BA39" s="238"/>
      <c r="BB39" s="238"/>
      <c r="BC39" s="238"/>
      <c r="BD39" s="238"/>
      <c r="BE39" s="239" t="s">
        <v>649</v>
      </c>
      <c r="BF39" s="239">
        <v>2.0000000000000001E-4</v>
      </c>
      <c r="BG39" s="239">
        <v>0</v>
      </c>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38"/>
      <c r="CN39" s="238"/>
      <c r="CO39" s="238"/>
      <c r="CP39" s="238"/>
    </row>
    <row r="40" spans="1:94" s="240" customFormat="1" ht="14.25" customHeight="1">
      <c r="A40" s="267" t="s">
        <v>423</v>
      </c>
      <c r="B40" s="268"/>
      <c r="C40" s="268"/>
      <c r="D40" s="268"/>
      <c r="E40" s="269"/>
      <c r="F40" s="1377">
        <f>CO2eEF!M31</f>
        <v>1E-4</v>
      </c>
      <c r="G40" s="1378"/>
      <c r="H40" s="1299">
        <f t="shared" si="0"/>
        <v>1.7901234567901239E-4</v>
      </c>
      <c r="I40" s="1301"/>
      <c r="J40" s="1300"/>
      <c r="K40" s="1300"/>
      <c r="L40" s="1299"/>
      <c r="M40" s="1300"/>
      <c r="N40" s="1299">
        <f t="shared" si="1"/>
        <v>1.2915024691358029E-2</v>
      </c>
      <c r="O40" s="1301"/>
      <c r="P40" s="1299">
        <f>R40/$R$52</f>
        <v>0</v>
      </c>
      <c r="Q40" s="1301"/>
      <c r="R40" s="1300">
        <f>T40/$AR40</f>
        <v>0</v>
      </c>
      <c r="S40" s="1300"/>
      <c r="T40" s="1299">
        <f>$Q$22*N40</f>
        <v>0</v>
      </c>
      <c r="U40" s="1301"/>
      <c r="V40" s="263"/>
      <c r="W40" s="263"/>
      <c r="X40" s="263"/>
      <c r="Y40" s="263"/>
      <c r="Z40" s="263"/>
      <c r="AA40" s="263"/>
      <c r="AB40" s="263"/>
      <c r="AC40" s="263"/>
      <c r="AD40" s="263"/>
      <c r="AE40" s="263"/>
      <c r="AF40" s="263"/>
      <c r="AG40" s="263"/>
      <c r="AH40" s="263"/>
      <c r="AI40" s="263"/>
      <c r="AJ40" s="263"/>
      <c r="AK40" s="264"/>
      <c r="AL40" s="258"/>
      <c r="AM40" s="259">
        <v>5</v>
      </c>
      <c r="AN40" s="259">
        <v>12</v>
      </c>
      <c r="AO40" s="259"/>
      <c r="AP40" s="259"/>
      <c r="AQ40" s="259"/>
      <c r="AR40" s="265">
        <f t="shared" si="2"/>
        <v>72.146000000000001</v>
      </c>
      <c r="AS40" s="259">
        <f t="shared" si="3"/>
        <v>8</v>
      </c>
      <c r="AT40" s="266">
        <f t="shared" si="4"/>
        <v>30.095238095238098</v>
      </c>
      <c r="AU40" s="259">
        <f t="shared" si="5"/>
        <v>5</v>
      </c>
      <c r="AV40" s="259">
        <f t="shared" si="6"/>
        <v>6</v>
      </c>
      <c r="AW40" s="266">
        <f t="shared" si="7"/>
        <v>30.095238095238098</v>
      </c>
      <c r="AX40" s="259">
        <f t="shared" si="8"/>
        <v>0</v>
      </c>
      <c r="AY40" s="258"/>
      <c r="AZ40" s="238"/>
      <c r="BA40" s="238"/>
      <c r="BB40" s="238"/>
      <c r="BC40" s="238"/>
      <c r="BD40" s="238"/>
      <c r="BE40" s="239" t="s">
        <v>650</v>
      </c>
      <c r="BF40" s="239">
        <v>8.8999999999999999E-3</v>
      </c>
      <c r="BG40" s="239">
        <v>1.9E-3</v>
      </c>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row>
    <row r="41" spans="1:94" s="240" customFormat="1" ht="14.25" customHeight="1">
      <c r="A41" s="267" t="s">
        <v>424</v>
      </c>
      <c r="B41" s="268"/>
      <c r="C41" s="268"/>
      <c r="D41" s="268"/>
      <c r="E41" s="269"/>
      <c r="F41" s="1377">
        <f>CO2eEF!M33</f>
        <v>1E-4</v>
      </c>
      <c r="G41" s="1378"/>
      <c r="H41" s="1299">
        <f t="shared" si="0"/>
        <v>1.7901234567901239E-4</v>
      </c>
      <c r="I41" s="1301"/>
      <c r="J41" s="1300"/>
      <c r="K41" s="1300"/>
      <c r="L41" s="1299"/>
      <c r="M41" s="1300"/>
      <c r="N41" s="1299">
        <f t="shared" si="1"/>
        <v>1.2915024691358029E-2</v>
      </c>
      <c r="O41" s="1301"/>
      <c r="P41" s="1299">
        <f>R41/$R$52</f>
        <v>0</v>
      </c>
      <c r="Q41" s="1301"/>
      <c r="R41" s="1300">
        <f>T41/$AR41</f>
        <v>0</v>
      </c>
      <c r="S41" s="1300"/>
      <c r="T41" s="1299">
        <f>$Q$22*N41</f>
        <v>0</v>
      </c>
      <c r="U41" s="1301"/>
      <c r="V41" s="263"/>
      <c r="W41" s="263"/>
      <c r="X41" s="263"/>
      <c r="Y41" s="263"/>
      <c r="Z41" s="263"/>
      <c r="AA41" s="263"/>
      <c r="AB41" s="263"/>
      <c r="AC41" s="263"/>
      <c r="AD41" s="263"/>
      <c r="AE41" s="263"/>
      <c r="AF41" s="263"/>
      <c r="AG41" s="263"/>
      <c r="AH41" s="263"/>
      <c r="AI41" s="263"/>
      <c r="AJ41" s="263"/>
      <c r="AK41" s="264"/>
      <c r="AL41" s="258"/>
      <c r="AM41" s="259">
        <v>5</v>
      </c>
      <c r="AN41" s="259">
        <v>12</v>
      </c>
      <c r="AO41" s="259"/>
      <c r="AP41" s="259"/>
      <c r="AQ41" s="259"/>
      <c r="AR41" s="265">
        <f t="shared" si="2"/>
        <v>72.146000000000001</v>
      </c>
      <c r="AS41" s="259">
        <f t="shared" si="3"/>
        <v>8</v>
      </c>
      <c r="AT41" s="266">
        <f t="shared" si="4"/>
        <v>30.095238095238098</v>
      </c>
      <c r="AU41" s="259">
        <f t="shared" si="5"/>
        <v>5</v>
      </c>
      <c r="AV41" s="259">
        <f t="shared" si="6"/>
        <v>6</v>
      </c>
      <c r="AW41" s="266">
        <f t="shared" si="7"/>
        <v>30.095238095238098</v>
      </c>
      <c r="AX41" s="259">
        <f t="shared" si="8"/>
        <v>0</v>
      </c>
      <c r="AY41" s="258"/>
      <c r="AZ41" s="238"/>
      <c r="BA41" s="238"/>
      <c r="BB41" s="238"/>
      <c r="BC41" s="238"/>
      <c r="BD41" s="238"/>
      <c r="BE41" s="239" t="s">
        <v>651</v>
      </c>
      <c r="BF41" s="239">
        <v>2.0000000000000001E-4</v>
      </c>
      <c r="BG41" s="239">
        <v>2.9999999999999997E-4</v>
      </c>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row>
    <row r="42" spans="1:94" s="240" customFormat="1" ht="14.25" customHeight="1">
      <c r="A42" s="267" t="s">
        <v>721</v>
      </c>
      <c r="B42" s="268"/>
      <c r="C42" s="268"/>
      <c r="D42" s="268"/>
      <c r="E42" s="269"/>
      <c r="F42" s="1377">
        <f>1-(SUM(F31:G41)+SUM(F43:G51))</f>
        <v>2.00000000000089E-4</v>
      </c>
      <c r="G42" s="1378"/>
      <c r="H42" s="1299">
        <f t="shared" si="0"/>
        <v>3.5802469135818411E-4</v>
      </c>
      <c r="I42" s="1301"/>
      <c r="J42" s="1300"/>
      <c r="K42" s="1300"/>
      <c r="L42" s="1299"/>
      <c r="M42" s="1300"/>
      <c r="N42" s="1299">
        <f t="shared" si="1"/>
        <v>3.085170370371744E-2</v>
      </c>
      <c r="O42" s="1301"/>
      <c r="P42" s="1299">
        <f>R42/$R$52</f>
        <v>0</v>
      </c>
      <c r="Q42" s="1301"/>
      <c r="R42" s="1300">
        <f>T42/$AR42</f>
        <v>0</v>
      </c>
      <c r="S42" s="1300"/>
      <c r="T42" s="1299">
        <f>$Q$22*N42</f>
        <v>0</v>
      </c>
      <c r="U42" s="1301"/>
      <c r="V42" s="263"/>
      <c r="W42" s="263"/>
      <c r="X42" s="589">
        <f>X44*X43</f>
        <v>254.21400000000003</v>
      </c>
      <c r="Y42" s="589" t="s">
        <v>744</v>
      </c>
      <c r="Z42" s="263"/>
      <c r="AA42" s="263"/>
      <c r="AB42" s="263"/>
      <c r="AC42" s="263"/>
      <c r="AD42" s="263"/>
      <c r="AE42" s="263"/>
      <c r="AF42" s="263"/>
      <c r="AG42" s="263"/>
      <c r="AH42" s="263"/>
      <c r="AI42" s="263"/>
      <c r="AJ42" s="263"/>
      <c r="AK42" s="264"/>
      <c r="AL42" s="258"/>
      <c r="AM42" s="259">
        <v>6</v>
      </c>
      <c r="AN42" s="259">
        <v>14</v>
      </c>
      <c r="AO42" s="259"/>
      <c r="AP42" s="259"/>
      <c r="AQ42" s="259"/>
      <c r="AR42" s="265">
        <f t="shared" si="2"/>
        <v>86.171999999999997</v>
      </c>
      <c r="AS42" s="259">
        <f t="shared" si="3"/>
        <v>9.5</v>
      </c>
      <c r="AT42" s="266">
        <f t="shared" si="4"/>
        <v>35.738095238095241</v>
      </c>
      <c r="AU42" s="259">
        <f t="shared" si="5"/>
        <v>6</v>
      </c>
      <c r="AV42" s="259">
        <f t="shared" si="6"/>
        <v>7</v>
      </c>
      <c r="AW42" s="266">
        <f t="shared" si="7"/>
        <v>35.738095238095241</v>
      </c>
      <c r="AX42" s="259">
        <f t="shared" si="8"/>
        <v>0</v>
      </c>
      <c r="AY42" s="258"/>
      <c r="AZ42" s="238"/>
      <c r="BA42" s="238"/>
      <c r="BB42" s="238"/>
      <c r="BC42" s="238"/>
      <c r="BD42" s="238"/>
      <c r="BE42" s="239" t="s">
        <v>652</v>
      </c>
      <c r="BF42" s="239">
        <v>0</v>
      </c>
      <c r="BG42" s="239">
        <v>5.0000000000000001E-4</v>
      </c>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row>
    <row r="43" spans="1:94" s="240" customFormat="1" ht="14.25" customHeight="1">
      <c r="A43" s="267" t="s">
        <v>426</v>
      </c>
      <c r="B43" s="268"/>
      <c r="C43" s="268"/>
      <c r="D43" s="268"/>
      <c r="E43" s="269"/>
      <c r="F43" s="1377">
        <v>0</v>
      </c>
      <c r="G43" s="1378"/>
      <c r="H43" s="1299">
        <f>F43*$AC$25</f>
        <v>0</v>
      </c>
      <c r="I43" s="1301"/>
      <c r="J43" s="1300"/>
      <c r="K43" s="1300"/>
      <c r="L43" s="1299"/>
      <c r="M43" s="1300"/>
      <c r="N43" s="1299">
        <f t="shared" si="1"/>
        <v>0</v>
      </c>
      <c r="O43" s="1301"/>
      <c r="P43" s="1299"/>
      <c r="Q43" s="1301"/>
      <c r="R43" s="1300"/>
      <c r="S43" s="1300"/>
      <c r="T43" s="1299"/>
      <c r="U43" s="1301"/>
      <c r="V43" s="263"/>
      <c r="W43" s="263"/>
      <c r="X43" s="599">
        <v>365.25</v>
      </c>
      <c r="Y43" s="589" t="s">
        <v>745</v>
      </c>
      <c r="Z43" s="263"/>
      <c r="AA43" s="263"/>
      <c r="AB43" s="263"/>
      <c r="AC43" s="263"/>
      <c r="AD43" s="263"/>
      <c r="AE43" s="263"/>
      <c r="AF43" s="263"/>
      <c r="AG43" s="263"/>
      <c r="AH43" s="263"/>
      <c r="AI43" s="263"/>
      <c r="AJ43" s="263"/>
      <c r="AK43" s="264"/>
      <c r="AL43" s="258"/>
      <c r="AM43" s="259"/>
      <c r="AN43" s="259"/>
      <c r="AO43" s="259"/>
      <c r="AP43" s="259"/>
      <c r="AQ43" s="259"/>
      <c r="AR43" s="265">
        <v>4.0030000000000001</v>
      </c>
      <c r="AS43" s="259"/>
      <c r="AT43" s="266"/>
      <c r="AU43" s="259"/>
      <c r="AV43" s="259"/>
      <c r="AW43" s="266"/>
      <c r="AX43" s="259"/>
      <c r="AY43" s="258"/>
      <c r="AZ43" s="238"/>
      <c r="BA43" s="238"/>
      <c r="BB43" s="238"/>
      <c r="BC43" s="238"/>
      <c r="BD43" s="238"/>
      <c r="BE43" s="239" t="s">
        <v>653</v>
      </c>
      <c r="BF43" s="239">
        <v>0</v>
      </c>
      <c r="BG43" s="239">
        <v>1E-4</v>
      </c>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38"/>
      <c r="CN43" s="238"/>
      <c r="CO43" s="238"/>
      <c r="CP43" s="238"/>
    </row>
    <row r="44" spans="1:94" s="240" customFormat="1" ht="14.25" customHeight="1">
      <c r="A44" s="267" t="s">
        <v>427</v>
      </c>
      <c r="B44" s="268"/>
      <c r="C44" s="268"/>
      <c r="D44" s="268"/>
      <c r="E44" s="269"/>
      <c r="F44" s="1377">
        <v>0</v>
      </c>
      <c r="G44" s="1378"/>
      <c r="H44" s="1299">
        <f t="shared" si="0"/>
        <v>0</v>
      </c>
      <c r="I44" s="1301"/>
      <c r="J44" s="1300"/>
      <c r="K44" s="1300"/>
      <c r="L44" s="1299"/>
      <c r="M44" s="1300"/>
      <c r="N44" s="1299">
        <f t="shared" si="1"/>
        <v>0</v>
      </c>
      <c r="O44" s="1301"/>
      <c r="P44" s="1299"/>
      <c r="Q44" s="1301"/>
      <c r="R44" s="1299"/>
      <c r="S44" s="1301"/>
      <c r="T44" s="1299"/>
      <c r="U44" s="1301"/>
      <c r="V44" s="263"/>
      <c r="W44" s="263"/>
      <c r="X44" s="589">
        <f>X45/1000*24</f>
        <v>0.69600000000000006</v>
      </c>
      <c r="Y44" s="589" t="s">
        <v>746</v>
      </c>
      <c r="Z44" s="263"/>
      <c r="AA44" s="263"/>
      <c r="AB44" s="263"/>
      <c r="AC44" s="263"/>
      <c r="AD44" s="263"/>
      <c r="AE44" s="263"/>
      <c r="AF44" s="263"/>
      <c r="AG44" s="263"/>
      <c r="AH44" s="263"/>
      <c r="AI44" s="263"/>
      <c r="AJ44" s="263"/>
      <c r="AK44" s="264"/>
      <c r="AL44" s="258"/>
      <c r="AM44" s="259"/>
      <c r="AN44" s="259">
        <v>2</v>
      </c>
      <c r="AO44" s="259"/>
      <c r="AP44" s="259"/>
      <c r="AQ44" s="259">
        <v>1</v>
      </c>
      <c r="AR44" s="265">
        <f t="shared" si="2"/>
        <v>34.015999999999998</v>
      </c>
      <c r="AS44" s="259">
        <f t="shared" si="3"/>
        <v>1.5</v>
      </c>
      <c r="AT44" s="266">
        <f t="shared" si="4"/>
        <v>5.6428571428571432</v>
      </c>
      <c r="AU44" s="259">
        <f t="shared" si="5"/>
        <v>0</v>
      </c>
      <c r="AV44" s="259">
        <f t="shared" si="6"/>
        <v>1</v>
      </c>
      <c r="AW44" s="266">
        <f t="shared" si="7"/>
        <v>5.6428571428571432</v>
      </c>
      <c r="AX44" s="259">
        <f t="shared" si="8"/>
        <v>1</v>
      </c>
      <c r="AY44" s="258"/>
      <c r="AZ44" s="238"/>
      <c r="BA44" s="238"/>
      <c r="BB44" s="238"/>
      <c r="BC44" s="238"/>
      <c r="BD44" s="238"/>
      <c r="BE44" s="239" t="s">
        <v>654</v>
      </c>
      <c r="BF44" s="239">
        <v>0</v>
      </c>
      <c r="BG44" s="239">
        <v>4.0000000000000002E-4</v>
      </c>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row>
    <row r="45" spans="1:94" s="240" customFormat="1" ht="14.25" customHeight="1">
      <c r="A45" s="267" t="s">
        <v>428</v>
      </c>
      <c r="B45" s="268"/>
      <c r="C45" s="268"/>
      <c r="D45" s="268"/>
      <c r="E45" s="269"/>
      <c r="F45" s="1377">
        <v>0</v>
      </c>
      <c r="G45" s="1378"/>
      <c r="H45" s="1299">
        <f t="shared" si="0"/>
        <v>0</v>
      </c>
      <c r="I45" s="1301"/>
      <c r="J45" s="1300">
        <f>SUMPRODUCT(H31:H51,AS31:AS51)-H45</f>
        <v>3.5806049382716072</v>
      </c>
      <c r="K45" s="1300"/>
      <c r="L45" s="1299">
        <v>0</v>
      </c>
      <c r="M45" s="1300"/>
      <c r="N45" s="1299">
        <f t="shared" si="1"/>
        <v>114.57935802469143</v>
      </c>
      <c r="O45" s="1301"/>
      <c r="P45" s="1299">
        <f t="shared" ref="P45:P51" si="9">R45/$R$52</f>
        <v>6.7511338947188614E-4</v>
      </c>
      <c r="Q45" s="1301"/>
      <c r="R45" s="1300">
        <f>L45+SUMPRODUCT(R32:R44,$AS32:$AS44)</f>
        <v>1.2721854325860428E-2</v>
      </c>
      <c r="S45" s="1300"/>
      <c r="T45" s="1299">
        <f>R45*$AR45</f>
        <v>0.40709933842753371</v>
      </c>
      <c r="U45" s="1301"/>
      <c r="V45" s="263"/>
      <c r="W45" s="263"/>
      <c r="X45" s="599">
        <v>29</v>
      </c>
      <c r="Y45" s="589" t="s">
        <v>617</v>
      </c>
      <c r="Z45" s="263" t="s">
        <v>747</v>
      </c>
      <c r="AA45" s="263"/>
      <c r="AB45" s="263"/>
      <c r="AC45" s="263"/>
      <c r="AD45" s="263"/>
      <c r="AE45" s="263"/>
      <c r="AF45" s="263"/>
      <c r="AG45" s="263"/>
      <c r="AH45" s="263"/>
      <c r="AI45" s="263"/>
      <c r="AJ45" s="263"/>
      <c r="AK45" s="264"/>
      <c r="AL45" s="258"/>
      <c r="AM45" s="259"/>
      <c r="AN45" s="259"/>
      <c r="AO45" s="259">
        <v>2</v>
      </c>
      <c r="AP45" s="259"/>
      <c r="AQ45" s="259"/>
      <c r="AR45" s="265">
        <f t="shared" si="2"/>
        <v>32</v>
      </c>
      <c r="AS45" s="259">
        <f t="shared" si="3"/>
        <v>0</v>
      </c>
      <c r="AT45" s="266">
        <f t="shared" si="4"/>
        <v>0</v>
      </c>
      <c r="AU45" s="259">
        <f t="shared" si="5"/>
        <v>0</v>
      </c>
      <c r="AV45" s="259">
        <f t="shared" si="6"/>
        <v>0</v>
      </c>
      <c r="AW45" s="266">
        <f t="shared" si="7"/>
        <v>0</v>
      </c>
      <c r="AX45" s="259">
        <f t="shared" si="8"/>
        <v>0</v>
      </c>
      <c r="AY45" s="258"/>
      <c r="AZ45" s="238"/>
      <c r="BA45" s="238"/>
      <c r="BB45" s="238"/>
      <c r="BC45" s="238"/>
      <c r="BD45" s="238"/>
      <c r="BE45" s="239" t="s">
        <v>655</v>
      </c>
      <c r="BF45" s="239">
        <v>0</v>
      </c>
      <c r="BG45" s="239">
        <v>2.0000000000000001E-4</v>
      </c>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row>
    <row r="46" spans="1:94" s="240" customFormat="1" ht="14.25" customHeight="1">
      <c r="A46" s="267" t="s">
        <v>429</v>
      </c>
      <c r="B46" s="268"/>
      <c r="C46" s="268"/>
      <c r="D46" s="268"/>
      <c r="E46" s="269"/>
      <c r="F46" s="1377">
        <f>CO2eEF!M24</f>
        <v>1.5E-3</v>
      </c>
      <c r="G46" s="1378"/>
      <c r="H46" s="1299">
        <f t="shared" si="0"/>
        <v>2.6851851851851859E-3</v>
      </c>
      <c r="I46" s="1301"/>
      <c r="J46" s="1300">
        <f>0.79/0.21*J45</f>
        <v>13.469894767783666</v>
      </c>
      <c r="K46" s="1301"/>
      <c r="L46" s="1299">
        <f>0.71/0.29*L45</f>
        <v>0</v>
      </c>
      <c r="M46" s="1300"/>
      <c r="N46" s="1299">
        <f t="shared" si="1"/>
        <v>377.23223868312783</v>
      </c>
      <c r="O46" s="1301"/>
      <c r="P46" s="1299">
        <f t="shared" si="9"/>
        <v>0.71492371941135868</v>
      </c>
      <c r="Q46" s="1301"/>
      <c r="R46" s="1299">
        <f>$H46+J46+L46-R49/2</f>
        <v>13.472041221947016</v>
      </c>
      <c r="S46" s="1301"/>
      <c r="T46" s="1340">
        <f>R46*$AR46</f>
        <v>377.21715421451643</v>
      </c>
      <c r="U46" s="1342"/>
      <c r="V46" s="263"/>
      <c r="W46" s="263"/>
      <c r="X46" s="263"/>
      <c r="Y46" s="263"/>
      <c r="Z46" s="263"/>
      <c r="AA46" s="263"/>
      <c r="AB46" s="263"/>
      <c r="AC46" s="263"/>
      <c r="AD46" s="263"/>
      <c r="AE46" s="263"/>
      <c r="AF46" s="263"/>
      <c r="AG46" s="263"/>
      <c r="AH46" s="263"/>
      <c r="AI46" s="263"/>
      <c r="AJ46" s="263"/>
      <c r="AK46" s="264"/>
      <c r="AL46" s="258"/>
      <c r="AM46" s="259"/>
      <c r="AN46" s="259"/>
      <c r="AO46" s="259"/>
      <c r="AP46" s="259">
        <v>2</v>
      </c>
      <c r="AQ46" s="259"/>
      <c r="AR46" s="265">
        <f t="shared" si="2"/>
        <v>28</v>
      </c>
      <c r="AS46" s="259">
        <f t="shared" si="3"/>
        <v>0</v>
      </c>
      <c r="AT46" s="266">
        <f t="shared" si="4"/>
        <v>0</v>
      </c>
      <c r="AU46" s="259">
        <f t="shared" si="5"/>
        <v>0</v>
      </c>
      <c r="AV46" s="259">
        <f t="shared" si="6"/>
        <v>0</v>
      </c>
      <c r="AW46" s="266">
        <f t="shared" si="7"/>
        <v>1</v>
      </c>
      <c r="AX46" s="259">
        <f t="shared" si="8"/>
        <v>0</v>
      </c>
      <c r="AY46" s="258"/>
      <c r="AZ46" s="238"/>
      <c r="BA46" s="238"/>
      <c r="BB46" s="238"/>
      <c r="BC46" s="238"/>
      <c r="BD46" s="238"/>
      <c r="BE46" s="239" t="s">
        <v>656</v>
      </c>
      <c r="BF46" s="239">
        <v>1.5E-3</v>
      </c>
      <c r="BG46" s="239">
        <v>0</v>
      </c>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row>
    <row r="47" spans="1:94" s="240" customFormat="1" ht="14.25" customHeight="1">
      <c r="A47" s="267" t="s">
        <v>115</v>
      </c>
      <c r="B47" s="268"/>
      <c r="C47" s="268"/>
      <c r="D47" s="268"/>
      <c r="E47" s="269"/>
      <c r="F47" s="1377">
        <v>0</v>
      </c>
      <c r="G47" s="1378"/>
      <c r="H47" s="1299">
        <f t="shared" si="0"/>
        <v>0</v>
      </c>
      <c r="I47" s="1301"/>
      <c r="J47" s="1300"/>
      <c r="K47" s="1300"/>
      <c r="L47" s="1299"/>
      <c r="M47" s="1300"/>
      <c r="N47" s="1299">
        <f t="shared" si="1"/>
        <v>0</v>
      </c>
      <c r="O47" s="1301"/>
      <c r="P47" s="1299">
        <f t="shared" si="9"/>
        <v>5.1093519250088731E-4</v>
      </c>
      <c r="Q47" s="1301"/>
      <c r="R47" s="1300">
        <f>T47/$AR$47</f>
        <v>9.6280760985002316E-3</v>
      </c>
      <c r="S47" s="1300"/>
      <c r="T47" s="1299">
        <f>$AC17*$X25</f>
        <v>0.26968241151899147</v>
      </c>
      <c r="U47" s="1301"/>
      <c r="V47" s="263"/>
      <c r="W47" s="263"/>
      <c r="X47" s="263"/>
      <c r="Y47" s="263"/>
      <c r="Z47" s="263"/>
      <c r="AA47" s="263"/>
      <c r="AB47" s="263"/>
      <c r="AC47" s="263"/>
      <c r="AD47" s="263"/>
      <c r="AE47" s="263"/>
      <c r="AF47" s="263"/>
      <c r="AG47" s="263"/>
      <c r="AH47" s="263"/>
      <c r="AI47" s="263"/>
      <c r="AJ47" s="263"/>
      <c r="AK47" s="264"/>
      <c r="AL47" s="258"/>
      <c r="AM47" s="258">
        <v>1</v>
      </c>
      <c r="AN47" s="258"/>
      <c r="AO47" s="258">
        <v>1</v>
      </c>
      <c r="AP47" s="258"/>
      <c r="AQ47" s="258"/>
      <c r="AR47" s="265">
        <f t="shared" si="2"/>
        <v>28.009999999999998</v>
      </c>
      <c r="AS47" s="259"/>
      <c r="AT47" s="258"/>
      <c r="AU47" s="258"/>
      <c r="AV47" s="258"/>
      <c r="AW47" s="258"/>
      <c r="AX47" s="258"/>
      <c r="AY47" s="258"/>
      <c r="AZ47" s="238"/>
      <c r="BA47" s="238"/>
      <c r="BB47" s="238"/>
      <c r="BC47" s="238"/>
      <c r="BD47" s="238"/>
      <c r="BE47" s="239" t="s">
        <v>657</v>
      </c>
      <c r="BF47" s="239">
        <v>1E-4</v>
      </c>
      <c r="BG47" s="239">
        <v>0</v>
      </c>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row>
    <row r="48" spans="1:94" s="240" customFormat="1" ht="14.25" customHeight="1">
      <c r="A48" s="267" t="s">
        <v>126</v>
      </c>
      <c r="B48" s="268"/>
      <c r="C48" s="268"/>
      <c r="D48" s="268"/>
      <c r="E48" s="269"/>
      <c r="F48" s="1377">
        <f>CO2eEF!M25</f>
        <v>8.0000000000000004E-4</v>
      </c>
      <c r="G48" s="1378"/>
      <c r="H48" s="1299">
        <f t="shared" si="0"/>
        <v>1.4320987654320991E-3</v>
      </c>
      <c r="I48" s="1301"/>
      <c r="J48" s="1300"/>
      <c r="K48" s="1300"/>
      <c r="L48" s="1299"/>
      <c r="M48" s="1300"/>
      <c r="N48" s="1299">
        <f t="shared" si="1"/>
        <v>6.3026666666666675E-2</v>
      </c>
      <c r="O48" s="1301"/>
      <c r="P48" s="1299">
        <f t="shared" si="9"/>
        <v>9.430987066062714E-2</v>
      </c>
      <c r="Q48" s="1301"/>
      <c r="R48" s="1300">
        <f>SUMPRODUCT($H31:$H51,$AU31:$AU51)+$H48-R47-SUMPRODUCT(R32:R42,$AU32:$AU42)</f>
        <v>1.7771776634052379</v>
      </c>
      <c r="S48" s="1300"/>
      <c r="T48" s="1299">
        <f>R48*$AR48</f>
        <v>78.213588966464513</v>
      </c>
      <c r="U48" s="1301"/>
      <c r="V48" s="263"/>
      <c r="W48" s="263"/>
      <c r="X48" s="263"/>
      <c r="Y48" s="263"/>
      <c r="Z48" s="263"/>
      <c r="AA48" s="263"/>
      <c r="AB48" s="263"/>
      <c r="AC48" s="263"/>
      <c r="AD48" s="263"/>
      <c r="AE48" s="263"/>
      <c r="AF48" s="263"/>
      <c r="AG48" s="263"/>
      <c r="AH48" s="263"/>
      <c r="AI48" s="263"/>
      <c r="AJ48" s="263"/>
      <c r="AK48" s="264"/>
      <c r="AL48" s="258"/>
      <c r="AM48" s="259">
        <v>1</v>
      </c>
      <c r="AN48" s="259"/>
      <c r="AO48" s="259">
        <v>2</v>
      </c>
      <c r="AP48" s="259"/>
      <c r="AQ48" s="259"/>
      <c r="AR48" s="265">
        <f>AM48*12.01+AN48*1.008+AO48*16+AP48*14+AQ48*32</f>
        <v>44.01</v>
      </c>
      <c r="AS48" s="259"/>
      <c r="AT48" s="259"/>
      <c r="AU48" s="259"/>
      <c r="AV48" s="259"/>
      <c r="AW48" s="259"/>
      <c r="AX48" s="259"/>
      <c r="AY48" s="258"/>
      <c r="AZ48" s="238"/>
      <c r="BA48" s="238"/>
      <c r="BB48" s="238"/>
      <c r="BC48" s="238"/>
      <c r="BD48" s="238"/>
      <c r="BE48" s="239" t="s">
        <v>658</v>
      </c>
      <c r="BF48" s="239">
        <v>0</v>
      </c>
      <c r="BG48" s="239">
        <v>0</v>
      </c>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38"/>
      <c r="CN48" s="238"/>
      <c r="CO48" s="238"/>
      <c r="CP48" s="238"/>
    </row>
    <row r="49" spans="1:94" s="240" customFormat="1" ht="14.25" customHeight="1">
      <c r="A49" s="267" t="s">
        <v>430</v>
      </c>
      <c r="B49" s="268"/>
      <c r="C49" s="268"/>
      <c r="D49" s="268"/>
      <c r="E49" s="269"/>
      <c r="F49" s="1377">
        <v>0</v>
      </c>
      <c r="G49" s="1378"/>
      <c r="H49" s="1299">
        <f t="shared" si="0"/>
        <v>0</v>
      </c>
      <c r="I49" s="1301"/>
      <c r="J49" s="1300"/>
      <c r="K49" s="1300"/>
      <c r="L49" s="1299"/>
      <c r="M49" s="1300"/>
      <c r="N49" s="1299">
        <f t="shared" si="1"/>
        <v>0</v>
      </c>
      <c r="O49" s="1301"/>
      <c r="P49" s="1299">
        <f t="shared" si="9"/>
        <v>5.7177910837402461E-5</v>
      </c>
      <c r="Q49" s="1301"/>
      <c r="R49" s="1300">
        <f>T49/$AR49</f>
        <v>1.0774620436716461E-3</v>
      </c>
      <c r="S49" s="1300"/>
      <c r="T49" s="1299">
        <f>$W17*$X25</f>
        <v>4.9563254008895719E-2</v>
      </c>
      <c r="U49" s="1301"/>
      <c r="V49" s="263"/>
      <c r="W49" s="263"/>
      <c r="X49" s="263"/>
      <c r="Y49" s="263"/>
      <c r="Z49" s="263"/>
      <c r="AA49" s="263"/>
      <c r="AB49" s="263"/>
      <c r="AC49" s="263"/>
      <c r="AD49" s="263"/>
      <c r="AE49" s="263"/>
      <c r="AF49" s="263"/>
      <c r="AG49" s="263"/>
      <c r="AH49" s="263"/>
      <c r="AI49" s="263"/>
      <c r="AJ49" s="263"/>
      <c r="AK49" s="264"/>
      <c r="AL49" s="258"/>
      <c r="AM49" s="258"/>
      <c r="AN49" s="258"/>
      <c r="AO49" s="258">
        <v>2</v>
      </c>
      <c r="AP49" s="258">
        <v>1</v>
      </c>
      <c r="AQ49" s="258"/>
      <c r="AR49" s="265">
        <f>AM49*12.01+AN49*1.008+AO49*16+AP49*14+AQ49*32</f>
        <v>46</v>
      </c>
      <c r="AS49" s="259"/>
      <c r="AT49" s="258"/>
      <c r="AU49" s="258"/>
      <c r="AV49" s="258"/>
      <c r="AW49" s="258"/>
      <c r="AX49" s="258"/>
      <c r="AY49" s="258"/>
      <c r="AZ49" s="238"/>
      <c r="BA49" s="238"/>
      <c r="BB49" s="238"/>
      <c r="BC49" s="238"/>
      <c r="BD49" s="238"/>
      <c r="BE49" s="239" t="s">
        <v>659</v>
      </c>
      <c r="BF49" s="239">
        <v>0</v>
      </c>
      <c r="BG49" s="239">
        <v>0</v>
      </c>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row>
    <row r="50" spans="1:94" s="240" customFormat="1" ht="14.25" customHeight="1">
      <c r="A50" s="267" t="s">
        <v>124</v>
      </c>
      <c r="B50" s="268"/>
      <c r="C50" s="268"/>
      <c r="D50" s="268"/>
      <c r="E50" s="269"/>
      <c r="F50" s="1377">
        <v>0</v>
      </c>
      <c r="G50" s="1378"/>
      <c r="H50" s="1299">
        <f t="shared" si="0"/>
        <v>0</v>
      </c>
      <c r="I50" s="1301"/>
      <c r="J50" s="1300"/>
      <c r="K50" s="1300"/>
      <c r="L50" s="1299"/>
      <c r="M50" s="1300"/>
      <c r="N50" s="1299">
        <f t="shared" si="1"/>
        <v>0</v>
      </c>
      <c r="O50" s="1301"/>
      <c r="P50" s="1299">
        <f t="shared" si="9"/>
        <v>0</v>
      </c>
      <c r="Q50" s="1301"/>
      <c r="R50" s="1299">
        <f>SUMPRODUCT(H31:H51,$AX31:$AX51)+H50</f>
        <v>0</v>
      </c>
      <c r="S50" s="1300"/>
      <c r="T50" s="1299">
        <f>R50*$AR50</f>
        <v>0</v>
      </c>
      <c r="U50" s="1301"/>
      <c r="V50" s="263"/>
      <c r="W50" s="263"/>
      <c r="X50" s="263"/>
      <c r="Y50" s="263"/>
      <c r="Z50" s="263"/>
      <c r="AA50" s="263"/>
      <c r="AB50" s="263"/>
      <c r="AC50" s="263"/>
      <c r="AD50" s="263"/>
      <c r="AE50" s="263"/>
      <c r="AF50" s="263"/>
      <c r="AG50" s="263"/>
      <c r="AH50" s="263"/>
      <c r="AI50" s="263"/>
      <c r="AJ50" s="263"/>
      <c r="AK50" s="264"/>
      <c r="AL50" s="258"/>
      <c r="AM50" s="258"/>
      <c r="AN50" s="258"/>
      <c r="AO50" s="258">
        <v>2</v>
      </c>
      <c r="AP50" s="258"/>
      <c r="AQ50" s="258">
        <v>1</v>
      </c>
      <c r="AR50" s="265">
        <f>AM50*12.01+AN50*1.008+AO50*16+AP50*14+AQ50*32</f>
        <v>64</v>
      </c>
      <c r="AS50" s="259"/>
      <c r="AT50" s="258"/>
      <c r="AU50" s="258"/>
      <c r="AV50" s="258"/>
      <c r="AW50" s="258"/>
      <c r="AX50" s="258"/>
      <c r="AY50" s="258"/>
      <c r="AZ50" s="238"/>
      <c r="BA50" s="238"/>
      <c r="BB50" s="238"/>
      <c r="BC50" s="238"/>
      <c r="BD50" s="238"/>
      <c r="BE50" s="239" t="s">
        <v>660</v>
      </c>
      <c r="BF50" s="239">
        <v>0</v>
      </c>
      <c r="BG50" s="239">
        <v>0</v>
      </c>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38"/>
      <c r="CN50" s="238"/>
      <c r="CO50" s="238"/>
      <c r="CP50" s="238"/>
    </row>
    <row r="51" spans="1:94" s="240" customFormat="1" ht="14.25" customHeight="1">
      <c r="A51" s="273" t="s">
        <v>431</v>
      </c>
      <c r="B51" s="274"/>
      <c r="C51" s="274"/>
      <c r="D51" s="274"/>
      <c r="E51" s="274"/>
      <c r="F51" s="1377">
        <f>CO2eEF!M47</f>
        <v>0</v>
      </c>
      <c r="G51" s="1378"/>
      <c r="H51" s="1299">
        <f t="shared" si="0"/>
        <v>0</v>
      </c>
      <c r="I51" s="1301"/>
      <c r="J51" s="1384"/>
      <c r="K51" s="1384"/>
      <c r="L51" s="1382"/>
      <c r="M51" s="1384"/>
      <c r="N51" s="1299">
        <f t="shared" si="1"/>
        <v>0</v>
      </c>
      <c r="O51" s="1301"/>
      <c r="P51" s="1343">
        <f t="shared" si="9"/>
        <v>0.1891856267404681</v>
      </c>
      <c r="Q51" s="1345"/>
      <c r="R51" s="1300">
        <f>SUMPRODUCT(H31:H51,$AV31:$AV51)+H51-SUMPRODUCT(R32:R42,$AV32:$AV42)</f>
        <v>3.5650188864148826</v>
      </c>
      <c r="S51" s="1300"/>
      <c r="T51" s="1382">
        <f>R51*$AR51</f>
        <v>64.227380257650523</v>
      </c>
      <c r="U51" s="1383"/>
      <c r="V51" s="263"/>
      <c r="W51" s="263"/>
      <c r="X51" s="263"/>
      <c r="Y51" s="263"/>
      <c r="Z51" s="263"/>
      <c r="AA51" s="263"/>
      <c r="AB51" s="263"/>
      <c r="AC51" s="263"/>
      <c r="AD51" s="263"/>
      <c r="AE51" s="263"/>
      <c r="AF51" s="263"/>
      <c r="AG51" s="263"/>
      <c r="AH51" s="263"/>
      <c r="AI51" s="263"/>
      <c r="AJ51" s="263"/>
      <c r="AK51" s="264"/>
      <c r="AL51" s="258"/>
      <c r="AM51" s="258"/>
      <c r="AN51" s="258">
        <v>2</v>
      </c>
      <c r="AO51" s="258">
        <v>1</v>
      </c>
      <c r="AP51" s="258"/>
      <c r="AQ51" s="258"/>
      <c r="AR51" s="265">
        <f>AM51*12.01+AN51*1.008+AO51*16+AP51*14+AQ51*32</f>
        <v>18.015999999999998</v>
      </c>
      <c r="AS51" s="259"/>
      <c r="AT51" s="258"/>
      <c r="AU51" s="258"/>
      <c r="AV51" s="258"/>
      <c r="AW51" s="258"/>
      <c r="AX51" s="258"/>
      <c r="AY51" s="258"/>
      <c r="AZ51" s="238"/>
      <c r="BA51" s="238"/>
      <c r="BB51" s="238"/>
      <c r="BC51" s="238"/>
      <c r="BD51" s="238"/>
      <c r="BE51" s="239" t="s">
        <v>661</v>
      </c>
      <c r="BF51" s="239">
        <v>0</v>
      </c>
      <c r="BG51" s="239">
        <v>0</v>
      </c>
      <c r="BH51" s="238"/>
      <c r="BI51" s="238"/>
      <c r="BJ51" s="238"/>
      <c r="BK51" s="238"/>
      <c r="BL51" s="238"/>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38"/>
      <c r="CN51" s="238"/>
      <c r="CO51" s="238"/>
      <c r="CP51" s="238"/>
    </row>
    <row r="52" spans="1:94" s="240" customFormat="1" ht="14.25" customHeight="1">
      <c r="A52" s="1391" t="s">
        <v>663</v>
      </c>
      <c r="B52" s="1392"/>
      <c r="C52" s="1392"/>
      <c r="D52" s="1392"/>
      <c r="E52" s="1393"/>
      <c r="F52" s="1394">
        <f>SUM(F31:F51)</f>
        <v>1</v>
      </c>
      <c r="G52" s="1395"/>
      <c r="H52" s="1371">
        <f>SUM(H31:H51)</f>
        <v>1.7901234567901241</v>
      </c>
      <c r="I52" s="1373"/>
      <c r="J52" s="1396">
        <f>SUM(J31:J51)</f>
        <v>17.050499706055273</v>
      </c>
      <c r="K52" s="1396"/>
      <c r="L52" s="1371">
        <f>SUM(L31:L51)</f>
        <v>0</v>
      </c>
      <c r="M52" s="1372"/>
      <c r="N52" s="1385">
        <f>SUM(N31:N51)</f>
        <v>520.60608086831314</v>
      </c>
      <c r="O52" s="1386"/>
      <c r="P52" s="1385">
        <f>SUM(P31:P51)</f>
        <v>1</v>
      </c>
      <c r="Q52" s="1386"/>
      <c r="R52" s="1371">
        <f>SUM(R31:R51)</f>
        <v>18.844026091398099</v>
      </c>
      <c r="S52" s="1373"/>
      <c r="T52" s="1387">
        <f>SUM(T31:T51)</f>
        <v>520.48651043613461</v>
      </c>
      <c r="U52" s="1388"/>
      <c r="V52" s="275"/>
      <c r="W52" s="275"/>
      <c r="X52" s="30"/>
      <c r="Y52" s="30"/>
      <c r="Z52" s="276"/>
      <c r="AA52" s="276"/>
      <c r="AB52" s="30"/>
      <c r="AC52" s="30"/>
      <c r="AD52" s="277"/>
      <c r="AE52" s="277"/>
      <c r="AF52" s="263"/>
      <c r="AG52" s="263"/>
      <c r="AH52" s="30"/>
      <c r="AI52" s="30"/>
      <c r="AJ52" s="277"/>
      <c r="AK52" s="278"/>
      <c r="AL52" s="238"/>
      <c r="AM52" s="238"/>
      <c r="AN52" s="238"/>
      <c r="AO52" s="238"/>
      <c r="AP52" s="238"/>
      <c r="AQ52" s="238"/>
      <c r="AR52" s="238"/>
      <c r="AS52" s="238"/>
      <c r="AT52" s="238"/>
      <c r="AU52" s="238"/>
      <c r="AV52" s="238"/>
      <c r="AW52" s="238"/>
      <c r="AX52" s="238"/>
      <c r="AY52" s="238"/>
      <c r="AZ52" s="238"/>
      <c r="BA52" s="238"/>
      <c r="BB52" s="238"/>
      <c r="BC52" s="238"/>
      <c r="BD52" s="238"/>
      <c r="BE52" s="239" t="s">
        <v>662</v>
      </c>
      <c r="BF52" s="239">
        <v>0</v>
      </c>
      <c r="BG52" s="239">
        <v>0</v>
      </c>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row>
    <row r="53" spans="1:94" s="240" customFormat="1" ht="14.25" customHeight="1">
      <c r="A53" s="475" t="s">
        <v>665</v>
      </c>
      <c r="B53" s="476"/>
      <c r="C53" s="476"/>
      <c r="D53" s="476"/>
      <c r="E53" s="435"/>
      <c r="F53" s="435"/>
      <c r="G53" s="435"/>
      <c r="H53" s="435"/>
      <c r="I53" s="435"/>
      <c r="J53" s="435"/>
      <c r="K53" s="435"/>
      <c r="L53" s="1189" t="s">
        <v>666</v>
      </c>
      <c r="M53" s="1190"/>
      <c r="N53" s="1400" t="s">
        <v>617</v>
      </c>
      <c r="O53" s="1400"/>
      <c r="P53" s="1399" t="s">
        <v>332</v>
      </c>
      <c r="Q53" s="1399"/>
      <c r="R53" s="30"/>
      <c r="S53" s="477"/>
      <c r="T53" s="614"/>
      <c r="U53" s="614"/>
      <c r="V53" s="479"/>
      <c r="W53" s="479"/>
      <c r="X53" s="615"/>
      <c r="Y53" s="615"/>
      <c r="Z53" s="615"/>
      <c r="AA53" s="615"/>
      <c r="AB53" s="615"/>
      <c r="AC53" s="615"/>
      <c r="AD53" s="615"/>
      <c r="AE53" s="615"/>
      <c r="AF53" s="615"/>
      <c r="AG53" s="479"/>
      <c r="AH53" s="479"/>
      <c r="AI53" s="479"/>
      <c r="AJ53" s="479"/>
      <c r="AK53" s="480"/>
      <c r="AL53" s="481"/>
      <c r="AM53" s="238"/>
      <c r="AN53" s="238"/>
      <c r="AO53" s="238"/>
      <c r="AP53" s="238"/>
      <c r="AQ53" s="238"/>
      <c r="AR53" s="238"/>
      <c r="AS53" s="238"/>
      <c r="AT53" s="238"/>
      <c r="AU53" s="238"/>
      <c r="AV53" s="238"/>
      <c r="AW53" s="238"/>
      <c r="AX53" s="238"/>
      <c r="AY53" s="238"/>
      <c r="AZ53" s="238"/>
      <c r="BA53" s="238"/>
      <c r="BB53" s="238"/>
      <c r="BC53" s="238"/>
      <c r="BD53" s="238"/>
      <c r="BE53" s="239" t="s">
        <v>664</v>
      </c>
      <c r="BF53" s="239">
        <v>0</v>
      </c>
      <c r="BG53" s="239">
        <v>0</v>
      </c>
      <c r="BH53" s="238"/>
      <c r="BI53" s="238"/>
      <c r="BJ53" s="238"/>
      <c r="BK53" s="238"/>
      <c r="BL53" s="238"/>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38"/>
      <c r="CN53" s="238"/>
      <c r="CO53" s="238"/>
      <c r="CP53" s="238"/>
    </row>
    <row r="54" spans="1:94" s="240" customFormat="1" ht="14.25" customHeight="1">
      <c r="A54" s="273" t="s">
        <v>668</v>
      </c>
      <c r="B54" s="30"/>
      <c r="C54" s="30"/>
      <c r="D54" s="30"/>
      <c r="E54" s="30"/>
      <c r="F54" s="30"/>
      <c r="G54" s="30"/>
      <c r="H54" s="30"/>
      <c r="I54" s="30"/>
      <c r="J54" s="30"/>
      <c r="K54" s="30"/>
      <c r="L54" s="1397">
        <f>N54*1000/3600</f>
        <v>1.3767570558026588E-2</v>
      </c>
      <c r="M54" s="1398"/>
      <c r="N54" s="1403">
        <f>W17*$X$25</f>
        <v>4.9563254008895719E-2</v>
      </c>
      <c r="O54" s="1403"/>
      <c r="P54" s="1291">
        <f>N54*365.25*24/1000</f>
        <v>0.43447148464197988</v>
      </c>
      <c r="Q54" s="1291"/>
      <c r="V54" s="484"/>
      <c r="W54" s="484"/>
      <c r="X54" s="484"/>
      <c r="Y54" s="484"/>
      <c r="Z54" s="484"/>
      <c r="AA54" s="484"/>
      <c r="AB54" s="484"/>
      <c r="AC54" s="484"/>
      <c r="AD54" s="484"/>
      <c r="AE54" s="484"/>
      <c r="AF54" s="484"/>
      <c r="AG54" s="484"/>
      <c r="AH54" s="484"/>
      <c r="AI54" s="484"/>
      <c r="AJ54" s="484"/>
      <c r="AK54" s="253"/>
      <c r="AL54" s="238"/>
      <c r="AM54" s="238"/>
      <c r="AN54" s="238"/>
      <c r="AO54" s="482"/>
      <c r="AP54" s="238"/>
      <c r="AQ54" s="238"/>
      <c r="AR54" s="238"/>
      <c r="AS54" s="238"/>
      <c r="AT54" s="238"/>
      <c r="AU54" s="238"/>
      <c r="AV54" s="238"/>
      <c r="AW54" s="238"/>
      <c r="AX54" s="238"/>
      <c r="AY54" s="238"/>
      <c r="AZ54" s="238"/>
      <c r="BA54" s="238"/>
      <c r="BB54" s="238"/>
      <c r="BC54" s="238"/>
      <c r="BD54" s="238"/>
      <c r="BE54" s="239" t="s">
        <v>669</v>
      </c>
      <c r="BF54" s="239">
        <v>0</v>
      </c>
      <c r="BG54" s="239">
        <v>1.5800000000000002E-2</v>
      </c>
      <c r="BH54" s="238"/>
      <c r="BI54" s="238"/>
      <c r="BJ54" s="238"/>
      <c r="BK54" s="238"/>
      <c r="BL54" s="238"/>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38"/>
      <c r="CN54" s="238"/>
      <c r="CO54" s="238"/>
      <c r="CP54" s="238"/>
    </row>
    <row r="55" spans="1:94" s="240" customFormat="1" ht="14.25" customHeight="1">
      <c r="A55" s="273" t="s">
        <v>670</v>
      </c>
      <c r="B55" s="30"/>
      <c r="C55" s="30"/>
      <c r="D55" s="30"/>
      <c r="E55" s="30"/>
      <c r="F55" s="30"/>
      <c r="G55" s="30"/>
      <c r="H55" s="30"/>
      <c r="I55" s="30"/>
      <c r="J55" s="30"/>
      <c r="K55" s="30"/>
      <c r="L55" s="1397">
        <f>N55*1000/3600</f>
        <v>7.4911780977497622E-2</v>
      </c>
      <c r="M55" s="1398"/>
      <c r="N55" s="1403">
        <f>AC17*$X$25</f>
        <v>0.26968241151899147</v>
      </c>
      <c r="O55" s="1403"/>
      <c r="P55" s="1291">
        <f t="shared" ref="P55:P61" si="10">N55*365.25*24/1000</f>
        <v>2.364036019375479</v>
      </c>
      <c r="Q55" s="1291"/>
      <c r="R55" s="473"/>
      <c r="S55" s="473"/>
      <c r="T55" s="473"/>
      <c r="U55" s="473"/>
      <c r="V55" s="30"/>
      <c r="W55" s="30"/>
      <c r="X55" s="30"/>
      <c r="Y55" s="30"/>
      <c r="Z55" s="30"/>
      <c r="AA55" s="30"/>
      <c r="AB55" s="30"/>
      <c r="AC55" s="30"/>
      <c r="AD55" s="30"/>
      <c r="AE55" s="30"/>
      <c r="AF55" s="30"/>
      <c r="AG55" s="30"/>
      <c r="AH55" s="30"/>
      <c r="AI55" s="30"/>
      <c r="AJ55" s="30"/>
      <c r="AK55" s="253"/>
      <c r="AL55" s="238"/>
      <c r="AM55" s="238"/>
      <c r="AN55" s="238"/>
      <c r="AO55" s="482"/>
      <c r="AP55" s="238"/>
      <c r="AQ55" s="238"/>
      <c r="AR55" s="238"/>
      <c r="AS55" s="238"/>
      <c r="AT55" s="238"/>
      <c r="AU55" s="238"/>
      <c r="AV55" s="238"/>
      <c r="AW55" s="238"/>
      <c r="AX55" s="238"/>
      <c r="AY55" s="238"/>
      <c r="AZ55" s="238"/>
      <c r="BA55" s="238"/>
      <c r="BB55" s="238"/>
      <c r="BC55" s="238"/>
      <c r="BD55" s="238"/>
      <c r="BE55" s="239"/>
      <c r="BF55" s="239"/>
      <c r="BG55" s="239"/>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38"/>
      <c r="CN55" s="238"/>
      <c r="CO55" s="238"/>
      <c r="CP55" s="238"/>
    </row>
    <row r="56" spans="1:94" s="240" customFormat="1" ht="14.25" customHeight="1">
      <c r="A56" s="483" t="s">
        <v>748</v>
      </c>
      <c r="B56" s="484"/>
      <c r="C56" s="484"/>
      <c r="D56" s="484"/>
      <c r="E56" s="484"/>
      <c r="F56" s="484"/>
      <c r="G56" s="484"/>
      <c r="H56" s="484"/>
      <c r="I56" s="484"/>
      <c r="J56" s="484"/>
      <c r="K56" s="484"/>
      <c r="L56" s="1397">
        <f>N56*1000/3600</f>
        <v>4.6945929982804117E-4</v>
      </c>
      <c r="M56" s="1398"/>
      <c r="N56" s="1389">
        <f>AI17*X25</f>
        <v>1.6900534793809483E-3</v>
      </c>
      <c r="O56" s="1389"/>
      <c r="P56" s="1291">
        <f t="shared" si="10"/>
        <v>1.4815008800253392E-2</v>
      </c>
      <c r="Q56" s="1291"/>
      <c r="R56" s="1390"/>
      <c r="S56" s="1390"/>
      <c r="T56" s="616"/>
      <c r="U56" s="616"/>
      <c r="V56" s="30"/>
      <c r="W56" s="30"/>
      <c r="X56" s="30"/>
      <c r="Y56" s="30"/>
      <c r="Z56" s="30"/>
      <c r="AA56" s="30"/>
      <c r="AB56" s="30"/>
      <c r="AC56" s="30"/>
      <c r="AD56" s="30"/>
      <c r="AE56" s="30"/>
      <c r="AF56" s="30"/>
      <c r="AG56" s="30"/>
      <c r="AH56" s="30"/>
      <c r="AI56" s="30"/>
      <c r="AJ56" s="30"/>
      <c r="AK56" s="486"/>
      <c r="AL56" s="238"/>
      <c r="AM56" s="238"/>
      <c r="AN56" s="281"/>
      <c r="AO56" s="238"/>
      <c r="AP56" s="238"/>
      <c r="AQ56" s="238"/>
      <c r="AR56" s="238"/>
      <c r="AS56" s="238"/>
      <c r="AT56" s="238"/>
      <c r="AU56" s="238"/>
      <c r="AV56" s="238"/>
      <c r="AW56" s="238"/>
      <c r="AX56" s="238"/>
      <c r="AY56" s="238"/>
      <c r="AZ56" s="238"/>
      <c r="BA56" s="238"/>
      <c r="BB56" s="238"/>
      <c r="BC56" s="238"/>
      <c r="BD56" s="238"/>
      <c r="BE56" s="239" t="s">
        <v>667</v>
      </c>
      <c r="BF56" s="239">
        <v>0</v>
      </c>
      <c r="BG56" s="239">
        <v>4.4999999999999997E-3</v>
      </c>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38"/>
      <c r="CN56" s="238"/>
      <c r="CO56" s="238"/>
      <c r="CP56" s="238"/>
    </row>
    <row r="57" spans="1:94" s="240" customFormat="1" ht="14.25" customHeight="1">
      <c r="A57" s="273" t="s">
        <v>672</v>
      </c>
      <c r="B57" s="30"/>
      <c r="C57" s="30"/>
      <c r="D57" s="30"/>
      <c r="E57" s="30"/>
      <c r="F57" s="30"/>
      <c r="G57" s="30"/>
      <c r="H57" s="30"/>
      <c r="I57" s="30"/>
      <c r="J57" s="30"/>
      <c r="K57" s="30"/>
      <c r="L57" s="1397">
        <f>N57*1000/3600</f>
        <v>2.8344998207701807E-2</v>
      </c>
      <c r="M57" s="1398"/>
      <c r="N57" s="1403">
        <f>K22*$X$25</f>
        <v>0.1020419935477265</v>
      </c>
      <c r="O57" s="1403"/>
      <c r="P57" s="1291">
        <f t="shared" si="10"/>
        <v>0.89450011543937047</v>
      </c>
      <c r="Q57" s="1291"/>
      <c r="R57" s="473"/>
      <c r="S57" s="473"/>
      <c r="T57" s="473"/>
      <c r="U57" s="473"/>
      <c r="V57" s="30"/>
      <c r="W57" s="30"/>
      <c r="X57" s="30"/>
      <c r="Y57" s="30"/>
      <c r="Z57" s="30"/>
      <c r="AA57" s="30"/>
      <c r="AB57" s="30"/>
      <c r="AC57" s="30"/>
      <c r="AD57" s="30"/>
      <c r="AE57" s="30"/>
      <c r="AF57" s="30"/>
      <c r="AG57" s="30"/>
      <c r="AH57" s="30"/>
      <c r="AI57" s="30"/>
      <c r="AJ57" s="30"/>
      <c r="AK57" s="253"/>
      <c r="AL57" s="238"/>
      <c r="AM57" s="238"/>
      <c r="AN57" s="238"/>
      <c r="AO57" s="482"/>
      <c r="AP57" s="238"/>
      <c r="AQ57" s="238"/>
      <c r="AR57" s="238"/>
      <c r="AS57" s="238"/>
      <c r="AT57" s="238"/>
      <c r="AU57" s="238"/>
      <c r="AV57" s="238"/>
      <c r="AW57" s="238"/>
      <c r="AX57" s="238"/>
      <c r="AY57" s="238"/>
      <c r="AZ57" s="238"/>
      <c r="BA57" s="238"/>
      <c r="BB57" s="238"/>
      <c r="BC57" s="238"/>
      <c r="BD57" s="238"/>
      <c r="BE57" s="239"/>
      <c r="BF57" s="239"/>
      <c r="BG57" s="239"/>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38"/>
      <c r="CN57" s="238"/>
      <c r="CO57" s="238"/>
      <c r="CP57" s="238"/>
    </row>
    <row r="58" spans="1:94" s="240" customFormat="1" ht="14.25" customHeight="1">
      <c r="A58" s="273" t="s">
        <v>673</v>
      </c>
      <c r="B58" s="30"/>
      <c r="C58" s="30"/>
      <c r="D58" s="30"/>
      <c r="E58" s="30"/>
      <c r="F58" s="30"/>
      <c r="G58" s="30"/>
      <c r="H58" s="30"/>
      <c r="I58" s="30"/>
      <c r="J58" s="30"/>
      <c r="K58" s="30"/>
      <c r="L58" s="1397">
        <f>N58*1000/3600</f>
        <v>0</v>
      </c>
      <c r="M58" s="1398"/>
      <c r="N58" s="1397">
        <f>W22*$X$25</f>
        <v>0</v>
      </c>
      <c r="O58" s="1398"/>
      <c r="P58" s="1291">
        <f t="shared" si="10"/>
        <v>0</v>
      </c>
      <c r="Q58" s="1291"/>
      <c r="R58" s="860"/>
      <c r="S58" s="860"/>
      <c r="T58" s="473"/>
      <c r="U58" s="473"/>
      <c r="V58" s="30"/>
      <c r="W58" s="30"/>
      <c r="X58" s="30"/>
      <c r="Y58" s="30"/>
      <c r="Z58" s="30"/>
      <c r="AA58" s="30"/>
      <c r="AB58" s="30"/>
      <c r="AC58" s="30"/>
      <c r="AD58" s="30"/>
      <c r="AE58" s="30"/>
      <c r="AF58" s="30"/>
      <c r="AG58" s="30"/>
      <c r="AH58" s="30"/>
      <c r="AI58" s="30"/>
      <c r="AJ58" s="30"/>
      <c r="AK58" s="253"/>
      <c r="AL58" s="238"/>
      <c r="AM58" s="238"/>
      <c r="AN58" s="238"/>
      <c r="AO58" s="482"/>
      <c r="AP58" s="238"/>
      <c r="AQ58" s="238"/>
      <c r="AR58" s="238"/>
      <c r="AS58" s="238"/>
      <c r="AT58" s="238"/>
      <c r="AU58" s="238"/>
      <c r="AV58" s="238"/>
      <c r="AW58" s="238"/>
      <c r="AX58" s="238"/>
      <c r="AY58" s="238"/>
      <c r="AZ58" s="238"/>
      <c r="BA58" s="238"/>
      <c r="BB58" s="238"/>
      <c r="BC58" s="238"/>
      <c r="BD58" s="238"/>
      <c r="BE58" s="239"/>
      <c r="BF58" s="239"/>
      <c r="BG58" s="239"/>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row>
    <row r="59" spans="1:94" s="240" customFormat="1" ht="14.25" customHeight="1">
      <c r="A59" s="273" t="s">
        <v>675</v>
      </c>
      <c r="B59" s="30"/>
      <c r="C59" s="30"/>
      <c r="D59" s="30"/>
      <c r="E59" s="30"/>
      <c r="F59" s="30"/>
      <c r="G59" s="30"/>
      <c r="H59" s="30"/>
      <c r="I59" s="30"/>
      <c r="J59" s="30"/>
      <c r="K59" s="30"/>
      <c r="L59" s="1397">
        <f t="shared" ref="L59:L60" si="11">N59*1000/3600</f>
        <v>0</v>
      </c>
      <c r="M59" s="1398"/>
      <c r="N59" s="1397"/>
      <c r="O59" s="1398"/>
      <c r="P59" s="1291">
        <f t="shared" si="10"/>
        <v>0</v>
      </c>
      <c r="Q59" s="1291"/>
      <c r="R59" s="473"/>
      <c r="S59" s="473"/>
      <c r="T59" s="473"/>
      <c r="U59" s="473"/>
      <c r="V59" s="30"/>
      <c r="W59" s="30"/>
      <c r="X59" s="30"/>
      <c r="Y59" s="30"/>
      <c r="Z59" s="30"/>
      <c r="AA59" s="30"/>
      <c r="AB59" s="30"/>
      <c r="AC59" s="30"/>
      <c r="AD59" s="30"/>
      <c r="AE59" s="30"/>
      <c r="AF59" s="30"/>
      <c r="AG59" s="30"/>
      <c r="AH59" s="30"/>
      <c r="AI59" s="30"/>
      <c r="AJ59" s="30"/>
      <c r="AK59" s="253"/>
      <c r="AL59" s="238"/>
      <c r="AM59" s="238"/>
      <c r="AN59" s="238"/>
      <c r="AO59" s="482"/>
      <c r="AP59" s="238"/>
      <c r="AQ59" s="238"/>
      <c r="AR59" s="238"/>
      <c r="AS59" s="238"/>
      <c r="AT59" s="238"/>
      <c r="AU59" s="238"/>
      <c r="AV59" s="238"/>
      <c r="AW59" s="238"/>
      <c r="AX59" s="238"/>
      <c r="AY59" s="238"/>
      <c r="AZ59" s="238"/>
      <c r="BA59" s="238"/>
      <c r="BB59" s="238"/>
      <c r="BC59" s="238"/>
      <c r="BD59" s="238"/>
      <c r="BE59" s="239"/>
      <c r="BF59" s="239"/>
      <c r="BG59" s="239"/>
      <c r="BH59" s="238"/>
      <c r="BI59" s="238"/>
      <c r="BJ59" s="238"/>
      <c r="BK59" s="238"/>
      <c r="BL59" s="238"/>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38"/>
      <c r="CN59" s="238"/>
      <c r="CO59" s="238"/>
      <c r="CP59" s="238"/>
    </row>
    <row r="60" spans="1:94" s="240" customFormat="1" ht="14.25" customHeight="1">
      <c r="A60" s="273" t="s">
        <v>676</v>
      </c>
      <c r="B60" s="30"/>
      <c r="C60" s="30"/>
      <c r="D60" s="30"/>
      <c r="E60" s="30"/>
      <c r="F60" s="30"/>
      <c r="G60" s="30"/>
      <c r="H60" s="30"/>
      <c r="I60" s="30"/>
      <c r="J60" s="30"/>
      <c r="K60" s="30"/>
      <c r="L60" s="1397">
        <f t="shared" si="11"/>
        <v>0</v>
      </c>
      <c r="M60" s="1398"/>
      <c r="N60" s="1397"/>
      <c r="O60" s="1398"/>
      <c r="P60" s="1291">
        <f t="shared" si="10"/>
        <v>0</v>
      </c>
      <c r="Q60" s="1291"/>
      <c r="R60" s="30"/>
      <c r="S60" s="30"/>
      <c r="T60" s="30"/>
      <c r="U60" s="30"/>
      <c r="V60" s="30"/>
      <c r="W60" s="30"/>
      <c r="X60" s="30"/>
      <c r="Y60" s="30"/>
      <c r="Z60" s="30"/>
      <c r="AA60" s="30"/>
      <c r="AB60" s="30"/>
      <c r="AC60" s="30"/>
      <c r="AD60" s="30"/>
      <c r="AE60" s="30"/>
      <c r="AF60" s="30"/>
      <c r="AG60" s="30"/>
      <c r="AH60" s="30"/>
      <c r="AI60" s="30"/>
      <c r="AJ60" s="30"/>
      <c r="AK60" s="253"/>
      <c r="AL60" s="238"/>
      <c r="AM60" s="238"/>
      <c r="AN60" s="238"/>
      <c r="AO60" s="281"/>
      <c r="AP60" s="238"/>
      <c r="AQ60" s="238"/>
      <c r="AR60" s="238"/>
      <c r="AS60" s="238"/>
      <c r="AT60" s="238"/>
      <c r="AU60" s="238"/>
      <c r="AV60" s="238"/>
      <c r="AW60" s="238"/>
      <c r="AX60" s="238"/>
      <c r="AY60" s="238"/>
      <c r="AZ60" s="238"/>
      <c r="BA60" s="238"/>
      <c r="BB60" s="238"/>
      <c r="BC60" s="238"/>
      <c r="BD60" s="238"/>
      <c r="BE60" s="239"/>
      <c r="BF60" s="239"/>
      <c r="BG60" s="239"/>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row>
    <row r="61" spans="1:94" s="240" customFormat="1" ht="14.25" customHeight="1">
      <c r="A61" s="273" t="s">
        <v>677</v>
      </c>
      <c r="B61" s="30"/>
      <c r="C61" s="30"/>
      <c r="D61" s="30"/>
      <c r="E61" s="30"/>
      <c r="F61" s="30"/>
      <c r="G61" s="30"/>
      <c r="H61" s="30"/>
      <c r="I61" s="30"/>
      <c r="J61" s="30"/>
      <c r="K61" s="30"/>
      <c r="L61" s="1025">
        <f>N61*1000/3600</f>
        <v>22.014594121664789</v>
      </c>
      <c r="M61" s="1401"/>
      <c r="N61" s="1290">
        <f>X25*CO2eEF!I28</f>
        <v>79.252538837993242</v>
      </c>
      <c r="O61" s="1290"/>
      <c r="P61" s="1291">
        <f t="shared" si="10"/>
        <v>694.72775545384877</v>
      </c>
      <c r="Q61" s="1291"/>
      <c r="R61" s="284"/>
      <c r="S61" s="284"/>
      <c r="T61" s="284"/>
      <c r="U61" s="284"/>
      <c r="V61" s="251"/>
      <c r="W61" s="251"/>
      <c r="X61" s="251"/>
      <c r="Y61" s="251"/>
      <c r="Z61" s="251"/>
      <c r="AA61" s="251"/>
      <c r="AB61" s="251"/>
      <c r="AC61" s="251"/>
      <c r="AD61" s="251"/>
      <c r="AE61" s="251"/>
      <c r="AF61" s="251"/>
      <c r="AG61" s="251"/>
      <c r="AH61" s="251"/>
      <c r="AI61" s="251"/>
      <c r="AJ61" s="251"/>
      <c r="AK61" s="253"/>
      <c r="AL61" s="238"/>
      <c r="AM61" s="238"/>
      <c r="AN61" s="238"/>
      <c r="AO61" s="281"/>
      <c r="AP61" s="238"/>
      <c r="AQ61" s="238"/>
      <c r="AR61" s="238"/>
      <c r="AS61" s="238"/>
      <c r="AT61" s="238"/>
      <c r="AU61" s="238"/>
      <c r="AV61" s="238"/>
      <c r="AW61" s="238"/>
      <c r="AX61" s="238"/>
      <c r="AY61" s="238"/>
      <c r="AZ61" s="238"/>
      <c r="BA61" s="238"/>
      <c r="BB61" s="238"/>
      <c r="BC61" s="238"/>
      <c r="BD61" s="238"/>
      <c r="BE61" s="239"/>
      <c r="BF61" s="239"/>
      <c r="BG61" s="239"/>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row>
    <row r="62" spans="1:94" s="240" customFormat="1" ht="14.25" customHeight="1">
      <c r="A62" s="279" t="s">
        <v>749</v>
      </c>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2"/>
      <c r="AF62" s="132"/>
      <c r="AG62" s="132"/>
      <c r="AH62" s="132"/>
      <c r="AI62" s="132"/>
      <c r="AJ62" s="132"/>
      <c r="AK62" s="280"/>
      <c r="AL62" s="238"/>
      <c r="AM62" s="238"/>
      <c r="AN62" s="238"/>
      <c r="AO62" s="281"/>
      <c r="AP62" s="238"/>
      <c r="AQ62" s="238"/>
      <c r="AR62" s="238"/>
      <c r="AS62" s="238"/>
      <c r="AT62" s="238"/>
      <c r="AU62" s="238"/>
      <c r="AV62" s="238"/>
      <c r="AW62" s="238"/>
      <c r="AX62" s="238"/>
      <c r="AY62" s="238"/>
      <c r="AZ62" s="238"/>
      <c r="BA62" s="238"/>
      <c r="BB62" s="238"/>
      <c r="BC62" s="238"/>
      <c r="BD62" s="238"/>
      <c r="BE62" s="239"/>
      <c r="BF62" s="239"/>
      <c r="BG62" s="239"/>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row>
    <row r="63" spans="1:94" s="240" customFormat="1" ht="14.25" customHeight="1">
      <c r="A63" s="282" t="s">
        <v>31</v>
      </c>
      <c r="B63" s="30" t="s">
        <v>750</v>
      </c>
      <c r="C63" s="30"/>
      <c r="D63" s="30"/>
      <c r="E63" s="30"/>
      <c r="F63" s="30"/>
      <c r="G63" s="30"/>
      <c r="H63" s="30"/>
      <c r="I63" s="30"/>
      <c r="J63" s="30"/>
      <c r="K63" s="30"/>
      <c r="L63" s="30"/>
      <c r="M63" s="30"/>
      <c r="N63" s="283"/>
      <c r="O63" s="283"/>
      <c r="P63" s="283"/>
      <c r="Q63" s="30"/>
      <c r="R63" s="30"/>
      <c r="S63" s="30"/>
      <c r="T63" s="30"/>
      <c r="U63" s="30"/>
      <c r="V63" s="30"/>
      <c r="W63" s="30"/>
      <c r="X63" s="30"/>
      <c r="Y63" s="30"/>
      <c r="Z63" s="30"/>
      <c r="AA63" s="30"/>
      <c r="AB63" s="30"/>
      <c r="AC63" s="30"/>
      <c r="AD63" s="30"/>
      <c r="AE63" s="30"/>
      <c r="AF63" s="30"/>
      <c r="AG63" s="30"/>
      <c r="AH63" s="30"/>
      <c r="AI63" s="30"/>
      <c r="AJ63" s="30"/>
      <c r="AK63" s="253"/>
      <c r="AL63" s="238"/>
      <c r="AM63" s="238"/>
      <c r="AN63" s="238"/>
      <c r="AO63" s="238"/>
      <c r="AP63" s="238"/>
      <c r="AQ63" s="238"/>
      <c r="AR63" s="238"/>
      <c r="AS63" s="238"/>
      <c r="AT63" s="238"/>
      <c r="AU63" s="238"/>
      <c r="AV63" s="238"/>
      <c r="AW63" s="238"/>
      <c r="AX63" s="238"/>
      <c r="AY63" s="238"/>
      <c r="AZ63" s="238"/>
      <c r="BA63" s="238"/>
      <c r="BB63" s="238"/>
      <c r="BC63" s="238"/>
      <c r="BD63" s="238"/>
      <c r="BE63" s="239" t="s">
        <v>679</v>
      </c>
      <c r="BF63" s="239">
        <v>0</v>
      </c>
      <c r="BG63" s="239">
        <v>0</v>
      </c>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row>
    <row r="64" spans="1:94" ht="14.25" customHeight="1">
      <c r="A64" s="282" t="s">
        <v>33</v>
      </c>
      <c r="B64" s="31" t="s">
        <v>751</v>
      </c>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5"/>
      <c r="AK64" s="286"/>
      <c r="AL64" s="243"/>
      <c r="AM64" s="243"/>
      <c r="AN64" s="243"/>
      <c r="AO64" s="243"/>
      <c r="AP64" s="243"/>
      <c r="AQ64" s="243"/>
      <c r="AR64" s="243"/>
      <c r="AS64" s="243"/>
      <c r="AT64" s="243"/>
      <c r="AU64" s="243"/>
      <c r="AV64" s="243"/>
      <c r="AW64" s="243"/>
      <c r="AX64" s="243"/>
      <c r="AY64" s="243"/>
      <c r="AZ64" s="243"/>
      <c r="BA64" s="243"/>
      <c r="BB64" s="243"/>
      <c r="BC64" s="243"/>
      <c r="BD64" s="243"/>
      <c r="BE64" s="246" t="s">
        <v>681</v>
      </c>
      <c r="BF64" s="246">
        <v>0</v>
      </c>
      <c r="BG64" s="246">
        <v>0</v>
      </c>
      <c r="BH64" s="243"/>
      <c r="BI64" s="243"/>
      <c r="BJ64" s="243"/>
      <c r="BK64" s="243"/>
      <c r="BL64" s="243"/>
      <c r="BM64" s="243"/>
      <c r="BN64" s="243"/>
      <c r="BO64" s="243"/>
      <c r="BP64" s="243"/>
      <c r="BQ64" s="243"/>
      <c r="BR64" s="243"/>
      <c r="BS64" s="243"/>
      <c r="BT64" s="243"/>
      <c r="BU64" s="243"/>
      <c r="BV64" s="243"/>
      <c r="BW64" s="243"/>
      <c r="BX64" s="243"/>
      <c r="BY64" s="243"/>
      <c r="BZ64" s="243"/>
      <c r="CA64" s="243"/>
      <c r="CB64" s="243"/>
      <c r="CC64" s="243"/>
      <c r="CD64" s="243"/>
      <c r="CE64" s="243"/>
      <c r="CF64" s="243"/>
      <c r="CG64" s="243"/>
      <c r="CH64" s="243"/>
      <c r="CI64" s="243"/>
      <c r="CJ64" s="243"/>
      <c r="CK64" s="243"/>
      <c r="CL64" s="243"/>
      <c r="CM64" s="243"/>
      <c r="CN64" s="243"/>
      <c r="CO64" s="243"/>
      <c r="CP64" s="243"/>
    </row>
    <row r="65" spans="1:94" ht="14.25" customHeight="1">
      <c r="A65" s="282" t="s">
        <v>752</v>
      </c>
      <c r="B65" s="30" t="s">
        <v>753</v>
      </c>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6"/>
      <c r="AL65" s="243"/>
      <c r="AM65" s="243"/>
      <c r="AN65" s="243"/>
      <c r="AO65" s="243"/>
      <c r="AP65" s="243"/>
      <c r="AQ65" s="243"/>
      <c r="AR65" s="243"/>
      <c r="AS65" s="243"/>
      <c r="AT65" s="243"/>
      <c r="AU65" s="243"/>
      <c r="AV65" s="243"/>
      <c r="AW65" s="243"/>
      <c r="AX65" s="243"/>
      <c r="AY65" s="243"/>
      <c r="AZ65" s="243"/>
      <c r="BA65" s="243"/>
      <c r="BB65" s="243"/>
      <c r="BC65" s="243"/>
      <c r="BD65" s="243"/>
      <c r="BE65" s="246" t="s">
        <v>684</v>
      </c>
      <c r="BF65" s="246">
        <v>0</v>
      </c>
      <c r="BG65" s="246">
        <v>0</v>
      </c>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c r="CM65" s="243"/>
      <c r="CN65" s="243"/>
      <c r="CO65" s="243"/>
      <c r="CP65" s="243"/>
    </row>
    <row r="66" spans="1:94" ht="14.25" customHeight="1">
      <c r="A66" s="282" t="s">
        <v>38</v>
      </c>
      <c r="B66" s="31" t="s">
        <v>725</v>
      </c>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6"/>
      <c r="AL66" s="243"/>
      <c r="AM66" s="243"/>
      <c r="AN66" s="243"/>
      <c r="AO66" s="243"/>
      <c r="AP66" s="243"/>
      <c r="AQ66" s="243"/>
      <c r="AR66" s="243"/>
      <c r="AS66" s="243"/>
      <c r="AT66" s="243"/>
      <c r="AU66" s="243"/>
      <c r="AV66" s="243"/>
      <c r="AW66" s="243"/>
      <c r="AX66" s="243"/>
      <c r="AY66" s="243"/>
      <c r="AZ66" s="243"/>
      <c r="BA66" s="243"/>
      <c r="BB66" s="243"/>
      <c r="BC66" s="243"/>
      <c r="BD66" s="243"/>
      <c r="BE66" s="246"/>
      <c r="BF66" s="246"/>
      <c r="BG66" s="246"/>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row>
    <row r="67" spans="1:94" ht="13.15" customHeight="1">
      <c r="A67" s="282" t="s">
        <v>41</v>
      </c>
      <c r="B67" s="284" t="s">
        <v>726</v>
      </c>
      <c r="C67" s="487"/>
      <c r="D67" s="487"/>
      <c r="E67" s="487"/>
      <c r="F67" s="487"/>
      <c r="G67" s="487"/>
      <c r="H67" s="487"/>
      <c r="I67" s="487"/>
      <c r="J67" s="487"/>
      <c r="K67" s="487"/>
      <c r="L67" s="487"/>
      <c r="M67" s="487"/>
      <c r="N67" s="487"/>
      <c r="O67" s="487"/>
      <c r="P67" s="487"/>
      <c r="Q67" s="487"/>
      <c r="R67" s="487"/>
      <c r="S67" s="487"/>
      <c r="T67" s="487"/>
      <c r="U67" s="487"/>
      <c r="V67" s="487"/>
      <c r="W67" s="487"/>
      <c r="X67" s="487"/>
      <c r="Y67" s="487"/>
      <c r="Z67" s="487"/>
      <c r="AA67" s="487"/>
      <c r="AB67" s="487"/>
      <c r="AC67" s="487"/>
      <c r="AD67" s="487"/>
      <c r="AE67" s="487"/>
      <c r="AF67" s="487"/>
      <c r="AG67" s="487"/>
      <c r="AH67" s="487"/>
      <c r="AI67" s="487"/>
      <c r="AJ67" s="487"/>
      <c r="AK67" s="488"/>
      <c r="AL67" s="243"/>
      <c r="AM67" s="243"/>
      <c r="AN67" s="243"/>
      <c r="AO67" s="243"/>
      <c r="AP67" s="243"/>
      <c r="AQ67" s="243"/>
      <c r="AR67" s="243"/>
      <c r="AS67" s="243"/>
      <c r="AT67" s="243"/>
      <c r="AU67" s="243"/>
      <c r="AV67" s="243"/>
      <c r="AW67" s="243"/>
      <c r="AX67" s="243"/>
      <c r="AY67" s="243"/>
      <c r="AZ67" s="243"/>
      <c r="BA67" s="243"/>
      <c r="BB67" s="243"/>
      <c r="BC67" s="243"/>
      <c r="BD67" s="243"/>
      <c r="BE67" s="246" t="s">
        <v>686</v>
      </c>
      <c r="BF67" s="246">
        <v>0</v>
      </c>
      <c r="BG67" s="246">
        <v>0</v>
      </c>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c r="CM67" s="243"/>
      <c r="CN67" s="243"/>
      <c r="CO67" s="243"/>
      <c r="CP67" s="243"/>
    </row>
    <row r="68" spans="1:94">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9"/>
      <c r="AL68" s="289"/>
      <c r="AM68" s="289"/>
      <c r="AN68" s="289"/>
      <c r="AO68" s="289"/>
      <c r="AP68" s="289"/>
      <c r="AQ68" s="289"/>
      <c r="AR68" s="243"/>
      <c r="AS68" s="243"/>
      <c r="AT68" s="243"/>
      <c r="AU68" s="243"/>
      <c r="AV68" s="243"/>
      <c r="AW68" s="243"/>
      <c r="AX68" s="243"/>
      <c r="AY68" s="243"/>
      <c r="AZ68" s="243"/>
      <c r="BA68" s="243"/>
      <c r="BB68" s="243"/>
      <c r="BC68" s="243"/>
      <c r="BD68" s="243"/>
      <c r="BE68" s="246" t="s">
        <v>690</v>
      </c>
      <c r="BF68" s="246">
        <v>2.9999999999999997E-4</v>
      </c>
      <c r="BG68" s="246">
        <v>0</v>
      </c>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c r="CM68" s="243"/>
      <c r="CN68" s="243"/>
      <c r="CO68" s="243"/>
      <c r="CP68" s="243"/>
    </row>
    <row r="69" spans="1:94">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9"/>
      <c r="AL69" s="289"/>
      <c r="AM69" s="289"/>
      <c r="AN69" s="289"/>
      <c r="AO69" s="289"/>
      <c r="AP69" s="289"/>
      <c r="AQ69" s="289"/>
      <c r="AR69" s="243"/>
      <c r="AS69" s="243"/>
      <c r="AT69" s="243"/>
      <c r="AU69" s="243"/>
      <c r="AV69" s="243"/>
      <c r="AW69" s="243"/>
      <c r="AX69" s="243"/>
      <c r="AY69" s="243"/>
      <c r="AZ69" s="243"/>
      <c r="BA69" s="243"/>
      <c r="BB69" s="243"/>
      <c r="BC69" s="243"/>
      <c r="BD69" s="243"/>
      <c r="BE69" s="246" t="s">
        <v>691</v>
      </c>
      <c r="BF69" s="246">
        <v>0</v>
      </c>
      <c r="BG69" s="246">
        <v>0</v>
      </c>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row>
    <row r="70" spans="1:94">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9"/>
      <c r="AL70" s="289"/>
      <c r="AM70" s="289"/>
      <c r="AN70" s="289"/>
      <c r="AO70" s="289"/>
      <c r="AP70" s="289"/>
      <c r="AQ70" s="289"/>
      <c r="AR70" s="243"/>
      <c r="AS70" s="243"/>
      <c r="AT70" s="243"/>
      <c r="AU70" s="243"/>
      <c r="AV70" s="243"/>
      <c r="AW70" s="243"/>
      <c r="AX70" s="243"/>
      <c r="AY70" s="243"/>
      <c r="AZ70" s="243"/>
      <c r="BA70" s="243"/>
      <c r="BB70" s="243"/>
      <c r="BC70" s="243"/>
      <c r="BD70" s="243"/>
      <c r="BE70" s="246" t="s">
        <v>692</v>
      </c>
      <c r="BF70" s="246">
        <v>0</v>
      </c>
      <c r="BG70" s="246">
        <v>0</v>
      </c>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row>
    <row r="71" spans="1:94">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9"/>
      <c r="AL71" s="289"/>
      <c r="AM71" s="289"/>
      <c r="AN71" s="289"/>
      <c r="AO71" s="289"/>
      <c r="AP71" s="289"/>
      <c r="AQ71" s="289"/>
      <c r="AR71" s="243"/>
      <c r="AS71" s="243"/>
      <c r="AT71" s="243"/>
      <c r="AU71" s="243"/>
      <c r="AV71" s="243"/>
      <c r="AW71" s="243"/>
      <c r="AX71" s="243"/>
      <c r="AY71" s="243"/>
      <c r="AZ71" s="243"/>
      <c r="BA71" s="243"/>
      <c r="BB71" s="243"/>
      <c r="BC71" s="243"/>
      <c r="BD71" s="243"/>
      <c r="BE71" s="246" t="s">
        <v>693</v>
      </c>
      <c r="BF71" s="246">
        <v>0</v>
      </c>
      <c r="BG71" s="246">
        <v>0</v>
      </c>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row>
    <row r="72" spans="1:94">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9"/>
      <c r="AL72" s="289"/>
      <c r="AM72" s="289"/>
      <c r="AN72" s="289"/>
      <c r="AO72" s="289"/>
      <c r="AP72" s="289"/>
      <c r="AQ72" s="289"/>
      <c r="AR72" s="243"/>
      <c r="AS72" s="243"/>
      <c r="AT72" s="243"/>
      <c r="AU72" s="243"/>
      <c r="AV72" s="243"/>
      <c r="AW72" s="243"/>
      <c r="AX72" s="243"/>
      <c r="AY72" s="243"/>
      <c r="AZ72" s="243"/>
      <c r="BA72" s="243"/>
      <c r="BB72" s="243"/>
      <c r="BC72" s="243"/>
      <c r="BD72" s="243"/>
      <c r="BE72" s="246" t="s">
        <v>694</v>
      </c>
      <c r="BF72" s="246">
        <v>0</v>
      </c>
      <c r="BG72" s="246">
        <v>0</v>
      </c>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row>
    <row r="73" spans="1:94">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9"/>
      <c r="AL73" s="289"/>
      <c r="AM73" s="289"/>
      <c r="AN73" s="289"/>
      <c r="AO73" s="289"/>
      <c r="AP73" s="289"/>
      <c r="AQ73" s="289"/>
      <c r="AR73" s="243"/>
      <c r="AS73" s="243"/>
      <c r="AT73" s="243"/>
      <c r="AU73" s="243"/>
      <c r="AV73" s="243"/>
      <c r="AW73" s="243"/>
      <c r="AX73" s="243"/>
      <c r="AY73" s="243"/>
      <c r="AZ73" s="243"/>
      <c r="BA73" s="243"/>
      <c r="BB73" s="243"/>
      <c r="BC73" s="243"/>
      <c r="BD73" s="243"/>
      <c r="BE73" s="246" t="s">
        <v>695</v>
      </c>
      <c r="BF73" s="246">
        <v>0</v>
      </c>
      <c r="BG73" s="246">
        <v>0</v>
      </c>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243"/>
      <c r="CO73" s="243"/>
      <c r="CP73" s="243"/>
    </row>
    <row r="74" spans="1:94">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9"/>
      <c r="AL74" s="289"/>
      <c r="AM74" s="289"/>
      <c r="AN74" s="289"/>
      <c r="AO74" s="289"/>
      <c r="AP74" s="289"/>
      <c r="AQ74" s="289"/>
      <c r="AR74" s="243"/>
      <c r="AS74" s="243"/>
      <c r="AT74" s="243"/>
      <c r="AU74" s="243"/>
      <c r="AV74" s="243"/>
      <c r="AW74" s="243"/>
      <c r="AX74" s="243"/>
      <c r="AY74" s="243"/>
      <c r="AZ74" s="243"/>
      <c r="BA74" s="243"/>
      <c r="BB74" s="243"/>
      <c r="BC74" s="243"/>
      <c r="BD74" s="243"/>
      <c r="BE74" s="246" t="s">
        <v>696</v>
      </c>
      <c r="BF74" s="246">
        <v>0</v>
      </c>
      <c r="BG74" s="246">
        <v>0</v>
      </c>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row>
    <row r="75" spans="1:94">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9"/>
      <c r="AL75" s="289"/>
      <c r="AM75" s="289"/>
      <c r="AN75" s="289"/>
      <c r="AO75" s="289"/>
      <c r="AP75" s="289"/>
      <c r="AQ75" s="289"/>
      <c r="AR75" s="243"/>
      <c r="AS75" s="243"/>
      <c r="AT75" s="243"/>
      <c r="AU75" s="243"/>
      <c r="AV75" s="243"/>
      <c r="AW75" s="243"/>
      <c r="AX75" s="243"/>
      <c r="AY75" s="243"/>
      <c r="AZ75" s="243"/>
      <c r="BA75" s="243"/>
      <c r="BB75" s="243"/>
      <c r="BC75" s="243"/>
      <c r="BD75" s="243"/>
      <c r="BE75" s="246" t="s">
        <v>697</v>
      </c>
      <c r="BF75" s="246">
        <v>0</v>
      </c>
      <c r="BG75" s="246">
        <v>0</v>
      </c>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row>
    <row r="76" spans="1:94" s="290" customFormat="1">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8"/>
      <c r="AH76" s="288"/>
      <c r="AI76" s="288"/>
      <c r="AJ76" s="288"/>
      <c r="AK76" s="289"/>
      <c r="AL76" s="289"/>
      <c r="AM76" s="289"/>
      <c r="AN76" s="289"/>
      <c r="AO76" s="289"/>
      <c r="AP76" s="289"/>
      <c r="AQ76" s="289"/>
      <c r="AR76" s="243"/>
      <c r="AS76" s="243"/>
      <c r="AT76" s="243"/>
      <c r="AU76" s="243"/>
      <c r="AV76" s="243"/>
      <c r="AW76" s="243"/>
      <c r="AX76" s="243"/>
      <c r="AY76" s="243"/>
      <c r="AZ76" s="243"/>
      <c r="BA76" s="243"/>
      <c r="BB76" s="243"/>
      <c r="BC76" s="243"/>
      <c r="BD76" s="243"/>
      <c r="BE76" s="246" t="s">
        <v>431</v>
      </c>
      <c r="BF76" s="246">
        <v>1E-4</v>
      </c>
      <c r="BG76" s="246">
        <v>0.17530000000000001</v>
      </c>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c r="CM76" s="243"/>
      <c r="CN76" s="243"/>
      <c r="CO76" s="243"/>
      <c r="CP76" s="243"/>
    </row>
    <row r="77" spans="1:94" s="290" customForma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9"/>
      <c r="AL77" s="289"/>
      <c r="AM77" s="289"/>
      <c r="AN77" s="289"/>
      <c r="AO77" s="289"/>
      <c r="AP77" s="289"/>
      <c r="AQ77" s="289"/>
      <c r="AR77" s="243"/>
      <c r="AS77" s="243"/>
      <c r="AT77" s="243"/>
      <c r="AU77" s="243"/>
      <c r="AV77" s="243"/>
      <c r="AW77" s="243"/>
      <c r="AX77" s="243"/>
      <c r="AY77" s="243"/>
      <c r="AZ77" s="243"/>
      <c r="BA77" s="243"/>
      <c r="BB77" s="243"/>
      <c r="BC77" s="243"/>
      <c r="BD77" s="243"/>
      <c r="BE77" s="243"/>
      <c r="BF77" s="246"/>
      <c r="BG77" s="246"/>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c r="CM77" s="243"/>
      <c r="CN77" s="243"/>
      <c r="CO77" s="243"/>
      <c r="CP77" s="243"/>
    </row>
    <row r="78" spans="1:94" s="290" customForma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9"/>
      <c r="AL78" s="289"/>
      <c r="AM78" s="289"/>
      <c r="AN78" s="289"/>
      <c r="AO78" s="289"/>
      <c r="AP78" s="289"/>
      <c r="AQ78" s="289"/>
      <c r="AR78" s="243"/>
      <c r="AS78" s="243"/>
      <c r="AT78" s="243"/>
      <c r="AU78" s="243"/>
      <c r="AV78" s="243"/>
      <c r="AW78" s="243"/>
      <c r="AX78" s="243"/>
      <c r="AY78" s="243"/>
      <c r="AZ78" s="243"/>
      <c r="BA78" s="243"/>
      <c r="BB78" s="243"/>
      <c r="BC78" s="243"/>
      <c r="BD78" s="243"/>
      <c r="BE78" s="243"/>
      <c r="BF78" s="246"/>
      <c r="BG78" s="246"/>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c r="CM78" s="243"/>
      <c r="CN78" s="243"/>
      <c r="CO78" s="243"/>
      <c r="CP78" s="243"/>
    </row>
    <row r="79" spans="1:94" s="290" customForma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9"/>
      <c r="AL79" s="289"/>
      <c r="AM79" s="289"/>
      <c r="AN79" s="289"/>
      <c r="AO79" s="289"/>
      <c r="AP79" s="289"/>
      <c r="AQ79" s="289"/>
      <c r="AR79" s="243"/>
      <c r="AS79" s="243"/>
      <c r="AT79" s="243"/>
      <c r="AU79" s="243"/>
      <c r="AV79" s="243"/>
      <c r="AW79" s="243"/>
      <c r="AX79" s="243"/>
      <c r="AY79" s="243"/>
      <c r="AZ79" s="243"/>
      <c r="BA79" s="243"/>
      <c r="BB79" s="243"/>
      <c r="BC79" s="243"/>
      <c r="BD79" s="243"/>
      <c r="BE79" s="243"/>
      <c r="BF79" s="246"/>
      <c r="BG79" s="246"/>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c r="CM79" s="243"/>
      <c r="CN79" s="243"/>
      <c r="CO79" s="243"/>
      <c r="CP79" s="243"/>
    </row>
    <row r="80" spans="1:94" s="290" customForma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9"/>
      <c r="AL80" s="289"/>
      <c r="AM80" s="289"/>
      <c r="AN80" s="289"/>
      <c r="AO80" s="289"/>
      <c r="AP80" s="289"/>
      <c r="AQ80" s="289"/>
      <c r="AR80" s="243"/>
      <c r="AS80" s="243"/>
      <c r="AT80" s="243"/>
      <c r="AU80" s="243"/>
      <c r="AV80" s="243"/>
      <c r="AW80" s="243"/>
      <c r="AX80" s="243"/>
      <c r="AY80" s="243"/>
      <c r="AZ80" s="243"/>
      <c r="BA80" s="243"/>
      <c r="BB80" s="243"/>
      <c r="BC80" s="243"/>
      <c r="BD80" s="243"/>
      <c r="BE80" s="243"/>
      <c r="BF80" s="246"/>
      <c r="BG80" s="246"/>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c r="CM80" s="243"/>
      <c r="CN80" s="243"/>
      <c r="CO80" s="243"/>
      <c r="CP80" s="243"/>
    </row>
    <row r="81" spans="1:94" s="290" customForma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9"/>
      <c r="AL81" s="289"/>
      <c r="AM81" s="289"/>
      <c r="AN81" s="289"/>
      <c r="AO81" s="289"/>
      <c r="AP81" s="289"/>
      <c r="AQ81" s="289"/>
      <c r="AR81" s="243"/>
      <c r="AS81" s="243"/>
      <c r="AT81" s="243"/>
      <c r="AU81" s="243"/>
      <c r="AV81" s="243"/>
      <c r="AW81" s="243"/>
      <c r="AX81" s="243"/>
      <c r="AY81" s="243"/>
      <c r="AZ81" s="243"/>
      <c r="BA81" s="243"/>
      <c r="BB81" s="243"/>
      <c r="BC81" s="243"/>
      <c r="BD81" s="243"/>
      <c r="BE81" s="243"/>
      <c r="BF81" s="246"/>
      <c r="BG81" s="246"/>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c r="CM81" s="243"/>
      <c r="CN81" s="243"/>
      <c r="CO81" s="243"/>
      <c r="CP81" s="243"/>
    </row>
    <row r="82" spans="1:94" s="290" customForma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9"/>
      <c r="AL82" s="289"/>
      <c r="AM82" s="289"/>
      <c r="AN82" s="289"/>
      <c r="AO82" s="289"/>
      <c r="AP82" s="289"/>
      <c r="AQ82" s="289"/>
      <c r="AR82" s="243"/>
      <c r="AS82" s="243"/>
      <c r="AT82" s="243"/>
      <c r="AU82" s="243"/>
      <c r="AV82" s="243"/>
      <c r="AW82" s="243"/>
      <c r="AX82" s="243"/>
      <c r="AY82" s="243"/>
      <c r="AZ82" s="243"/>
      <c r="BA82" s="243"/>
      <c r="BB82" s="243"/>
      <c r="BC82" s="243"/>
      <c r="BD82" s="243"/>
      <c r="BE82" s="243"/>
      <c r="BF82" s="246"/>
      <c r="BG82" s="246"/>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c r="CM82" s="243"/>
      <c r="CN82" s="243"/>
      <c r="CO82" s="243"/>
      <c r="CP82" s="243"/>
    </row>
    <row r="83" spans="1:94" s="290" customForma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9"/>
      <c r="AL83" s="289"/>
      <c r="AM83" s="289"/>
      <c r="AN83" s="289"/>
      <c r="AO83" s="289"/>
      <c r="AP83" s="289"/>
      <c r="AQ83" s="289"/>
      <c r="AR83" s="243"/>
      <c r="AS83" s="243"/>
      <c r="AT83" s="243"/>
      <c r="AU83" s="243"/>
      <c r="AV83" s="243"/>
      <c r="AW83" s="243"/>
      <c r="AX83" s="243"/>
      <c r="AY83" s="243"/>
      <c r="AZ83" s="243"/>
      <c r="BA83" s="243"/>
      <c r="BB83" s="243"/>
      <c r="BC83" s="243"/>
      <c r="BD83" s="243"/>
      <c r="BE83" s="243"/>
      <c r="BF83" s="246"/>
      <c r="BG83" s="246"/>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c r="CM83" s="243"/>
      <c r="CN83" s="243"/>
      <c r="CO83" s="243"/>
      <c r="CP83" s="243"/>
    </row>
    <row r="84" spans="1:94" s="290" customForma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9"/>
      <c r="AL84" s="289"/>
      <c r="AM84" s="289"/>
      <c r="AN84" s="289"/>
      <c r="AO84" s="289"/>
      <c r="AP84" s="289"/>
      <c r="AQ84" s="289"/>
      <c r="AR84" s="243"/>
      <c r="AS84" s="243"/>
      <c r="AT84" s="243"/>
      <c r="AU84" s="243"/>
      <c r="AV84" s="243"/>
      <c r="AW84" s="243"/>
      <c r="AX84" s="243"/>
      <c r="AY84" s="243"/>
      <c r="AZ84" s="243"/>
      <c r="BA84" s="243"/>
      <c r="BB84" s="243"/>
      <c r="BC84" s="243"/>
      <c r="BD84" s="243"/>
      <c r="BE84" s="243"/>
      <c r="BF84" s="246"/>
      <c r="BG84" s="246"/>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c r="CM84" s="243"/>
      <c r="CN84" s="243"/>
      <c r="CO84" s="243"/>
      <c r="CP84" s="243"/>
    </row>
    <row r="85" spans="1:94" s="290" customForma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9"/>
      <c r="AL85" s="289"/>
      <c r="AM85" s="289"/>
      <c r="AN85" s="289"/>
      <c r="AO85" s="289"/>
      <c r="AP85" s="289"/>
      <c r="AQ85" s="289"/>
      <c r="AR85" s="243"/>
      <c r="AS85" s="243"/>
      <c r="AT85" s="243"/>
      <c r="AU85" s="243"/>
      <c r="AV85" s="243"/>
      <c r="AW85" s="243"/>
      <c r="AX85" s="243"/>
      <c r="AY85" s="243"/>
      <c r="AZ85" s="243"/>
      <c r="BA85" s="243"/>
      <c r="BB85" s="243"/>
      <c r="BC85" s="243"/>
      <c r="BD85" s="243"/>
      <c r="BE85" s="243"/>
      <c r="BF85" s="246"/>
      <c r="BG85" s="246"/>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c r="CM85" s="243"/>
      <c r="CN85" s="243"/>
      <c r="CO85" s="243"/>
      <c r="CP85" s="243"/>
    </row>
    <row r="86" spans="1:94" s="290" customForma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9"/>
      <c r="AL86" s="289"/>
      <c r="AM86" s="289"/>
      <c r="AN86" s="289"/>
      <c r="AO86" s="289"/>
      <c r="AP86" s="289"/>
      <c r="AQ86" s="289"/>
      <c r="AR86" s="243"/>
      <c r="AS86" s="243"/>
      <c r="AT86" s="243"/>
      <c r="AU86" s="243"/>
      <c r="AV86" s="243"/>
      <c r="AW86" s="243"/>
      <c r="AX86" s="243"/>
      <c r="AY86" s="243"/>
      <c r="AZ86" s="243"/>
      <c r="BA86" s="243"/>
      <c r="BB86" s="243"/>
      <c r="BC86" s="243"/>
      <c r="BD86" s="243"/>
      <c r="BE86" s="243"/>
      <c r="BF86" s="246"/>
      <c r="BG86" s="246"/>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row>
    <row r="87" spans="1:94" s="290" customForma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9"/>
      <c r="AL87" s="289"/>
      <c r="AM87" s="289"/>
      <c r="AN87" s="289"/>
      <c r="AO87" s="289"/>
      <c r="AP87" s="289"/>
      <c r="AQ87" s="289"/>
      <c r="AR87" s="243"/>
      <c r="AS87" s="243"/>
      <c r="AT87" s="243"/>
      <c r="AU87" s="243"/>
      <c r="AV87" s="243"/>
      <c r="AW87" s="243"/>
      <c r="AX87" s="243"/>
      <c r="AY87" s="243"/>
      <c r="AZ87" s="243"/>
      <c r="BA87" s="243"/>
      <c r="BB87" s="243"/>
      <c r="BC87" s="243"/>
      <c r="BD87" s="243"/>
      <c r="BE87" s="243"/>
      <c r="BF87" s="246"/>
      <c r="BG87" s="246"/>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c r="CM87" s="243"/>
      <c r="CN87" s="243"/>
      <c r="CO87" s="243"/>
      <c r="CP87" s="243"/>
    </row>
    <row r="88" spans="1:94" s="290" customForma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9"/>
      <c r="AL88" s="289"/>
      <c r="AM88" s="289"/>
      <c r="AN88" s="289"/>
      <c r="AO88" s="289"/>
      <c r="AP88" s="289"/>
      <c r="AQ88" s="289"/>
      <c r="AR88" s="243"/>
      <c r="AS88" s="243"/>
      <c r="AT88" s="243"/>
      <c r="AU88" s="243"/>
      <c r="AV88" s="243"/>
      <c r="AW88" s="243"/>
      <c r="AX88" s="243"/>
      <c r="AY88" s="243"/>
      <c r="AZ88" s="243"/>
      <c r="BA88" s="243"/>
      <c r="BB88" s="243"/>
      <c r="BC88" s="243"/>
      <c r="BD88" s="243"/>
      <c r="BE88" s="243"/>
      <c r="BF88" s="246"/>
      <c r="BG88" s="246"/>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c r="CM88" s="243"/>
      <c r="CN88" s="243"/>
      <c r="CO88" s="243"/>
      <c r="CP88" s="243"/>
    </row>
    <row r="89" spans="1:94" s="290" customForma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9"/>
      <c r="AL89" s="289"/>
      <c r="AM89" s="289"/>
      <c r="AN89" s="289"/>
      <c r="AO89" s="289"/>
      <c r="AP89" s="289"/>
      <c r="AQ89" s="289"/>
      <c r="AR89" s="243"/>
      <c r="AS89" s="243"/>
      <c r="AT89" s="243"/>
      <c r="AU89" s="243"/>
      <c r="AV89" s="243"/>
      <c r="AW89" s="243"/>
      <c r="AX89" s="243"/>
      <c r="AY89" s="243"/>
      <c r="AZ89" s="243"/>
      <c r="BA89" s="243"/>
      <c r="BB89" s="243"/>
      <c r="BC89" s="243"/>
      <c r="BD89" s="243"/>
      <c r="BE89" s="243"/>
      <c r="BF89" s="246"/>
      <c r="BG89" s="246"/>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row>
    <row r="90" spans="1:94" s="290" customForma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9"/>
      <c r="AL90" s="289"/>
      <c r="AM90" s="289"/>
      <c r="AN90" s="289"/>
      <c r="AO90" s="289"/>
      <c r="AP90" s="289"/>
      <c r="AQ90" s="289"/>
      <c r="AR90" s="243"/>
      <c r="AS90" s="243"/>
      <c r="AT90" s="243"/>
      <c r="AU90" s="243"/>
      <c r="AV90" s="243"/>
      <c r="AW90" s="243"/>
      <c r="AX90" s="243"/>
      <c r="AY90" s="243"/>
      <c r="AZ90" s="243"/>
      <c r="BA90" s="243"/>
      <c r="BB90" s="243"/>
      <c r="BC90" s="243"/>
      <c r="BD90" s="243"/>
      <c r="BE90" s="243"/>
      <c r="BF90" s="246"/>
      <c r="BG90" s="246"/>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row>
    <row r="91" spans="1:94" s="290" customFormat="1">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9"/>
      <c r="AL91" s="289"/>
      <c r="AM91" s="289"/>
      <c r="AN91" s="289"/>
      <c r="AO91" s="289"/>
      <c r="AP91" s="289"/>
      <c r="AQ91" s="289"/>
      <c r="AR91" s="243"/>
      <c r="AS91" s="243"/>
      <c r="AT91" s="243"/>
      <c r="AU91" s="243"/>
      <c r="AV91" s="243"/>
      <c r="AW91" s="243"/>
      <c r="AX91" s="243"/>
      <c r="AY91" s="243"/>
      <c r="AZ91" s="243"/>
      <c r="BA91" s="243"/>
      <c r="BB91" s="243"/>
      <c r="BC91" s="243"/>
      <c r="BD91" s="243"/>
      <c r="BE91" s="243"/>
      <c r="BF91" s="246"/>
      <c r="BG91" s="246"/>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row>
    <row r="92" spans="1:94">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9"/>
      <c r="AL92" s="289"/>
      <c r="AM92" s="289"/>
      <c r="AN92" s="289"/>
      <c r="AO92" s="289"/>
      <c r="AP92" s="289"/>
      <c r="AQ92" s="289"/>
      <c r="AR92" s="243"/>
      <c r="AS92" s="243"/>
      <c r="AT92" s="243"/>
      <c r="AU92" s="243"/>
      <c r="AV92" s="243"/>
      <c r="AW92" s="243"/>
      <c r="AX92" s="243"/>
      <c r="AY92" s="243"/>
      <c r="AZ92" s="243"/>
      <c r="BA92" s="243"/>
      <c r="BB92" s="243"/>
      <c r="BC92" s="243"/>
      <c r="BD92" s="243"/>
      <c r="BE92" s="243"/>
      <c r="BF92" s="246"/>
      <c r="BG92" s="246"/>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row>
    <row r="93" spans="1:94">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9"/>
      <c r="AL93" s="289"/>
      <c r="AM93" s="289"/>
      <c r="AN93" s="289"/>
      <c r="AO93" s="289"/>
      <c r="AP93" s="289"/>
      <c r="AQ93" s="289"/>
      <c r="AR93" s="243"/>
      <c r="AS93" s="243"/>
      <c r="AT93" s="243"/>
      <c r="AU93" s="243"/>
      <c r="AV93" s="243"/>
      <c r="AW93" s="243"/>
      <c r="AX93" s="243"/>
      <c r="AY93" s="243"/>
      <c r="AZ93" s="243"/>
      <c r="BA93" s="243"/>
      <c r="BB93" s="243"/>
      <c r="BC93" s="243"/>
      <c r="BD93" s="243"/>
      <c r="BE93" s="243"/>
      <c r="BF93" s="246"/>
      <c r="BG93" s="246"/>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row>
    <row r="94" spans="1:94">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9"/>
      <c r="AL94" s="289"/>
      <c r="AM94" s="289"/>
      <c r="AN94" s="289"/>
      <c r="AO94" s="289"/>
      <c r="AP94" s="289"/>
      <c r="AQ94" s="289"/>
      <c r="AR94" s="243"/>
      <c r="AS94" s="243"/>
      <c r="AT94" s="243"/>
      <c r="AU94" s="243"/>
      <c r="AV94" s="243"/>
      <c r="AW94" s="243"/>
      <c r="AX94" s="243"/>
      <c r="AY94" s="243"/>
      <c r="AZ94" s="243"/>
      <c r="BA94" s="243"/>
      <c r="BB94" s="243"/>
      <c r="BC94" s="243"/>
      <c r="BD94" s="243"/>
      <c r="BE94" s="243"/>
      <c r="BF94" s="246"/>
      <c r="BG94" s="246"/>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row>
    <row r="95" spans="1:94">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9"/>
      <c r="AL95" s="289"/>
      <c r="AM95" s="289"/>
      <c r="AN95" s="289"/>
      <c r="AO95" s="289"/>
      <c r="AP95" s="289"/>
      <c r="AQ95" s="289"/>
      <c r="AR95" s="243"/>
      <c r="AS95" s="243"/>
      <c r="AT95" s="243"/>
      <c r="AU95" s="243"/>
      <c r="AV95" s="243"/>
      <c r="AW95" s="243"/>
      <c r="AX95" s="243"/>
      <c r="AY95" s="243"/>
      <c r="AZ95" s="243"/>
      <c r="BA95" s="243"/>
      <c r="BB95" s="243"/>
      <c r="BC95" s="243"/>
      <c r="BD95" s="243"/>
      <c r="BE95" s="243"/>
      <c r="BF95" s="246"/>
      <c r="BG95" s="246"/>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row>
    <row r="96" spans="1:94">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9"/>
      <c r="AL96" s="289"/>
      <c r="AM96" s="289"/>
      <c r="AN96" s="289"/>
      <c r="AO96" s="289"/>
      <c r="AP96" s="289"/>
      <c r="AQ96" s="289"/>
      <c r="AR96" s="243"/>
      <c r="AS96" s="243"/>
      <c r="AT96" s="243"/>
      <c r="AU96" s="243"/>
      <c r="AV96" s="243"/>
      <c r="AW96" s="243"/>
      <c r="AX96" s="243"/>
      <c r="AY96" s="243"/>
      <c r="AZ96" s="243"/>
      <c r="BA96" s="243"/>
      <c r="BB96" s="243"/>
      <c r="BC96" s="243"/>
      <c r="BD96" s="243"/>
      <c r="BE96" s="243"/>
      <c r="BF96" s="246"/>
      <c r="BG96" s="246"/>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row>
    <row r="97" spans="1:94">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9"/>
      <c r="AL97" s="289"/>
      <c r="AM97" s="289"/>
      <c r="AN97" s="289"/>
      <c r="AO97" s="289"/>
      <c r="AP97" s="289"/>
      <c r="AQ97" s="289"/>
      <c r="AR97" s="243"/>
      <c r="AS97" s="243"/>
      <c r="AT97" s="243"/>
      <c r="AU97" s="243"/>
      <c r="AV97" s="243"/>
      <c r="AW97" s="243"/>
      <c r="AX97" s="243"/>
      <c r="AY97" s="243"/>
      <c r="AZ97" s="243"/>
      <c r="BA97" s="243"/>
      <c r="BB97" s="243"/>
      <c r="BC97" s="243"/>
      <c r="BD97" s="243"/>
      <c r="BE97" s="243"/>
      <c r="BF97" s="246"/>
      <c r="BG97" s="246"/>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c r="CM97" s="243"/>
      <c r="CN97" s="243"/>
      <c r="CO97" s="243"/>
      <c r="CP97" s="243"/>
    </row>
    <row r="98" spans="1:94">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9"/>
      <c r="AL98" s="289"/>
      <c r="AM98" s="289"/>
      <c r="AN98" s="289"/>
      <c r="AO98" s="289"/>
      <c r="AP98" s="289"/>
      <c r="AQ98" s="289"/>
      <c r="AR98" s="243"/>
      <c r="AS98" s="243"/>
      <c r="AT98" s="243"/>
      <c r="AU98" s="243"/>
      <c r="AV98" s="243"/>
      <c r="AW98" s="243"/>
      <c r="AX98" s="243"/>
      <c r="AY98" s="243"/>
      <c r="AZ98" s="243"/>
      <c r="BA98" s="243"/>
      <c r="BB98" s="243"/>
      <c r="BC98" s="243"/>
      <c r="BD98" s="243"/>
      <c r="BE98" s="243"/>
      <c r="BF98" s="246"/>
      <c r="BG98" s="246"/>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c r="CM98" s="243"/>
      <c r="CN98" s="243"/>
      <c r="CO98" s="243"/>
      <c r="CP98" s="243"/>
    </row>
    <row r="99" spans="1:94">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9"/>
      <c r="AL99" s="289"/>
      <c r="AM99" s="289"/>
      <c r="AN99" s="289"/>
      <c r="AO99" s="289"/>
      <c r="AP99" s="289"/>
      <c r="AQ99" s="289"/>
      <c r="AR99" s="243"/>
      <c r="AS99" s="243"/>
      <c r="AT99" s="243"/>
      <c r="AU99" s="243"/>
      <c r="AV99" s="243"/>
      <c r="AW99" s="243"/>
      <c r="AX99" s="243"/>
      <c r="AY99" s="243"/>
      <c r="AZ99" s="243"/>
      <c r="BA99" s="243"/>
      <c r="BB99" s="243"/>
      <c r="BC99" s="243"/>
      <c r="BD99" s="243"/>
      <c r="BE99" s="243"/>
      <c r="BF99" s="246"/>
      <c r="BG99" s="246"/>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c r="CM99" s="243"/>
      <c r="CN99" s="243"/>
      <c r="CO99" s="243"/>
      <c r="CP99" s="243"/>
    </row>
    <row r="100" spans="1:94">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9"/>
      <c r="AL100" s="289"/>
      <c r="AM100" s="289"/>
      <c r="AN100" s="289"/>
      <c r="AO100" s="289"/>
      <c r="AP100" s="289"/>
      <c r="AQ100" s="289"/>
      <c r="AR100" s="243"/>
      <c r="AS100" s="243"/>
      <c r="AT100" s="243"/>
      <c r="AU100" s="243"/>
      <c r="AV100" s="243"/>
      <c r="AW100" s="243"/>
      <c r="AX100" s="243"/>
      <c r="AY100" s="243"/>
      <c r="AZ100" s="243"/>
      <c r="BA100" s="243"/>
      <c r="BB100" s="243"/>
      <c r="BC100" s="243"/>
      <c r="BD100" s="243"/>
      <c r="BE100" s="243"/>
      <c r="BF100" s="246"/>
      <c r="BG100" s="246"/>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c r="CM100" s="243"/>
      <c r="CN100" s="243"/>
      <c r="CO100" s="243"/>
      <c r="CP100" s="243"/>
    </row>
    <row r="101" spans="1:94">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9"/>
      <c r="AL101" s="289"/>
      <c r="AM101" s="289"/>
      <c r="AN101" s="289"/>
      <c r="AO101" s="289"/>
      <c r="AP101" s="289"/>
      <c r="AQ101" s="289"/>
      <c r="AR101" s="243"/>
      <c r="AS101" s="243"/>
      <c r="AT101" s="243"/>
      <c r="AU101" s="243"/>
      <c r="AV101" s="243"/>
      <c r="AW101" s="243"/>
      <c r="AX101" s="243"/>
      <c r="AY101" s="243"/>
      <c r="AZ101" s="243"/>
      <c r="BA101" s="243"/>
      <c r="BB101" s="243"/>
      <c r="BC101" s="243"/>
      <c r="BD101" s="243"/>
      <c r="BE101" s="243"/>
      <c r="BF101" s="246"/>
      <c r="BG101" s="246"/>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c r="CM101" s="243"/>
      <c r="CN101" s="243"/>
      <c r="CO101" s="243"/>
      <c r="CP101" s="243"/>
    </row>
    <row r="102" spans="1:94">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9"/>
      <c r="AL102" s="289"/>
      <c r="AM102" s="289"/>
      <c r="AN102" s="289"/>
      <c r="AO102" s="289"/>
      <c r="AP102" s="289"/>
      <c r="AQ102" s="289"/>
      <c r="AR102" s="243"/>
      <c r="AS102" s="243"/>
      <c r="AT102" s="243"/>
      <c r="AU102" s="243"/>
      <c r="AV102" s="243"/>
      <c r="AW102" s="243"/>
      <c r="AX102" s="243"/>
      <c r="AY102" s="243"/>
      <c r="AZ102" s="243"/>
      <c r="BA102" s="243"/>
      <c r="BB102" s="243"/>
      <c r="BC102" s="243"/>
      <c r="BD102" s="243"/>
      <c r="BE102" s="243"/>
      <c r="BF102" s="246"/>
      <c r="BG102" s="246"/>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row>
    <row r="103" spans="1:94">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9"/>
      <c r="AL103" s="289"/>
      <c r="AM103" s="289"/>
      <c r="AN103" s="289"/>
      <c r="AO103" s="289"/>
      <c r="AP103" s="289"/>
      <c r="AQ103" s="289"/>
      <c r="AR103" s="243"/>
      <c r="AS103" s="243"/>
      <c r="AT103" s="243"/>
      <c r="AU103" s="243"/>
      <c r="AV103" s="243"/>
      <c r="AW103" s="243"/>
      <c r="AX103" s="243"/>
      <c r="AY103" s="243"/>
      <c r="AZ103" s="243"/>
      <c r="BA103" s="243"/>
      <c r="BB103" s="243"/>
      <c r="BC103" s="243"/>
      <c r="BD103" s="243"/>
      <c r="BE103" s="243"/>
      <c r="BF103" s="246"/>
      <c r="BG103" s="246"/>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row>
    <row r="104" spans="1:94">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9"/>
      <c r="AL104" s="289"/>
      <c r="AM104" s="289"/>
      <c r="AN104" s="289"/>
      <c r="AO104" s="289"/>
      <c r="AP104" s="289"/>
      <c r="AQ104" s="289"/>
      <c r="AR104" s="243"/>
      <c r="AS104" s="243"/>
      <c r="AT104" s="243"/>
      <c r="AU104" s="243"/>
      <c r="AV104" s="243"/>
      <c r="AW104" s="243"/>
      <c r="AX104" s="243"/>
      <c r="AY104" s="243"/>
      <c r="AZ104" s="243"/>
      <c r="BA104" s="243"/>
      <c r="BB104" s="243"/>
      <c r="BC104" s="243"/>
      <c r="BD104" s="243"/>
      <c r="BE104" s="243"/>
      <c r="BF104" s="246"/>
      <c r="BG104" s="246"/>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row>
    <row r="105" spans="1:94">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9"/>
      <c r="AL105" s="289"/>
      <c r="AM105" s="289"/>
      <c r="AN105" s="289"/>
      <c r="AO105" s="289"/>
      <c r="AP105" s="289"/>
      <c r="AQ105" s="289"/>
      <c r="AR105" s="243"/>
      <c r="AS105" s="243"/>
      <c r="AT105" s="243"/>
      <c r="AU105" s="243"/>
      <c r="AV105" s="243"/>
      <c r="AW105" s="243"/>
      <c r="AX105" s="243"/>
      <c r="AY105" s="243"/>
      <c r="AZ105" s="243"/>
      <c r="BA105" s="243"/>
      <c r="BB105" s="243"/>
      <c r="BC105" s="243"/>
      <c r="BD105" s="243"/>
      <c r="BE105" s="243"/>
      <c r="BF105" s="246"/>
      <c r="BG105" s="246"/>
      <c r="BH105" s="243"/>
      <c r="BI105" s="243"/>
      <c r="BJ105" s="243"/>
      <c r="BK105" s="243"/>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row>
    <row r="106" spans="1:94">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9"/>
      <c r="AL106" s="289"/>
      <c r="AM106" s="289"/>
      <c r="AN106" s="289"/>
      <c r="AO106" s="289"/>
      <c r="AP106" s="289"/>
      <c r="AQ106" s="289"/>
      <c r="AR106" s="243"/>
      <c r="AS106" s="243"/>
      <c r="AT106" s="243"/>
      <c r="AU106" s="243"/>
      <c r="AV106" s="243"/>
      <c r="AW106" s="243"/>
      <c r="AX106" s="243"/>
      <c r="AY106" s="243"/>
      <c r="AZ106" s="243"/>
      <c r="BA106" s="243"/>
      <c r="BB106" s="243"/>
      <c r="BC106" s="243"/>
      <c r="BD106" s="243"/>
      <c r="BE106" s="243"/>
      <c r="BF106" s="246"/>
      <c r="BG106" s="246"/>
      <c r="BH106" s="243"/>
      <c r="BI106" s="243"/>
      <c r="BJ106" s="243"/>
      <c r="BK106" s="243"/>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row>
    <row r="107" spans="1:94">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9"/>
      <c r="AL107" s="289"/>
      <c r="AM107" s="289"/>
      <c r="AN107" s="289"/>
      <c r="AO107" s="289"/>
      <c r="AP107" s="289"/>
      <c r="AQ107" s="289"/>
      <c r="AR107" s="243"/>
      <c r="AS107" s="243"/>
      <c r="AT107" s="243"/>
      <c r="AU107" s="243"/>
      <c r="AV107" s="243"/>
      <c r="AW107" s="243"/>
      <c r="AX107" s="243"/>
      <c r="AY107" s="243"/>
      <c r="AZ107" s="243"/>
      <c r="BA107" s="243"/>
      <c r="BB107" s="243"/>
      <c r="BC107" s="243"/>
      <c r="BD107" s="243"/>
      <c r="BE107" s="243"/>
      <c r="BF107" s="246"/>
      <c r="BG107" s="246"/>
      <c r="BH107" s="243"/>
      <c r="BI107" s="243"/>
      <c r="BJ107" s="243"/>
      <c r="BK107" s="243"/>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row>
    <row r="108" spans="1:94">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9"/>
      <c r="AL108" s="289"/>
      <c r="AM108" s="289"/>
      <c r="AN108" s="289"/>
      <c r="AO108" s="289"/>
      <c r="AP108" s="289"/>
      <c r="AQ108" s="289"/>
      <c r="AR108" s="243"/>
      <c r="AS108" s="243"/>
      <c r="AT108" s="243"/>
      <c r="AU108" s="243"/>
      <c r="AV108" s="243"/>
      <c r="AW108" s="243"/>
      <c r="AX108" s="243"/>
      <c r="AY108" s="243"/>
      <c r="AZ108" s="243"/>
      <c r="BA108" s="243"/>
      <c r="BB108" s="243"/>
      <c r="BC108" s="243"/>
      <c r="BD108" s="243"/>
      <c r="BE108" s="243"/>
      <c r="BF108" s="246"/>
      <c r="BG108" s="246"/>
      <c r="BH108" s="243"/>
      <c r="BI108" s="243"/>
      <c r="BJ108" s="243"/>
      <c r="BK108" s="243"/>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row>
    <row r="109" spans="1:94">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9"/>
      <c r="AL109" s="289"/>
      <c r="AM109" s="289"/>
      <c r="AN109" s="289"/>
      <c r="AO109" s="289"/>
      <c r="AP109" s="289"/>
      <c r="AQ109" s="289"/>
      <c r="AR109" s="243"/>
      <c r="AS109" s="243"/>
      <c r="AT109" s="243"/>
      <c r="AU109" s="243"/>
      <c r="AV109" s="243"/>
      <c r="AW109" s="243"/>
      <c r="AX109" s="243"/>
      <c r="AY109" s="243"/>
      <c r="AZ109" s="243"/>
      <c r="BA109" s="243"/>
      <c r="BB109" s="243"/>
      <c r="BC109" s="243"/>
      <c r="BD109" s="243"/>
      <c r="BE109" s="243"/>
      <c r="BF109" s="246"/>
      <c r="BG109" s="246"/>
      <c r="BH109" s="243"/>
      <c r="BI109" s="243"/>
      <c r="BJ109" s="243"/>
      <c r="BK109" s="243"/>
      <c r="BL109" s="243"/>
      <c r="BM109" s="243"/>
      <c r="BN109" s="243"/>
      <c r="BO109" s="243"/>
      <c r="BP109" s="243"/>
      <c r="BQ109" s="243"/>
      <c r="BR109" s="243"/>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c r="CM109" s="243"/>
      <c r="CN109" s="243"/>
      <c r="CO109" s="243"/>
      <c r="CP109" s="243"/>
    </row>
    <row r="110" spans="1:94">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9"/>
      <c r="AL110" s="289"/>
      <c r="AM110" s="289"/>
      <c r="AN110" s="289"/>
      <c r="AO110" s="289"/>
      <c r="AP110" s="289"/>
      <c r="AQ110" s="289"/>
      <c r="AR110" s="243"/>
      <c r="AS110" s="243"/>
      <c r="AT110" s="243"/>
      <c r="AU110" s="243"/>
      <c r="AV110" s="243"/>
      <c r="AW110" s="243"/>
      <c r="AX110" s="243"/>
      <c r="AY110" s="243"/>
      <c r="AZ110" s="243"/>
      <c r="BA110" s="243"/>
      <c r="BB110" s="243"/>
      <c r="BC110" s="243"/>
      <c r="BD110" s="243"/>
      <c r="BE110" s="243"/>
      <c r="BF110" s="246"/>
      <c r="BG110" s="246"/>
      <c r="BH110" s="243"/>
      <c r="BI110" s="243"/>
      <c r="BJ110" s="243"/>
      <c r="BK110" s="243"/>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row>
    <row r="111" spans="1:94">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9"/>
      <c r="AL111" s="289"/>
      <c r="AM111" s="289"/>
      <c r="AN111" s="289"/>
      <c r="AO111" s="289"/>
      <c r="AP111" s="289"/>
      <c r="AQ111" s="289"/>
      <c r="AR111" s="243"/>
      <c r="AS111" s="243"/>
      <c r="AT111" s="243"/>
      <c r="AU111" s="243"/>
      <c r="AV111" s="243"/>
      <c r="AW111" s="243"/>
      <c r="AX111" s="243"/>
      <c r="AY111" s="243"/>
      <c r="AZ111" s="243"/>
      <c r="BA111" s="243"/>
      <c r="BB111" s="243"/>
      <c r="BC111" s="243"/>
      <c r="BD111" s="243"/>
      <c r="BE111" s="243"/>
      <c r="BF111" s="246"/>
      <c r="BG111" s="246"/>
      <c r="BH111" s="243"/>
      <c r="BI111" s="243"/>
      <c r="BJ111" s="243"/>
      <c r="BK111" s="243"/>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row>
    <row r="112" spans="1:94">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9"/>
      <c r="AL112" s="289"/>
      <c r="AM112" s="289"/>
      <c r="AN112" s="289"/>
      <c r="AO112" s="289"/>
      <c r="AP112" s="289"/>
      <c r="AQ112" s="289"/>
      <c r="AR112" s="243"/>
      <c r="AS112" s="243"/>
      <c r="AT112" s="243"/>
      <c r="AU112" s="243"/>
      <c r="AV112" s="243"/>
      <c r="AW112" s="243"/>
      <c r="AX112" s="243"/>
      <c r="AY112" s="243"/>
      <c r="AZ112" s="243"/>
      <c r="BA112" s="243"/>
      <c r="BB112" s="243"/>
      <c r="BC112" s="243"/>
      <c r="BD112" s="243"/>
      <c r="BE112" s="243"/>
      <c r="BF112" s="246"/>
      <c r="BG112" s="246"/>
      <c r="BH112" s="243"/>
      <c r="BI112" s="243"/>
      <c r="BJ112" s="243"/>
      <c r="BK112" s="243"/>
      <c r="BL112" s="243"/>
      <c r="BM112" s="243"/>
      <c r="BN112" s="243"/>
      <c r="BO112" s="243"/>
      <c r="BP112" s="243"/>
      <c r="BQ112" s="243"/>
      <c r="BR112" s="243"/>
      <c r="BS112" s="243"/>
      <c r="BT112" s="243"/>
      <c r="BU112" s="243"/>
      <c r="BV112" s="243"/>
      <c r="BW112" s="243"/>
      <c r="BX112" s="243"/>
      <c r="BY112" s="243"/>
      <c r="BZ112" s="243"/>
      <c r="CA112" s="243"/>
      <c r="CB112" s="243"/>
      <c r="CC112" s="243"/>
      <c r="CD112" s="243"/>
      <c r="CE112" s="243"/>
      <c r="CF112" s="243"/>
      <c r="CG112" s="243"/>
      <c r="CH112" s="243"/>
      <c r="CI112" s="243"/>
      <c r="CJ112" s="243"/>
      <c r="CK112" s="243"/>
      <c r="CL112" s="243"/>
      <c r="CM112" s="243"/>
      <c r="CN112" s="243"/>
      <c r="CO112" s="243"/>
      <c r="CP112" s="243"/>
    </row>
    <row r="113" spans="1:94">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9"/>
      <c r="AL113" s="289"/>
      <c r="AM113" s="289"/>
      <c r="AN113" s="289"/>
      <c r="AO113" s="289"/>
      <c r="AP113" s="289"/>
      <c r="AQ113" s="289"/>
      <c r="AR113" s="243"/>
      <c r="AS113" s="243"/>
      <c r="AT113" s="243"/>
      <c r="AU113" s="243"/>
      <c r="AV113" s="243"/>
      <c r="AW113" s="243"/>
      <c r="AX113" s="243"/>
      <c r="AY113" s="243"/>
      <c r="AZ113" s="243"/>
      <c r="BA113" s="243"/>
      <c r="BB113" s="243"/>
      <c r="BC113" s="243"/>
      <c r="BD113" s="243"/>
      <c r="BE113" s="243"/>
      <c r="BF113" s="246"/>
      <c r="BG113" s="246"/>
      <c r="BH113" s="243"/>
      <c r="BI113" s="243"/>
      <c r="BJ113" s="243"/>
      <c r="BK113" s="243"/>
      <c r="BL113" s="243"/>
      <c r="BM113" s="243"/>
      <c r="BN113" s="243"/>
      <c r="BO113" s="243"/>
      <c r="BP113" s="243"/>
      <c r="BQ113" s="243"/>
      <c r="BR113" s="243"/>
      <c r="BS113" s="243"/>
      <c r="BT113" s="243"/>
      <c r="BU113" s="243"/>
      <c r="BV113" s="243"/>
      <c r="BW113" s="243"/>
      <c r="BX113" s="243"/>
      <c r="BY113" s="243"/>
      <c r="BZ113" s="243"/>
      <c r="CA113" s="243"/>
      <c r="CB113" s="243"/>
      <c r="CC113" s="243"/>
      <c r="CD113" s="243"/>
      <c r="CE113" s="243"/>
      <c r="CF113" s="243"/>
      <c r="CG113" s="243"/>
      <c r="CH113" s="243"/>
      <c r="CI113" s="243"/>
      <c r="CJ113" s="243"/>
      <c r="CK113" s="243"/>
      <c r="CL113" s="243"/>
      <c r="CM113" s="243"/>
      <c r="CN113" s="243"/>
      <c r="CO113" s="243"/>
      <c r="CP113" s="243"/>
    </row>
    <row r="114" spans="1:94">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9"/>
      <c r="AL114" s="289"/>
      <c r="AM114" s="289"/>
      <c r="AN114" s="289"/>
      <c r="AO114" s="289"/>
      <c r="AP114" s="289"/>
      <c r="AQ114" s="289"/>
      <c r="AR114" s="243"/>
      <c r="AS114" s="243"/>
      <c r="AT114" s="243"/>
      <c r="AU114" s="243"/>
      <c r="AV114" s="243"/>
      <c r="AW114" s="243"/>
      <c r="AX114" s="243"/>
      <c r="AY114" s="243"/>
      <c r="AZ114" s="243"/>
      <c r="BA114" s="243"/>
      <c r="BB114" s="243"/>
      <c r="BC114" s="243"/>
      <c r="BD114" s="243"/>
      <c r="BE114" s="243"/>
      <c r="BF114" s="246"/>
      <c r="BG114" s="246"/>
      <c r="BH114" s="243"/>
      <c r="BI114" s="243"/>
      <c r="BJ114" s="243"/>
      <c r="BK114" s="243"/>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row>
    <row r="115" spans="1:94">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9"/>
      <c r="AL115" s="289"/>
      <c r="AM115" s="289"/>
      <c r="AN115" s="289"/>
      <c r="AO115" s="289"/>
      <c r="AP115" s="289"/>
      <c r="AQ115" s="289"/>
      <c r="AR115" s="243"/>
      <c r="AS115" s="243"/>
      <c r="AT115" s="243"/>
      <c r="AU115" s="243"/>
      <c r="AV115" s="243"/>
      <c r="AW115" s="243"/>
      <c r="AX115" s="243"/>
      <c r="AY115" s="243"/>
      <c r="AZ115" s="243"/>
      <c r="BA115" s="243"/>
      <c r="BB115" s="243"/>
      <c r="BC115" s="243"/>
      <c r="BD115" s="243"/>
      <c r="BE115" s="243"/>
      <c r="BF115" s="246"/>
      <c r="BG115" s="246"/>
      <c r="BH115" s="243"/>
      <c r="BI115" s="243"/>
      <c r="BJ115" s="243"/>
      <c r="BK115" s="243"/>
      <c r="BL115" s="243"/>
      <c r="BM115" s="243"/>
      <c r="BN115" s="243"/>
      <c r="BO115" s="243"/>
      <c r="BP115" s="243"/>
      <c r="BQ115" s="243"/>
      <c r="BR115" s="243"/>
      <c r="BS115" s="243"/>
      <c r="BT115" s="243"/>
      <c r="BU115" s="243"/>
      <c r="BV115" s="243"/>
      <c r="BW115" s="243"/>
      <c r="BX115" s="243"/>
      <c r="BY115" s="243"/>
      <c r="BZ115" s="243"/>
      <c r="CA115" s="243"/>
      <c r="CB115" s="243"/>
      <c r="CC115" s="243"/>
      <c r="CD115" s="243"/>
      <c r="CE115" s="243"/>
      <c r="CF115" s="243"/>
      <c r="CG115" s="243"/>
      <c r="CH115" s="243"/>
      <c r="CI115" s="243"/>
      <c r="CJ115" s="243"/>
      <c r="CK115" s="243"/>
      <c r="CL115" s="243"/>
      <c r="CM115" s="243"/>
      <c r="CN115" s="243"/>
      <c r="CO115" s="243"/>
      <c r="CP115" s="243"/>
    </row>
    <row r="116" spans="1:94">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9"/>
      <c r="AL116" s="289"/>
      <c r="AM116" s="289"/>
      <c r="AN116" s="289"/>
      <c r="AO116" s="289"/>
      <c r="AP116" s="289"/>
      <c r="AQ116" s="289"/>
      <c r="AR116" s="243"/>
      <c r="AS116" s="243"/>
      <c r="AT116" s="243"/>
      <c r="AU116" s="243"/>
      <c r="AV116" s="243"/>
      <c r="AW116" s="243"/>
      <c r="AX116" s="243"/>
      <c r="AY116" s="243"/>
      <c r="AZ116" s="243"/>
      <c r="BA116" s="243"/>
      <c r="BB116" s="243"/>
      <c r="BC116" s="243"/>
      <c r="BD116" s="243"/>
      <c r="BE116" s="243"/>
      <c r="BF116" s="246"/>
      <c r="BG116" s="246"/>
      <c r="BH116" s="243"/>
      <c r="BI116" s="243"/>
      <c r="BJ116" s="243"/>
      <c r="BK116" s="243"/>
      <c r="BL116" s="243"/>
      <c r="BM116" s="243"/>
      <c r="BN116" s="243"/>
      <c r="BO116" s="243"/>
      <c r="BP116" s="243"/>
      <c r="BQ116" s="243"/>
      <c r="BR116" s="243"/>
      <c r="BS116" s="243"/>
      <c r="BT116" s="243"/>
      <c r="BU116" s="243"/>
      <c r="BV116" s="243"/>
      <c r="BW116" s="243"/>
      <c r="BX116" s="243"/>
      <c r="BY116" s="243"/>
      <c r="BZ116" s="243"/>
      <c r="CA116" s="243"/>
      <c r="CB116" s="243"/>
      <c r="CC116" s="243"/>
      <c r="CD116" s="243"/>
      <c r="CE116" s="243"/>
      <c r="CF116" s="243"/>
      <c r="CG116" s="243"/>
      <c r="CH116" s="243"/>
      <c r="CI116" s="243"/>
      <c r="CJ116" s="243"/>
      <c r="CK116" s="243"/>
      <c r="CL116" s="243"/>
      <c r="CM116" s="243"/>
      <c r="CN116" s="243"/>
      <c r="CO116" s="243"/>
      <c r="CP116" s="243"/>
    </row>
    <row r="117" spans="1:94">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9"/>
      <c r="AL117" s="289"/>
      <c r="AM117" s="289"/>
      <c r="AN117" s="289"/>
      <c r="AO117" s="289"/>
      <c r="AP117" s="289"/>
      <c r="AQ117" s="289"/>
      <c r="AR117" s="243"/>
      <c r="AS117" s="243"/>
      <c r="AT117" s="243"/>
      <c r="AU117" s="243"/>
      <c r="AV117" s="243"/>
      <c r="AW117" s="243"/>
      <c r="AX117" s="243"/>
      <c r="AY117" s="243"/>
      <c r="AZ117" s="243"/>
      <c r="BA117" s="243"/>
      <c r="BB117" s="243"/>
      <c r="BC117" s="243"/>
      <c r="BD117" s="243"/>
      <c r="BE117" s="243"/>
      <c r="BF117" s="246"/>
      <c r="BG117" s="246"/>
      <c r="BH117" s="243"/>
      <c r="BI117" s="243"/>
      <c r="BJ117" s="243"/>
      <c r="BK117" s="243"/>
      <c r="BL117" s="243"/>
      <c r="BM117" s="243"/>
      <c r="BN117" s="243"/>
      <c r="BO117" s="243"/>
      <c r="BP117" s="243"/>
      <c r="BQ117" s="243"/>
      <c r="BR117" s="243"/>
      <c r="BS117" s="243"/>
      <c r="BT117" s="243"/>
      <c r="BU117" s="243"/>
      <c r="BV117" s="243"/>
      <c r="BW117" s="243"/>
      <c r="BX117" s="243"/>
      <c r="BY117" s="243"/>
      <c r="BZ117" s="243"/>
      <c r="CA117" s="243"/>
      <c r="CB117" s="243"/>
      <c r="CC117" s="243"/>
      <c r="CD117" s="243"/>
      <c r="CE117" s="243"/>
      <c r="CF117" s="243"/>
      <c r="CG117" s="243"/>
      <c r="CH117" s="243"/>
      <c r="CI117" s="243"/>
      <c r="CJ117" s="243"/>
      <c r="CK117" s="243"/>
      <c r="CL117" s="243"/>
      <c r="CM117" s="243"/>
      <c r="CN117" s="243"/>
      <c r="CO117" s="243"/>
      <c r="CP117" s="243"/>
    </row>
    <row r="118" spans="1:94">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9"/>
      <c r="AL118" s="289"/>
      <c r="AM118" s="289"/>
      <c r="AN118" s="289"/>
      <c r="AO118" s="289"/>
      <c r="AP118" s="289"/>
      <c r="AQ118" s="289"/>
      <c r="AR118" s="243"/>
      <c r="AS118" s="243"/>
      <c r="AT118" s="243"/>
      <c r="AU118" s="243"/>
      <c r="AV118" s="243"/>
      <c r="AW118" s="243"/>
      <c r="AX118" s="243"/>
      <c r="AY118" s="243"/>
      <c r="AZ118" s="243"/>
      <c r="BA118" s="243"/>
      <c r="BB118" s="243"/>
      <c r="BC118" s="243"/>
      <c r="BD118" s="243"/>
      <c r="BE118" s="243"/>
      <c r="BF118" s="246"/>
      <c r="BG118" s="246"/>
      <c r="BH118" s="243"/>
      <c r="BI118" s="243"/>
      <c r="BJ118" s="243"/>
      <c r="BK118" s="243"/>
      <c r="BL118" s="243"/>
      <c r="BM118" s="243"/>
      <c r="BN118" s="243"/>
      <c r="BO118" s="243"/>
      <c r="BP118" s="243"/>
      <c r="BQ118" s="243"/>
      <c r="BR118" s="243"/>
      <c r="BS118" s="243"/>
      <c r="BT118" s="243"/>
      <c r="BU118" s="243"/>
      <c r="BV118" s="243"/>
      <c r="BW118" s="243"/>
      <c r="BX118" s="243"/>
      <c r="BY118" s="243"/>
      <c r="BZ118" s="243"/>
      <c r="CA118" s="243"/>
      <c r="CB118" s="243"/>
      <c r="CC118" s="243"/>
      <c r="CD118" s="243"/>
      <c r="CE118" s="243"/>
      <c r="CF118" s="243"/>
      <c r="CG118" s="243"/>
      <c r="CH118" s="243"/>
      <c r="CI118" s="243"/>
      <c r="CJ118" s="243"/>
      <c r="CK118" s="243"/>
      <c r="CL118" s="243"/>
      <c r="CM118" s="243"/>
      <c r="CN118" s="243"/>
      <c r="CO118" s="243"/>
      <c r="CP118" s="243"/>
    </row>
    <row r="119" spans="1:94">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9"/>
      <c r="AL119" s="289"/>
      <c r="AM119" s="289"/>
      <c r="AN119" s="289"/>
      <c r="AO119" s="289"/>
      <c r="AP119" s="289"/>
      <c r="AQ119" s="289"/>
      <c r="AR119" s="243"/>
      <c r="AS119" s="243"/>
      <c r="AT119" s="243"/>
      <c r="AU119" s="243"/>
      <c r="AV119" s="243"/>
      <c r="AW119" s="243"/>
      <c r="AX119" s="243"/>
      <c r="AY119" s="243"/>
      <c r="AZ119" s="243"/>
      <c r="BA119" s="243"/>
      <c r="BB119" s="243"/>
      <c r="BC119" s="243"/>
      <c r="BD119" s="243"/>
      <c r="BE119" s="243"/>
      <c r="BF119" s="246"/>
      <c r="BG119" s="246"/>
      <c r="BH119" s="243"/>
      <c r="BI119" s="243"/>
      <c r="BJ119" s="243"/>
      <c r="BK119" s="243"/>
      <c r="BL119" s="243"/>
      <c r="BM119" s="243"/>
      <c r="BN119" s="243"/>
      <c r="BO119" s="243"/>
      <c r="BP119" s="243"/>
      <c r="BQ119" s="243"/>
      <c r="BR119" s="243"/>
      <c r="BS119" s="243"/>
      <c r="BT119" s="243"/>
      <c r="BU119" s="243"/>
      <c r="BV119" s="243"/>
      <c r="BW119" s="243"/>
      <c r="BX119" s="243"/>
      <c r="BY119" s="243"/>
      <c r="BZ119" s="243"/>
      <c r="CA119" s="243"/>
      <c r="CB119" s="243"/>
      <c r="CC119" s="243"/>
      <c r="CD119" s="243"/>
      <c r="CE119" s="243"/>
      <c r="CF119" s="243"/>
      <c r="CG119" s="243"/>
      <c r="CH119" s="243"/>
      <c r="CI119" s="243"/>
      <c r="CJ119" s="243"/>
      <c r="CK119" s="243"/>
      <c r="CL119" s="243"/>
      <c r="CM119" s="243"/>
      <c r="CN119" s="243"/>
      <c r="CO119" s="243"/>
      <c r="CP119" s="243"/>
    </row>
    <row r="120" spans="1:94">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9"/>
      <c r="AL120" s="289"/>
      <c r="AM120" s="289"/>
      <c r="AN120" s="289"/>
      <c r="AO120" s="289"/>
      <c r="AP120" s="289"/>
      <c r="AQ120" s="289"/>
      <c r="AR120" s="243"/>
      <c r="AS120" s="243"/>
      <c r="AT120" s="243"/>
      <c r="AU120" s="243"/>
      <c r="AV120" s="243"/>
      <c r="AW120" s="243"/>
      <c r="AX120" s="243"/>
      <c r="AY120" s="243"/>
      <c r="AZ120" s="243"/>
      <c r="BA120" s="243"/>
      <c r="BB120" s="243"/>
      <c r="BC120" s="243"/>
      <c r="BD120" s="243"/>
      <c r="BE120" s="243"/>
      <c r="BF120" s="246"/>
      <c r="BG120" s="246"/>
      <c r="BH120" s="243"/>
      <c r="BI120" s="243"/>
      <c r="BJ120" s="243"/>
      <c r="BK120" s="243"/>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row>
    <row r="121" spans="1:94">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9"/>
      <c r="AL121" s="289"/>
      <c r="AM121" s="289"/>
      <c r="AN121" s="289"/>
      <c r="AO121" s="289"/>
      <c r="AP121" s="289"/>
      <c r="AQ121" s="289"/>
      <c r="AR121" s="243"/>
      <c r="AS121" s="243"/>
      <c r="AT121" s="243"/>
      <c r="AU121" s="243"/>
      <c r="AV121" s="243"/>
      <c r="AW121" s="243"/>
      <c r="AX121" s="243"/>
      <c r="AY121" s="243"/>
      <c r="AZ121" s="243"/>
      <c r="BA121" s="243"/>
      <c r="BB121" s="243"/>
      <c r="BC121" s="243"/>
      <c r="BD121" s="243"/>
      <c r="BE121" s="243"/>
      <c r="BF121" s="246"/>
      <c r="BG121" s="246"/>
      <c r="BH121" s="243"/>
      <c r="BI121" s="243"/>
      <c r="BJ121" s="243"/>
      <c r="BK121" s="243"/>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row>
    <row r="122" spans="1:94">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9"/>
      <c r="AL122" s="289"/>
      <c r="AM122" s="289"/>
      <c r="AN122" s="289"/>
      <c r="AO122" s="289"/>
      <c r="AP122" s="289"/>
      <c r="AQ122" s="289"/>
      <c r="AR122" s="243"/>
      <c r="AS122" s="243"/>
      <c r="AT122" s="243"/>
      <c r="AU122" s="243"/>
      <c r="AV122" s="243"/>
      <c r="AW122" s="243"/>
      <c r="AX122" s="243"/>
      <c r="AY122" s="243"/>
      <c r="AZ122" s="243"/>
      <c r="BA122" s="243"/>
      <c r="BB122" s="243"/>
      <c r="BC122" s="243"/>
      <c r="BD122" s="243"/>
      <c r="BE122" s="243"/>
      <c r="BF122" s="246"/>
      <c r="BG122" s="246"/>
      <c r="BH122" s="243"/>
      <c r="BI122" s="243"/>
      <c r="BJ122" s="243"/>
      <c r="BK122" s="243"/>
      <c r="BL122" s="243"/>
      <c r="BM122" s="243"/>
      <c r="BN122" s="243"/>
      <c r="BO122" s="243"/>
      <c r="BP122" s="243"/>
      <c r="BQ122" s="243"/>
      <c r="BR122" s="243"/>
      <c r="BS122" s="243"/>
      <c r="BT122" s="243"/>
      <c r="BU122" s="243"/>
      <c r="BV122" s="243"/>
      <c r="BW122" s="243"/>
      <c r="BX122" s="243"/>
      <c r="BY122" s="243"/>
      <c r="BZ122" s="243"/>
      <c r="CA122" s="243"/>
      <c r="CB122" s="243"/>
      <c r="CC122" s="243"/>
      <c r="CD122" s="243"/>
      <c r="CE122" s="243"/>
      <c r="CF122" s="243"/>
      <c r="CG122" s="243"/>
      <c r="CH122" s="243"/>
      <c r="CI122" s="243"/>
      <c r="CJ122" s="243"/>
      <c r="CK122" s="243"/>
      <c r="CL122" s="243"/>
      <c r="CM122" s="243"/>
      <c r="CN122" s="243"/>
      <c r="CO122" s="243"/>
      <c r="CP122" s="243"/>
    </row>
    <row r="123" spans="1:94">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9"/>
      <c r="AL123" s="289"/>
      <c r="AM123" s="289"/>
      <c r="AN123" s="289"/>
      <c r="AO123" s="289"/>
      <c r="AP123" s="289"/>
      <c r="AQ123" s="289"/>
      <c r="AR123" s="243"/>
      <c r="AS123" s="243"/>
      <c r="AT123" s="243"/>
      <c r="AU123" s="243"/>
      <c r="AV123" s="243"/>
      <c r="AW123" s="243"/>
      <c r="AX123" s="243"/>
      <c r="AY123" s="243"/>
      <c r="AZ123" s="243"/>
      <c r="BA123" s="243"/>
      <c r="BB123" s="243"/>
      <c r="BC123" s="243"/>
      <c r="BD123" s="243"/>
      <c r="BE123" s="243"/>
      <c r="BF123" s="246"/>
      <c r="BG123" s="246"/>
      <c r="BH123" s="243"/>
      <c r="BI123" s="243"/>
      <c r="BJ123" s="243"/>
      <c r="BK123" s="243"/>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row>
    <row r="124" spans="1:94">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9"/>
      <c r="AL124" s="289"/>
      <c r="AM124" s="289"/>
      <c r="AN124" s="289"/>
      <c r="AO124" s="289"/>
      <c r="AP124" s="289"/>
      <c r="AQ124" s="289"/>
      <c r="AR124" s="243"/>
      <c r="AS124" s="243"/>
      <c r="AT124" s="243"/>
      <c r="AU124" s="243"/>
      <c r="AV124" s="243"/>
      <c r="AW124" s="243"/>
      <c r="AX124" s="243"/>
      <c r="AY124" s="243"/>
      <c r="AZ124" s="243"/>
      <c r="BA124" s="243"/>
      <c r="BB124" s="243"/>
      <c r="BC124" s="243"/>
      <c r="BD124" s="243"/>
      <c r="BE124" s="243"/>
      <c r="BF124" s="246"/>
      <c r="BG124" s="246"/>
      <c r="BH124" s="243"/>
      <c r="BI124" s="243"/>
      <c r="BJ124" s="243"/>
      <c r="BK124" s="243"/>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row>
  </sheetData>
  <sheetProtection algorithmName="SHA-512" hashValue="mvyISwxUSutLVwTlE/k6/dck0vjxSVv8EFInmjSYJ93nzHyklYusxNFHoLsXh1kuo1GtFFI/N0wPZ5irGpuAhg==" saltValue="f1S2vaMkOAOryzwfiejCVw==" spinCount="100000" sheet="1" objects="1" scenarios="1" selectLockedCells="1" selectUnlockedCells="1"/>
  <mergeCells count="346">
    <mergeCell ref="L59:M59"/>
    <mergeCell ref="N59:O59"/>
    <mergeCell ref="P59:Q59"/>
    <mergeCell ref="P53:Q53"/>
    <mergeCell ref="N53:O53"/>
    <mergeCell ref="L61:M61"/>
    <mergeCell ref="W27:AJ30"/>
    <mergeCell ref="L53:M53"/>
    <mergeCell ref="L56:M56"/>
    <mergeCell ref="L54:M54"/>
    <mergeCell ref="L55:M55"/>
    <mergeCell ref="L58:M58"/>
    <mergeCell ref="L57:M57"/>
    <mergeCell ref="L60:M60"/>
    <mergeCell ref="N60:O60"/>
    <mergeCell ref="P60:Q60"/>
    <mergeCell ref="N57:O57"/>
    <mergeCell ref="P57:Q57"/>
    <mergeCell ref="N55:O55"/>
    <mergeCell ref="P55:Q55"/>
    <mergeCell ref="N58:O58"/>
    <mergeCell ref="P58:Q58"/>
    <mergeCell ref="R58:S58"/>
    <mergeCell ref="N54:O54"/>
    <mergeCell ref="P54:Q54"/>
    <mergeCell ref="N56:O56"/>
    <mergeCell ref="P56:Q56"/>
    <mergeCell ref="R56:S56"/>
    <mergeCell ref="A52:E52"/>
    <mergeCell ref="F52:G52"/>
    <mergeCell ref="H52:I52"/>
    <mergeCell ref="J52:K52"/>
    <mergeCell ref="L52:M52"/>
    <mergeCell ref="N52:O52"/>
    <mergeCell ref="R51:S51"/>
    <mergeCell ref="T51:U51"/>
    <mergeCell ref="F51:G51"/>
    <mergeCell ref="H51:I51"/>
    <mergeCell ref="J51:K51"/>
    <mergeCell ref="L51:M51"/>
    <mergeCell ref="N51:O51"/>
    <mergeCell ref="P51:Q51"/>
    <mergeCell ref="P52:Q52"/>
    <mergeCell ref="R52:S52"/>
    <mergeCell ref="T52:U52"/>
    <mergeCell ref="F49:G49"/>
    <mergeCell ref="H49:I49"/>
    <mergeCell ref="J49:K49"/>
    <mergeCell ref="L49:M49"/>
    <mergeCell ref="N49:O49"/>
    <mergeCell ref="P49:Q49"/>
    <mergeCell ref="R50:S50"/>
    <mergeCell ref="T50:U50"/>
    <mergeCell ref="F50:G50"/>
    <mergeCell ref="H50:I50"/>
    <mergeCell ref="J50:K50"/>
    <mergeCell ref="L50:M50"/>
    <mergeCell ref="N50:O50"/>
    <mergeCell ref="P50:Q50"/>
    <mergeCell ref="R49:S49"/>
    <mergeCell ref="T49:U49"/>
    <mergeCell ref="R48:S48"/>
    <mergeCell ref="T48:U48"/>
    <mergeCell ref="F48:G48"/>
    <mergeCell ref="H48:I48"/>
    <mergeCell ref="F47:G47"/>
    <mergeCell ref="H47:I47"/>
    <mergeCell ref="J47:K47"/>
    <mergeCell ref="L47:M47"/>
    <mergeCell ref="N47:O47"/>
    <mergeCell ref="P47:Q47"/>
    <mergeCell ref="R47:S47"/>
    <mergeCell ref="T47:U47"/>
    <mergeCell ref="J48:K48"/>
    <mergeCell ref="L48:M48"/>
    <mergeCell ref="N48:O48"/>
    <mergeCell ref="P48:Q48"/>
    <mergeCell ref="R46:S46"/>
    <mergeCell ref="T46:U46"/>
    <mergeCell ref="F46:G46"/>
    <mergeCell ref="H46:I46"/>
    <mergeCell ref="J46:K46"/>
    <mergeCell ref="L46:M46"/>
    <mergeCell ref="N46:O46"/>
    <mergeCell ref="P46:Q46"/>
    <mergeCell ref="R45:S45"/>
    <mergeCell ref="T45:U45"/>
    <mergeCell ref="F45:G45"/>
    <mergeCell ref="H45:I45"/>
    <mergeCell ref="J45:K45"/>
    <mergeCell ref="L45:M45"/>
    <mergeCell ref="N45:O45"/>
    <mergeCell ref="P45:Q45"/>
    <mergeCell ref="F43:G43"/>
    <mergeCell ref="H43:I43"/>
    <mergeCell ref="J43:K43"/>
    <mergeCell ref="L43:M43"/>
    <mergeCell ref="N43:O43"/>
    <mergeCell ref="P43:Q43"/>
    <mergeCell ref="R44:S44"/>
    <mergeCell ref="T44:U44"/>
    <mergeCell ref="F44:G44"/>
    <mergeCell ref="H44:I44"/>
    <mergeCell ref="J44:K44"/>
    <mergeCell ref="L44:M44"/>
    <mergeCell ref="N44:O44"/>
    <mergeCell ref="P44:Q44"/>
    <mergeCell ref="R43:S43"/>
    <mergeCell ref="T43:U43"/>
    <mergeCell ref="R42:S42"/>
    <mergeCell ref="T42:U42"/>
    <mergeCell ref="F42:G42"/>
    <mergeCell ref="H42:I42"/>
    <mergeCell ref="F41:G41"/>
    <mergeCell ref="H41:I41"/>
    <mergeCell ref="J41:K41"/>
    <mergeCell ref="L41:M41"/>
    <mergeCell ref="N41:O41"/>
    <mergeCell ref="P41:Q41"/>
    <mergeCell ref="R41:S41"/>
    <mergeCell ref="T41:U41"/>
    <mergeCell ref="J42:K42"/>
    <mergeCell ref="L42:M42"/>
    <mergeCell ref="N42:O42"/>
    <mergeCell ref="P42:Q42"/>
    <mergeCell ref="R40:S40"/>
    <mergeCell ref="T40:U40"/>
    <mergeCell ref="F40:G40"/>
    <mergeCell ref="H40:I40"/>
    <mergeCell ref="J40:K40"/>
    <mergeCell ref="L40:M40"/>
    <mergeCell ref="N40:O40"/>
    <mergeCell ref="P40:Q40"/>
    <mergeCell ref="R39:S39"/>
    <mergeCell ref="T39:U39"/>
    <mergeCell ref="F39:G39"/>
    <mergeCell ref="H39:I39"/>
    <mergeCell ref="J39:K39"/>
    <mergeCell ref="L39:M39"/>
    <mergeCell ref="N39:O39"/>
    <mergeCell ref="P39:Q39"/>
    <mergeCell ref="F37:G37"/>
    <mergeCell ref="H37:I37"/>
    <mergeCell ref="J37:K37"/>
    <mergeCell ref="L37:M37"/>
    <mergeCell ref="N37:O37"/>
    <mergeCell ref="P37:Q37"/>
    <mergeCell ref="R38:S38"/>
    <mergeCell ref="T38:U38"/>
    <mergeCell ref="F38:G38"/>
    <mergeCell ref="H38:I38"/>
    <mergeCell ref="J38:K38"/>
    <mergeCell ref="L38:M38"/>
    <mergeCell ref="N38:O38"/>
    <mergeCell ref="P38:Q38"/>
    <mergeCell ref="R37:S37"/>
    <mergeCell ref="T37:U37"/>
    <mergeCell ref="R36:S36"/>
    <mergeCell ref="T36:U36"/>
    <mergeCell ref="F36:G36"/>
    <mergeCell ref="H36:I36"/>
    <mergeCell ref="F35:G35"/>
    <mergeCell ref="H35:I35"/>
    <mergeCell ref="J35:K35"/>
    <mergeCell ref="L35:M35"/>
    <mergeCell ref="N35:O35"/>
    <mergeCell ref="P35:Q35"/>
    <mergeCell ref="R35:S35"/>
    <mergeCell ref="T35:U35"/>
    <mergeCell ref="J36:K36"/>
    <mergeCell ref="L36:M36"/>
    <mergeCell ref="N36:O36"/>
    <mergeCell ref="P36:Q36"/>
    <mergeCell ref="R34:S34"/>
    <mergeCell ref="T34:U34"/>
    <mergeCell ref="F34:G34"/>
    <mergeCell ref="H34:I34"/>
    <mergeCell ref="J34:K34"/>
    <mergeCell ref="L34:M34"/>
    <mergeCell ref="N34:O34"/>
    <mergeCell ref="P34:Q34"/>
    <mergeCell ref="R33:S33"/>
    <mergeCell ref="T33:U33"/>
    <mergeCell ref="F33:G33"/>
    <mergeCell ref="H33:I33"/>
    <mergeCell ref="J33:K33"/>
    <mergeCell ref="L33:M33"/>
    <mergeCell ref="N33:O33"/>
    <mergeCell ref="P33:Q33"/>
    <mergeCell ref="F32:G32"/>
    <mergeCell ref="H32:I32"/>
    <mergeCell ref="J32:K32"/>
    <mergeCell ref="L32:M32"/>
    <mergeCell ref="N32:O32"/>
    <mergeCell ref="P32:Q32"/>
    <mergeCell ref="R31:S31"/>
    <mergeCell ref="T31:U31"/>
    <mergeCell ref="F31:G31"/>
    <mergeCell ref="H31:I31"/>
    <mergeCell ref="J31:K31"/>
    <mergeCell ref="L31:M31"/>
    <mergeCell ref="N31:O31"/>
    <mergeCell ref="P31:Q31"/>
    <mergeCell ref="A27:E27"/>
    <mergeCell ref="F27:U27"/>
    <mergeCell ref="F28:I29"/>
    <mergeCell ref="J28:M28"/>
    <mergeCell ref="N28:O29"/>
    <mergeCell ref="P28:U29"/>
    <mergeCell ref="J29:K29"/>
    <mergeCell ref="L29:M29"/>
    <mergeCell ref="A30:E30"/>
    <mergeCell ref="F30:G30"/>
    <mergeCell ref="H30:I30"/>
    <mergeCell ref="J30:K30"/>
    <mergeCell ref="L30:M30"/>
    <mergeCell ref="N30:O30"/>
    <mergeCell ref="P30:Q30"/>
    <mergeCell ref="R30:S30"/>
    <mergeCell ref="T30:U30"/>
    <mergeCell ref="H22:J22"/>
    <mergeCell ref="K22:M22"/>
    <mergeCell ref="N22:P22"/>
    <mergeCell ref="Q22:S22"/>
    <mergeCell ref="H23:J23"/>
    <mergeCell ref="K23:M23"/>
    <mergeCell ref="N23:P23"/>
    <mergeCell ref="Q23:S23"/>
    <mergeCell ref="H20:J20"/>
    <mergeCell ref="K20:M20"/>
    <mergeCell ref="N20:P20"/>
    <mergeCell ref="Q20:S20"/>
    <mergeCell ref="H21:J21"/>
    <mergeCell ref="K21:M21"/>
    <mergeCell ref="N21:P21"/>
    <mergeCell ref="Q21:S21"/>
    <mergeCell ref="AI18:AK18"/>
    <mergeCell ref="H19:J19"/>
    <mergeCell ref="K19:M19"/>
    <mergeCell ref="N19:P19"/>
    <mergeCell ref="Q19:S19"/>
    <mergeCell ref="AC17:AE17"/>
    <mergeCell ref="AF17:AH17"/>
    <mergeCell ref="AI17:AK17"/>
    <mergeCell ref="H18:J18"/>
    <mergeCell ref="K18:M18"/>
    <mergeCell ref="N18:P18"/>
    <mergeCell ref="Q18:S18"/>
    <mergeCell ref="T18:V18"/>
    <mergeCell ref="W18:Y18"/>
    <mergeCell ref="Z18:AB18"/>
    <mergeCell ref="H17:J17"/>
    <mergeCell ref="K17:M17"/>
    <mergeCell ref="N17:P17"/>
    <mergeCell ref="Q17:S17"/>
    <mergeCell ref="T17:V17"/>
    <mergeCell ref="W17:Y17"/>
    <mergeCell ref="Z17:AB17"/>
    <mergeCell ref="AC18:AE18"/>
    <mergeCell ref="AF18:AH18"/>
    <mergeCell ref="AI14:AK14"/>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H14:J14"/>
    <mergeCell ref="K14:M14"/>
    <mergeCell ref="N14:P14"/>
    <mergeCell ref="Q14:S14"/>
    <mergeCell ref="T14:V14"/>
    <mergeCell ref="W14:Y14"/>
    <mergeCell ref="Z14:AB14"/>
    <mergeCell ref="AC14:AE14"/>
    <mergeCell ref="AF14:AH14"/>
    <mergeCell ref="N61:O61"/>
    <mergeCell ref="P61:Q61"/>
    <mergeCell ref="T26:W26"/>
    <mergeCell ref="X26:Z26"/>
    <mergeCell ref="AA26:AB26"/>
    <mergeCell ref="AC26:AD26"/>
    <mergeCell ref="AE26:AG26"/>
    <mergeCell ref="AH26:AI26"/>
    <mergeCell ref="T25:W25"/>
    <mergeCell ref="X25:Z25"/>
    <mergeCell ref="AA25:AB25"/>
    <mergeCell ref="AC25:AD25"/>
    <mergeCell ref="AE25:AG25"/>
    <mergeCell ref="AH25:AI25"/>
    <mergeCell ref="R32:S32"/>
    <mergeCell ref="T32:U32"/>
    <mergeCell ref="T22:V22"/>
    <mergeCell ref="W22:Y22"/>
    <mergeCell ref="A11:AK12"/>
    <mergeCell ref="A13:G13"/>
    <mergeCell ref="H13:AK13"/>
    <mergeCell ref="A1:AK4"/>
    <mergeCell ref="A5:G5"/>
    <mergeCell ref="Y5:AB5"/>
    <mergeCell ref="AC5:AK5"/>
    <mergeCell ref="A6:G6"/>
    <mergeCell ref="Y6:AB6"/>
    <mergeCell ref="AC6:AK6"/>
    <mergeCell ref="A10:H10"/>
    <mergeCell ref="I10:X10"/>
    <mergeCell ref="Y10:AB10"/>
    <mergeCell ref="AC10:AE10"/>
    <mergeCell ref="AF10:AH10"/>
    <mergeCell ref="AI10:AK10"/>
    <mergeCell ref="A7:G7"/>
    <mergeCell ref="Y7:AB7"/>
    <mergeCell ref="A8:G9"/>
    <mergeCell ref="H8:AK9"/>
    <mergeCell ref="Z22:AB22"/>
    <mergeCell ref="AC22:AE22"/>
    <mergeCell ref="T23:V23"/>
    <mergeCell ref="W23:Y23"/>
    <mergeCell ref="Z23:AB23"/>
    <mergeCell ref="AC23:AE23"/>
    <mergeCell ref="T19:V19"/>
    <mergeCell ref="W19:Y19"/>
    <mergeCell ref="Z19:AB19"/>
    <mergeCell ref="AC19:AE19"/>
    <mergeCell ref="T20:V20"/>
    <mergeCell ref="W20:Y20"/>
    <mergeCell ref="Z20:AB20"/>
    <mergeCell ref="AC20:AE20"/>
    <mergeCell ref="T21:V21"/>
    <mergeCell ref="W21:Y21"/>
    <mergeCell ref="Z21:AB21"/>
    <mergeCell ref="AC21:AE21"/>
  </mergeCells>
  <conditionalFormatting sqref="F52:M52 P52:S52 P54:Q61">
    <cfRule type="expression" dxfId="298" priority="11" stopIfTrue="1">
      <formula>F52=0</formula>
    </cfRule>
  </conditionalFormatting>
  <conditionalFormatting sqref="H31:AK32 H33:W36 AA33:AK36">
    <cfRule type="expression" dxfId="297" priority="10">
      <formula>H31=0</formula>
    </cfRule>
  </conditionalFormatting>
  <conditionalFormatting sqref="H37:AK51">
    <cfRule type="expression" dxfId="296" priority="1">
      <formula>H37=0</formula>
    </cfRule>
  </conditionalFormatting>
  <conditionalFormatting sqref="V52:AC52">
    <cfRule type="expression" dxfId="295" priority="12" stopIfTrue="1">
      <formula>V52=0</formula>
    </cfRule>
  </conditionalFormatting>
  <conditionalFormatting sqref="Z33:Z36">
    <cfRule type="expression" dxfId="294" priority="3">
      <formula>(Z33&lt;&gt;0)</formula>
    </cfRule>
    <cfRule type="expression" dxfId="293" priority="4">
      <formula>(Z33=0)</formula>
    </cfRule>
  </conditionalFormatting>
  <conditionalFormatting sqref="AF52:AI52 N56">
    <cfRule type="expression" dxfId="292" priority="13" stopIfTrue="1">
      <formula>N52=0</formula>
    </cfRule>
  </conditionalFormatting>
  <pageMargins left="0.74803149606299213" right="0.19685039370078741" top="0.39370078740157483" bottom="0.39370078740157483" header="0.19685039370078741" footer="0.19685039370078741"/>
  <pageSetup paperSize="9" scale="61"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2B9D7-6231-4A52-99A4-468F9809D510}">
  <sheetPr>
    <tabColor rgb="FF92D050"/>
    <pageSetUpPr fitToPage="1"/>
  </sheetPr>
  <dimension ref="A1:CP124"/>
  <sheetViews>
    <sheetView showGridLines="0" view="pageBreakPreview" zoomScaleNormal="100" zoomScaleSheetLayoutView="100" workbookViewId="0">
      <selection sqref="A1:AK4"/>
    </sheetView>
  </sheetViews>
  <sheetFormatPr defaultColWidth="3.7109375" defaultRowHeight="15"/>
  <cols>
    <col min="1" max="6" width="3.7109375" style="290"/>
    <col min="7" max="7" width="4.42578125" style="290" customWidth="1"/>
    <col min="8" max="10" width="3.7109375" style="290"/>
    <col min="11" max="11" width="3.7109375" style="290" customWidth="1"/>
    <col min="12" max="17" width="4.42578125" style="290" customWidth="1"/>
    <col min="18" max="18" width="3.7109375" style="290"/>
    <col min="19" max="19" width="5.42578125" style="290" customWidth="1"/>
    <col min="20" max="23" width="3.7109375" style="290"/>
    <col min="24" max="24" width="7" style="290" customWidth="1"/>
    <col min="25" max="37" width="3.7109375" style="290"/>
    <col min="38" max="38" width="3.7109375" style="247"/>
    <col min="39" max="50" width="8.7109375" style="247" customWidth="1"/>
    <col min="51" max="57" width="3.7109375" style="247"/>
    <col min="58" max="59" width="3.7109375" style="285"/>
    <col min="60" max="16384" width="3.7109375" style="247"/>
  </cols>
  <sheetData>
    <row r="1" spans="1:94"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8"/>
      <c r="AL1" s="238"/>
      <c r="AM1" s="238"/>
      <c r="AN1" s="238"/>
      <c r="AO1" s="238"/>
      <c r="AP1" s="238"/>
      <c r="AQ1" s="238"/>
      <c r="AR1" s="238"/>
      <c r="AS1" s="238"/>
      <c r="AT1" s="238"/>
      <c r="AU1" s="238"/>
      <c r="AV1" s="238"/>
      <c r="AW1" s="238"/>
      <c r="AX1" s="238"/>
      <c r="AY1" s="238"/>
      <c r="AZ1" s="238"/>
      <c r="BA1" s="238"/>
      <c r="BB1" s="238"/>
      <c r="BC1" s="238"/>
      <c r="BD1" s="238"/>
      <c r="BE1" s="238"/>
      <c r="BF1" s="239"/>
      <c r="BG1" s="239"/>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c r="CM1" s="238"/>
      <c r="CN1" s="238"/>
      <c r="CO1" s="238"/>
      <c r="CP1" s="238"/>
    </row>
    <row r="2" spans="1:94"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1"/>
      <c r="AL2" s="238"/>
      <c r="AM2" s="238"/>
      <c r="AN2" s="238"/>
      <c r="AO2" s="238"/>
      <c r="AP2" s="238"/>
      <c r="AQ2" s="238"/>
      <c r="AR2" s="238"/>
      <c r="AS2" s="238"/>
      <c r="AT2" s="238"/>
      <c r="AU2" s="238"/>
      <c r="AV2" s="238"/>
      <c r="AW2" s="238"/>
      <c r="AX2" s="238"/>
      <c r="AY2" s="238"/>
      <c r="AZ2" s="238"/>
      <c r="BA2" s="238"/>
      <c r="BB2" s="238"/>
      <c r="BC2" s="238"/>
      <c r="BD2" s="238"/>
      <c r="BE2" s="238"/>
      <c r="BF2" s="239"/>
      <c r="BG2" s="239"/>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row>
    <row r="3" spans="1:94"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1"/>
      <c r="AL3" s="238"/>
      <c r="AM3" s="238"/>
      <c r="AN3" s="238"/>
      <c r="AO3" s="238"/>
      <c r="AP3" s="238"/>
      <c r="AQ3" s="238"/>
      <c r="AR3" s="238"/>
      <c r="AS3" s="238"/>
      <c r="AT3" s="238"/>
      <c r="AU3" s="238"/>
      <c r="AV3" s="238"/>
      <c r="AW3" s="238"/>
      <c r="AX3" s="238"/>
      <c r="AY3" s="238"/>
      <c r="AZ3" s="238"/>
      <c r="BA3" s="238"/>
      <c r="BB3" s="238"/>
      <c r="BC3" s="238"/>
      <c r="BD3" s="238"/>
      <c r="BE3" s="238"/>
      <c r="BF3" s="239"/>
      <c r="BG3" s="239"/>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row>
    <row r="4" spans="1:94"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4"/>
      <c r="AL4" s="238"/>
      <c r="AM4" s="241"/>
      <c r="AN4" s="241"/>
      <c r="AO4" s="241"/>
      <c r="AP4" s="242" t="s">
        <v>576</v>
      </c>
      <c r="AQ4" s="242" t="s">
        <v>577</v>
      </c>
      <c r="AR4" s="242" t="s">
        <v>578</v>
      </c>
      <c r="AS4" s="241"/>
      <c r="AT4" s="241"/>
      <c r="AU4" s="241"/>
      <c r="AV4" s="241"/>
      <c r="AW4" s="241"/>
      <c r="AX4" s="238"/>
      <c r="AY4" s="238"/>
      <c r="AZ4" s="238"/>
      <c r="BA4" s="238"/>
      <c r="BB4" s="238"/>
      <c r="BC4" s="238"/>
      <c r="BD4" s="238"/>
      <c r="BE4" s="238"/>
      <c r="BF4" s="239"/>
      <c r="BG4" s="239"/>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row>
    <row r="5" spans="1:94" ht="15" customHeight="1">
      <c r="A5" s="875" t="s">
        <v>22</v>
      </c>
      <c r="B5" s="876"/>
      <c r="C5" s="876"/>
      <c r="D5" s="876"/>
      <c r="E5" s="876"/>
      <c r="F5" s="876"/>
      <c r="G5" s="876"/>
      <c r="H5" s="27" t="str">
        <f>'Emiss. Ops'!$C$2</f>
        <v>OMVP</v>
      </c>
      <c r="I5" s="27"/>
      <c r="J5" s="27"/>
      <c r="K5" s="27"/>
      <c r="L5" s="27"/>
      <c r="M5" s="27"/>
      <c r="N5" s="27"/>
      <c r="O5" s="27"/>
      <c r="P5" s="27"/>
      <c r="Q5" s="27"/>
      <c r="R5" s="27"/>
      <c r="S5" s="27"/>
      <c r="T5" s="27"/>
      <c r="U5" s="27"/>
      <c r="V5" s="27"/>
      <c r="W5" s="27"/>
      <c r="X5" s="27"/>
      <c r="Y5" s="876" t="s">
        <v>23</v>
      </c>
      <c r="Z5" s="876"/>
      <c r="AA5" s="876"/>
      <c r="AB5" s="876"/>
      <c r="AC5" s="877" t="str">
        <f>Effluents!$K$2</f>
        <v>PRJ-001030</v>
      </c>
      <c r="AD5" s="877"/>
      <c r="AE5" s="877"/>
      <c r="AF5" s="877"/>
      <c r="AG5" s="877"/>
      <c r="AH5" s="877"/>
      <c r="AI5" s="877"/>
      <c r="AJ5" s="877"/>
      <c r="AK5" s="878"/>
      <c r="AL5" s="243"/>
      <c r="AM5" s="244"/>
      <c r="AN5" s="244"/>
      <c r="AO5" s="244"/>
      <c r="AP5" s="245" t="s">
        <v>386</v>
      </c>
      <c r="AQ5" s="245" t="s">
        <v>729</v>
      </c>
      <c r="AR5" s="242">
        <v>1020</v>
      </c>
      <c r="AS5" s="244"/>
      <c r="AT5" s="244"/>
      <c r="AU5" s="244"/>
      <c r="AV5" s="244"/>
      <c r="AW5" s="244"/>
      <c r="AX5" s="238"/>
      <c r="AY5" s="238"/>
      <c r="AZ5" s="238"/>
      <c r="BA5" s="243"/>
      <c r="BB5" s="243"/>
      <c r="BC5" s="243"/>
      <c r="BD5" s="243"/>
      <c r="BE5" s="243"/>
      <c r="BF5" s="246"/>
      <c r="BG5" s="246"/>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row>
    <row r="6" spans="1:94" ht="15" customHeight="1">
      <c r="A6" s="862" t="s">
        <v>24</v>
      </c>
      <c r="B6" s="863"/>
      <c r="C6" s="863"/>
      <c r="D6" s="863"/>
      <c r="E6" s="863"/>
      <c r="F6" s="863"/>
      <c r="G6" s="863"/>
      <c r="H6" s="30" t="str">
        <f>'Emiss. Ops'!$C$3</f>
        <v>OMV Neptun BAT Study &amp; ESIA</v>
      </c>
      <c r="I6" s="30"/>
      <c r="J6" s="30"/>
      <c r="K6" s="30"/>
      <c r="L6" s="30"/>
      <c r="M6" s="30"/>
      <c r="N6" s="30"/>
      <c r="O6" s="30"/>
      <c r="P6" s="30"/>
      <c r="Q6" s="30"/>
      <c r="R6" s="30"/>
      <c r="S6" s="30"/>
      <c r="T6" s="30"/>
      <c r="U6" s="30"/>
      <c r="V6" s="30"/>
      <c r="W6" s="30"/>
      <c r="X6" s="30"/>
      <c r="Y6" s="863" t="s">
        <v>25</v>
      </c>
      <c r="Z6" s="863"/>
      <c r="AA6" s="863"/>
      <c r="AB6" s="863"/>
      <c r="AC6" s="860"/>
      <c r="AD6" s="860"/>
      <c r="AE6" s="860"/>
      <c r="AF6" s="860"/>
      <c r="AG6" s="860"/>
      <c r="AH6" s="860"/>
      <c r="AI6" s="860"/>
      <c r="AJ6" s="860"/>
      <c r="AK6" s="861"/>
      <c r="AL6" s="243"/>
      <c r="AM6" s="244"/>
      <c r="AN6" s="244"/>
      <c r="AO6" s="242"/>
      <c r="AP6" s="245" t="s">
        <v>406</v>
      </c>
      <c r="AQ6" s="245" t="s">
        <v>339</v>
      </c>
      <c r="AR6" s="245">
        <v>0.45400000000000001</v>
      </c>
      <c r="AS6" s="242"/>
      <c r="AT6" s="244"/>
      <c r="AU6" s="244"/>
      <c r="AV6" s="244"/>
      <c r="AW6" s="244"/>
      <c r="AX6" s="238"/>
      <c r="AY6" s="238"/>
      <c r="AZ6" s="238"/>
      <c r="BA6" s="243"/>
      <c r="BB6" s="243"/>
      <c r="BC6" s="243"/>
      <c r="BD6" s="243"/>
      <c r="BE6" s="243"/>
      <c r="BF6" s="246"/>
      <c r="BG6" s="246"/>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row>
    <row r="7" spans="1:94" ht="15" customHeight="1">
      <c r="A7" s="862" t="s">
        <v>26</v>
      </c>
      <c r="B7" s="863"/>
      <c r="C7" s="863"/>
      <c r="D7" s="863"/>
      <c r="E7" s="863"/>
      <c r="F7" s="863"/>
      <c r="G7" s="863"/>
      <c r="H7" s="30" t="str">
        <f>'Emiss. Ops'!$C$4</f>
        <v>Emissions Inventory</v>
      </c>
      <c r="I7" s="30"/>
      <c r="J7" s="30"/>
      <c r="K7" s="30"/>
      <c r="L7" s="30"/>
      <c r="M7" s="30"/>
      <c r="N7" s="30"/>
      <c r="O7" s="30"/>
      <c r="P7" s="30"/>
      <c r="Q7" s="30"/>
      <c r="R7" s="30"/>
      <c r="S7" s="30"/>
      <c r="T7" s="30"/>
      <c r="U7" s="30"/>
      <c r="V7" s="30"/>
      <c r="W7" s="30"/>
      <c r="X7" s="30"/>
      <c r="Y7" s="863" t="s">
        <v>27</v>
      </c>
      <c r="Z7" s="863"/>
      <c r="AA7" s="863"/>
      <c r="AB7" s="863"/>
      <c r="AC7" s="30" t="str">
        <f>'Emiss. Ops'!$I$4</f>
        <v>Normal Operations</v>
      </c>
      <c r="AD7" s="31"/>
      <c r="AE7" s="31"/>
      <c r="AF7" s="31"/>
      <c r="AG7" s="31"/>
      <c r="AH7" s="31"/>
      <c r="AI7" s="31"/>
      <c r="AJ7" s="31"/>
      <c r="AK7" s="32"/>
      <c r="AL7" s="243"/>
      <c r="AM7" s="244"/>
      <c r="AN7" s="244"/>
      <c r="AO7" s="242"/>
      <c r="AP7" s="245" t="s">
        <v>407</v>
      </c>
      <c r="AQ7" s="245" t="s">
        <v>730</v>
      </c>
      <c r="AR7" s="248">
        <f>0.305^3</f>
        <v>2.8372624999999999E-2</v>
      </c>
      <c r="AS7" s="242"/>
      <c r="AT7" s="244"/>
      <c r="AU7" s="244"/>
      <c r="AV7" s="244"/>
      <c r="AW7" s="244"/>
      <c r="AX7" s="238"/>
      <c r="AY7" s="238"/>
      <c r="AZ7" s="238"/>
      <c r="BA7" s="243"/>
      <c r="BB7" s="243"/>
      <c r="BC7" s="243"/>
      <c r="BD7" s="243"/>
      <c r="BE7" s="243"/>
      <c r="BF7" s="246"/>
      <c r="BG7" s="246"/>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row>
    <row r="8" spans="1:94"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8"/>
      <c r="AH8" s="1288"/>
      <c r="AI8" s="1288"/>
      <c r="AJ8" s="1288"/>
      <c r="AK8" s="1289"/>
      <c r="AL8" s="243"/>
      <c r="AM8" s="244"/>
      <c r="AN8" s="244"/>
      <c r="AO8" s="242"/>
      <c r="AP8" s="245" t="s">
        <v>729</v>
      </c>
      <c r="AQ8" s="245" t="s">
        <v>731</v>
      </c>
      <c r="AR8" s="249">
        <f>AR6/AR7 * ((AN18+273.15)/(AN20+273.15))</f>
        <v>16.912595854908194</v>
      </c>
      <c r="AS8" s="242"/>
      <c r="AT8" s="244"/>
      <c r="AU8" s="244"/>
      <c r="AV8" s="244"/>
      <c r="AW8" s="244"/>
      <c r="AX8" s="238"/>
      <c r="AY8" s="238"/>
      <c r="AZ8" s="238"/>
      <c r="BA8" s="243"/>
      <c r="BB8" s="243"/>
      <c r="BC8" s="243"/>
      <c r="BD8" s="243"/>
      <c r="BE8" s="243"/>
      <c r="BF8" s="246"/>
      <c r="BG8" s="246"/>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row>
    <row r="9" spans="1:94"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8"/>
      <c r="AH9" s="1288"/>
      <c r="AI9" s="1288"/>
      <c r="AJ9" s="1288"/>
      <c r="AK9" s="1289"/>
      <c r="AL9" s="243"/>
      <c r="AM9" s="244"/>
      <c r="AN9" s="244"/>
      <c r="AO9" s="242"/>
      <c r="AP9" s="242" t="s">
        <v>409</v>
      </c>
      <c r="AQ9" s="242" t="s">
        <v>410</v>
      </c>
      <c r="AR9" s="242">
        <v>947</v>
      </c>
      <c r="AS9" s="242"/>
      <c r="AT9" s="244"/>
      <c r="AU9" s="244"/>
      <c r="AV9" s="244"/>
      <c r="AW9" s="244"/>
      <c r="AX9" s="238"/>
      <c r="AY9" s="238"/>
      <c r="AZ9" s="238"/>
      <c r="BA9" s="243"/>
      <c r="BB9" s="243"/>
      <c r="BC9" s="243"/>
      <c r="BD9" s="243"/>
      <c r="BE9" s="243"/>
      <c r="BF9" s="246"/>
      <c r="BG9" s="246"/>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row>
    <row r="10" spans="1:94"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1283"/>
      <c r="V10" s="1283"/>
      <c r="W10" s="1283"/>
      <c r="X10" s="1283"/>
      <c r="Y10" s="859" t="s">
        <v>28</v>
      </c>
      <c r="Z10" s="859"/>
      <c r="AA10" s="859"/>
      <c r="AB10" s="859"/>
      <c r="AC10" s="1284"/>
      <c r="AD10" s="1284"/>
      <c r="AE10" s="1284"/>
      <c r="AF10" s="1285"/>
      <c r="AG10" s="1285"/>
      <c r="AH10" s="1285"/>
      <c r="AI10" s="1286"/>
      <c r="AJ10" s="1286"/>
      <c r="AK10" s="1287"/>
      <c r="AL10" s="238"/>
      <c r="AM10" s="241"/>
      <c r="AN10" s="241"/>
      <c r="AO10" s="245"/>
      <c r="AP10" s="245" t="s">
        <v>710</v>
      </c>
      <c r="AQ10" s="245" t="s">
        <v>709</v>
      </c>
      <c r="AR10" s="245">
        <v>1E-3</v>
      </c>
      <c r="AS10" s="245"/>
      <c r="AT10" s="241"/>
      <c r="AU10" s="241"/>
      <c r="AV10" s="241"/>
      <c r="AW10" s="241"/>
      <c r="AX10" s="238"/>
      <c r="AY10" s="238"/>
      <c r="AZ10" s="238"/>
      <c r="BA10" s="238"/>
      <c r="BB10" s="238"/>
      <c r="BC10" s="238"/>
      <c r="BD10" s="238"/>
      <c r="BE10" s="238"/>
      <c r="BF10" s="239"/>
      <c r="BG10" s="239"/>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row>
    <row r="11" spans="1:94" s="240" customFormat="1" ht="14.25" customHeight="1">
      <c r="A11" s="1271" t="s">
        <v>754</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3"/>
      <c r="AL11" s="238"/>
      <c r="AM11" s="241"/>
      <c r="AN11" s="241"/>
      <c r="AO11" s="245"/>
      <c r="AP11" s="245" t="s">
        <v>732</v>
      </c>
      <c r="AQ11" s="245" t="s">
        <v>409</v>
      </c>
      <c r="AR11" s="245">
        <f>1/(AR9/1000000)</f>
        <v>1055.9662090813094</v>
      </c>
      <c r="AS11" s="245"/>
      <c r="AT11" s="241"/>
      <c r="AU11" s="241"/>
      <c r="AV11" s="241"/>
      <c r="AW11" s="241"/>
      <c r="AX11" s="238"/>
      <c r="AY11" s="238"/>
      <c r="AZ11" s="238"/>
      <c r="BA11" s="238"/>
      <c r="BB11" s="238"/>
      <c r="BC11" s="238"/>
      <c r="BD11" s="238"/>
      <c r="BE11" s="238"/>
      <c r="BF11" s="239"/>
      <c r="BG11" s="239"/>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row>
    <row r="12" spans="1:94" s="240" customFormat="1" ht="14.25" customHeight="1">
      <c r="A12" s="1274"/>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5"/>
      <c r="AH12" s="1275"/>
      <c r="AI12" s="1275"/>
      <c r="AJ12" s="1275"/>
      <c r="AK12" s="1276"/>
      <c r="AL12" s="238"/>
      <c r="AM12" s="241"/>
      <c r="AN12" s="241"/>
      <c r="AO12" s="245"/>
      <c r="AP12" s="245"/>
      <c r="AQ12" s="245"/>
      <c r="AR12" s="245"/>
      <c r="AS12" s="245"/>
      <c r="AT12" s="241"/>
      <c r="AU12" s="241"/>
      <c r="AV12" s="241"/>
      <c r="AW12" s="241"/>
      <c r="AX12" s="238"/>
      <c r="AY12" s="238"/>
      <c r="AZ12" s="238"/>
      <c r="BA12" s="238"/>
      <c r="BB12" s="238"/>
      <c r="BC12" s="238"/>
      <c r="BD12" s="238"/>
      <c r="BE12" s="238"/>
      <c r="BF12" s="239"/>
      <c r="BG12" s="239"/>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row>
    <row r="13" spans="1:94" s="240" customFormat="1" ht="14.25" customHeight="1">
      <c r="A13" s="1277" t="s">
        <v>587</v>
      </c>
      <c r="B13" s="1278"/>
      <c r="C13" s="1278"/>
      <c r="D13" s="1278"/>
      <c r="E13" s="1278"/>
      <c r="F13" s="1278"/>
      <c r="G13" s="1279"/>
      <c r="H13" s="1280" t="s">
        <v>733</v>
      </c>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2"/>
      <c r="AL13" s="238"/>
      <c r="AM13" s="241"/>
      <c r="AN13" s="241"/>
      <c r="AO13" s="241"/>
      <c r="AP13" s="241"/>
      <c r="AQ13" s="241"/>
      <c r="AR13" s="241"/>
      <c r="AS13" s="241"/>
      <c r="AT13" s="241"/>
      <c r="AU13" s="241"/>
      <c r="AV13" s="241"/>
      <c r="AW13" s="241"/>
      <c r="AX13" s="241"/>
      <c r="AY13" s="241"/>
      <c r="AZ13" s="241"/>
      <c r="BA13" s="238"/>
      <c r="BB13" s="238"/>
      <c r="BC13" s="238"/>
      <c r="BD13" s="238"/>
      <c r="BE13" s="238"/>
      <c r="BF13" s="239"/>
      <c r="BG13" s="239"/>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row>
    <row r="14" spans="1:94" s="240" customFormat="1" ht="14.25" customHeight="1">
      <c r="A14" s="279" t="s">
        <v>589</v>
      </c>
      <c r="B14" s="429"/>
      <c r="C14" s="429"/>
      <c r="D14" s="429"/>
      <c r="E14" s="429"/>
      <c r="F14" s="429"/>
      <c r="G14" s="429"/>
      <c r="H14" s="1271" t="s">
        <v>590</v>
      </c>
      <c r="I14" s="1272"/>
      <c r="J14" s="1273"/>
      <c r="K14" s="1271" t="s">
        <v>591</v>
      </c>
      <c r="L14" s="1272"/>
      <c r="M14" s="1273"/>
      <c r="N14" s="1271" t="s">
        <v>592</v>
      </c>
      <c r="O14" s="1272"/>
      <c r="P14" s="1273"/>
      <c r="Q14" s="1271" t="s">
        <v>400</v>
      </c>
      <c r="R14" s="1272"/>
      <c r="S14" s="1273"/>
      <c r="T14" s="1271" t="s">
        <v>593</v>
      </c>
      <c r="U14" s="1272"/>
      <c r="V14" s="1273"/>
      <c r="W14" s="1271" t="s">
        <v>593</v>
      </c>
      <c r="X14" s="1272"/>
      <c r="Y14" s="1273"/>
      <c r="Z14" s="1271" t="s">
        <v>115</v>
      </c>
      <c r="AA14" s="1272"/>
      <c r="AB14" s="1273"/>
      <c r="AC14" s="1271" t="s">
        <v>115</v>
      </c>
      <c r="AD14" s="1272"/>
      <c r="AE14" s="1273"/>
      <c r="AF14" s="1271" t="s">
        <v>116</v>
      </c>
      <c r="AG14" s="1272"/>
      <c r="AH14" s="1273"/>
      <c r="AI14" s="1271" t="s">
        <v>116</v>
      </c>
      <c r="AJ14" s="1272"/>
      <c r="AK14" s="1273"/>
      <c r="AL14" s="238"/>
      <c r="AM14" s="241"/>
      <c r="AN14" s="241"/>
      <c r="AO14" s="241"/>
      <c r="AP14" s="241"/>
      <c r="AQ14" s="430"/>
      <c r="AR14" s="241"/>
      <c r="AS14" s="241"/>
      <c r="AT14" s="241"/>
      <c r="AU14" s="241"/>
      <c r="AV14" s="241"/>
      <c r="AW14" s="241"/>
      <c r="AX14" s="238"/>
      <c r="AY14" s="238"/>
      <c r="AZ14" s="238"/>
      <c r="BA14" s="238"/>
      <c r="BB14" s="238"/>
      <c r="BC14" s="238"/>
      <c r="BD14" s="238"/>
      <c r="BE14" s="238"/>
      <c r="BF14" s="239"/>
      <c r="BG14" s="239"/>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row>
    <row r="15" spans="1:94" s="240" customFormat="1" ht="14.25" customHeight="1">
      <c r="A15" s="250"/>
      <c r="B15" s="251"/>
      <c r="C15" s="251"/>
      <c r="D15" s="251"/>
      <c r="E15" s="251"/>
      <c r="F15" s="251"/>
      <c r="G15" s="251"/>
      <c r="H15" s="1302" t="s">
        <v>594</v>
      </c>
      <c r="I15" s="1283"/>
      <c r="J15" s="1303"/>
      <c r="K15" s="1302" t="s">
        <v>595</v>
      </c>
      <c r="L15" s="1283"/>
      <c r="M15" s="1303"/>
      <c r="N15" s="1302" t="s">
        <v>596</v>
      </c>
      <c r="O15" s="1283"/>
      <c r="P15" s="1303"/>
      <c r="Q15" s="1302" t="s">
        <v>597</v>
      </c>
      <c r="R15" s="1283"/>
      <c r="S15" s="1303"/>
      <c r="T15" s="1302" t="s">
        <v>734</v>
      </c>
      <c r="U15" s="1283"/>
      <c r="V15" s="1303"/>
      <c r="W15" s="1302" t="s">
        <v>599</v>
      </c>
      <c r="X15" s="1283"/>
      <c r="Y15" s="1303"/>
      <c r="Z15" s="1302" t="s">
        <v>734</v>
      </c>
      <c r="AA15" s="1283"/>
      <c r="AB15" s="1303"/>
      <c r="AC15" s="1302" t="s">
        <v>599</v>
      </c>
      <c r="AD15" s="1283"/>
      <c r="AE15" s="1303"/>
      <c r="AF15" s="1302" t="s">
        <v>734</v>
      </c>
      <c r="AG15" s="1283"/>
      <c r="AH15" s="1303"/>
      <c r="AI15" s="1302" t="s">
        <v>599</v>
      </c>
      <c r="AJ15" s="1283"/>
      <c r="AK15" s="1303"/>
      <c r="AL15" s="238"/>
      <c r="AM15" s="241"/>
      <c r="AN15" s="241"/>
      <c r="AO15" s="241"/>
      <c r="AP15" s="431" t="s">
        <v>393</v>
      </c>
      <c r="AQ15" s="432"/>
      <c r="AR15" s="433"/>
      <c r="AS15" s="431" t="s">
        <v>115</v>
      </c>
      <c r="AT15" s="432"/>
      <c r="AU15" s="433"/>
      <c r="AY15" s="238"/>
      <c r="AZ15" s="238"/>
      <c r="BA15" s="238"/>
      <c r="BB15" s="238"/>
      <c r="BC15" s="238"/>
      <c r="BD15" s="238"/>
      <c r="BE15" s="238"/>
      <c r="BF15" s="239"/>
      <c r="BG15" s="239"/>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row>
    <row r="16" spans="1:94" s="240" customFormat="1" ht="14.25" customHeight="1">
      <c r="A16" s="596" t="s">
        <v>735</v>
      </c>
      <c r="B16" s="597"/>
      <c r="C16" s="597"/>
      <c r="D16" s="597"/>
      <c r="E16" s="597"/>
      <c r="F16" s="597"/>
      <c r="G16" s="598"/>
      <c r="H16" s="1316"/>
      <c r="I16" s="1317"/>
      <c r="J16" s="1318"/>
      <c r="K16" s="1404"/>
      <c r="L16" s="1405"/>
      <c r="M16" s="1406"/>
      <c r="N16" s="1316"/>
      <c r="O16" s="1317"/>
      <c r="P16" s="1318"/>
      <c r="Q16" s="1310">
        <f>GTGs!Q15</f>
        <v>37.956295834166582</v>
      </c>
      <c r="R16" s="1311"/>
      <c r="S16" s="1312"/>
      <c r="T16" s="1313">
        <f>AR17</f>
        <v>1173.0576484964322</v>
      </c>
      <c r="U16" s="1314"/>
      <c r="V16" s="1315"/>
      <c r="W16" s="1316"/>
      <c r="X16" s="1317"/>
      <c r="Y16" s="1318"/>
      <c r="Z16" s="1313">
        <f>AU17</f>
        <v>6382.8136756423519</v>
      </c>
      <c r="AA16" s="1314"/>
      <c r="AB16" s="1315"/>
      <c r="AC16" s="1316"/>
      <c r="AD16" s="1317"/>
      <c r="AE16" s="1318"/>
      <c r="AF16" s="1319">
        <f>AR21</f>
        <v>40</v>
      </c>
      <c r="AG16" s="1320"/>
      <c r="AH16" s="1321"/>
      <c r="AI16" s="1316" t="s">
        <v>604</v>
      </c>
      <c r="AJ16" s="1317"/>
      <c r="AK16" s="1318"/>
      <c r="AL16" s="238"/>
      <c r="AM16" s="241" t="s">
        <v>605</v>
      </c>
      <c r="AN16" s="241"/>
      <c r="AO16" s="241"/>
      <c r="AP16" s="437" t="s">
        <v>386</v>
      </c>
      <c r="AQ16" s="437" t="s">
        <v>714</v>
      </c>
      <c r="AR16" s="437" t="s">
        <v>715</v>
      </c>
      <c r="AS16" s="437" t="s">
        <v>386</v>
      </c>
      <c r="AT16" s="437" t="s">
        <v>714</v>
      </c>
      <c r="AU16" s="437" t="s">
        <v>715</v>
      </c>
      <c r="AY16" s="238"/>
      <c r="AZ16" s="238"/>
      <c r="BA16" s="238"/>
      <c r="BB16" s="238"/>
      <c r="BC16" s="238"/>
      <c r="BD16" s="238"/>
      <c r="BE16" s="238"/>
      <c r="BF16" s="239"/>
      <c r="BG16" s="239"/>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row>
    <row r="17" spans="1:94" s="240" customFormat="1" ht="14.25" customHeight="1">
      <c r="A17" s="438" t="s">
        <v>736</v>
      </c>
      <c r="B17" s="439"/>
      <c r="C17" s="439"/>
      <c r="D17" s="439"/>
      <c r="E17" s="439"/>
      <c r="F17" s="439"/>
      <c r="G17" s="440"/>
      <c r="H17" s="1137">
        <f>CO2eEF!P16</f>
        <v>16.12</v>
      </c>
      <c r="I17" s="1138"/>
      <c r="J17" s="1139"/>
      <c r="K17" s="1231">
        <f>CO2eEF!P12</f>
        <v>0.69899999999999995</v>
      </c>
      <c r="L17" s="1232"/>
      <c r="M17" s="1233"/>
      <c r="N17" s="1137">
        <f>CO2eEF!P19</f>
        <v>49.78</v>
      </c>
      <c r="O17" s="1138"/>
      <c r="P17" s="1139"/>
      <c r="Q17" s="1137">
        <f>CO2eEF!P21</f>
        <v>37.770000000000003</v>
      </c>
      <c r="R17" s="1138"/>
      <c r="S17" s="1139"/>
      <c r="T17" s="1340">
        <f>Q17/Q16*T16</f>
        <v>1167.3000857957165</v>
      </c>
      <c r="U17" s="1341"/>
      <c r="V17" s="1342"/>
      <c r="W17" s="1322">
        <f>T17/1000000/K17</f>
        <v>1.6699572042857176E-3</v>
      </c>
      <c r="X17" s="1323"/>
      <c r="Y17" s="1324"/>
      <c r="Z17" s="1340">
        <f>Q17/Q16*Z16</f>
        <v>6351.4857609472811</v>
      </c>
      <c r="AA17" s="1341"/>
      <c r="AB17" s="1342"/>
      <c r="AC17" s="1322">
        <f>Z17/$K17/1000000</f>
        <v>9.0865318468487562E-3</v>
      </c>
      <c r="AD17" s="1323"/>
      <c r="AE17" s="1324"/>
      <c r="AF17" s="1299">
        <f>Q17/Q16*AF16</f>
        <v>39.80367332473061</v>
      </c>
      <c r="AG17" s="1300"/>
      <c r="AH17" s="1301"/>
      <c r="AI17" s="1322">
        <f>AF17/$K17/1000000</f>
        <v>5.6943738661989431E-5</v>
      </c>
      <c r="AJ17" s="1323"/>
      <c r="AK17" s="1324"/>
      <c r="AL17" s="238"/>
      <c r="AM17" s="441" t="s">
        <v>606</v>
      </c>
      <c r="AN17" s="241">
        <v>60</v>
      </c>
      <c r="AO17" s="241" t="s">
        <v>607</v>
      </c>
      <c r="AP17" s="442">
        <v>6.8000000000000005E-2</v>
      </c>
      <c r="AQ17" s="443">
        <f>AR5*$AP$17</f>
        <v>69.36</v>
      </c>
      <c r="AR17" s="443">
        <f>$AR$8*AQ17</f>
        <v>1173.0576484964322</v>
      </c>
      <c r="AS17" s="444">
        <v>0.37</v>
      </c>
      <c r="AT17" s="445">
        <f>AS17*AR5</f>
        <v>377.4</v>
      </c>
      <c r="AU17" s="446">
        <f>AT17*AR8</f>
        <v>6382.8136756423519</v>
      </c>
      <c r="AY17" s="238"/>
      <c r="AZ17" s="238"/>
      <c r="BA17" s="238"/>
      <c r="BB17" s="238"/>
      <c r="BC17" s="238"/>
      <c r="BD17" s="238"/>
      <c r="BE17" s="238"/>
      <c r="BF17" s="239"/>
      <c r="BG17" s="239"/>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row>
    <row r="18" spans="1:94" s="240" customFormat="1" ht="14.25" customHeight="1">
      <c r="A18" s="133"/>
      <c r="B18" s="251"/>
      <c r="C18" s="251"/>
      <c r="D18" s="251"/>
      <c r="E18" s="251"/>
      <c r="F18" s="251"/>
      <c r="G18" s="251"/>
      <c r="H18" s="1325"/>
      <c r="I18" s="1326"/>
      <c r="J18" s="1327"/>
      <c r="K18" s="1328"/>
      <c r="L18" s="1329"/>
      <c r="M18" s="1330"/>
      <c r="N18" s="1331"/>
      <c r="O18" s="1332"/>
      <c r="P18" s="1333"/>
      <c r="Q18" s="1334"/>
      <c r="R18" s="1335"/>
      <c r="S18" s="1336"/>
      <c r="T18" s="1337"/>
      <c r="U18" s="1338"/>
      <c r="V18" s="1339"/>
      <c r="W18" s="1302"/>
      <c r="X18" s="1283"/>
      <c r="Y18" s="1303"/>
      <c r="Z18" s="1337"/>
      <c r="AA18" s="1338"/>
      <c r="AB18" s="1339"/>
      <c r="AC18" s="1302"/>
      <c r="AD18" s="1283"/>
      <c r="AE18" s="1303"/>
      <c r="AF18" s="1343"/>
      <c r="AG18" s="1344"/>
      <c r="AH18" s="1345"/>
      <c r="AI18" s="1302"/>
      <c r="AJ18" s="1283"/>
      <c r="AK18" s="1303"/>
      <c r="AL18" s="238"/>
      <c r="AM18" s="441" t="s">
        <v>608</v>
      </c>
      <c r="AN18" s="447">
        <f>(AN17 - 32) * 5/9</f>
        <v>15.555555555555555</v>
      </c>
      <c r="AO18" s="241" t="s">
        <v>609</v>
      </c>
      <c r="AP18" s="444"/>
      <c r="AQ18" s="448"/>
      <c r="AR18" s="446"/>
      <c r="AS18" s="444"/>
      <c r="AT18" s="445"/>
      <c r="AU18" s="446"/>
      <c r="AY18" s="238"/>
      <c r="AZ18" s="238"/>
      <c r="BA18" s="238"/>
      <c r="BB18" s="238"/>
      <c r="BC18" s="238"/>
      <c r="BD18" s="238"/>
      <c r="BE18" s="238"/>
      <c r="BF18" s="239"/>
      <c r="BG18" s="239"/>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row>
    <row r="19" spans="1:94" s="240" customFormat="1" ht="14.25" customHeight="1">
      <c r="A19" s="279" t="s">
        <v>589</v>
      </c>
      <c r="B19" s="429"/>
      <c r="C19" s="429"/>
      <c r="D19" s="429"/>
      <c r="E19" s="429"/>
      <c r="F19" s="429"/>
      <c r="G19" s="449"/>
      <c r="H19" s="1271" t="s">
        <v>122</v>
      </c>
      <c r="I19" s="1272"/>
      <c r="J19" s="1273"/>
      <c r="K19" s="1271" t="s">
        <v>122</v>
      </c>
      <c r="L19" s="1272"/>
      <c r="M19" s="1273"/>
      <c r="N19" s="1271" t="s">
        <v>124</v>
      </c>
      <c r="O19" s="1272"/>
      <c r="P19" s="1273"/>
      <c r="Q19" s="1271" t="s">
        <v>124</v>
      </c>
      <c r="R19" s="1272"/>
      <c r="S19" s="1273"/>
      <c r="T19" s="1117" t="s">
        <v>123</v>
      </c>
      <c r="U19" s="1118"/>
      <c r="V19" s="1119"/>
      <c r="W19" s="1117" t="s">
        <v>123</v>
      </c>
      <c r="X19" s="1118"/>
      <c r="Y19" s="1119"/>
      <c r="Z19" s="1117" t="s">
        <v>716</v>
      </c>
      <c r="AA19" s="1118"/>
      <c r="AB19" s="1119"/>
      <c r="AC19" s="1117" t="s">
        <v>125</v>
      </c>
      <c r="AD19" s="1118"/>
      <c r="AE19" s="1119"/>
      <c r="AF19" s="30"/>
      <c r="AG19" s="30"/>
      <c r="AH19" s="30"/>
      <c r="AI19" s="30"/>
      <c r="AJ19" s="30"/>
      <c r="AK19" s="280"/>
      <c r="AL19" s="238"/>
      <c r="AM19" s="241"/>
      <c r="AN19" s="241"/>
      <c r="AO19" s="241"/>
      <c r="AP19" s="431" t="s">
        <v>116</v>
      </c>
      <c r="AQ19" s="432"/>
      <c r="AR19" s="433"/>
      <c r="AS19" s="431" t="s">
        <v>122</v>
      </c>
      <c r="AT19" s="432"/>
      <c r="AU19" s="433"/>
      <c r="AV19" s="238"/>
      <c r="AW19" s="238"/>
      <c r="AX19" s="238"/>
      <c r="AY19" s="238"/>
      <c r="AZ19" s="238"/>
      <c r="BA19" s="238"/>
      <c r="BB19" s="238"/>
      <c r="BC19" s="238"/>
      <c r="BD19" s="238"/>
      <c r="BE19" s="238"/>
      <c r="BF19" s="239"/>
      <c r="BG19" s="239"/>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row>
    <row r="20" spans="1:94" s="240" customFormat="1" ht="14.25" customHeight="1">
      <c r="A20" s="250"/>
      <c r="B20" s="251"/>
      <c r="C20" s="251"/>
      <c r="D20" s="251"/>
      <c r="E20" s="251"/>
      <c r="F20" s="251"/>
      <c r="G20" s="450"/>
      <c r="H20" s="1302" t="s">
        <v>734</v>
      </c>
      <c r="I20" s="1283"/>
      <c r="J20" s="1303"/>
      <c r="K20" s="1302" t="s">
        <v>599</v>
      </c>
      <c r="L20" s="1283"/>
      <c r="M20" s="1303"/>
      <c r="N20" s="1302" t="s">
        <v>734</v>
      </c>
      <c r="O20" s="1283"/>
      <c r="P20" s="1303"/>
      <c r="Q20" s="1302" t="s">
        <v>599</v>
      </c>
      <c r="R20" s="1283"/>
      <c r="S20" s="1303"/>
      <c r="T20" s="1089" t="s">
        <v>598</v>
      </c>
      <c r="U20" s="1090"/>
      <c r="V20" s="1091"/>
      <c r="W20" s="1089" t="s">
        <v>599</v>
      </c>
      <c r="X20" s="1090"/>
      <c r="Y20" s="1091"/>
      <c r="Z20" s="1089" t="s">
        <v>598</v>
      </c>
      <c r="AA20" s="1090"/>
      <c r="AB20" s="1091"/>
      <c r="AC20" s="1089" t="s">
        <v>599</v>
      </c>
      <c r="AD20" s="1090"/>
      <c r="AE20" s="1091"/>
      <c r="AF20" s="30"/>
      <c r="AG20" s="30"/>
      <c r="AH20" s="30"/>
      <c r="AI20" s="30"/>
      <c r="AJ20" s="30"/>
      <c r="AK20" s="253"/>
      <c r="AL20" s="238"/>
      <c r="AM20" s="441"/>
      <c r="AN20" s="241"/>
      <c r="AO20" s="241"/>
      <c r="AP20" s="437" t="s">
        <v>737</v>
      </c>
      <c r="AQ20" s="451" t="s">
        <v>738</v>
      </c>
      <c r="AR20" s="451" t="s">
        <v>731</v>
      </c>
      <c r="AS20" s="437" t="s">
        <v>386</v>
      </c>
      <c r="AT20" s="437" t="s">
        <v>714</v>
      </c>
      <c r="AU20" s="437" t="s">
        <v>715</v>
      </c>
      <c r="AV20" s="238"/>
      <c r="AW20" s="238"/>
      <c r="AX20" s="238"/>
      <c r="AY20" s="238"/>
      <c r="AZ20" s="238"/>
      <c r="BA20" s="238"/>
      <c r="BB20" s="238"/>
      <c r="BC20" s="238"/>
      <c r="BD20" s="238"/>
      <c r="BE20" s="238"/>
      <c r="BF20" s="239"/>
      <c r="BG20" s="239"/>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row>
    <row r="21" spans="1:94" s="240" customFormat="1" ht="14.25" customHeight="1">
      <c r="A21" s="596" t="s">
        <v>735</v>
      </c>
      <c r="B21" s="597"/>
      <c r="C21" s="597"/>
      <c r="D21" s="597"/>
      <c r="E21" s="597"/>
      <c r="F21" s="597"/>
      <c r="G21" s="598"/>
      <c r="H21" s="1313">
        <f>AU21</f>
        <v>2415.11868808089</v>
      </c>
      <c r="I21" s="1314"/>
      <c r="J21" s="1315"/>
      <c r="K21" s="1316"/>
      <c r="L21" s="1317"/>
      <c r="M21" s="1318"/>
      <c r="N21" s="1364"/>
      <c r="O21" s="1365"/>
      <c r="P21" s="1366"/>
      <c r="Q21" s="1367"/>
      <c r="R21" s="1368"/>
      <c r="S21" s="1369"/>
      <c r="T21" s="1262"/>
      <c r="U21" s="1263"/>
      <c r="V21" s="1264"/>
      <c r="W21" s="1265"/>
      <c r="X21" s="1266"/>
      <c r="Y21" s="1267"/>
      <c r="Z21" s="1262"/>
      <c r="AA21" s="1263"/>
      <c r="AB21" s="1264"/>
      <c r="AC21" s="1268"/>
      <c r="AD21" s="1269"/>
      <c r="AE21" s="1270"/>
      <c r="AF21" s="30"/>
      <c r="AG21" s="30"/>
      <c r="AH21" s="30"/>
      <c r="AI21" s="30"/>
      <c r="AJ21" s="30"/>
      <c r="AK21" s="253"/>
      <c r="AL21" s="238"/>
      <c r="AM21" s="241"/>
      <c r="AN21" s="241"/>
      <c r="AO21" s="241"/>
      <c r="AP21" s="444">
        <v>40</v>
      </c>
      <c r="AQ21" s="452">
        <f>AP21/1000000/1000/AR10</f>
        <v>4.0000000000000003E-5</v>
      </c>
      <c r="AR21" s="446">
        <f>AQ21*1000000</f>
        <v>40</v>
      </c>
      <c r="AS21" s="444">
        <v>0.14000000000000001</v>
      </c>
      <c r="AT21" s="443">
        <f>AS21*$AR$5</f>
        <v>142.80000000000001</v>
      </c>
      <c r="AU21" s="443">
        <f>$AR$8*AT21</f>
        <v>2415.11868808089</v>
      </c>
      <c r="AV21" s="238"/>
      <c r="AW21" s="238"/>
      <c r="AX21" s="238"/>
      <c r="AY21" s="238"/>
      <c r="AZ21" s="238"/>
      <c r="BA21" s="238"/>
      <c r="BB21" s="238"/>
      <c r="BC21" s="238"/>
      <c r="BD21" s="238"/>
      <c r="BE21" s="238"/>
      <c r="BF21" s="239"/>
      <c r="BG21" s="239"/>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row>
    <row r="22" spans="1:94" s="240" customFormat="1" ht="14.25" customHeight="1">
      <c r="A22" s="438" t="str">
        <f>A17</f>
        <v>Flare - Fuel Gas</v>
      </c>
      <c r="B22" s="439"/>
      <c r="C22" s="439"/>
      <c r="D22" s="439"/>
      <c r="E22" s="439"/>
      <c r="F22" s="439"/>
      <c r="G22" s="440"/>
      <c r="H22" s="1340">
        <f>Q17/Q16*H21</f>
        <v>2403.2648825205929</v>
      </c>
      <c r="I22" s="1341"/>
      <c r="J22" s="1342"/>
      <c r="K22" s="1322">
        <f>H22/1000000/$K17</f>
        <v>3.438147185294125E-3</v>
      </c>
      <c r="L22" s="1323"/>
      <c r="M22" s="1324"/>
      <c r="N22" s="1346"/>
      <c r="O22" s="1347"/>
      <c r="P22" s="1348"/>
      <c r="Q22" s="1349"/>
      <c r="R22" s="1350"/>
      <c r="S22" s="1351"/>
      <c r="T22" s="1256"/>
      <c r="U22" s="1257"/>
      <c r="V22" s="1258"/>
      <c r="W22" s="1253"/>
      <c r="X22" s="1254"/>
      <c r="Y22" s="1255"/>
      <c r="Z22" s="1250"/>
      <c r="AA22" s="1251"/>
      <c r="AB22" s="1252"/>
      <c r="AC22" s="1253"/>
      <c r="AD22" s="1254"/>
      <c r="AE22" s="1255"/>
      <c r="AF22" s="30"/>
      <c r="AG22" s="30"/>
      <c r="AH22" s="30"/>
      <c r="AI22" s="30"/>
      <c r="AJ22" s="30"/>
      <c r="AK22" s="253"/>
      <c r="AL22" s="238"/>
      <c r="AM22" s="241"/>
      <c r="AN22" s="241"/>
      <c r="AO22" s="241"/>
      <c r="AP22" s="444"/>
      <c r="AQ22" s="452"/>
      <c r="AR22" s="446"/>
      <c r="AS22" s="444"/>
      <c r="AT22" s="445"/>
      <c r="AU22" s="446"/>
      <c r="AV22" s="238"/>
      <c r="AW22" s="238"/>
      <c r="AX22" s="238"/>
      <c r="AY22" s="238"/>
      <c r="AZ22" s="238"/>
      <c r="BA22" s="238"/>
      <c r="BB22" s="238"/>
      <c r="BC22" s="238"/>
      <c r="BD22" s="238"/>
      <c r="BE22" s="238"/>
      <c r="BF22" s="239"/>
      <c r="BG22" s="239"/>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row>
    <row r="23" spans="1:94" s="240" customFormat="1" ht="14.25" customHeight="1">
      <c r="A23" s="133"/>
      <c r="B23" s="30"/>
      <c r="C23" s="30"/>
      <c r="D23" s="30"/>
      <c r="E23" s="30"/>
      <c r="F23" s="30"/>
      <c r="G23" s="253"/>
      <c r="H23" s="1352"/>
      <c r="I23" s="1353"/>
      <c r="J23" s="1354"/>
      <c r="K23" s="1355"/>
      <c r="L23" s="1356"/>
      <c r="M23" s="1357"/>
      <c r="N23" s="1358"/>
      <c r="O23" s="1359"/>
      <c r="P23" s="1360"/>
      <c r="Q23" s="1361"/>
      <c r="R23" s="1362"/>
      <c r="S23" s="1363"/>
      <c r="T23" s="1256"/>
      <c r="U23" s="1257"/>
      <c r="V23" s="1258"/>
      <c r="W23" s="1259"/>
      <c r="X23" s="1260"/>
      <c r="Y23" s="1261"/>
      <c r="Z23" s="1259"/>
      <c r="AA23" s="1260"/>
      <c r="AB23" s="1261"/>
      <c r="AC23" s="1259"/>
      <c r="AD23" s="1260"/>
      <c r="AE23" s="1261"/>
      <c r="AF23" s="30"/>
      <c r="AG23" s="30"/>
      <c r="AH23" s="30"/>
      <c r="AI23" s="30"/>
      <c r="AJ23" s="30"/>
      <c r="AK23" s="253"/>
      <c r="AL23" s="238"/>
      <c r="AM23" s="453">
        <f>X25/K17</f>
        <v>47.210300429184549</v>
      </c>
      <c r="AN23" s="241"/>
      <c r="AO23" s="241"/>
      <c r="AS23" s="245"/>
      <c r="AT23" s="454"/>
      <c r="AU23" s="455"/>
      <c r="AV23" s="238"/>
      <c r="AW23" s="238"/>
      <c r="AX23" s="238"/>
      <c r="AY23" s="238"/>
      <c r="AZ23" s="238"/>
      <c r="BA23" s="238"/>
      <c r="BB23" s="238"/>
      <c r="BC23" s="238"/>
      <c r="BD23" s="238"/>
      <c r="BE23" s="238"/>
      <c r="BF23" s="239"/>
      <c r="BG23" s="239"/>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row>
    <row r="24" spans="1:94" s="240" customFormat="1" ht="14.25" customHeight="1">
      <c r="A24" s="279" t="s">
        <v>612</v>
      </c>
      <c r="B24" s="132"/>
      <c r="C24" s="132"/>
      <c r="D24" s="132"/>
      <c r="E24" s="132"/>
      <c r="F24" s="132"/>
      <c r="G24" s="132"/>
      <c r="H24" s="132"/>
      <c r="I24" s="132"/>
      <c r="J24" s="132"/>
      <c r="K24" s="132"/>
      <c r="L24" s="132"/>
      <c r="M24" s="132"/>
      <c r="N24" s="132"/>
      <c r="O24" s="132"/>
      <c r="P24" s="132"/>
      <c r="Q24" s="132"/>
      <c r="R24" s="132"/>
      <c r="S24" s="280"/>
      <c r="T24" s="587" t="s">
        <v>613</v>
      </c>
      <c r="U24" s="435"/>
      <c r="V24" s="435"/>
      <c r="W24" s="435"/>
      <c r="X24" s="435"/>
      <c r="Y24" s="435"/>
      <c r="Z24" s="435"/>
      <c r="AA24" s="435"/>
      <c r="AB24" s="435"/>
      <c r="AC24" s="435"/>
      <c r="AD24" s="435"/>
      <c r="AE24" s="435"/>
      <c r="AF24" s="435"/>
      <c r="AG24" s="435"/>
      <c r="AH24" s="435"/>
      <c r="AI24" s="435"/>
      <c r="AJ24" s="435"/>
      <c r="AK24" s="436"/>
      <c r="AL24" s="238"/>
      <c r="AM24" s="241"/>
      <c r="AN24" s="241"/>
      <c r="AO24" s="241"/>
      <c r="AP24" s="241"/>
      <c r="AQ24" s="241"/>
      <c r="AR24" s="241"/>
      <c r="AS24" s="241"/>
      <c r="AT24" s="241"/>
      <c r="AU24" s="241"/>
      <c r="AV24" s="241"/>
      <c r="AW24" s="241"/>
      <c r="AX24" s="238"/>
      <c r="AY24" s="238"/>
      <c r="AZ24" s="238"/>
      <c r="BA24" s="238"/>
      <c r="BB24" s="238"/>
      <c r="BC24" s="238"/>
      <c r="BD24" s="238"/>
      <c r="BE24" s="238"/>
      <c r="BF24" s="239"/>
      <c r="BG24" s="239"/>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row>
    <row r="25" spans="1:94" s="240" customFormat="1" ht="14.25" customHeight="1">
      <c r="A25" s="133" t="s">
        <v>614</v>
      </c>
      <c r="B25" s="30"/>
      <c r="C25" s="30"/>
      <c r="D25" s="30"/>
      <c r="E25" s="30"/>
      <c r="F25" s="30"/>
      <c r="G25" s="30"/>
      <c r="H25" s="588"/>
      <c r="I25" s="30" t="s">
        <v>590</v>
      </c>
      <c r="J25" s="30"/>
      <c r="K25" s="30"/>
      <c r="L25" s="30" t="s">
        <v>615</v>
      </c>
      <c r="M25" s="30"/>
      <c r="N25" s="30"/>
      <c r="O25" s="30"/>
      <c r="P25" s="30"/>
      <c r="Q25" s="30"/>
      <c r="R25" s="30"/>
      <c r="S25" s="253" t="s">
        <v>616</v>
      </c>
      <c r="T25" s="1294" t="str">
        <f>A17</f>
        <v>Flare - Fuel Gas</v>
      </c>
      <c r="U25" s="1295"/>
      <c r="V25" s="1295"/>
      <c r="W25" s="1295"/>
      <c r="X25" s="1296">
        <f>X42*1000/X43/24</f>
        <v>33</v>
      </c>
      <c r="Y25" s="1296"/>
      <c r="Z25" s="1296"/>
      <c r="AA25" s="1295" t="s">
        <v>617</v>
      </c>
      <c r="AB25" s="1295"/>
      <c r="AC25" s="1297">
        <f>X25/H17</f>
        <v>2.0471464019851116</v>
      </c>
      <c r="AD25" s="1297"/>
      <c r="AE25" s="1295" t="s">
        <v>618</v>
      </c>
      <c r="AF25" s="1295"/>
      <c r="AG25" s="1295"/>
      <c r="AH25" s="1298">
        <f>X25*N17/3600</f>
        <v>0.45631666666666665</v>
      </c>
      <c r="AI25" s="1298"/>
      <c r="AJ25" s="479" t="s">
        <v>590</v>
      </c>
      <c r="AK25" s="480"/>
      <c r="AL25" s="238"/>
      <c r="AM25" s="254">
        <f>X25*W22</f>
        <v>0</v>
      </c>
      <c r="AN25" s="241"/>
      <c r="AO25" s="241"/>
      <c r="AP25" s="241"/>
      <c r="AQ25" s="241"/>
      <c r="AR25" s="241"/>
      <c r="AS25" s="241"/>
      <c r="AT25" s="241"/>
      <c r="AU25" s="241"/>
      <c r="AV25" s="241"/>
      <c r="AW25" s="241"/>
      <c r="AX25" s="238"/>
      <c r="AY25" s="238"/>
      <c r="AZ25" s="238"/>
      <c r="BA25" s="238"/>
      <c r="BB25" s="238"/>
      <c r="BC25" s="238"/>
      <c r="BD25" s="238"/>
      <c r="BE25" s="238"/>
      <c r="BF25" s="239"/>
      <c r="BG25" s="239"/>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row>
    <row r="26" spans="1:94" s="240" customFormat="1" ht="14.25" customHeight="1">
      <c r="A26" s="250" t="s">
        <v>619</v>
      </c>
      <c r="B26" s="251"/>
      <c r="C26" s="251"/>
      <c r="D26" s="251"/>
      <c r="E26" s="251"/>
      <c r="F26" s="251"/>
      <c r="G26" s="251"/>
      <c r="H26" s="252"/>
      <c r="I26" s="251" t="s">
        <v>590</v>
      </c>
      <c r="J26" s="251"/>
      <c r="K26" s="251"/>
      <c r="L26" s="251"/>
      <c r="M26" s="251"/>
      <c r="N26" s="251"/>
      <c r="O26" s="251"/>
      <c r="P26" s="251"/>
      <c r="Q26" s="251"/>
      <c r="R26" s="251"/>
      <c r="S26" s="450"/>
      <c r="T26" s="1292"/>
      <c r="U26" s="1286"/>
      <c r="V26" s="860"/>
      <c r="W26" s="860"/>
      <c r="X26" s="1293"/>
      <c r="Y26" s="1293"/>
      <c r="Z26" s="1293"/>
      <c r="AA26" s="860"/>
      <c r="AB26" s="860"/>
      <c r="AC26" s="1293"/>
      <c r="AD26" s="1293"/>
      <c r="AE26" s="860"/>
      <c r="AF26" s="860"/>
      <c r="AG26" s="860"/>
      <c r="AH26" s="1293"/>
      <c r="AI26" s="1293"/>
      <c r="AJ26" s="30"/>
      <c r="AK26" s="253"/>
      <c r="AL26" s="238"/>
      <c r="AM26" s="254">
        <f>W22*SUM(N33:O42)</f>
        <v>0</v>
      </c>
      <c r="AN26" s="241"/>
      <c r="AO26" s="241"/>
      <c r="AP26" s="241"/>
      <c r="AQ26" s="241"/>
      <c r="AR26" s="241"/>
      <c r="AS26" s="241"/>
      <c r="AT26" s="241"/>
      <c r="AU26" s="241"/>
      <c r="AV26" s="241"/>
      <c r="AW26" s="241"/>
      <c r="AX26" s="238"/>
      <c r="AY26" s="238"/>
      <c r="AZ26" s="238"/>
      <c r="BA26" s="238"/>
      <c r="BB26" s="238"/>
      <c r="BC26" s="238"/>
      <c r="BD26" s="238"/>
      <c r="BE26" s="238"/>
      <c r="BF26" s="239"/>
      <c r="BG26" s="239"/>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row>
    <row r="27" spans="1:94" s="240" customFormat="1" ht="14.25" customHeight="1">
      <c r="A27" s="1370" t="s">
        <v>718</v>
      </c>
      <c r="B27" s="1370"/>
      <c r="C27" s="1370"/>
      <c r="D27" s="1370"/>
      <c r="E27" s="1370"/>
      <c r="F27" s="1371" t="str">
        <f>A17</f>
        <v>Flare - Fuel Gas</v>
      </c>
      <c r="G27" s="1372"/>
      <c r="H27" s="1372"/>
      <c r="I27" s="1372"/>
      <c r="J27" s="1372"/>
      <c r="K27" s="1372"/>
      <c r="L27" s="1372"/>
      <c r="M27" s="1372"/>
      <c r="N27" s="1372"/>
      <c r="O27" s="1372"/>
      <c r="P27" s="1372"/>
      <c r="Q27" s="1372"/>
      <c r="R27" s="1372"/>
      <c r="S27" s="1372"/>
      <c r="T27" s="1372"/>
      <c r="U27" s="1373"/>
      <c r="V27" s="30"/>
      <c r="W27" s="1402" t="s">
        <v>755</v>
      </c>
      <c r="X27" s="1184"/>
      <c r="Y27" s="1184"/>
      <c r="Z27" s="1184"/>
      <c r="AA27" s="1184"/>
      <c r="AB27" s="1184"/>
      <c r="AC27" s="1184"/>
      <c r="AD27" s="1184"/>
      <c r="AE27" s="1184"/>
      <c r="AF27" s="1184"/>
      <c r="AG27" s="1184"/>
      <c r="AH27" s="1184"/>
      <c r="AI27" s="1184"/>
      <c r="AJ27" s="1184"/>
      <c r="AK27" s="253"/>
      <c r="AL27" s="255"/>
      <c r="AM27" s="241"/>
      <c r="AN27" s="241"/>
      <c r="AO27" s="241"/>
      <c r="AP27" s="241"/>
      <c r="AQ27" s="241"/>
      <c r="AR27" s="241"/>
      <c r="AS27" s="241"/>
      <c r="AT27" s="241"/>
      <c r="AU27" s="241"/>
      <c r="AV27" s="241"/>
      <c r="AW27" s="241"/>
      <c r="AX27" s="241"/>
      <c r="AY27" s="241"/>
      <c r="AZ27" s="238"/>
      <c r="BA27" s="238"/>
      <c r="BB27" s="238"/>
      <c r="BC27" s="238"/>
      <c r="BD27" s="238"/>
      <c r="BE27" s="238"/>
      <c r="BF27" s="239"/>
      <c r="BG27" s="239"/>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row>
    <row r="28" spans="1:94" s="240" customFormat="1" ht="14.25" customHeight="1">
      <c r="A28" s="256" t="s">
        <v>620</v>
      </c>
      <c r="B28" s="30"/>
      <c r="C28" s="30"/>
      <c r="D28" s="30"/>
      <c r="E28" s="30"/>
      <c r="F28" s="1374"/>
      <c r="G28" s="1374"/>
      <c r="H28" s="1374"/>
      <c r="I28" s="1374"/>
      <c r="J28" s="1375" t="s">
        <v>120</v>
      </c>
      <c r="K28" s="1375"/>
      <c r="L28" s="1375"/>
      <c r="M28" s="1375"/>
      <c r="N28" s="1374" t="s">
        <v>621</v>
      </c>
      <c r="O28" s="1374"/>
      <c r="P28" s="1375" t="s">
        <v>622</v>
      </c>
      <c r="Q28" s="1375"/>
      <c r="R28" s="1375"/>
      <c r="S28" s="1375"/>
      <c r="T28" s="1375"/>
      <c r="U28" s="1375"/>
      <c r="V28" s="257"/>
      <c r="W28" s="1184"/>
      <c r="X28" s="1184"/>
      <c r="Y28" s="1184"/>
      <c r="Z28" s="1184"/>
      <c r="AA28" s="1184"/>
      <c r="AB28" s="1184"/>
      <c r="AC28" s="1184"/>
      <c r="AD28" s="1184"/>
      <c r="AE28" s="1184"/>
      <c r="AF28" s="1184"/>
      <c r="AG28" s="1184"/>
      <c r="AH28" s="1184"/>
      <c r="AI28" s="1184"/>
      <c r="AJ28" s="1184"/>
      <c r="AK28" s="253"/>
      <c r="AL28" s="255"/>
      <c r="AM28" s="241"/>
      <c r="AN28" s="241"/>
      <c r="AO28" s="241"/>
      <c r="AP28" s="241"/>
      <c r="AQ28" s="241"/>
      <c r="AR28" s="241"/>
      <c r="AS28" s="241"/>
      <c r="AT28" s="241"/>
      <c r="AU28" s="241"/>
      <c r="AV28" s="241"/>
      <c r="AW28" s="241"/>
      <c r="AX28" s="241"/>
      <c r="AY28" s="241"/>
      <c r="AZ28" s="238"/>
      <c r="BA28" s="238"/>
      <c r="BB28" s="238"/>
      <c r="BC28" s="238"/>
      <c r="BD28" s="238"/>
      <c r="BE28" s="238"/>
      <c r="BF28" s="239"/>
      <c r="BG28" s="239"/>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38"/>
      <c r="CN28" s="238"/>
      <c r="CO28" s="238"/>
      <c r="CP28" s="238"/>
    </row>
    <row r="29" spans="1:94" s="240" customFormat="1" ht="14.25" customHeight="1">
      <c r="A29" s="133"/>
      <c r="B29" s="30"/>
      <c r="C29" s="30"/>
      <c r="D29" s="30"/>
      <c r="E29" s="30"/>
      <c r="F29" s="1374"/>
      <c r="G29" s="1374"/>
      <c r="H29" s="1374"/>
      <c r="I29" s="1374"/>
      <c r="J29" s="1375" t="s">
        <v>624</v>
      </c>
      <c r="K29" s="1375"/>
      <c r="L29" s="1375" t="s">
        <v>625</v>
      </c>
      <c r="M29" s="1375"/>
      <c r="N29" s="1374"/>
      <c r="O29" s="1374"/>
      <c r="P29" s="1375"/>
      <c r="Q29" s="1375"/>
      <c r="R29" s="1375"/>
      <c r="S29" s="1375"/>
      <c r="T29" s="1375"/>
      <c r="U29" s="1375"/>
      <c r="V29" s="257"/>
      <c r="W29" s="1184"/>
      <c r="X29" s="1184"/>
      <c r="Y29" s="1184"/>
      <c r="Z29" s="1184"/>
      <c r="AA29" s="1184"/>
      <c r="AB29" s="1184"/>
      <c r="AC29" s="1184"/>
      <c r="AD29" s="1184"/>
      <c r="AE29" s="1184"/>
      <c r="AF29" s="1184"/>
      <c r="AG29" s="1184"/>
      <c r="AH29" s="1184"/>
      <c r="AI29" s="1184"/>
      <c r="AJ29" s="1184"/>
      <c r="AK29" s="253"/>
      <c r="AL29" s="258"/>
      <c r="AM29" s="259" t="s">
        <v>740</v>
      </c>
      <c r="AN29" s="259"/>
      <c r="AO29" s="259"/>
      <c r="AP29" s="259"/>
      <c r="AQ29" s="259"/>
      <c r="AR29" s="259"/>
      <c r="AS29" s="259" t="s">
        <v>741</v>
      </c>
      <c r="AT29" s="259"/>
      <c r="AU29" s="259" t="s">
        <v>742</v>
      </c>
      <c r="AV29" s="259"/>
      <c r="AW29" s="259"/>
      <c r="AX29" s="259"/>
      <c r="AY29" s="258"/>
      <c r="AZ29" s="238"/>
      <c r="BA29" s="238"/>
      <c r="BB29" s="238"/>
      <c r="BC29" s="238"/>
      <c r="BD29" s="238"/>
      <c r="BE29" s="238"/>
      <c r="BF29" s="239"/>
      <c r="BG29" s="239"/>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row>
    <row r="30" spans="1:94" s="240" customFormat="1" ht="14.25" customHeight="1">
      <c r="A30" s="1376" t="s">
        <v>630</v>
      </c>
      <c r="B30" s="1376"/>
      <c r="C30" s="1376"/>
      <c r="D30" s="1376"/>
      <c r="E30" s="1376"/>
      <c r="F30" s="1375" t="s">
        <v>631</v>
      </c>
      <c r="G30" s="1375"/>
      <c r="H30" s="1375" t="s">
        <v>618</v>
      </c>
      <c r="I30" s="1375"/>
      <c r="J30" s="1373" t="s">
        <v>618</v>
      </c>
      <c r="K30" s="1375"/>
      <c r="L30" s="1375" t="s">
        <v>618</v>
      </c>
      <c r="M30" s="1375"/>
      <c r="N30" s="1375" t="s">
        <v>617</v>
      </c>
      <c r="O30" s="1375"/>
      <c r="P30" s="1375" t="s">
        <v>631</v>
      </c>
      <c r="Q30" s="1375"/>
      <c r="R30" s="1371" t="s">
        <v>618</v>
      </c>
      <c r="S30" s="1373"/>
      <c r="T30" s="1371" t="s">
        <v>617</v>
      </c>
      <c r="U30" s="1373"/>
      <c r="V30" s="30"/>
      <c r="W30" s="1184"/>
      <c r="X30" s="1184"/>
      <c r="Y30" s="1184"/>
      <c r="Z30" s="1184"/>
      <c r="AA30" s="1184"/>
      <c r="AB30" s="1184"/>
      <c r="AC30" s="1184"/>
      <c r="AD30" s="1184"/>
      <c r="AE30" s="1184"/>
      <c r="AF30" s="1184"/>
      <c r="AG30" s="1184"/>
      <c r="AH30" s="1184"/>
      <c r="AI30" s="1184"/>
      <c r="AJ30" s="1184"/>
      <c r="AK30" s="253"/>
      <c r="AL30" s="258"/>
      <c r="AM30" s="259" t="s">
        <v>633</v>
      </c>
      <c r="AN30" s="259" t="s">
        <v>634</v>
      </c>
      <c r="AO30" s="259" t="s">
        <v>635</v>
      </c>
      <c r="AP30" s="259" t="s">
        <v>636</v>
      </c>
      <c r="AQ30" s="259" t="s">
        <v>637</v>
      </c>
      <c r="AR30" s="259" t="s">
        <v>590</v>
      </c>
      <c r="AS30" s="259" t="s">
        <v>428</v>
      </c>
      <c r="AT30" s="259" t="s">
        <v>429</v>
      </c>
      <c r="AU30" s="259" t="s">
        <v>126</v>
      </c>
      <c r="AV30" s="259" t="s">
        <v>431</v>
      </c>
      <c r="AW30" s="259" t="s">
        <v>429</v>
      </c>
      <c r="AX30" s="259" t="s">
        <v>124</v>
      </c>
      <c r="AY30" s="258"/>
      <c r="AZ30" s="238"/>
      <c r="BA30" s="238"/>
      <c r="BB30" s="238"/>
      <c r="BC30" s="238"/>
      <c r="BD30" s="238"/>
      <c r="BE30" s="238"/>
      <c r="BF30" s="239" t="s">
        <v>128</v>
      </c>
      <c r="BG30" s="239" t="s">
        <v>743</v>
      </c>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row>
    <row r="31" spans="1:94" s="240" customFormat="1" ht="14.25" customHeight="1">
      <c r="A31" s="260" t="s">
        <v>638</v>
      </c>
      <c r="B31" s="261"/>
      <c r="C31" s="261"/>
      <c r="D31" s="261"/>
      <c r="E31" s="262"/>
      <c r="F31" s="1377">
        <v>0</v>
      </c>
      <c r="G31" s="1378"/>
      <c r="H31" s="1379">
        <f t="shared" ref="H31:H51" si="0">F31*$AC$25</f>
        <v>0</v>
      </c>
      <c r="I31" s="1381"/>
      <c r="J31" s="1380"/>
      <c r="K31" s="1380"/>
      <c r="L31" s="1379"/>
      <c r="M31" s="1380"/>
      <c r="N31" s="1379">
        <f t="shared" ref="N31:N51" si="1">SUM(H31,J31,L31)*AR31</f>
        <v>0</v>
      </c>
      <c r="O31" s="1380"/>
      <c r="P31" s="1379"/>
      <c r="Q31" s="1381"/>
      <c r="R31" s="1379"/>
      <c r="S31" s="1380"/>
      <c r="T31" s="1379"/>
      <c r="U31" s="1381"/>
      <c r="V31" s="263"/>
      <c r="W31" s="263"/>
      <c r="X31" s="263"/>
      <c r="Y31" s="263"/>
      <c r="Z31" s="263"/>
      <c r="AA31" s="263"/>
      <c r="AB31" s="263"/>
      <c r="AC31" s="263"/>
      <c r="AD31" s="263"/>
      <c r="AE31" s="263"/>
      <c r="AF31" s="263"/>
      <c r="AG31" s="263"/>
      <c r="AH31" s="263"/>
      <c r="AI31" s="263"/>
      <c r="AJ31" s="263"/>
      <c r="AK31" s="264"/>
      <c r="AL31" s="258"/>
      <c r="AM31" s="259"/>
      <c r="AN31" s="259">
        <v>2</v>
      </c>
      <c r="AO31" s="259"/>
      <c r="AP31" s="259"/>
      <c r="AQ31" s="259"/>
      <c r="AR31" s="265">
        <f>AM31*12.01+AN31*1.008+AO31*16+AP31*14+AQ31*32</f>
        <v>2.016</v>
      </c>
      <c r="AS31" s="259">
        <f>AM31*1+AN31*0.25+AQ31*1</f>
        <v>0.5</v>
      </c>
      <c r="AT31" s="266">
        <f>0.79/0.21*AS31</f>
        <v>1.8809523809523812</v>
      </c>
      <c r="AU31" s="259">
        <f>1*AM31</f>
        <v>0</v>
      </c>
      <c r="AV31" s="259">
        <f>AN31/2</f>
        <v>1</v>
      </c>
      <c r="AW31" s="266">
        <f>AP31*0.5+AT31</f>
        <v>1.8809523809523812</v>
      </c>
      <c r="AX31" s="259">
        <f>AQ31*1</f>
        <v>0</v>
      </c>
      <c r="AY31" s="258"/>
      <c r="AZ31" s="238"/>
      <c r="BA31" s="238"/>
      <c r="BB31" s="238"/>
      <c r="BC31" s="238"/>
      <c r="BD31" s="238"/>
      <c r="BE31" s="239" t="s">
        <v>639</v>
      </c>
      <c r="BF31" s="239">
        <v>1.4200000000000001E-2</v>
      </c>
      <c r="BG31" s="239">
        <v>2.9999999999999997E-4</v>
      </c>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row>
    <row r="32" spans="1:94" s="240" customFormat="1" ht="14.25" customHeight="1">
      <c r="A32" s="267" t="s">
        <v>122</v>
      </c>
      <c r="B32" s="268"/>
      <c r="C32" s="268"/>
      <c r="D32" s="268"/>
      <c r="E32" s="269"/>
      <c r="F32" s="1377">
        <f>CO2eEF!M26</f>
        <v>0.99629999999999996</v>
      </c>
      <c r="G32" s="1378"/>
      <c r="H32" s="1299">
        <f>F32*$AC$25</f>
        <v>2.0395719602977667</v>
      </c>
      <c r="I32" s="1301"/>
      <c r="J32" s="1300"/>
      <c r="K32" s="1300"/>
      <c r="L32" s="1299"/>
      <c r="M32" s="1300"/>
      <c r="N32" s="1299">
        <f t="shared" si="1"/>
        <v>32.718813387096773</v>
      </c>
      <c r="O32" s="1301"/>
      <c r="P32" s="1299">
        <f>R32/$R$52</f>
        <v>3.2820154466845262E-4</v>
      </c>
      <c r="Q32" s="1301"/>
      <c r="R32" s="1299">
        <f>T32/$AR32</f>
        <v>7.072612960647433E-3</v>
      </c>
      <c r="S32" s="1300"/>
      <c r="T32" s="1299">
        <f>$K22*$X25</f>
        <v>0.11345885711470613</v>
      </c>
      <c r="U32" s="1301"/>
      <c r="V32" s="263"/>
      <c r="W32" s="263"/>
      <c r="X32" s="263"/>
      <c r="Y32" s="263"/>
      <c r="Z32" s="263"/>
      <c r="AA32" s="263"/>
      <c r="AB32" s="263"/>
      <c r="AC32" s="263"/>
      <c r="AD32" s="263"/>
      <c r="AE32" s="263"/>
      <c r="AF32" s="263"/>
      <c r="AG32" s="263"/>
      <c r="AH32" s="263"/>
      <c r="AI32" s="263"/>
      <c r="AJ32" s="263"/>
      <c r="AK32" s="264"/>
      <c r="AL32" s="258"/>
      <c r="AM32" s="259">
        <v>1</v>
      </c>
      <c r="AN32" s="259">
        <v>4</v>
      </c>
      <c r="AO32" s="259"/>
      <c r="AP32" s="259"/>
      <c r="AQ32" s="259"/>
      <c r="AR32" s="265">
        <f t="shared" ref="AR32:AR47" si="2">AM32*12.01+AN32*1.008+AO32*16+AP32*14+AQ32*32</f>
        <v>16.042000000000002</v>
      </c>
      <c r="AS32" s="259">
        <f t="shared" ref="AS32:AS46" si="3">AM32*1+AN32*0.25+AQ32*1</f>
        <v>2</v>
      </c>
      <c r="AT32" s="266">
        <f t="shared" ref="AT32:AT46" si="4">0.79/0.21*AS32</f>
        <v>7.5238095238095246</v>
      </c>
      <c r="AU32" s="259">
        <f t="shared" ref="AU32:AU46" si="5">1*AM32</f>
        <v>1</v>
      </c>
      <c r="AV32" s="259">
        <f t="shared" ref="AV32:AV46" si="6">AN32/2</f>
        <v>2</v>
      </c>
      <c r="AW32" s="266">
        <f t="shared" ref="AW32:AW46" si="7">AP32*0.5+AT32</f>
        <v>7.5238095238095246</v>
      </c>
      <c r="AX32" s="259">
        <f t="shared" ref="AX32:AX46" si="8">AQ32*1</f>
        <v>0</v>
      </c>
      <c r="AY32" s="258"/>
      <c r="AZ32" s="238"/>
      <c r="BA32" s="238"/>
      <c r="BB32" s="238"/>
      <c r="BC32" s="238"/>
      <c r="BD32" s="238"/>
      <c r="BE32" s="239" t="s">
        <v>126</v>
      </c>
      <c r="BF32" s="239">
        <v>9.5999999999999992E-3</v>
      </c>
      <c r="BG32" s="239">
        <v>0.77539999999999998</v>
      </c>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row>
    <row r="33" spans="1:94" s="240" customFormat="1" ht="14.25" customHeight="1">
      <c r="A33" s="267" t="s">
        <v>641</v>
      </c>
      <c r="B33" s="268"/>
      <c r="C33" s="268"/>
      <c r="D33" s="268"/>
      <c r="E33" s="269"/>
      <c r="F33" s="1377">
        <v>0</v>
      </c>
      <c r="G33" s="1378"/>
      <c r="H33" s="1299">
        <f t="shared" si="0"/>
        <v>0</v>
      </c>
      <c r="I33" s="1301"/>
      <c r="J33" s="1300"/>
      <c r="K33" s="1300"/>
      <c r="L33" s="1299"/>
      <c r="M33" s="1300"/>
      <c r="N33" s="1299">
        <f t="shared" si="1"/>
        <v>0</v>
      </c>
      <c r="O33" s="1301"/>
      <c r="P33" s="1299"/>
      <c r="Q33" s="1301"/>
      <c r="R33" s="1300"/>
      <c r="S33" s="1300"/>
      <c r="T33" s="1299"/>
      <c r="U33" s="1301"/>
      <c r="V33" s="263"/>
      <c r="W33" s="263"/>
      <c r="X33" s="270">
        <f>AH25</f>
        <v>0.45631666666666665</v>
      </c>
      <c r="Y33" s="31" t="s">
        <v>590</v>
      </c>
      <c r="Z33" s="270"/>
      <c r="AA33" s="263"/>
      <c r="AB33" s="263"/>
      <c r="AC33" s="263"/>
      <c r="AD33" s="263"/>
      <c r="AE33" s="263"/>
      <c r="AF33" s="263"/>
      <c r="AG33" s="263"/>
      <c r="AH33" s="263"/>
      <c r="AI33" s="263"/>
      <c r="AJ33" s="263"/>
      <c r="AK33" s="264"/>
      <c r="AL33" s="258"/>
      <c r="AM33" s="259">
        <v>2</v>
      </c>
      <c r="AN33" s="259">
        <v>4</v>
      </c>
      <c r="AO33" s="259"/>
      <c r="AP33" s="259"/>
      <c r="AQ33" s="259"/>
      <c r="AR33" s="265">
        <f t="shared" si="2"/>
        <v>28.052</v>
      </c>
      <c r="AS33" s="259">
        <f t="shared" si="3"/>
        <v>3</v>
      </c>
      <c r="AT33" s="266">
        <f t="shared" si="4"/>
        <v>11.285714285714286</v>
      </c>
      <c r="AU33" s="259">
        <f t="shared" si="5"/>
        <v>2</v>
      </c>
      <c r="AV33" s="259">
        <f t="shared" si="6"/>
        <v>2</v>
      </c>
      <c r="AW33" s="266">
        <f t="shared" si="7"/>
        <v>11.285714285714286</v>
      </c>
      <c r="AX33" s="259">
        <f t="shared" si="8"/>
        <v>0</v>
      </c>
      <c r="AY33" s="258"/>
      <c r="AZ33" s="238"/>
      <c r="BA33" s="238"/>
      <c r="BB33" s="238"/>
      <c r="BC33" s="238"/>
      <c r="BD33" s="238"/>
      <c r="BE33" s="239" t="s">
        <v>642</v>
      </c>
      <c r="BF33" s="239">
        <v>0.60499999999999998</v>
      </c>
      <c r="BG33" s="239">
        <v>1.43E-2</v>
      </c>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row>
    <row r="34" spans="1:94" s="240" customFormat="1" ht="14.25" customHeight="1">
      <c r="A34" s="267" t="s">
        <v>643</v>
      </c>
      <c r="B34" s="268"/>
      <c r="C34" s="268"/>
      <c r="D34" s="268"/>
      <c r="E34" s="269"/>
      <c r="F34" s="1377">
        <f>CO2eEF!M27</f>
        <v>7.000000000000001E-4</v>
      </c>
      <c r="G34" s="1378"/>
      <c r="H34" s="1299">
        <f t="shared" si="0"/>
        <v>1.4330024813895782E-3</v>
      </c>
      <c r="I34" s="1301"/>
      <c r="J34" s="1300"/>
      <c r="K34" s="1300"/>
      <c r="L34" s="1299"/>
      <c r="M34" s="1300"/>
      <c r="N34" s="1299">
        <f t="shared" si="1"/>
        <v>4.3087518610421836E-2</v>
      </c>
      <c r="O34" s="1301"/>
      <c r="P34" s="1299">
        <f>R34/$R$52</f>
        <v>0</v>
      </c>
      <c r="Q34" s="1301"/>
      <c r="R34" s="1300">
        <f>T34/$AR34</f>
        <v>0</v>
      </c>
      <c r="S34" s="1300"/>
      <c r="T34" s="1299">
        <f>$Q$22*N34</f>
        <v>0</v>
      </c>
      <c r="U34" s="1301"/>
      <c r="V34" s="263"/>
      <c r="W34" s="263"/>
      <c r="X34" s="31">
        <f>365*24</f>
        <v>8760</v>
      </c>
      <c r="Y34" s="31" t="s">
        <v>623</v>
      </c>
      <c r="Z34" s="270"/>
      <c r="AA34" s="263"/>
      <c r="AB34" s="263"/>
      <c r="AC34" s="263"/>
      <c r="AD34" s="263"/>
      <c r="AE34" s="263"/>
      <c r="AF34" s="263"/>
      <c r="AG34" s="263"/>
      <c r="AH34" s="263"/>
      <c r="AI34" s="263"/>
      <c r="AJ34" s="263"/>
      <c r="AK34" s="264"/>
      <c r="AL34" s="258"/>
      <c r="AM34" s="259">
        <v>2</v>
      </c>
      <c r="AN34" s="259">
        <v>6</v>
      </c>
      <c r="AO34" s="259"/>
      <c r="AP34" s="259"/>
      <c r="AQ34" s="259"/>
      <c r="AR34" s="265">
        <f t="shared" si="2"/>
        <v>30.067999999999998</v>
      </c>
      <c r="AS34" s="259">
        <f t="shared" si="3"/>
        <v>3.5</v>
      </c>
      <c r="AT34" s="266">
        <f t="shared" si="4"/>
        <v>13.166666666666668</v>
      </c>
      <c r="AU34" s="259">
        <f t="shared" si="5"/>
        <v>2</v>
      </c>
      <c r="AV34" s="259">
        <f t="shared" si="6"/>
        <v>3</v>
      </c>
      <c r="AW34" s="266">
        <f t="shared" si="7"/>
        <v>13.166666666666668</v>
      </c>
      <c r="AX34" s="259">
        <f t="shared" si="8"/>
        <v>0</v>
      </c>
      <c r="AY34" s="258"/>
      <c r="AZ34" s="238"/>
      <c r="BA34" s="238"/>
      <c r="BB34" s="238"/>
      <c r="BC34" s="238"/>
      <c r="BD34" s="238"/>
      <c r="BE34" s="239" t="s">
        <v>644</v>
      </c>
      <c r="BF34" s="239">
        <v>0.17519999999999999</v>
      </c>
      <c r="BG34" s="239">
        <v>1.9E-3</v>
      </c>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38"/>
      <c r="CN34" s="238"/>
      <c r="CO34" s="238"/>
      <c r="CP34" s="238"/>
    </row>
    <row r="35" spans="1:94" s="240" customFormat="1" ht="14.25" customHeight="1">
      <c r="A35" s="267" t="s">
        <v>418</v>
      </c>
      <c r="B35" s="268"/>
      <c r="C35" s="268"/>
      <c r="D35" s="268"/>
      <c r="E35" s="269"/>
      <c r="F35" s="1377">
        <v>0</v>
      </c>
      <c r="G35" s="1378"/>
      <c r="H35" s="1299">
        <f t="shared" si="0"/>
        <v>0</v>
      </c>
      <c r="I35" s="1301"/>
      <c r="J35" s="1300"/>
      <c r="K35" s="1300"/>
      <c r="L35" s="1299"/>
      <c r="M35" s="1300"/>
      <c r="N35" s="1299">
        <f t="shared" si="1"/>
        <v>0</v>
      </c>
      <c r="O35" s="1301"/>
      <c r="P35" s="1299"/>
      <c r="Q35" s="1301"/>
      <c r="R35" s="1300"/>
      <c r="S35" s="1300"/>
      <c r="T35" s="1299"/>
      <c r="U35" s="1301"/>
      <c r="V35" s="263"/>
      <c r="W35" s="263"/>
      <c r="X35" s="272">
        <f>X33*X34</f>
        <v>3997.3339999999998</v>
      </c>
      <c r="Y35" s="31" t="s">
        <v>626</v>
      </c>
      <c r="Z35" s="270"/>
      <c r="AA35" s="263"/>
      <c r="AB35" s="263"/>
      <c r="AC35" s="263"/>
      <c r="AD35" s="263"/>
      <c r="AE35" s="263"/>
      <c r="AF35" s="263"/>
      <c r="AG35" s="263"/>
      <c r="AH35" s="263"/>
      <c r="AI35" s="263"/>
      <c r="AJ35" s="263"/>
      <c r="AK35" s="264"/>
      <c r="AL35" s="258"/>
      <c r="AM35" s="259">
        <v>3</v>
      </c>
      <c r="AN35" s="259">
        <v>6</v>
      </c>
      <c r="AO35" s="259"/>
      <c r="AP35" s="259"/>
      <c r="AQ35" s="259"/>
      <c r="AR35" s="265">
        <f t="shared" si="2"/>
        <v>42.078000000000003</v>
      </c>
      <c r="AS35" s="259">
        <f t="shared" si="3"/>
        <v>4.5</v>
      </c>
      <c r="AT35" s="266">
        <f t="shared" si="4"/>
        <v>16.928571428571431</v>
      </c>
      <c r="AU35" s="259">
        <f t="shared" si="5"/>
        <v>3</v>
      </c>
      <c r="AV35" s="259">
        <f t="shared" si="6"/>
        <v>3</v>
      </c>
      <c r="AW35" s="266">
        <f t="shared" si="7"/>
        <v>16.928571428571431</v>
      </c>
      <c r="AX35" s="259">
        <f t="shared" si="8"/>
        <v>0</v>
      </c>
      <c r="AY35" s="258"/>
      <c r="AZ35" s="238"/>
      <c r="BA35" s="238"/>
      <c r="BB35" s="238"/>
      <c r="BC35" s="238"/>
      <c r="BD35" s="238"/>
      <c r="BE35" s="239" t="s">
        <v>645</v>
      </c>
      <c r="BF35" s="239">
        <v>0.1139</v>
      </c>
      <c r="BG35" s="239">
        <v>3.5999999999999999E-3</v>
      </c>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row>
    <row r="36" spans="1:94" s="240" customFormat="1" ht="14.25" customHeight="1">
      <c r="A36" s="267" t="s">
        <v>419</v>
      </c>
      <c r="B36" s="268"/>
      <c r="C36" s="268"/>
      <c r="D36" s="268"/>
      <c r="E36" s="269"/>
      <c r="F36" s="1377">
        <f>CO2eEF!M28</f>
        <v>2.0000000000000001E-4</v>
      </c>
      <c r="G36" s="1378"/>
      <c r="H36" s="1299">
        <f t="shared" si="0"/>
        <v>4.0942928039702233E-4</v>
      </c>
      <c r="I36" s="1301"/>
      <c r="J36" s="1300"/>
      <c r="K36" s="1300"/>
      <c r="L36" s="1299"/>
      <c r="M36" s="1300"/>
      <c r="N36" s="1299">
        <f t="shared" si="1"/>
        <v>1.8053374689826304E-2</v>
      </c>
      <c r="O36" s="1301"/>
      <c r="P36" s="1299">
        <f>R36/$R$52</f>
        <v>0</v>
      </c>
      <c r="Q36" s="1301"/>
      <c r="R36" s="1300">
        <f>T36/$AR36</f>
        <v>0</v>
      </c>
      <c r="S36" s="1300"/>
      <c r="T36" s="1299">
        <f>$Q$22*N36</f>
        <v>0</v>
      </c>
      <c r="U36" s="1301"/>
      <c r="V36" s="263"/>
      <c r="W36" s="263"/>
      <c r="X36" s="272">
        <f>X35*3600/1000</f>
        <v>14390.402399999999</v>
      </c>
      <c r="Y36" s="31" t="s">
        <v>632</v>
      </c>
      <c r="Z36" s="270"/>
      <c r="AA36" s="263"/>
      <c r="AB36" s="263"/>
      <c r="AC36" s="263"/>
      <c r="AD36" s="263"/>
      <c r="AE36" s="263"/>
      <c r="AF36" s="263"/>
      <c r="AG36" s="263"/>
      <c r="AH36" s="263"/>
      <c r="AI36" s="263"/>
      <c r="AJ36" s="263"/>
      <c r="AK36" s="264"/>
      <c r="AL36" s="258"/>
      <c r="AM36" s="259">
        <v>3</v>
      </c>
      <c r="AN36" s="259">
        <v>8</v>
      </c>
      <c r="AO36" s="259"/>
      <c r="AP36" s="259"/>
      <c r="AQ36" s="259"/>
      <c r="AR36" s="265">
        <f t="shared" si="2"/>
        <v>44.094000000000001</v>
      </c>
      <c r="AS36" s="259">
        <f t="shared" si="3"/>
        <v>5</v>
      </c>
      <c r="AT36" s="266">
        <f t="shared" si="4"/>
        <v>18.80952380952381</v>
      </c>
      <c r="AU36" s="259">
        <f t="shared" si="5"/>
        <v>3</v>
      </c>
      <c r="AV36" s="259">
        <f t="shared" si="6"/>
        <v>4</v>
      </c>
      <c r="AW36" s="266">
        <f t="shared" si="7"/>
        <v>18.80952380952381</v>
      </c>
      <c r="AX36" s="259">
        <f t="shared" si="8"/>
        <v>0</v>
      </c>
      <c r="AY36" s="258"/>
      <c r="AZ36" s="238"/>
      <c r="BA36" s="238"/>
      <c r="BB36" s="238"/>
      <c r="BC36" s="238"/>
      <c r="BD36" s="238"/>
      <c r="BE36" s="239" t="s">
        <v>646</v>
      </c>
      <c r="BF36" s="239">
        <v>1.7100000000000001E-2</v>
      </c>
      <c r="BG36" s="239">
        <v>1E-3</v>
      </c>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row>
    <row r="37" spans="1:94" s="240" customFormat="1" ht="14.25" customHeight="1">
      <c r="A37" s="267" t="s">
        <v>420</v>
      </c>
      <c r="B37" s="268"/>
      <c r="C37" s="268"/>
      <c r="D37" s="268"/>
      <c r="E37" s="269"/>
      <c r="F37" s="1377">
        <v>0</v>
      </c>
      <c r="G37" s="1378"/>
      <c r="H37" s="1299">
        <f t="shared" si="0"/>
        <v>0</v>
      </c>
      <c r="I37" s="1301"/>
      <c r="J37" s="1300"/>
      <c r="K37" s="1300"/>
      <c r="L37" s="1299"/>
      <c r="M37" s="1300"/>
      <c r="N37" s="1299">
        <f t="shared" si="1"/>
        <v>0</v>
      </c>
      <c r="O37" s="1301"/>
      <c r="P37" s="1299"/>
      <c r="Q37" s="1301"/>
      <c r="R37" s="1300"/>
      <c r="S37" s="1300"/>
      <c r="T37" s="1299"/>
      <c r="U37" s="1301"/>
      <c r="V37" s="263"/>
      <c r="W37" s="263"/>
      <c r="X37" s="263"/>
      <c r="Y37" s="263"/>
      <c r="Z37" s="263"/>
      <c r="AA37" s="263"/>
      <c r="AB37" s="263"/>
      <c r="AC37" s="263"/>
      <c r="AD37" s="263"/>
      <c r="AE37" s="263"/>
      <c r="AF37" s="263"/>
      <c r="AG37" s="263"/>
      <c r="AH37" s="263"/>
      <c r="AI37" s="263"/>
      <c r="AJ37" s="263"/>
      <c r="AK37" s="264"/>
      <c r="AL37" s="258"/>
      <c r="AM37" s="259">
        <v>4</v>
      </c>
      <c r="AN37" s="259">
        <v>8</v>
      </c>
      <c r="AO37" s="259"/>
      <c r="AP37" s="259"/>
      <c r="AQ37" s="259"/>
      <c r="AR37" s="265">
        <f t="shared" si="2"/>
        <v>56.103999999999999</v>
      </c>
      <c r="AS37" s="259">
        <f t="shared" si="3"/>
        <v>6</v>
      </c>
      <c r="AT37" s="266">
        <f t="shared" si="4"/>
        <v>22.571428571428573</v>
      </c>
      <c r="AU37" s="259">
        <f t="shared" si="5"/>
        <v>4</v>
      </c>
      <c r="AV37" s="259">
        <f t="shared" si="6"/>
        <v>4</v>
      </c>
      <c r="AW37" s="266">
        <f t="shared" si="7"/>
        <v>22.571428571428573</v>
      </c>
      <c r="AX37" s="259">
        <f t="shared" si="8"/>
        <v>0</v>
      </c>
      <c r="AY37" s="258"/>
      <c r="AZ37" s="238"/>
      <c r="BA37" s="238"/>
      <c r="BB37" s="238"/>
      <c r="BC37" s="238"/>
      <c r="BD37" s="238"/>
      <c r="BE37" s="239" t="s">
        <v>647</v>
      </c>
      <c r="BF37" s="239">
        <v>4.5900000000000003E-2</v>
      </c>
      <c r="BG37" s="239">
        <v>2.3999999999999998E-3</v>
      </c>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row>
    <row r="38" spans="1:94" s="240" customFormat="1" ht="14.25" customHeight="1">
      <c r="A38" s="267" t="s">
        <v>421</v>
      </c>
      <c r="B38" s="268"/>
      <c r="C38" s="268"/>
      <c r="D38" s="268"/>
      <c r="E38" s="269"/>
      <c r="F38" s="1377">
        <f>CO2eEF!M29</f>
        <v>1E-4</v>
      </c>
      <c r="G38" s="1378"/>
      <c r="H38" s="1299">
        <f t="shared" si="0"/>
        <v>2.0471464019851117E-4</v>
      </c>
      <c r="I38" s="1301"/>
      <c r="J38" s="1300"/>
      <c r="K38" s="1300"/>
      <c r="L38" s="1299"/>
      <c r="M38" s="1300"/>
      <c r="N38" s="1299">
        <f t="shared" si="1"/>
        <v>1.1898014888337468E-2</v>
      </c>
      <c r="O38" s="1301"/>
      <c r="P38" s="1299">
        <f>R38/$R$52</f>
        <v>0</v>
      </c>
      <c r="Q38" s="1301"/>
      <c r="R38" s="1300">
        <f>T38/$AR38</f>
        <v>0</v>
      </c>
      <c r="S38" s="1300"/>
      <c r="T38" s="1299">
        <f>$Q$22*N38</f>
        <v>0</v>
      </c>
      <c r="U38" s="1301"/>
      <c r="V38" s="263"/>
      <c r="W38" s="263"/>
      <c r="X38" s="263"/>
      <c r="Y38" s="263"/>
      <c r="Z38" s="263"/>
      <c r="AA38" s="263"/>
      <c r="AB38" s="263"/>
      <c r="AC38" s="263"/>
      <c r="AD38" s="263"/>
      <c r="AE38" s="263"/>
      <c r="AF38" s="263"/>
      <c r="AG38" s="263"/>
      <c r="AH38" s="263"/>
      <c r="AI38" s="263"/>
      <c r="AJ38" s="263"/>
      <c r="AK38" s="264"/>
      <c r="AL38" s="258"/>
      <c r="AM38" s="259">
        <v>4</v>
      </c>
      <c r="AN38" s="259">
        <v>10</v>
      </c>
      <c r="AO38" s="259"/>
      <c r="AP38" s="259"/>
      <c r="AQ38" s="259"/>
      <c r="AR38" s="265">
        <f>AM38*12.01+AN38*1.008+AO38*16+AP38*14+AQ38*32</f>
        <v>58.12</v>
      </c>
      <c r="AS38" s="259">
        <f t="shared" si="3"/>
        <v>6.5</v>
      </c>
      <c r="AT38" s="266">
        <f t="shared" si="4"/>
        <v>24.452380952380956</v>
      </c>
      <c r="AU38" s="259">
        <f t="shared" si="5"/>
        <v>4</v>
      </c>
      <c r="AV38" s="259">
        <f t="shared" si="6"/>
        <v>5</v>
      </c>
      <c r="AW38" s="266">
        <f t="shared" si="7"/>
        <v>24.452380952380956</v>
      </c>
      <c r="AX38" s="259">
        <f t="shared" si="8"/>
        <v>0</v>
      </c>
      <c r="AY38" s="258"/>
      <c r="AZ38" s="238"/>
      <c r="BA38" s="238"/>
      <c r="BB38" s="238"/>
      <c r="BC38" s="238"/>
      <c r="BD38" s="238"/>
      <c r="BE38" s="239" t="s">
        <v>648</v>
      </c>
      <c r="BF38" s="239">
        <v>8.2000000000000007E-3</v>
      </c>
      <c r="BG38" s="239">
        <v>1.6000000000000001E-3</v>
      </c>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row>
    <row r="39" spans="1:94" s="240" customFormat="1" ht="14.25" customHeight="1">
      <c r="A39" s="267" t="s">
        <v>422</v>
      </c>
      <c r="B39" s="268"/>
      <c r="C39" s="268"/>
      <c r="D39" s="268"/>
      <c r="E39" s="269"/>
      <c r="F39" s="1377">
        <f>CO2eEF!M30</f>
        <v>0</v>
      </c>
      <c r="G39" s="1378"/>
      <c r="H39" s="1299">
        <f t="shared" si="0"/>
        <v>0</v>
      </c>
      <c r="I39" s="1301"/>
      <c r="J39" s="1300"/>
      <c r="K39" s="1300"/>
      <c r="L39" s="1299"/>
      <c r="M39" s="1300"/>
      <c r="N39" s="1299">
        <f t="shared" si="1"/>
        <v>0</v>
      </c>
      <c r="O39" s="1301"/>
      <c r="P39" s="1299">
        <f>R39/$R$52</f>
        <v>0</v>
      </c>
      <c r="Q39" s="1301"/>
      <c r="R39" s="1300">
        <f>T39/$AR39</f>
        <v>0</v>
      </c>
      <c r="S39" s="1300"/>
      <c r="T39" s="1299">
        <f>$Q$22*N39</f>
        <v>0</v>
      </c>
      <c r="U39" s="1301"/>
      <c r="V39" s="263"/>
      <c r="W39" s="263"/>
      <c r="X39" s="263" t="s">
        <v>720</v>
      </c>
      <c r="Y39" s="263"/>
      <c r="Z39" s="263"/>
      <c r="AA39" s="263"/>
      <c r="AB39" s="263"/>
      <c r="AC39" s="263"/>
      <c r="AD39" s="263"/>
      <c r="AE39" s="263"/>
      <c r="AF39" s="263"/>
      <c r="AG39" s="263"/>
      <c r="AH39" s="263"/>
      <c r="AI39" s="263"/>
      <c r="AJ39" s="263"/>
      <c r="AK39" s="264"/>
      <c r="AL39" s="258"/>
      <c r="AM39" s="259">
        <v>4</v>
      </c>
      <c r="AN39" s="259">
        <v>10</v>
      </c>
      <c r="AO39" s="259"/>
      <c r="AP39" s="259"/>
      <c r="AQ39" s="259"/>
      <c r="AR39" s="265">
        <f t="shared" si="2"/>
        <v>58.12</v>
      </c>
      <c r="AS39" s="259">
        <f t="shared" si="3"/>
        <v>6.5</v>
      </c>
      <c r="AT39" s="266">
        <f t="shared" si="4"/>
        <v>24.452380952380956</v>
      </c>
      <c r="AU39" s="259">
        <f t="shared" si="5"/>
        <v>4</v>
      </c>
      <c r="AV39" s="259">
        <f t="shared" si="6"/>
        <v>5</v>
      </c>
      <c r="AW39" s="266">
        <f t="shared" si="7"/>
        <v>24.452380952380956</v>
      </c>
      <c r="AX39" s="259">
        <f t="shared" si="8"/>
        <v>0</v>
      </c>
      <c r="AY39" s="258"/>
      <c r="AZ39" s="238"/>
      <c r="BA39" s="238"/>
      <c r="BB39" s="238"/>
      <c r="BC39" s="238"/>
      <c r="BD39" s="238"/>
      <c r="BE39" s="239" t="s">
        <v>649</v>
      </c>
      <c r="BF39" s="239">
        <v>2.0000000000000001E-4</v>
      </c>
      <c r="BG39" s="239">
        <v>0</v>
      </c>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38"/>
      <c r="CN39" s="238"/>
      <c r="CO39" s="238"/>
      <c r="CP39" s="238"/>
    </row>
    <row r="40" spans="1:94" s="240" customFormat="1" ht="14.25" customHeight="1">
      <c r="A40" s="267" t="s">
        <v>423</v>
      </c>
      <c r="B40" s="268"/>
      <c r="C40" s="268"/>
      <c r="D40" s="268"/>
      <c r="E40" s="269"/>
      <c r="F40" s="1377">
        <f>CO2eEF!M31</f>
        <v>1E-4</v>
      </c>
      <c r="G40" s="1378"/>
      <c r="H40" s="1299">
        <f t="shared" si="0"/>
        <v>2.0471464019851117E-4</v>
      </c>
      <c r="I40" s="1301"/>
      <c r="J40" s="1300"/>
      <c r="K40" s="1300"/>
      <c r="L40" s="1299"/>
      <c r="M40" s="1300"/>
      <c r="N40" s="1299">
        <f t="shared" si="1"/>
        <v>1.4769342431761787E-2</v>
      </c>
      <c r="O40" s="1301"/>
      <c r="P40" s="1299">
        <f>R40/$R$52</f>
        <v>0</v>
      </c>
      <c r="Q40" s="1301"/>
      <c r="R40" s="1300">
        <f>T40/$AR40</f>
        <v>0</v>
      </c>
      <c r="S40" s="1300"/>
      <c r="T40" s="1299">
        <f>$Q$22*N40</f>
        <v>0</v>
      </c>
      <c r="U40" s="1301"/>
      <c r="V40" s="263"/>
      <c r="W40" s="263"/>
      <c r="X40" s="263"/>
      <c r="Y40" s="263"/>
      <c r="Z40" s="263"/>
      <c r="AA40" s="263"/>
      <c r="AB40" s="263"/>
      <c r="AC40" s="263"/>
      <c r="AD40" s="263"/>
      <c r="AE40" s="263"/>
      <c r="AF40" s="263"/>
      <c r="AG40" s="263"/>
      <c r="AH40" s="263"/>
      <c r="AI40" s="263"/>
      <c r="AJ40" s="263"/>
      <c r="AK40" s="264"/>
      <c r="AL40" s="258"/>
      <c r="AM40" s="259">
        <v>5</v>
      </c>
      <c r="AN40" s="259">
        <v>12</v>
      </c>
      <c r="AO40" s="259"/>
      <c r="AP40" s="259"/>
      <c r="AQ40" s="259"/>
      <c r="AR40" s="265">
        <f t="shared" si="2"/>
        <v>72.146000000000001</v>
      </c>
      <c r="AS40" s="259">
        <f t="shared" si="3"/>
        <v>8</v>
      </c>
      <c r="AT40" s="266">
        <f t="shared" si="4"/>
        <v>30.095238095238098</v>
      </c>
      <c r="AU40" s="259">
        <f t="shared" si="5"/>
        <v>5</v>
      </c>
      <c r="AV40" s="259">
        <f t="shared" si="6"/>
        <v>6</v>
      </c>
      <c r="AW40" s="266">
        <f t="shared" si="7"/>
        <v>30.095238095238098</v>
      </c>
      <c r="AX40" s="259">
        <f t="shared" si="8"/>
        <v>0</v>
      </c>
      <c r="AY40" s="258"/>
      <c r="AZ40" s="238"/>
      <c r="BA40" s="238"/>
      <c r="BB40" s="238"/>
      <c r="BC40" s="238"/>
      <c r="BD40" s="238"/>
      <c r="BE40" s="239" t="s">
        <v>650</v>
      </c>
      <c r="BF40" s="239">
        <v>8.8999999999999999E-3</v>
      </c>
      <c r="BG40" s="239">
        <v>1.9E-3</v>
      </c>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row>
    <row r="41" spans="1:94" s="240" customFormat="1" ht="14.25" customHeight="1">
      <c r="A41" s="267" t="s">
        <v>424</v>
      </c>
      <c r="B41" s="268"/>
      <c r="C41" s="268"/>
      <c r="D41" s="268"/>
      <c r="E41" s="269"/>
      <c r="F41" s="1377">
        <f>CO2eEF!M33</f>
        <v>1E-4</v>
      </c>
      <c r="G41" s="1378"/>
      <c r="H41" s="1299">
        <f t="shared" si="0"/>
        <v>2.0471464019851117E-4</v>
      </c>
      <c r="I41" s="1301"/>
      <c r="J41" s="1300"/>
      <c r="K41" s="1300"/>
      <c r="L41" s="1299"/>
      <c r="M41" s="1300"/>
      <c r="N41" s="1299">
        <f t="shared" si="1"/>
        <v>1.4769342431761787E-2</v>
      </c>
      <c r="O41" s="1301"/>
      <c r="P41" s="1299">
        <f>R41/$R$52</f>
        <v>0</v>
      </c>
      <c r="Q41" s="1301"/>
      <c r="R41" s="1300">
        <f>T41/$AR41</f>
        <v>0</v>
      </c>
      <c r="S41" s="1300"/>
      <c r="T41" s="1299">
        <f>$Q$22*N41</f>
        <v>0</v>
      </c>
      <c r="U41" s="1301"/>
      <c r="V41" s="263"/>
      <c r="W41" s="263"/>
      <c r="X41" s="263"/>
      <c r="Y41" s="263"/>
      <c r="Z41" s="263"/>
      <c r="AA41" s="263"/>
      <c r="AB41" s="263"/>
      <c r="AC41" s="263"/>
      <c r="AD41" s="263"/>
      <c r="AE41" s="263"/>
      <c r="AF41" s="263"/>
      <c r="AG41" s="263"/>
      <c r="AH41" s="263"/>
      <c r="AI41" s="263"/>
      <c r="AJ41" s="263"/>
      <c r="AK41" s="264"/>
      <c r="AL41" s="258"/>
      <c r="AM41" s="259">
        <v>5</v>
      </c>
      <c r="AN41" s="259">
        <v>12</v>
      </c>
      <c r="AO41" s="259"/>
      <c r="AP41" s="259"/>
      <c r="AQ41" s="259"/>
      <c r="AR41" s="265">
        <f t="shared" si="2"/>
        <v>72.146000000000001</v>
      </c>
      <c r="AS41" s="259">
        <f t="shared" si="3"/>
        <v>8</v>
      </c>
      <c r="AT41" s="266">
        <f t="shared" si="4"/>
        <v>30.095238095238098</v>
      </c>
      <c r="AU41" s="259">
        <f t="shared" si="5"/>
        <v>5</v>
      </c>
      <c r="AV41" s="259">
        <f t="shared" si="6"/>
        <v>6</v>
      </c>
      <c r="AW41" s="266">
        <f t="shared" si="7"/>
        <v>30.095238095238098</v>
      </c>
      <c r="AX41" s="259">
        <f t="shared" si="8"/>
        <v>0</v>
      </c>
      <c r="AY41" s="258"/>
      <c r="AZ41" s="238"/>
      <c r="BA41" s="238"/>
      <c r="BB41" s="238"/>
      <c r="BC41" s="238"/>
      <c r="BD41" s="238"/>
      <c r="BE41" s="239" t="s">
        <v>651</v>
      </c>
      <c r="BF41" s="239">
        <v>2.0000000000000001E-4</v>
      </c>
      <c r="BG41" s="239">
        <v>2.9999999999999997E-4</v>
      </c>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row>
    <row r="42" spans="1:94" s="240" customFormat="1" ht="14.25" customHeight="1">
      <c r="A42" s="267" t="s">
        <v>721</v>
      </c>
      <c r="B42" s="268"/>
      <c r="C42" s="268"/>
      <c r="D42" s="268"/>
      <c r="E42" s="269"/>
      <c r="F42" s="1377">
        <f>1-(SUM(F31:G41)+SUM(F43:G51))</f>
        <v>2.00000000000089E-4</v>
      </c>
      <c r="G42" s="1378"/>
      <c r="H42" s="1299">
        <f t="shared" si="0"/>
        <v>4.0942928039720448E-4</v>
      </c>
      <c r="I42" s="1301"/>
      <c r="J42" s="1300"/>
      <c r="K42" s="1300"/>
      <c r="L42" s="1299"/>
      <c r="M42" s="1300"/>
      <c r="N42" s="1299">
        <f t="shared" si="1"/>
        <v>3.5281339950387902E-2</v>
      </c>
      <c r="O42" s="1301"/>
      <c r="P42" s="1299">
        <f>R42/$R$52</f>
        <v>0</v>
      </c>
      <c r="Q42" s="1301"/>
      <c r="R42" s="1300">
        <f>T42/$AR42</f>
        <v>0</v>
      </c>
      <c r="S42" s="1300"/>
      <c r="T42" s="1299">
        <f>$Q$22*N42</f>
        <v>0</v>
      </c>
      <c r="U42" s="1301"/>
      <c r="V42" s="263"/>
      <c r="W42" s="263"/>
      <c r="X42" s="589">
        <f>X44*X43</f>
        <v>289.27800000000002</v>
      </c>
      <c r="Y42" s="589" t="s">
        <v>744</v>
      </c>
      <c r="Z42" s="263"/>
      <c r="AA42" s="263"/>
      <c r="AB42" s="263"/>
      <c r="AC42" s="263"/>
      <c r="AD42" s="263"/>
      <c r="AE42" s="263"/>
      <c r="AF42" s="263"/>
      <c r="AG42" s="263"/>
      <c r="AH42" s="263"/>
      <c r="AI42" s="263"/>
      <c r="AJ42" s="263"/>
      <c r="AK42" s="264"/>
      <c r="AL42" s="258"/>
      <c r="AM42" s="259">
        <v>6</v>
      </c>
      <c r="AN42" s="259">
        <v>14</v>
      </c>
      <c r="AO42" s="259"/>
      <c r="AP42" s="259"/>
      <c r="AQ42" s="259"/>
      <c r="AR42" s="265">
        <f t="shared" si="2"/>
        <v>86.171999999999997</v>
      </c>
      <c r="AS42" s="259">
        <f t="shared" si="3"/>
        <v>9.5</v>
      </c>
      <c r="AT42" s="266">
        <f t="shared" si="4"/>
        <v>35.738095238095241</v>
      </c>
      <c r="AU42" s="259">
        <f t="shared" si="5"/>
        <v>6</v>
      </c>
      <c r="AV42" s="259">
        <f t="shared" si="6"/>
        <v>7</v>
      </c>
      <c r="AW42" s="266">
        <f t="shared" si="7"/>
        <v>35.738095238095241</v>
      </c>
      <c r="AX42" s="259">
        <f t="shared" si="8"/>
        <v>0</v>
      </c>
      <c r="AY42" s="258"/>
      <c r="AZ42" s="238"/>
      <c r="BA42" s="238"/>
      <c r="BB42" s="238"/>
      <c r="BC42" s="238"/>
      <c r="BD42" s="238"/>
      <c r="BE42" s="239" t="s">
        <v>652</v>
      </c>
      <c r="BF42" s="239">
        <v>0</v>
      </c>
      <c r="BG42" s="239">
        <v>5.0000000000000001E-4</v>
      </c>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row>
    <row r="43" spans="1:94" s="240" customFormat="1" ht="14.25" customHeight="1">
      <c r="A43" s="267" t="s">
        <v>426</v>
      </c>
      <c r="B43" s="268"/>
      <c r="C43" s="268"/>
      <c r="D43" s="268"/>
      <c r="E43" s="269"/>
      <c r="F43" s="1377">
        <v>0</v>
      </c>
      <c r="G43" s="1378"/>
      <c r="H43" s="1299">
        <f>F43*$AC$25</f>
        <v>0</v>
      </c>
      <c r="I43" s="1301"/>
      <c r="J43" s="1300"/>
      <c r="K43" s="1300"/>
      <c r="L43" s="1299"/>
      <c r="M43" s="1300"/>
      <c r="N43" s="1299">
        <f t="shared" si="1"/>
        <v>0</v>
      </c>
      <c r="O43" s="1301"/>
      <c r="P43" s="1299"/>
      <c r="Q43" s="1301"/>
      <c r="R43" s="1300"/>
      <c r="S43" s="1300"/>
      <c r="T43" s="1299"/>
      <c r="U43" s="1301"/>
      <c r="V43" s="263"/>
      <c r="W43" s="263"/>
      <c r="X43" s="599">
        <v>365.25</v>
      </c>
      <c r="Y43" s="589" t="s">
        <v>745</v>
      </c>
      <c r="Z43" s="263"/>
      <c r="AA43" s="263"/>
      <c r="AB43" s="263"/>
      <c r="AC43" s="263"/>
      <c r="AD43" s="263"/>
      <c r="AE43" s="263"/>
      <c r="AF43" s="263"/>
      <c r="AG43" s="263"/>
      <c r="AH43" s="263"/>
      <c r="AI43" s="263"/>
      <c r="AJ43" s="263"/>
      <c r="AK43" s="264"/>
      <c r="AL43" s="258"/>
      <c r="AM43" s="259"/>
      <c r="AN43" s="259"/>
      <c r="AO43" s="259"/>
      <c r="AP43" s="259"/>
      <c r="AQ43" s="259"/>
      <c r="AR43" s="265">
        <v>4.0030000000000001</v>
      </c>
      <c r="AS43" s="259"/>
      <c r="AT43" s="266"/>
      <c r="AU43" s="259"/>
      <c r="AV43" s="259"/>
      <c r="AW43" s="266"/>
      <c r="AX43" s="259"/>
      <c r="AY43" s="258"/>
      <c r="AZ43" s="238"/>
      <c r="BA43" s="238"/>
      <c r="BB43" s="238"/>
      <c r="BC43" s="238"/>
      <c r="BD43" s="238"/>
      <c r="BE43" s="239" t="s">
        <v>653</v>
      </c>
      <c r="BF43" s="239">
        <v>0</v>
      </c>
      <c r="BG43" s="239">
        <v>1E-4</v>
      </c>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38"/>
      <c r="CN43" s="238"/>
      <c r="CO43" s="238"/>
      <c r="CP43" s="238"/>
    </row>
    <row r="44" spans="1:94" s="240" customFormat="1" ht="14.25" customHeight="1">
      <c r="A44" s="267" t="s">
        <v>427</v>
      </c>
      <c r="B44" s="268"/>
      <c r="C44" s="268"/>
      <c r="D44" s="268"/>
      <c r="E44" s="269"/>
      <c r="F44" s="1377">
        <v>0</v>
      </c>
      <c r="G44" s="1378"/>
      <c r="H44" s="1299">
        <f t="shared" si="0"/>
        <v>0</v>
      </c>
      <c r="I44" s="1301"/>
      <c r="J44" s="1300"/>
      <c r="K44" s="1300"/>
      <c r="L44" s="1299"/>
      <c r="M44" s="1300"/>
      <c r="N44" s="1299">
        <f t="shared" si="1"/>
        <v>0</v>
      </c>
      <c r="O44" s="1301"/>
      <c r="P44" s="1299"/>
      <c r="Q44" s="1301"/>
      <c r="R44" s="1299"/>
      <c r="S44" s="1301"/>
      <c r="T44" s="1299"/>
      <c r="U44" s="1301"/>
      <c r="V44" s="263"/>
      <c r="W44" s="263"/>
      <c r="X44" s="589">
        <f>X45/1000*24</f>
        <v>0.79200000000000004</v>
      </c>
      <c r="Y44" s="589" t="s">
        <v>746</v>
      </c>
      <c r="Z44" s="263"/>
      <c r="AA44" s="263"/>
      <c r="AB44" s="263"/>
      <c r="AC44" s="263"/>
      <c r="AD44" s="263"/>
      <c r="AE44" s="263"/>
      <c r="AF44" s="263"/>
      <c r="AG44" s="263"/>
      <c r="AH44" s="263"/>
      <c r="AI44" s="263"/>
      <c r="AJ44" s="263"/>
      <c r="AK44" s="264"/>
      <c r="AL44" s="258"/>
      <c r="AM44" s="259"/>
      <c r="AN44" s="259">
        <v>2</v>
      </c>
      <c r="AO44" s="259"/>
      <c r="AP44" s="259"/>
      <c r="AQ44" s="259">
        <v>1</v>
      </c>
      <c r="AR44" s="265">
        <f t="shared" si="2"/>
        <v>34.015999999999998</v>
      </c>
      <c r="AS44" s="259">
        <f t="shared" si="3"/>
        <v>1.5</v>
      </c>
      <c r="AT44" s="266">
        <f t="shared" si="4"/>
        <v>5.6428571428571432</v>
      </c>
      <c r="AU44" s="259">
        <f t="shared" si="5"/>
        <v>0</v>
      </c>
      <c r="AV44" s="259">
        <f t="shared" si="6"/>
        <v>1</v>
      </c>
      <c r="AW44" s="266">
        <f t="shared" si="7"/>
        <v>5.6428571428571432</v>
      </c>
      <c r="AX44" s="259">
        <f t="shared" si="8"/>
        <v>1</v>
      </c>
      <c r="AY44" s="258"/>
      <c r="AZ44" s="238"/>
      <c r="BA44" s="238"/>
      <c r="BB44" s="238"/>
      <c r="BC44" s="238"/>
      <c r="BD44" s="238"/>
      <c r="BE44" s="239" t="s">
        <v>654</v>
      </c>
      <c r="BF44" s="239">
        <v>0</v>
      </c>
      <c r="BG44" s="239">
        <v>4.0000000000000002E-4</v>
      </c>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row>
    <row r="45" spans="1:94" s="240" customFormat="1" ht="14.25" customHeight="1">
      <c r="A45" s="267" t="s">
        <v>428</v>
      </c>
      <c r="B45" s="268"/>
      <c r="C45" s="268"/>
      <c r="D45" s="268"/>
      <c r="E45" s="269"/>
      <c r="F45" s="1377">
        <v>0</v>
      </c>
      <c r="G45" s="1378"/>
      <c r="H45" s="1299">
        <f t="shared" si="0"/>
        <v>0</v>
      </c>
      <c r="I45" s="1301"/>
      <c r="J45" s="1300">
        <f>SUMPRODUCT(H31:H51,AS31:AS51)-H45</f>
        <v>4.0947022332506222</v>
      </c>
      <c r="K45" s="1300"/>
      <c r="L45" s="1299">
        <v>0</v>
      </c>
      <c r="M45" s="1300"/>
      <c r="N45" s="1299">
        <f t="shared" si="1"/>
        <v>131.03047146401991</v>
      </c>
      <c r="O45" s="1301"/>
      <c r="P45" s="1299">
        <f t="shared" ref="P45:P51" si="9">R45/$R$52</f>
        <v>6.5640308933690523E-4</v>
      </c>
      <c r="Q45" s="1301"/>
      <c r="R45" s="1300">
        <f>L45+SUMPRODUCT(R32:R44,$AS32:$AS44)</f>
        <v>1.4145225921294866E-2</v>
      </c>
      <c r="S45" s="1300"/>
      <c r="T45" s="1299">
        <f>R45*$AR45</f>
        <v>0.45264722948143571</v>
      </c>
      <c r="U45" s="1301"/>
      <c r="V45" s="263"/>
      <c r="W45" s="263"/>
      <c r="X45" s="589">
        <v>33</v>
      </c>
      <c r="Y45" s="589" t="s">
        <v>617</v>
      </c>
      <c r="Z45" s="263" t="s">
        <v>747</v>
      </c>
      <c r="AA45" s="263"/>
      <c r="AB45" s="263"/>
      <c r="AC45" s="263"/>
      <c r="AD45" s="263"/>
      <c r="AE45" s="263"/>
      <c r="AF45" s="263"/>
      <c r="AG45" s="263"/>
      <c r="AH45" s="263"/>
      <c r="AI45" s="263"/>
      <c r="AJ45" s="263"/>
      <c r="AK45" s="264"/>
      <c r="AL45" s="258"/>
      <c r="AM45" s="259"/>
      <c r="AN45" s="259"/>
      <c r="AO45" s="259">
        <v>2</v>
      </c>
      <c r="AP45" s="259"/>
      <c r="AQ45" s="259"/>
      <c r="AR45" s="265">
        <f t="shared" si="2"/>
        <v>32</v>
      </c>
      <c r="AS45" s="259">
        <f t="shared" si="3"/>
        <v>0</v>
      </c>
      <c r="AT45" s="266">
        <f t="shared" si="4"/>
        <v>0</v>
      </c>
      <c r="AU45" s="259">
        <f t="shared" si="5"/>
        <v>0</v>
      </c>
      <c r="AV45" s="259">
        <f t="shared" si="6"/>
        <v>0</v>
      </c>
      <c r="AW45" s="266">
        <f t="shared" si="7"/>
        <v>0</v>
      </c>
      <c r="AX45" s="259">
        <f t="shared" si="8"/>
        <v>0</v>
      </c>
      <c r="AY45" s="258"/>
      <c r="AZ45" s="238"/>
      <c r="BA45" s="238"/>
      <c r="BB45" s="238"/>
      <c r="BC45" s="238"/>
      <c r="BD45" s="238"/>
      <c r="BE45" s="239" t="s">
        <v>655</v>
      </c>
      <c r="BF45" s="239">
        <v>0</v>
      </c>
      <c r="BG45" s="239">
        <v>2.0000000000000001E-4</v>
      </c>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row>
    <row r="46" spans="1:94" s="240" customFormat="1" ht="14.25" customHeight="1">
      <c r="A46" s="267" t="s">
        <v>429</v>
      </c>
      <c r="B46" s="268"/>
      <c r="C46" s="268"/>
      <c r="D46" s="268"/>
      <c r="E46" s="269"/>
      <c r="F46" s="1377">
        <f>CO2eEF!M24</f>
        <v>1.5E-3</v>
      </c>
      <c r="G46" s="1378"/>
      <c r="H46" s="1299">
        <f t="shared" si="0"/>
        <v>3.0707196029776673E-3</v>
      </c>
      <c r="I46" s="1301"/>
      <c r="J46" s="1300">
        <f>0.79/0.21*J45</f>
        <v>15.403879829847581</v>
      </c>
      <c r="K46" s="1301"/>
      <c r="L46" s="1299">
        <f>0.71/0.29*L45</f>
        <v>0</v>
      </c>
      <c r="M46" s="1300"/>
      <c r="N46" s="1299">
        <f t="shared" si="1"/>
        <v>431.39461538461563</v>
      </c>
      <c r="O46" s="1301"/>
      <c r="P46" s="1299">
        <f t="shared" si="9"/>
        <v>0.71492507822389051</v>
      </c>
      <c r="Q46" s="1301"/>
      <c r="R46" s="1299">
        <f>$H46+J46+L46-R49/2</f>
        <v>15.406351543062064</v>
      </c>
      <c r="S46" s="1301"/>
      <c r="T46" s="1340">
        <f>R46*$AR46</f>
        <v>431.3778432057378</v>
      </c>
      <c r="U46" s="1342"/>
      <c r="V46" s="263"/>
      <c r="W46" s="263"/>
      <c r="X46" s="263"/>
      <c r="Y46" s="263"/>
      <c r="Z46" s="263"/>
      <c r="AA46" s="263"/>
      <c r="AB46" s="263"/>
      <c r="AC46" s="263"/>
      <c r="AD46" s="263"/>
      <c r="AE46" s="263"/>
      <c r="AF46" s="263"/>
      <c r="AG46" s="263"/>
      <c r="AH46" s="263"/>
      <c r="AI46" s="263"/>
      <c r="AJ46" s="263"/>
      <c r="AK46" s="264"/>
      <c r="AL46" s="258"/>
      <c r="AM46" s="259"/>
      <c r="AN46" s="259"/>
      <c r="AO46" s="259"/>
      <c r="AP46" s="259">
        <v>2</v>
      </c>
      <c r="AQ46" s="259"/>
      <c r="AR46" s="265">
        <f t="shared" si="2"/>
        <v>28</v>
      </c>
      <c r="AS46" s="259">
        <f t="shared" si="3"/>
        <v>0</v>
      </c>
      <c r="AT46" s="266">
        <f t="shared" si="4"/>
        <v>0</v>
      </c>
      <c r="AU46" s="259">
        <f t="shared" si="5"/>
        <v>0</v>
      </c>
      <c r="AV46" s="259">
        <f t="shared" si="6"/>
        <v>0</v>
      </c>
      <c r="AW46" s="266">
        <f t="shared" si="7"/>
        <v>1</v>
      </c>
      <c r="AX46" s="259">
        <f t="shared" si="8"/>
        <v>0</v>
      </c>
      <c r="AY46" s="258"/>
      <c r="AZ46" s="238"/>
      <c r="BA46" s="238"/>
      <c r="BB46" s="238"/>
      <c r="BC46" s="238"/>
      <c r="BD46" s="238"/>
      <c r="BE46" s="239" t="s">
        <v>656</v>
      </c>
      <c r="BF46" s="239">
        <v>1.5E-3</v>
      </c>
      <c r="BG46" s="239">
        <v>0</v>
      </c>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row>
    <row r="47" spans="1:94" s="240" customFormat="1" ht="14.25" customHeight="1">
      <c r="A47" s="267" t="s">
        <v>115</v>
      </c>
      <c r="B47" s="268"/>
      <c r="C47" s="268"/>
      <c r="D47" s="268"/>
      <c r="E47" s="269"/>
      <c r="F47" s="1377">
        <v>0</v>
      </c>
      <c r="G47" s="1378"/>
      <c r="H47" s="1299">
        <f t="shared" si="0"/>
        <v>0</v>
      </c>
      <c r="I47" s="1301"/>
      <c r="J47" s="1300"/>
      <c r="K47" s="1300"/>
      <c r="L47" s="1299"/>
      <c r="M47" s="1300"/>
      <c r="N47" s="1299">
        <f t="shared" si="1"/>
        <v>0</v>
      </c>
      <c r="O47" s="1301"/>
      <c r="P47" s="1299">
        <f t="shared" si="9"/>
        <v>4.9677497741658263E-4</v>
      </c>
      <c r="Q47" s="1301"/>
      <c r="R47" s="1300">
        <f>T47/$AR$47</f>
        <v>1.0705303496822884E-2</v>
      </c>
      <c r="S47" s="1300"/>
      <c r="T47" s="1299">
        <f>$AC17*$X25</f>
        <v>0.29985555094600896</v>
      </c>
      <c r="U47" s="1301"/>
      <c r="V47" s="263"/>
      <c r="W47" s="263"/>
      <c r="X47" s="263"/>
      <c r="Y47" s="263"/>
      <c r="Z47" s="263"/>
      <c r="AA47" s="263"/>
      <c r="AB47" s="263"/>
      <c r="AC47" s="263"/>
      <c r="AD47" s="263"/>
      <c r="AE47" s="263"/>
      <c r="AF47" s="263"/>
      <c r="AG47" s="263"/>
      <c r="AH47" s="263"/>
      <c r="AI47" s="263"/>
      <c r="AJ47" s="263"/>
      <c r="AK47" s="264"/>
      <c r="AL47" s="258"/>
      <c r="AM47" s="258">
        <v>1</v>
      </c>
      <c r="AN47" s="258"/>
      <c r="AO47" s="258">
        <v>1</v>
      </c>
      <c r="AP47" s="258"/>
      <c r="AQ47" s="258"/>
      <c r="AR47" s="265">
        <f t="shared" si="2"/>
        <v>28.009999999999998</v>
      </c>
      <c r="AS47" s="259"/>
      <c r="AT47" s="258"/>
      <c r="AU47" s="258"/>
      <c r="AV47" s="258"/>
      <c r="AW47" s="258"/>
      <c r="AX47" s="258"/>
      <c r="AY47" s="258"/>
      <c r="AZ47" s="238"/>
      <c r="BA47" s="238"/>
      <c r="BB47" s="238"/>
      <c r="BC47" s="238"/>
      <c r="BD47" s="238"/>
      <c r="BE47" s="239" t="s">
        <v>657</v>
      </c>
      <c r="BF47" s="239">
        <v>1E-4</v>
      </c>
      <c r="BG47" s="239">
        <v>0</v>
      </c>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row>
    <row r="48" spans="1:94" s="240" customFormat="1" ht="14.25" customHeight="1">
      <c r="A48" s="267" t="s">
        <v>126</v>
      </c>
      <c r="B48" s="268"/>
      <c r="C48" s="268"/>
      <c r="D48" s="268"/>
      <c r="E48" s="269"/>
      <c r="F48" s="1377">
        <f>CO2eEF!M25</f>
        <v>8.0000000000000004E-4</v>
      </c>
      <c r="G48" s="1378"/>
      <c r="H48" s="1299">
        <f t="shared" si="0"/>
        <v>1.6377171215880893E-3</v>
      </c>
      <c r="I48" s="1301"/>
      <c r="J48" s="1300"/>
      <c r="K48" s="1300"/>
      <c r="L48" s="1299"/>
      <c r="M48" s="1300"/>
      <c r="N48" s="1299">
        <f t="shared" si="1"/>
        <v>7.2075930521091805E-2</v>
      </c>
      <c r="O48" s="1301"/>
      <c r="P48" s="1299">
        <f t="shared" si="9"/>
        <v>9.4333461424103662E-2</v>
      </c>
      <c r="Q48" s="1301"/>
      <c r="R48" s="1300">
        <f>SUMPRODUCT($H31:$H51,$AU31:$AU51)+$H48-R47-SUMPRODUCT(R32:R42,$AU32:$AU42)</f>
        <v>2.0328486344110166</v>
      </c>
      <c r="S48" s="1300"/>
      <c r="T48" s="1299">
        <f>R48*$AR48</f>
        <v>89.465668400428839</v>
      </c>
      <c r="U48" s="1301"/>
      <c r="V48" s="263"/>
      <c r="W48" s="263"/>
      <c r="X48" s="263"/>
      <c r="Y48" s="263"/>
      <c r="Z48" s="263"/>
      <c r="AA48" s="263"/>
      <c r="AB48" s="263"/>
      <c r="AC48" s="263"/>
      <c r="AD48" s="263"/>
      <c r="AE48" s="263"/>
      <c r="AF48" s="263"/>
      <c r="AG48" s="263"/>
      <c r="AH48" s="263"/>
      <c r="AI48" s="263"/>
      <c r="AJ48" s="263"/>
      <c r="AK48" s="264"/>
      <c r="AL48" s="258"/>
      <c r="AM48" s="259">
        <v>1</v>
      </c>
      <c r="AN48" s="259"/>
      <c r="AO48" s="259">
        <v>2</v>
      </c>
      <c r="AP48" s="259"/>
      <c r="AQ48" s="259"/>
      <c r="AR48" s="265">
        <f>AM48*12.01+AN48*1.008+AO48*16+AP48*14+AQ48*32</f>
        <v>44.01</v>
      </c>
      <c r="AS48" s="259"/>
      <c r="AT48" s="259"/>
      <c r="AU48" s="259"/>
      <c r="AV48" s="259"/>
      <c r="AW48" s="259"/>
      <c r="AX48" s="259"/>
      <c r="AY48" s="258"/>
      <c r="AZ48" s="238"/>
      <c r="BA48" s="238"/>
      <c r="BB48" s="238"/>
      <c r="BC48" s="238"/>
      <c r="BD48" s="238"/>
      <c r="BE48" s="239" t="s">
        <v>658</v>
      </c>
      <c r="BF48" s="239">
        <v>0</v>
      </c>
      <c r="BG48" s="239">
        <v>0</v>
      </c>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38"/>
      <c r="CN48" s="238"/>
      <c r="CO48" s="238"/>
      <c r="CP48" s="238"/>
    </row>
    <row r="49" spans="1:94" s="240" customFormat="1" ht="14.25" customHeight="1">
      <c r="A49" s="267" t="s">
        <v>430</v>
      </c>
      <c r="B49" s="268"/>
      <c r="C49" s="268"/>
      <c r="D49" s="268"/>
      <c r="E49" s="269"/>
      <c r="F49" s="1377">
        <v>0</v>
      </c>
      <c r="G49" s="1378"/>
      <c r="H49" s="1299">
        <f t="shared" si="0"/>
        <v>0</v>
      </c>
      <c r="I49" s="1301"/>
      <c r="J49" s="1300"/>
      <c r="K49" s="1300"/>
      <c r="L49" s="1299"/>
      <c r="M49" s="1300"/>
      <c r="N49" s="1299">
        <f t="shared" si="1"/>
        <v>0</v>
      </c>
      <c r="O49" s="1301"/>
      <c r="P49" s="1299">
        <f t="shared" si="9"/>
        <v>5.55932646290139E-5</v>
      </c>
      <c r="Q49" s="1301"/>
      <c r="R49" s="1300">
        <f>T49/$AR49</f>
        <v>1.19801277698758E-3</v>
      </c>
      <c r="S49" s="1300"/>
      <c r="T49" s="1299">
        <f>$W17*$X25</f>
        <v>5.5108587741428683E-2</v>
      </c>
      <c r="U49" s="1301"/>
      <c r="V49" s="263"/>
      <c r="W49" s="263"/>
      <c r="X49" s="263"/>
      <c r="Y49" s="263"/>
      <c r="Z49" s="263"/>
      <c r="AA49" s="263"/>
      <c r="AB49" s="263"/>
      <c r="AC49" s="263"/>
      <c r="AD49" s="263"/>
      <c r="AE49" s="263"/>
      <c r="AF49" s="263"/>
      <c r="AG49" s="263"/>
      <c r="AH49" s="263"/>
      <c r="AI49" s="263"/>
      <c r="AJ49" s="263"/>
      <c r="AK49" s="264"/>
      <c r="AL49" s="258"/>
      <c r="AM49" s="258"/>
      <c r="AN49" s="258"/>
      <c r="AO49" s="258">
        <v>2</v>
      </c>
      <c r="AP49" s="258">
        <v>1</v>
      </c>
      <c r="AQ49" s="258"/>
      <c r="AR49" s="265">
        <f>AM49*12.01+AN49*1.008+AO49*16+AP49*14+AQ49*32</f>
        <v>46</v>
      </c>
      <c r="AS49" s="259"/>
      <c r="AT49" s="258"/>
      <c r="AU49" s="258"/>
      <c r="AV49" s="258"/>
      <c r="AW49" s="258"/>
      <c r="AX49" s="258"/>
      <c r="AY49" s="258"/>
      <c r="AZ49" s="238"/>
      <c r="BA49" s="238"/>
      <c r="BB49" s="238"/>
      <c r="BC49" s="238"/>
      <c r="BD49" s="238"/>
      <c r="BE49" s="239" t="s">
        <v>659</v>
      </c>
      <c r="BF49" s="239">
        <v>0</v>
      </c>
      <c r="BG49" s="239">
        <v>0</v>
      </c>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row>
    <row r="50" spans="1:94" s="240" customFormat="1" ht="14.25" customHeight="1">
      <c r="A50" s="267" t="s">
        <v>124</v>
      </c>
      <c r="B50" s="268"/>
      <c r="C50" s="268"/>
      <c r="D50" s="268"/>
      <c r="E50" s="269"/>
      <c r="F50" s="1377">
        <v>0</v>
      </c>
      <c r="G50" s="1378"/>
      <c r="H50" s="1299">
        <f t="shared" si="0"/>
        <v>0</v>
      </c>
      <c r="I50" s="1301"/>
      <c r="J50" s="1300"/>
      <c r="K50" s="1300"/>
      <c r="L50" s="1299"/>
      <c r="M50" s="1300"/>
      <c r="N50" s="1299">
        <f t="shared" si="1"/>
        <v>0</v>
      </c>
      <c r="O50" s="1301"/>
      <c r="P50" s="1299">
        <f t="shared" si="9"/>
        <v>0</v>
      </c>
      <c r="Q50" s="1301"/>
      <c r="R50" s="1299">
        <f>SUMPRODUCT(H31:H51,$AX31:$AX51)+H50</f>
        <v>0</v>
      </c>
      <c r="S50" s="1300"/>
      <c r="T50" s="1299">
        <f>R50*$AR50</f>
        <v>0</v>
      </c>
      <c r="U50" s="1301"/>
      <c r="V50" s="263"/>
      <c r="W50" s="263"/>
      <c r="X50" s="263"/>
      <c r="Y50" s="263"/>
      <c r="Z50" s="263"/>
      <c r="AA50" s="263"/>
      <c r="AB50" s="263"/>
      <c r="AC50" s="263"/>
      <c r="AD50" s="263"/>
      <c r="AE50" s="263"/>
      <c r="AF50" s="263"/>
      <c r="AG50" s="263"/>
      <c r="AH50" s="263"/>
      <c r="AI50" s="263"/>
      <c r="AJ50" s="263"/>
      <c r="AK50" s="264"/>
      <c r="AL50" s="258"/>
      <c r="AM50" s="258"/>
      <c r="AN50" s="258"/>
      <c r="AO50" s="258">
        <v>2</v>
      </c>
      <c r="AP50" s="258"/>
      <c r="AQ50" s="258">
        <v>1</v>
      </c>
      <c r="AR50" s="265">
        <f>AM50*12.01+AN50*1.008+AO50*16+AP50*14+AQ50*32</f>
        <v>64</v>
      </c>
      <c r="AS50" s="259"/>
      <c r="AT50" s="258"/>
      <c r="AU50" s="258"/>
      <c r="AV50" s="258"/>
      <c r="AW50" s="258"/>
      <c r="AX50" s="258"/>
      <c r="AY50" s="258"/>
      <c r="AZ50" s="238"/>
      <c r="BA50" s="238"/>
      <c r="BB50" s="238"/>
      <c r="BC50" s="238"/>
      <c r="BD50" s="238"/>
      <c r="BE50" s="239" t="s">
        <v>660</v>
      </c>
      <c r="BF50" s="239">
        <v>0</v>
      </c>
      <c r="BG50" s="239">
        <v>0</v>
      </c>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38"/>
      <c r="CN50" s="238"/>
      <c r="CO50" s="238"/>
      <c r="CP50" s="238"/>
    </row>
    <row r="51" spans="1:94" s="240" customFormat="1" ht="14.25" customHeight="1">
      <c r="A51" s="273" t="s">
        <v>431</v>
      </c>
      <c r="B51" s="274"/>
      <c r="C51" s="274"/>
      <c r="D51" s="274"/>
      <c r="E51" s="274"/>
      <c r="F51" s="1377">
        <f>CO2eEF!M47</f>
        <v>0</v>
      </c>
      <c r="G51" s="1378"/>
      <c r="H51" s="1299">
        <f t="shared" si="0"/>
        <v>0</v>
      </c>
      <c r="I51" s="1301"/>
      <c r="J51" s="1384"/>
      <c r="K51" s="1384"/>
      <c r="L51" s="1382"/>
      <c r="M51" s="1384"/>
      <c r="N51" s="1299">
        <f t="shared" si="1"/>
        <v>0</v>
      </c>
      <c r="O51" s="1301"/>
      <c r="P51" s="1343">
        <f t="shared" si="9"/>
        <v>0.18920448747595481</v>
      </c>
      <c r="Q51" s="1345"/>
      <c r="R51" s="1300">
        <f>SUMPRODUCT(H31:H51,$AV31:$AV51)+H51-SUMPRODUCT(R32:R42,$AV32:$AV42)</f>
        <v>4.0772815730861502</v>
      </c>
      <c r="S51" s="1300"/>
      <c r="T51" s="1382">
        <f>R51*$AR51</f>
        <v>73.456304820720078</v>
      </c>
      <c r="U51" s="1383"/>
      <c r="V51" s="263"/>
      <c r="W51" s="263"/>
      <c r="X51" s="263"/>
      <c r="Y51" s="263"/>
      <c r="Z51" s="263"/>
      <c r="AA51" s="263"/>
      <c r="AB51" s="263"/>
      <c r="AC51" s="263"/>
      <c r="AD51" s="263"/>
      <c r="AE51" s="263"/>
      <c r="AF51" s="263"/>
      <c r="AG51" s="263"/>
      <c r="AH51" s="263"/>
      <c r="AI51" s="263"/>
      <c r="AJ51" s="263"/>
      <c r="AK51" s="264"/>
      <c r="AL51" s="258"/>
      <c r="AM51" s="258"/>
      <c r="AN51" s="258">
        <v>2</v>
      </c>
      <c r="AO51" s="258">
        <v>1</v>
      </c>
      <c r="AP51" s="258"/>
      <c r="AQ51" s="258"/>
      <c r="AR51" s="265">
        <f>AM51*12.01+AN51*1.008+AO51*16+AP51*14+AQ51*32</f>
        <v>18.015999999999998</v>
      </c>
      <c r="AS51" s="259"/>
      <c r="AT51" s="258"/>
      <c r="AU51" s="258"/>
      <c r="AV51" s="258"/>
      <c r="AW51" s="258"/>
      <c r="AX51" s="258"/>
      <c r="AY51" s="258"/>
      <c r="AZ51" s="238"/>
      <c r="BA51" s="238"/>
      <c r="BB51" s="238"/>
      <c r="BC51" s="238"/>
      <c r="BD51" s="238"/>
      <c r="BE51" s="239" t="s">
        <v>661</v>
      </c>
      <c r="BF51" s="239">
        <v>0</v>
      </c>
      <c r="BG51" s="239">
        <v>0</v>
      </c>
      <c r="BH51" s="238"/>
      <c r="BI51" s="238"/>
      <c r="BJ51" s="238"/>
      <c r="BK51" s="238"/>
      <c r="BL51" s="238"/>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38"/>
      <c r="CN51" s="238"/>
      <c r="CO51" s="238"/>
      <c r="CP51" s="238"/>
    </row>
    <row r="52" spans="1:94" s="240" customFormat="1" ht="14.25" customHeight="1">
      <c r="A52" s="1391" t="s">
        <v>663</v>
      </c>
      <c r="B52" s="1392"/>
      <c r="C52" s="1392"/>
      <c r="D52" s="1392"/>
      <c r="E52" s="1393"/>
      <c r="F52" s="1394">
        <f>SUM(F31:F51)</f>
        <v>1</v>
      </c>
      <c r="G52" s="1395"/>
      <c r="H52" s="1371">
        <f>SUM(H31:H51)</f>
        <v>2.0471464019851124</v>
      </c>
      <c r="I52" s="1373"/>
      <c r="J52" s="1396">
        <f>SUM(J31:J51)</f>
        <v>19.498582063098205</v>
      </c>
      <c r="K52" s="1396"/>
      <c r="L52" s="1371">
        <f>SUM(L31:L51)</f>
        <v>0</v>
      </c>
      <c r="M52" s="1372"/>
      <c r="N52" s="1385">
        <f>SUM(N31:N51)</f>
        <v>595.353835099256</v>
      </c>
      <c r="O52" s="1386"/>
      <c r="P52" s="1385">
        <f>SUM(P31:P51)</f>
        <v>1</v>
      </c>
      <c r="Q52" s="1386"/>
      <c r="R52" s="1371">
        <f>SUM(R31:R51)</f>
        <v>21.549602905714984</v>
      </c>
      <c r="S52" s="1373"/>
      <c r="T52" s="1387">
        <f>SUM(T31:T51)</f>
        <v>595.22088665217029</v>
      </c>
      <c r="U52" s="1388"/>
      <c r="V52" s="275"/>
      <c r="W52" s="275"/>
      <c r="X52" s="30"/>
      <c r="Y52" s="30"/>
      <c r="Z52" s="276"/>
      <c r="AA52" s="276"/>
      <c r="AB52" s="30"/>
      <c r="AC52" s="30"/>
      <c r="AD52" s="277"/>
      <c r="AE52" s="277"/>
      <c r="AF52" s="263"/>
      <c r="AG52" s="263"/>
      <c r="AH52" s="30"/>
      <c r="AI52" s="30"/>
      <c r="AJ52" s="277"/>
      <c r="AK52" s="278"/>
      <c r="AL52" s="238"/>
      <c r="AM52" s="238"/>
      <c r="AN52" s="238"/>
      <c r="AO52" s="238"/>
      <c r="AP52" s="238"/>
      <c r="AQ52" s="238"/>
      <c r="AR52" s="238"/>
      <c r="AS52" s="238"/>
      <c r="AT52" s="238"/>
      <c r="AU52" s="238"/>
      <c r="AV52" s="238"/>
      <c r="AW52" s="238"/>
      <c r="AX52" s="238"/>
      <c r="AY52" s="238"/>
      <c r="AZ52" s="238"/>
      <c r="BA52" s="238"/>
      <c r="BB52" s="238"/>
      <c r="BC52" s="238"/>
      <c r="BD52" s="238"/>
      <c r="BE52" s="239" t="s">
        <v>662</v>
      </c>
      <c r="BF52" s="239">
        <v>0</v>
      </c>
      <c r="BG52" s="239">
        <v>0</v>
      </c>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row>
    <row r="53" spans="1:94" s="240" customFormat="1" ht="14.25" customHeight="1">
      <c r="A53" s="475" t="s">
        <v>665</v>
      </c>
      <c r="B53" s="476"/>
      <c r="C53" s="476"/>
      <c r="D53" s="476"/>
      <c r="E53" s="435"/>
      <c r="F53" s="435"/>
      <c r="G53" s="435"/>
      <c r="H53" s="435"/>
      <c r="I53" s="435"/>
      <c r="J53" s="435"/>
      <c r="K53" s="435"/>
      <c r="L53" s="1189" t="s">
        <v>666</v>
      </c>
      <c r="M53" s="1190"/>
      <c r="N53" s="1399" t="s">
        <v>617</v>
      </c>
      <c r="O53" s="1399"/>
      <c r="P53" s="1399" t="s">
        <v>332</v>
      </c>
      <c r="Q53" s="1399"/>
      <c r="AK53" s="612"/>
      <c r="AL53" s="481"/>
      <c r="AM53" s="238"/>
      <c r="AN53" s="238"/>
      <c r="AO53" s="238"/>
      <c r="AP53" s="238"/>
      <c r="AQ53" s="238"/>
      <c r="AR53" s="238"/>
      <c r="AS53" s="238"/>
      <c r="AT53" s="238"/>
      <c r="AU53" s="238"/>
      <c r="AV53" s="238"/>
      <c r="AW53" s="238"/>
      <c r="AX53" s="238"/>
      <c r="AY53" s="238"/>
      <c r="AZ53" s="238"/>
      <c r="BA53" s="238"/>
      <c r="BB53" s="238"/>
      <c r="BC53" s="238"/>
      <c r="BD53" s="238"/>
      <c r="BE53" s="239" t="s">
        <v>664</v>
      </c>
      <c r="BF53" s="239">
        <v>0</v>
      </c>
      <c r="BG53" s="239">
        <v>0</v>
      </c>
      <c r="BH53" s="238"/>
      <c r="BI53" s="238"/>
      <c r="BJ53" s="238"/>
      <c r="BK53" s="238"/>
      <c r="BL53" s="238"/>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38"/>
      <c r="CN53" s="238"/>
      <c r="CO53" s="238"/>
      <c r="CP53" s="238"/>
    </row>
    <row r="54" spans="1:94" s="240" customFormat="1" ht="14.25" customHeight="1">
      <c r="A54" s="483" t="s">
        <v>748</v>
      </c>
      <c r="B54" s="484"/>
      <c r="C54" s="484"/>
      <c r="D54" s="484"/>
      <c r="E54" s="484"/>
      <c r="F54" s="484"/>
      <c r="G54" s="484"/>
      <c r="H54" s="484"/>
      <c r="I54" s="484"/>
      <c r="J54" s="484"/>
      <c r="K54" s="484"/>
      <c r="L54" s="1185">
        <f>N54*1000/3600</f>
        <v>5.2198427106823651E-4</v>
      </c>
      <c r="M54" s="1186"/>
      <c r="N54" s="1389">
        <f>AI17*X25</f>
        <v>1.8791433758456513E-3</v>
      </c>
      <c r="O54" s="1389"/>
      <c r="P54" s="1389">
        <f>N54*365.25*24/1000</f>
        <v>1.6472570832662979E-2</v>
      </c>
      <c r="Q54" s="1389"/>
      <c r="AK54" s="612"/>
      <c r="AL54" s="238"/>
      <c r="AM54" s="238"/>
      <c r="AN54" s="281"/>
      <c r="AO54" s="238"/>
      <c r="AP54" s="238"/>
      <c r="AQ54" s="238"/>
      <c r="AR54" s="238"/>
      <c r="AS54" s="238"/>
      <c r="AT54" s="238"/>
      <c r="AU54" s="238"/>
      <c r="AV54" s="238"/>
      <c r="AW54" s="238"/>
      <c r="AX54" s="238"/>
      <c r="AY54" s="238"/>
      <c r="AZ54" s="238"/>
      <c r="BA54" s="238"/>
      <c r="BB54" s="238"/>
      <c r="BC54" s="238"/>
      <c r="BD54" s="238"/>
      <c r="BE54" s="239" t="s">
        <v>667</v>
      </c>
      <c r="BF54" s="239">
        <v>0</v>
      </c>
      <c r="BG54" s="239">
        <v>4.4999999999999997E-3</v>
      </c>
      <c r="BH54" s="238"/>
      <c r="BI54" s="238"/>
      <c r="BJ54" s="238"/>
      <c r="BK54" s="238"/>
      <c r="BL54" s="238"/>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38"/>
      <c r="CN54" s="238"/>
      <c r="CO54" s="238"/>
      <c r="CP54" s="238"/>
    </row>
    <row r="55" spans="1:94" s="240" customFormat="1" ht="14.25" customHeight="1">
      <c r="A55" s="273" t="s">
        <v>668</v>
      </c>
      <c r="B55" s="30"/>
      <c r="C55" s="30"/>
      <c r="D55" s="30"/>
      <c r="E55" s="30"/>
      <c r="F55" s="30"/>
      <c r="G55" s="30"/>
      <c r="H55" s="30"/>
      <c r="I55" s="30"/>
      <c r="J55" s="30"/>
      <c r="K55" s="30"/>
      <c r="L55" s="1185">
        <f t="shared" ref="L55:L60" si="10">N55*1000/3600</f>
        <v>1.5307941039285747E-2</v>
      </c>
      <c r="M55" s="1186"/>
      <c r="N55" s="1403">
        <f>W17*$X$25</f>
        <v>5.5108587741428683E-2</v>
      </c>
      <c r="O55" s="1403"/>
      <c r="P55" s="1389">
        <f t="shared" ref="P55:P61" si="11">N55*365.25*24/1000</f>
        <v>0.48308188014136383</v>
      </c>
      <c r="Q55" s="1389"/>
      <c r="AK55" s="612"/>
      <c r="AL55" s="238"/>
      <c r="AM55" s="238"/>
      <c r="AN55" s="238"/>
      <c r="AO55" s="482"/>
      <c r="AP55" s="238"/>
      <c r="AQ55" s="238"/>
      <c r="AR55" s="238"/>
      <c r="AS55" s="238"/>
      <c r="AT55" s="238"/>
      <c r="AU55" s="238"/>
      <c r="AV55" s="238"/>
      <c r="AW55" s="238"/>
      <c r="AX55" s="238"/>
      <c r="AY55" s="238"/>
      <c r="AZ55" s="238"/>
      <c r="BA55" s="238"/>
      <c r="BB55" s="238"/>
      <c r="BC55" s="238"/>
      <c r="BD55" s="238"/>
      <c r="BE55" s="239" t="s">
        <v>669</v>
      </c>
      <c r="BF55" s="239">
        <v>0</v>
      </c>
      <c r="BG55" s="239">
        <v>1.5800000000000002E-2</v>
      </c>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38"/>
      <c r="CN55" s="238"/>
      <c r="CO55" s="238"/>
      <c r="CP55" s="238"/>
    </row>
    <row r="56" spans="1:94" s="240" customFormat="1" ht="14.25" customHeight="1">
      <c r="A56" s="273" t="s">
        <v>670</v>
      </c>
      <c r="B56" s="30"/>
      <c r="C56" s="30"/>
      <c r="D56" s="30"/>
      <c r="E56" s="30"/>
      <c r="F56" s="30"/>
      <c r="G56" s="30"/>
      <c r="H56" s="30"/>
      <c r="I56" s="30"/>
      <c r="J56" s="30"/>
      <c r="K56" s="30"/>
      <c r="L56" s="1185">
        <f t="shared" si="10"/>
        <v>8.329320859611361E-2</v>
      </c>
      <c r="M56" s="1186"/>
      <c r="N56" s="1403">
        <f>AC17*$X$25</f>
        <v>0.29985555094600896</v>
      </c>
      <c r="O56" s="1403"/>
      <c r="P56" s="1389">
        <f t="shared" si="11"/>
        <v>2.628533759592715</v>
      </c>
      <c r="Q56" s="1389"/>
      <c r="AK56" s="612"/>
      <c r="AL56" s="238"/>
      <c r="AM56" s="238"/>
      <c r="AN56" s="238"/>
      <c r="AO56" s="482"/>
      <c r="AP56" s="238"/>
      <c r="AQ56" s="238"/>
      <c r="AR56" s="238"/>
      <c r="AS56" s="238"/>
      <c r="AT56" s="238"/>
      <c r="AU56" s="238"/>
      <c r="AV56" s="238"/>
      <c r="AW56" s="238"/>
      <c r="AX56" s="238"/>
      <c r="AY56" s="238"/>
      <c r="AZ56" s="238"/>
      <c r="BA56" s="238"/>
      <c r="BB56" s="238"/>
      <c r="BC56" s="238"/>
      <c r="BD56" s="238"/>
      <c r="BE56" s="239"/>
      <c r="BF56" s="239"/>
      <c r="BG56" s="239"/>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38"/>
      <c r="CN56" s="238"/>
      <c r="CO56" s="238"/>
      <c r="CP56" s="238"/>
    </row>
    <row r="57" spans="1:94" s="240" customFormat="1" ht="14.25" customHeight="1">
      <c r="A57" s="273" t="s">
        <v>673</v>
      </c>
      <c r="B57" s="30"/>
      <c r="C57" s="30"/>
      <c r="D57" s="30"/>
      <c r="E57" s="30"/>
      <c r="F57" s="30"/>
      <c r="G57" s="30"/>
      <c r="H57" s="30"/>
      <c r="I57" s="30"/>
      <c r="J57" s="30"/>
      <c r="K57" s="30"/>
      <c r="L57" s="1187">
        <f t="shared" si="10"/>
        <v>0</v>
      </c>
      <c r="M57" s="1408"/>
      <c r="N57" s="1409">
        <f>W22*$X$25</f>
        <v>0</v>
      </c>
      <c r="O57" s="1409"/>
      <c r="P57" s="1389">
        <f t="shared" si="11"/>
        <v>0</v>
      </c>
      <c r="Q57" s="1389"/>
      <c r="AK57" s="612"/>
      <c r="AL57" s="238"/>
      <c r="AM57" s="238"/>
      <c r="AN57" s="238"/>
      <c r="AO57" s="482"/>
      <c r="AP57" s="238"/>
      <c r="AQ57" s="238"/>
      <c r="AR57" s="238"/>
      <c r="AS57" s="238"/>
      <c r="AT57" s="238"/>
      <c r="AU57" s="238"/>
      <c r="AV57" s="238"/>
      <c r="AW57" s="238"/>
      <c r="AX57" s="238"/>
      <c r="AY57" s="238"/>
      <c r="AZ57" s="238"/>
      <c r="BA57" s="238"/>
      <c r="BB57" s="238"/>
      <c r="BC57" s="238"/>
      <c r="BD57" s="238"/>
      <c r="BE57" s="239"/>
      <c r="BF57" s="239"/>
      <c r="BG57" s="239"/>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38"/>
      <c r="CN57" s="238"/>
      <c r="CO57" s="238"/>
      <c r="CP57" s="238"/>
    </row>
    <row r="58" spans="1:94" s="240" customFormat="1" ht="14.25" customHeight="1">
      <c r="A58" s="273" t="s">
        <v>672</v>
      </c>
      <c r="B58" s="30"/>
      <c r="C58" s="30"/>
      <c r="D58" s="30"/>
      <c r="E58" s="30"/>
      <c r="F58" s="30"/>
      <c r="G58" s="30"/>
      <c r="H58" s="30"/>
      <c r="I58" s="30"/>
      <c r="J58" s="30"/>
      <c r="K58" s="30"/>
      <c r="L58" s="1185">
        <f t="shared" si="10"/>
        <v>3.1516349198529484E-2</v>
      </c>
      <c r="M58" s="1186"/>
      <c r="N58" s="1407">
        <f>K22*$X$25</f>
        <v>0.11345885711470613</v>
      </c>
      <c r="O58" s="1407"/>
      <c r="P58" s="1389">
        <f t="shared" si="11"/>
        <v>0.99458034146751395</v>
      </c>
      <c r="Q58" s="1389"/>
      <c r="AK58" s="612"/>
      <c r="AL58" s="238"/>
      <c r="AM58" s="238"/>
      <c r="AN58" s="238"/>
      <c r="AO58" s="482"/>
      <c r="AP58" s="238"/>
      <c r="AQ58" s="238"/>
      <c r="AR58" s="238"/>
      <c r="AS58" s="238"/>
      <c r="AT58" s="238"/>
      <c r="AU58" s="238"/>
      <c r="AV58" s="238"/>
      <c r="AW58" s="238"/>
      <c r="AX58" s="238"/>
      <c r="AY58" s="238"/>
      <c r="AZ58" s="238"/>
      <c r="BA58" s="238"/>
      <c r="BB58" s="238"/>
      <c r="BC58" s="238"/>
      <c r="BD58" s="238"/>
      <c r="BE58" s="239"/>
      <c r="BF58" s="239"/>
      <c r="BG58" s="239"/>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row>
    <row r="59" spans="1:94" s="240" customFormat="1" ht="14.25" customHeight="1">
      <c r="A59" s="273" t="s">
        <v>675</v>
      </c>
      <c r="B59" s="30"/>
      <c r="C59" s="30"/>
      <c r="D59" s="30"/>
      <c r="E59" s="30"/>
      <c r="F59" s="30"/>
      <c r="G59" s="30"/>
      <c r="H59" s="30"/>
      <c r="I59" s="30"/>
      <c r="J59" s="30"/>
      <c r="K59" s="30"/>
      <c r="L59" s="1187">
        <f t="shared" si="10"/>
        <v>0</v>
      </c>
      <c r="M59" s="1408"/>
      <c r="N59" s="1414">
        <v>0</v>
      </c>
      <c r="O59" s="1414"/>
      <c r="P59" s="1389">
        <f t="shared" si="11"/>
        <v>0</v>
      </c>
      <c r="Q59" s="1389"/>
      <c r="AK59" s="612"/>
      <c r="AL59" s="238"/>
      <c r="AM59" s="238"/>
      <c r="AN59" s="238"/>
      <c r="AO59" s="482"/>
      <c r="AP59" s="238"/>
      <c r="AQ59" s="238"/>
      <c r="AR59" s="238"/>
      <c r="AS59" s="238"/>
      <c r="AT59" s="238"/>
      <c r="AU59" s="238"/>
      <c r="AV59" s="238"/>
      <c r="AW59" s="238"/>
      <c r="AX59" s="238"/>
      <c r="AY59" s="238"/>
      <c r="AZ59" s="238"/>
      <c r="BA59" s="238"/>
      <c r="BB59" s="238"/>
      <c r="BC59" s="238"/>
      <c r="BD59" s="238"/>
      <c r="BE59" s="239"/>
      <c r="BF59" s="239"/>
      <c r="BG59" s="239"/>
      <c r="BH59" s="238"/>
      <c r="BI59" s="238"/>
      <c r="BJ59" s="238"/>
      <c r="BK59" s="238"/>
      <c r="BL59" s="238"/>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38"/>
      <c r="CN59" s="238"/>
      <c r="CO59" s="238"/>
      <c r="CP59" s="238"/>
    </row>
    <row r="60" spans="1:94" s="240" customFormat="1" ht="14.25" customHeight="1">
      <c r="A60" s="273" t="s">
        <v>676</v>
      </c>
      <c r="B60" s="30"/>
      <c r="C60" s="30"/>
      <c r="D60" s="30"/>
      <c r="E60" s="30"/>
      <c r="F60" s="30"/>
      <c r="G60" s="30"/>
      <c r="H60" s="30"/>
      <c r="I60" s="30"/>
      <c r="J60" s="30"/>
      <c r="K60" s="30"/>
      <c r="L60" s="1187">
        <f t="shared" si="10"/>
        <v>0</v>
      </c>
      <c r="M60" s="1408"/>
      <c r="N60" s="1414">
        <v>0</v>
      </c>
      <c r="O60" s="1414"/>
      <c r="P60" s="1389">
        <f t="shared" si="11"/>
        <v>0</v>
      </c>
      <c r="Q60" s="1389"/>
      <c r="AK60" s="612"/>
      <c r="AL60" s="238"/>
      <c r="AM60" s="238"/>
      <c r="AN60" s="238"/>
      <c r="AO60" s="281"/>
      <c r="AP60" s="238"/>
      <c r="AQ60" s="238"/>
      <c r="AR60" s="238"/>
      <c r="AS60" s="238"/>
      <c r="AT60" s="238"/>
      <c r="AU60" s="238"/>
      <c r="AV60" s="238"/>
      <c r="AW60" s="238"/>
      <c r="AX60" s="238"/>
      <c r="AY60" s="238"/>
      <c r="AZ60" s="238"/>
      <c r="BA60" s="238"/>
      <c r="BB60" s="238"/>
      <c r="BC60" s="238"/>
      <c r="BD60" s="238"/>
      <c r="BE60" s="239"/>
      <c r="BF60" s="239"/>
      <c r="BG60" s="239"/>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row>
    <row r="61" spans="1:94" s="240" customFormat="1" ht="14.25" customHeight="1">
      <c r="A61" s="273" t="s">
        <v>677</v>
      </c>
      <c r="B61" s="30"/>
      <c r="C61" s="30"/>
      <c r="D61" s="30"/>
      <c r="E61" s="30"/>
      <c r="F61" s="30"/>
      <c r="G61" s="30"/>
      <c r="H61" s="30"/>
      <c r="I61" s="30"/>
      <c r="J61" s="30"/>
      <c r="K61" s="30"/>
      <c r="L61" s="1410">
        <f>N61*1000/3600</f>
        <v>25.051089862584071</v>
      </c>
      <c r="M61" s="1411"/>
      <c r="N61" s="1412">
        <f>X25*CO2eEF!I28</f>
        <v>90.183923505302644</v>
      </c>
      <c r="O61" s="1412"/>
      <c r="P61" s="1413">
        <f t="shared" si="11"/>
        <v>790.55227344748289</v>
      </c>
      <c r="Q61" s="1413"/>
      <c r="R61" s="608"/>
      <c r="S61" s="608"/>
      <c r="T61" s="608"/>
      <c r="U61" s="608"/>
      <c r="V61" s="608"/>
      <c r="W61" s="608"/>
      <c r="X61" s="608"/>
      <c r="Y61" s="608"/>
      <c r="Z61" s="608"/>
      <c r="AA61" s="608"/>
      <c r="AB61" s="608"/>
      <c r="AC61" s="608"/>
      <c r="AD61" s="608"/>
      <c r="AE61" s="608"/>
      <c r="AF61" s="608"/>
      <c r="AG61" s="608"/>
      <c r="AH61" s="608"/>
      <c r="AI61" s="608"/>
      <c r="AJ61" s="608"/>
      <c r="AK61" s="613"/>
      <c r="AL61" s="238"/>
      <c r="AM61" s="238"/>
      <c r="AN61" s="238"/>
      <c r="AO61" s="281"/>
      <c r="AP61" s="238"/>
      <c r="AQ61" s="238"/>
      <c r="AR61" s="238"/>
      <c r="AS61" s="238"/>
      <c r="AT61" s="238"/>
      <c r="AU61" s="238"/>
      <c r="AV61" s="238"/>
      <c r="AW61" s="238"/>
      <c r="AX61" s="238"/>
      <c r="AY61" s="238"/>
      <c r="AZ61" s="238"/>
      <c r="BA61" s="238"/>
      <c r="BB61" s="238"/>
      <c r="BC61" s="238"/>
      <c r="BD61" s="238"/>
      <c r="BE61" s="239"/>
      <c r="BF61" s="239"/>
      <c r="BG61" s="239"/>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row>
    <row r="62" spans="1:94" s="240" customFormat="1" ht="14.25" customHeight="1">
      <c r="A62" s="279" t="s">
        <v>749</v>
      </c>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2"/>
      <c r="AF62" s="132"/>
      <c r="AG62" s="132"/>
      <c r="AH62" s="132"/>
      <c r="AI62" s="132"/>
      <c r="AJ62" s="132"/>
      <c r="AK62" s="280"/>
      <c r="AL62" s="238"/>
      <c r="AM62" s="238"/>
      <c r="AN62" s="238"/>
      <c r="AO62" s="281"/>
      <c r="AP62" s="238"/>
      <c r="AQ62" s="238"/>
      <c r="AR62" s="238"/>
      <c r="AS62" s="238"/>
      <c r="AT62" s="238"/>
      <c r="AU62" s="238"/>
      <c r="AV62" s="238"/>
      <c r="AW62" s="238"/>
      <c r="AX62" s="238"/>
      <c r="AY62" s="238"/>
      <c r="AZ62" s="238"/>
      <c r="BA62" s="238"/>
      <c r="BB62" s="238"/>
      <c r="BC62" s="238"/>
      <c r="BD62" s="238"/>
      <c r="BE62" s="239"/>
      <c r="BF62" s="239"/>
      <c r="BG62" s="239"/>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row>
    <row r="63" spans="1:94" s="240" customFormat="1" ht="14.25" customHeight="1">
      <c r="A63" s="282" t="s">
        <v>31</v>
      </c>
      <c r="B63" s="30" t="s">
        <v>750</v>
      </c>
      <c r="C63" s="30"/>
      <c r="D63" s="30"/>
      <c r="E63" s="30"/>
      <c r="F63" s="30"/>
      <c r="G63" s="30"/>
      <c r="H63" s="30"/>
      <c r="I63" s="30"/>
      <c r="J63" s="30"/>
      <c r="K63" s="30"/>
      <c r="L63" s="30"/>
      <c r="M63" s="30"/>
      <c r="N63" s="283"/>
      <c r="O63" s="283"/>
      <c r="P63" s="283"/>
      <c r="Q63" s="30"/>
      <c r="R63" s="30"/>
      <c r="S63" s="30"/>
      <c r="T63" s="30"/>
      <c r="U63" s="30"/>
      <c r="V63" s="30"/>
      <c r="W63" s="30"/>
      <c r="X63" s="30"/>
      <c r="Y63" s="30"/>
      <c r="Z63" s="30"/>
      <c r="AA63" s="30"/>
      <c r="AB63" s="30"/>
      <c r="AC63" s="30"/>
      <c r="AD63" s="30"/>
      <c r="AE63" s="30"/>
      <c r="AF63" s="30"/>
      <c r="AG63" s="30"/>
      <c r="AH63" s="30"/>
      <c r="AI63" s="30"/>
      <c r="AJ63" s="30"/>
      <c r="AK63" s="253"/>
      <c r="AL63" s="238"/>
      <c r="AM63" s="238"/>
      <c r="AN63" s="238"/>
      <c r="AO63" s="238"/>
      <c r="AP63" s="238"/>
      <c r="AQ63" s="238"/>
      <c r="AR63" s="238"/>
      <c r="AS63" s="238"/>
      <c r="AT63" s="238"/>
      <c r="AU63" s="238"/>
      <c r="AV63" s="238"/>
      <c r="AW63" s="238"/>
      <c r="AX63" s="238"/>
      <c r="AY63" s="238"/>
      <c r="AZ63" s="238"/>
      <c r="BA63" s="238"/>
      <c r="BB63" s="238"/>
      <c r="BC63" s="238"/>
      <c r="BD63" s="238"/>
      <c r="BE63" s="239" t="s">
        <v>679</v>
      </c>
      <c r="BF63" s="239">
        <v>0</v>
      </c>
      <c r="BG63" s="239">
        <v>0</v>
      </c>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row>
    <row r="64" spans="1:94" ht="14.25" customHeight="1">
      <c r="A64" s="282" t="s">
        <v>33</v>
      </c>
      <c r="B64" s="31" t="s">
        <v>751</v>
      </c>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5"/>
      <c r="AK64" s="286"/>
      <c r="AL64" s="243"/>
      <c r="AM64" s="243"/>
      <c r="AN64" s="243"/>
      <c r="AO64" s="243"/>
      <c r="AP64" s="243"/>
      <c r="AQ64" s="243"/>
      <c r="AR64" s="243"/>
      <c r="AS64" s="243"/>
      <c r="AT64" s="243"/>
      <c r="AU64" s="243"/>
      <c r="AV64" s="243"/>
      <c r="AW64" s="243"/>
      <c r="AX64" s="243"/>
      <c r="AY64" s="243"/>
      <c r="AZ64" s="243"/>
      <c r="BA64" s="243"/>
      <c r="BB64" s="243"/>
      <c r="BC64" s="243"/>
      <c r="BD64" s="243"/>
      <c r="BE64" s="246" t="s">
        <v>681</v>
      </c>
      <c r="BF64" s="246">
        <v>0</v>
      </c>
      <c r="BG64" s="246">
        <v>0</v>
      </c>
      <c r="BH64" s="243"/>
      <c r="BI64" s="243"/>
      <c r="BJ64" s="243"/>
      <c r="BK64" s="243"/>
      <c r="BL64" s="243"/>
      <c r="BM64" s="243"/>
      <c r="BN64" s="243"/>
      <c r="BO64" s="243"/>
      <c r="BP64" s="243"/>
      <c r="BQ64" s="243"/>
      <c r="BR64" s="243"/>
      <c r="BS64" s="243"/>
      <c r="BT64" s="243"/>
      <c r="BU64" s="243"/>
      <c r="BV64" s="243"/>
      <c r="BW64" s="243"/>
      <c r="BX64" s="243"/>
      <c r="BY64" s="243"/>
      <c r="BZ64" s="243"/>
      <c r="CA64" s="243"/>
      <c r="CB64" s="243"/>
      <c r="CC64" s="243"/>
      <c r="CD64" s="243"/>
      <c r="CE64" s="243"/>
      <c r="CF64" s="243"/>
      <c r="CG64" s="243"/>
      <c r="CH64" s="243"/>
      <c r="CI64" s="243"/>
      <c r="CJ64" s="243"/>
      <c r="CK64" s="243"/>
      <c r="CL64" s="243"/>
      <c r="CM64" s="243"/>
      <c r="CN64" s="243"/>
      <c r="CO64" s="243"/>
      <c r="CP64" s="243"/>
    </row>
    <row r="65" spans="1:94" ht="14.25" customHeight="1">
      <c r="A65" s="282" t="s">
        <v>752</v>
      </c>
      <c r="B65" s="30" t="s">
        <v>753</v>
      </c>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6"/>
      <c r="AL65" s="243"/>
      <c r="AM65" s="243"/>
      <c r="AN65" s="243"/>
      <c r="AO65" s="243"/>
      <c r="AP65" s="243"/>
      <c r="AQ65" s="243"/>
      <c r="AR65" s="243"/>
      <c r="AS65" s="243"/>
      <c r="AT65" s="243"/>
      <c r="AU65" s="243"/>
      <c r="AV65" s="243"/>
      <c r="AW65" s="243"/>
      <c r="AX65" s="243"/>
      <c r="AY65" s="243"/>
      <c r="AZ65" s="243"/>
      <c r="BA65" s="243"/>
      <c r="BB65" s="243"/>
      <c r="BC65" s="243"/>
      <c r="BD65" s="243"/>
      <c r="BE65" s="246" t="s">
        <v>684</v>
      </c>
      <c r="BF65" s="246">
        <v>0</v>
      </c>
      <c r="BG65" s="246">
        <v>0</v>
      </c>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c r="CM65" s="243"/>
      <c r="CN65" s="243"/>
      <c r="CO65" s="243"/>
      <c r="CP65" s="243"/>
    </row>
    <row r="66" spans="1:94" ht="14.25" customHeight="1">
      <c r="A66" s="282" t="s">
        <v>38</v>
      </c>
      <c r="B66" s="31" t="s">
        <v>725</v>
      </c>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6"/>
      <c r="AL66" s="243"/>
      <c r="AM66" s="243"/>
      <c r="AN66" s="243"/>
      <c r="AO66" s="243"/>
      <c r="AP66" s="243"/>
      <c r="AQ66" s="243"/>
      <c r="AR66" s="243"/>
      <c r="AS66" s="243"/>
      <c r="AT66" s="243"/>
      <c r="AU66" s="243"/>
      <c r="AV66" s="243"/>
      <c r="AW66" s="243"/>
      <c r="AX66" s="243"/>
      <c r="AY66" s="243"/>
      <c r="AZ66" s="243"/>
      <c r="BA66" s="243"/>
      <c r="BB66" s="243"/>
      <c r="BC66" s="243"/>
      <c r="BD66" s="243"/>
      <c r="BE66" s="246"/>
      <c r="BF66" s="246"/>
      <c r="BG66" s="246"/>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row>
    <row r="67" spans="1:94" ht="13.15" customHeight="1">
      <c r="A67" s="282" t="s">
        <v>41</v>
      </c>
      <c r="B67" s="284" t="s">
        <v>726</v>
      </c>
      <c r="C67" s="487"/>
      <c r="D67" s="487"/>
      <c r="E67" s="487"/>
      <c r="F67" s="487"/>
      <c r="G67" s="487"/>
      <c r="H67" s="487"/>
      <c r="I67" s="487"/>
      <c r="J67" s="487"/>
      <c r="K67" s="487"/>
      <c r="L67" s="487"/>
      <c r="M67" s="487"/>
      <c r="N67" s="487"/>
      <c r="O67" s="487"/>
      <c r="P67" s="487"/>
      <c r="Q67" s="487"/>
      <c r="R67" s="487"/>
      <c r="S67" s="487"/>
      <c r="T67" s="487"/>
      <c r="U67" s="487"/>
      <c r="V67" s="487"/>
      <c r="W67" s="487"/>
      <c r="X67" s="487"/>
      <c r="Y67" s="487"/>
      <c r="Z67" s="487"/>
      <c r="AA67" s="487"/>
      <c r="AB67" s="487"/>
      <c r="AC67" s="487"/>
      <c r="AD67" s="487"/>
      <c r="AE67" s="487"/>
      <c r="AF67" s="487"/>
      <c r="AG67" s="487"/>
      <c r="AH67" s="487"/>
      <c r="AI67" s="487"/>
      <c r="AJ67" s="487"/>
      <c r="AK67" s="488"/>
      <c r="AL67" s="243"/>
      <c r="AM67" s="243"/>
      <c r="AN67" s="243"/>
      <c r="AO67" s="243"/>
      <c r="AP67" s="243"/>
      <c r="AQ67" s="243"/>
      <c r="AR67" s="243"/>
      <c r="AS67" s="243"/>
      <c r="AT67" s="243"/>
      <c r="AU67" s="243"/>
      <c r="AV67" s="243"/>
      <c r="AW67" s="243"/>
      <c r="AX67" s="243"/>
      <c r="AY67" s="243"/>
      <c r="AZ67" s="243"/>
      <c r="BA67" s="243"/>
      <c r="BB67" s="243"/>
      <c r="BC67" s="243"/>
      <c r="BD67" s="243"/>
      <c r="BE67" s="246" t="s">
        <v>686</v>
      </c>
      <c r="BF67" s="246">
        <v>0</v>
      </c>
      <c r="BG67" s="246">
        <v>0</v>
      </c>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c r="CM67" s="243"/>
      <c r="CN67" s="243"/>
      <c r="CO67" s="243"/>
      <c r="CP67" s="243"/>
    </row>
    <row r="68" spans="1:94">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9"/>
      <c r="AL68" s="289"/>
      <c r="AM68" s="289"/>
      <c r="AN68" s="289"/>
      <c r="AO68" s="289"/>
      <c r="AP68" s="289"/>
      <c r="AQ68" s="289"/>
      <c r="AR68" s="243"/>
      <c r="AS68" s="243"/>
      <c r="AT68" s="243"/>
      <c r="AU68" s="243"/>
      <c r="AV68" s="243"/>
      <c r="AW68" s="243"/>
      <c r="AX68" s="243"/>
      <c r="AY68" s="243"/>
      <c r="AZ68" s="243"/>
      <c r="BA68" s="243"/>
      <c r="BB68" s="243"/>
      <c r="BC68" s="243"/>
      <c r="BD68" s="243"/>
      <c r="BE68" s="246" t="s">
        <v>690</v>
      </c>
      <c r="BF68" s="246">
        <v>2.9999999999999997E-4</v>
      </c>
      <c r="BG68" s="246">
        <v>0</v>
      </c>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c r="CM68" s="243"/>
      <c r="CN68" s="243"/>
      <c r="CO68" s="243"/>
      <c r="CP68" s="243"/>
    </row>
    <row r="69" spans="1:94">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9"/>
      <c r="AL69" s="289"/>
      <c r="AM69" s="289"/>
      <c r="AN69" s="289"/>
      <c r="AO69" s="289"/>
      <c r="AP69" s="289"/>
      <c r="AQ69" s="289"/>
      <c r="AR69" s="243"/>
      <c r="AS69" s="243"/>
      <c r="AT69" s="243"/>
      <c r="AU69" s="243"/>
      <c r="AV69" s="243"/>
      <c r="AW69" s="243"/>
      <c r="AX69" s="243"/>
      <c r="AY69" s="243"/>
      <c r="AZ69" s="243"/>
      <c r="BA69" s="243"/>
      <c r="BB69" s="243"/>
      <c r="BC69" s="243"/>
      <c r="BD69" s="243"/>
      <c r="BE69" s="246" t="s">
        <v>691</v>
      </c>
      <c r="BF69" s="246">
        <v>0</v>
      </c>
      <c r="BG69" s="246">
        <v>0</v>
      </c>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row>
    <row r="70" spans="1:94">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9"/>
      <c r="AL70" s="289"/>
      <c r="AM70" s="289"/>
      <c r="AN70" s="289"/>
      <c r="AO70" s="289"/>
      <c r="AP70" s="289"/>
      <c r="AQ70" s="289"/>
      <c r="AR70" s="243"/>
      <c r="AS70" s="243"/>
      <c r="AT70" s="243"/>
      <c r="AU70" s="243"/>
      <c r="AV70" s="243"/>
      <c r="AW70" s="243"/>
      <c r="AX70" s="243"/>
      <c r="AY70" s="243"/>
      <c r="AZ70" s="243"/>
      <c r="BA70" s="243"/>
      <c r="BB70" s="243"/>
      <c r="BC70" s="243"/>
      <c r="BD70" s="243"/>
      <c r="BE70" s="246" t="s">
        <v>692</v>
      </c>
      <c r="BF70" s="246">
        <v>0</v>
      </c>
      <c r="BG70" s="246">
        <v>0</v>
      </c>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row>
    <row r="71" spans="1:94">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9"/>
      <c r="AL71" s="289"/>
      <c r="AM71" s="289"/>
      <c r="AN71" s="289"/>
      <c r="AO71" s="289"/>
      <c r="AP71" s="289"/>
      <c r="AQ71" s="289"/>
      <c r="AR71" s="243"/>
      <c r="AS71" s="243"/>
      <c r="AT71" s="243"/>
      <c r="AU71" s="243"/>
      <c r="AV71" s="243"/>
      <c r="AW71" s="243"/>
      <c r="AX71" s="243"/>
      <c r="AY71" s="243"/>
      <c r="AZ71" s="243"/>
      <c r="BA71" s="243"/>
      <c r="BB71" s="243"/>
      <c r="BC71" s="243"/>
      <c r="BD71" s="243"/>
      <c r="BE71" s="246" t="s">
        <v>693</v>
      </c>
      <c r="BF71" s="246">
        <v>0</v>
      </c>
      <c r="BG71" s="246">
        <v>0</v>
      </c>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row>
    <row r="72" spans="1:94">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9"/>
      <c r="AL72" s="289"/>
      <c r="AM72" s="289"/>
      <c r="AN72" s="289"/>
      <c r="AO72" s="289"/>
      <c r="AP72" s="289"/>
      <c r="AQ72" s="289"/>
      <c r="AR72" s="243"/>
      <c r="AS72" s="243"/>
      <c r="AT72" s="243"/>
      <c r="AU72" s="243"/>
      <c r="AV72" s="243"/>
      <c r="AW72" s="243"/>
      <c r="AX72" s="243"/>
      <c r="AY72" s="243"/>
      <c r="AZ72" s="243"/>
      <c r="BA72" s="243"/>
      <c r="BB72" s="243"/>
      <c r="BC72" s="243"/>
      <c r="BD72" s="243"/>
      <c r="BE72" s="246" t="s">
        <v>694</v>
      </c>
      <c r="BF72" s="246">
        <v>0</v>
      </c>
      <c r="BG72" s="246">
        <v>0</v>
      </c>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row>
    <row r="73" spans="1:94">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9"/>
      <c r="AL73" s="289"/>
      <c r="AM73" s="289"/>
      <c r="AN73" s="289"/>
      <c r="AO73" s="289"/>
      <c r="AP73" s="289"/>
      <c r="AQ73" s="289"/>
      <c r="AR73" s="243"/>
      <c r="AS73" s="243"/>
      <c r="AT73" s="243"/>
      <c r="AU73" s="243"/>
      <c r="AV73" s="243"/>
      <c r="AW73" s="243"/>
      <c r="AX73" s="243"/>
      <c r="AY73" s="243"/>
      <c r="AZ73" s="243"/>
      <c r="BA73" s="243"/>
      <c r="BB73" s="243"/>
      <c r="BC73" s="243"/>
      <c r="BD73" s="243"/>
      <c r="BE73" s="246" t="s">
        <v>695</v>
      </c>
      <c r="BF73" s="246">
        <v>0</v>
      </c>
      <c r="BG73" s="246">
        <v>0</v>
      </c>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243"/>
      <c r="CO73" s="243"/>
      <c r="CP73" s="243"/>
    </row>
    <row r="74" spans="1:94">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9"/>
      <c r="AL74" s="289"/>
      <c r="AM74" s="289"/>
      <c r="AN74" s="289"/>
      <c r="AO74" s="289"/>
      <c r="AP74" s="289"/>
      <c r="AQ74" s="289"/>
      <c r="AR74" s="243"/>
      <c r="AS74" s="243"/>
      <c r="AT74" s="243"/>
      <c r="AU74" s="243"/>
      <c r="AV74" s="243"/>
      <c r="AW74" s="243"/>
      <c r="AX74" s="243"/>
      <c r="AY74" s="243"/>
      <c r="AZ74" s="243"/>
      <c r="BA74" s="243"/>
      <c r="BB74" s="243"/>
      <c r="BC74" s="243"/>
      <c r="BD74" s="243"/>
      <c r="BE74" s="246" t="s">
        <v>696</v>
      </c>
      <c r="BF74" s="246">
        <v>0</v>
      </c>
      <c r="BG74" s="246">
        <v>0</v>
      </c>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row>
    <row r="75" spans="1:94">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9"/>
      <c r="AL75" s="289"/>
      <c r="AM75" s="289"/>
      <c r="AN75" s="289"/>
      <c r="AO75" s="289"/>
      <c r="AP75" s="289"/>
      <c r="AQ75" s="289"/>
      <c r="AR75" s="243"/>
      <c r="AS75" s="243"/>
      <c r="AT75" s="243"/>
      <c r="AU75" s="243"/>
      <c r="AV75" s="243"/>
      <c r="AW75" s="243"/>
      <c r="AX75" s="243"/>
      <c r="AY75" s="243"/>
      <c r="AZ75" s="243"/>
      <c r="BA75" s="243"/>
      <c r="BB75" s="243"/>
      <c r="BC75" s="243"/>
      <c r="BD75" s="243"/>
      <c r="BE75" s="246" t="s">
        <v>697</v>
      </c>
      <c r="BF75" s="246">
        <v>0</v>
      </c>
      <c r="BG75" s="246">
        <v>0</v>
      </c>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row>
    <row r="76" spans="1:94" s="290" customFormat="1">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8"/>
      <c r="AH76" s="288"/>
      <c r="AI76" s="288"/>
      <c r="AJ76" s="288"/>
      <c r="AK76" s="289"/>
      <c r="AL76" s="289"/>
      <c r="AM76" s="289"/>
      <c r="AN76" s="289"/>
      <c r="AO76" s="289"/>
      <c r="AP76" s="289"/>
      <c r="AQ76" s="289"/>
      <c r="AR76" s="243"/>
      <c r="AS76" s="243"/>
      <c r="AT76" s="243"/>
      <c r="AU76" s="243"/>
      <c r="AV76" s="243"/>
      <c r="AW76" s="243"/>
      <c r="AX76" s="243"/>
      <c r="AY76" s="243"/>
      <c r="AZ76" s="243"/>
      <c r="BA76" s="243"/>
      <c r="BB76" s="243"/>
      <c r="BC76" s="243"/>
      <c r="BD76" s="243"/>
      <c r="BE76" s="246" t="s">
        <v>431</v>
      </c>
      <c r="BF76" s="246">
        <v>1E-4</v>
      </c>
      <c r="BG76" s="246">
        <v>0.17530000000000001</v>
      </c>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c r="CM76" s="243"/>
      <c r="CN76" s="243"/>
      <c r="CO76" s="243"/>
      <c r="CP76" s="243"/>
    </row>
    <row r="77" spans="1:94" s="290" customForma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9"/>
      <c r="AL77" s="289"/>
      <c r="AM77" s="289"/>
      <c r="AN77" s="289"/>
      <c r="AO77" s="289"/>
      <c r="AP77" s="289"/>
      <c r="AQ77" s="289"/>
      <c r="AR77" s="243"/>
      <c r="AS77" s="243"/>
      <c r="AT77" s="243"/>
      <c r="AU77" s="243"/>
      <c r="AV77" s="243"/>
      <c r="AW77" s="243"/>
      <c r="AX77" s="243"/>
      <c r="AY77" s="243"/>
      <c r="AZ77" s="243"/>
      <c r="BA77" s="243"/>
      <c r="BB77" s="243"/>
      <c r="BC77" s="243"/>
      <c r="BD77" s="243"/>
      <c r="BE77" s="243"/>
      <c r="BF77" s="246"/>
      <c r="BG77" s="246"/>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c r="CM77" s="243"/>
      <c r="CN77" s="243"/>
      <c r="CO77" s="243"/>
      <c r="CP77" s="243"/>
    </row>
    <row r="78" spans="1:94" s="290" customForma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9"/>
      <c r="AL78" s="289"/>
      <c r="AM78" s="289"/>
      <c r="AN78" s="289"/>
      <c r="AO78" s="289"/>
      <c r="AP78" s="289"/>
      <c r="AQ78" s="289"/>
      <c r="AR78" s="243"/>
      <c r="AS78" s="243"/>
      <c r="AT78" s="243"/>
      <c r="AU78" s="243"/>
      <c r="AV78" s="243"/>
      <c r="AW78" s="243"/>
      <c r="AX78" s="243"/>
      <c r="AY78" s="243"/>
      <c r="AZ78" s="243"/>
      <c r="BA78" s="243"/>
      <c r="BB78" s="243"/>
      <c r="BC78" s="243"/>
      <c r="BD78" s="243"/>
      <c r="BE78" s="243"/>
      <c r="BF78" s="246"/>
      <c r="BG78" s="246"/>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c r="CM78" s="243"/>
      <c r="CN78" s="243"/>
      <c r="CO78" s="243"/>
      <c r="CP78" s="243"/>
    </row>
    <row r="79" spans="1:94" s="290" customForma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9"/>
      <c r="AL79" s="289"/>
      <c r="AM79" s="289"/>
      <c r="AN79" s="289"/>
      <c r="AO79" s="289"/>
      <c r="AP79" s="289"/>
      <c r="AQ79" s="289"/>
      <c r="AR79" s="243"/>
      <c r="AS79" s="243"/>
      <c r="AT79" s="243"/>
      <c r="AU79" s="243"/>
      <c r="AV79" s="243"/>
      <c r="AW79" s="243"/>
      <c r="AX79" s="243"/>
      <c r="AY79" s="243"/>
      <c r="AZ79" s="243"/>
      <c r="BA79" s="243"/>
      <c r="BB79" s="243"/>
      <c r="BC79" s="243"/>
      <c r="BD79" s="243"/>
      <c r="BE79" s="243"/>
      <c r="BF79" s="246"/>
      <c r="BG79" s="246"/>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c r="CM79" s="243"/>
      <c r="CN79" s="243"/>
      <c r="CO79" s="243"/>
      <c r="CP79" s="243"/>
    </row>
    <row r="80" spans="1:94" s="290" customForma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9"/>
      <c r="AL80" s="289"/>
      <c r="AM80" s="289"/>
      <c r="AN80" s="289"/>
      <c r="AO80" s="289"/>
      <c r="AP80" s="289"/>
      <c r="AQ80" s="289"/>
      <c r="AR80" s="243"/>
      <c r="AS80" s="243"/>
      <c r="AT80" s="243"/>
      <c r="AU80" s="243"/>
      <c r="AV80" s="243"/>
      <c r="AW80" s="243"/>
      <c r="AX80" s="243"/>
      <c r="AY80" s="243"/>
      <c r="AZ80" s="243"/>
      <c r="BA80" s="243"/>
      <c r="BB80" s="243"/>
      <c r="BC80" s="243"/>
      <c r="BD80" s="243"/>
      <c r="BE80" s="243"/>
      <c r="BF80" s="246"/>
      <c r="BG80" s="246"/>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c r="CM80" s="243"/>
      <c r="CN80" s="243"/>
      <c r="CO80" s="243"/>
      <c r="CP80" s="243"/>
    </row>
    <row r="81" spans="1:94" s="290" customForma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9"/>
      <c r="AL81" s="289"/>
      <c r="AM81" s="289"/>
      <c r="AN81" s="289"/>
      <c r="AO81" s="289"/>
      <c r="AP81" s="289"/>
      <c r="AQ81" s="289"/>
      <c r="AR81" s="243"/>
      <c r="AS81" s="243"/>
      <c r="AT81" s="243"/>
      <c r="AU81" s="243"/>
      <c r="AV81" s="243"/>
      <c r="AW81" s="243"/>
      <c r="AX81" s="243"/>
      <c r="AY81" s="243"/>
      <c r="AZ81" s="243"/>
      <c r="BA81" s="243"/>
      <c r="BB81" s="243"/>
      <c r="BC81" s="243"/>
      <c r="BD81" s="243"/>
      <c r="BE81" s="243"/>
      <c r="BF81" s="246"/>
      <c r="BG81" s="246"/>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c r="CM81" s="243"/>
      <c r="CN81" s="243"/>
      <c r="CO81" s="243"/>
      <c r="CP81" s="243"/>
    </row>
    <row r="82" spans="1:94" s="290" customForma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9"/>
      <c r="AL82" s="289"/>
      <c r="AM82" s="289"/>
      <c r="AN82" s="289"/>
      <c r="AO82" s="289"/>
      <c r="AP82" s="289"/>
      <c r="AQ82" s="289"/>
      <c r="AR82" s="243"/>
      <c r="AS82" s="243"/>
      <c r="AT82" s="243"/>
      <c r="AU82" s="243"/>
      <c r="AV82" s="243"/>
      <c r="AW82" s="243"/>
      <c r="AX82" s="243"/>
      <c r="AY82" s="243"/>
      <c r="AZ82" s="243"/>
      <c r="BA82" s="243"/>
      <c r="BB82" s="243"/>
      <c r="BC82" s="243"/>
      <c r="BD82" s="243"/>
      <c r="BE82" s="243"/>
      <c r="BF82" s="246"/>
      <c r="BG82" s="246"/>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c r="CM82" s="243"/>
      <c r="CN82" s="243"/>
      <c r="CO82" s="243"/>
      <c r="CP82" s="243"/>
    </row>
    <row r="83" spans="1:94" s="290" customForma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9"/>
      <c r="AL83" s="289"/>
      <c r="AM83" s="289"/>
      <c r="AN83" s="289"/>
      <c r="AO83" s="289"/>
      <c r="AP83" s="289"/>
      <c r="AQ83" s="289"/>
      <c r="AR83" s="243"/>
      <c r="AS83" s="243"/>
      <c r="AT83" s="243"/>
      <c r="AU83" s="243"/>
      <c r="AV83" s="243"/>
      <c r="AW83" s="243"/>
      <c r="AX83" s="243"/>
      <c r="AY83" s="243"/>
      <c r="AZ83" s="243"/>
      <c r="BA83" s="243"/>
      <c r="BB83" s="243"/>
      <c r="BC83" s="243"/>
      <c r="BD83" s="243"/>
      <c r="BE83" s="243"/>
      <c r="BF83" s="246"/>
      <c r="BG83" s="246"/>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c r="CM83" s="243"/>
      <c r="CN83" s="243"/>
      <c r="CO83" s="243"/>
      <c r="CP83" s="243"/>
    </row>
    <row r="84" spans="1:94" s="290" customForma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9"/>
      <c r="AL84" s="289"/>
      <c r="AM84" s="289"/>
      <c r="AN84" s="289"/>
      <c r="AO84" s="289"/>
      <c r="AP84" s="289"/>
      <c r="AQ84" s="289"/>
      <c r="AR84" s="243"/>
      <c r="AS84" s="243"/>
      <c r="AT84" s="243"/>
      <c r="AU84" s="243"/>
      <c r="AV84" s="243"/>
      <c r="AW84" s="243"/>
      <c r="AX84" s="243"/>
      <c r="AY84" s="243"/>
      <c r="AZ84" s="243"/>
      <c r="BA84" s="243"/>
      <c r="BB84" s="243"/>
      <c r="BC84" s="243"/>
      <c r="BD84" s="243"/>
      <c r="BE84" s="243"/>
      <c r="BF84" s="246"/>
      <c r="BG84" s="246"/>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c r="CM84" s="243"/>
      <c r="CN84" s="243"/>
      <c r="CO84" s="243"/>
      <c r="CP84" s="243"/>
    </row>
    <row r="85" spans="1:94" s="290" customForma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9"/>
      <c r="AL85" s="289"/>
      <c r="AM85" s="289"/>
      <c r="AN85" s="289"/>
      <c r="AO85" s="289"/>
      <c r="AP85" s="289"/>
      <c r="AQ85" s="289"/>
      <c r="AR85" s="243"/>
      <c r="AS85" s="243"/>
      <c r="AT85" s="243"/>
      <c r="AU85" s="243"/>
      <c r="AV85" s="243"/>
      <c r="AW85" s="243"/>
      <c r="AX85" s="243"/>
      <c r="AY85" s="243"/>
      <c r="AZ85" s="243"/>
      <c r="BA85" s="243"/>
      <c r="BB85" s="243"/>
      <c r="BC85" s="243"/>
      <c r="BD85" s="243"/>
      <c r="BE85" s="243"/>
      <c r="BF85" s="246"/>
      <c r="BG85" s="246"/>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c r="CM85" s="243"/>
      <c r="CN85" s="243"/>
      <c r="CO85" s="243"/>
      <c r="CP85" s="243"/>
    </row>
    <row r="86" spans="1:94" s="290" customForma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9"/>
      <c r="AL86" s="289"/>
      <c r="AM86" s="289"/>
      <c r="AN86" s="289"/>
      <c r="AO86" s="289"/>
      <c r="AP86" s="289"/>
      <c r="AQ86" s="289"/>
      <c r="AR86" s="243"/>
      <c r="AS86" s="243"/>
      <c r="AT86" s="243"/>
      <c r="AU86" s="243"/>
      <c r="AV86" s="243"/>
      <c r="AW86" s="243"/>
      <c r="AX86" s="243"/>
      <c r="AY86" s="243"/>
      <c r="AZ86" s="243"/>
      <c r="BA86" s="243"/>
      <c r="BB86" s="243"/>
      <c r="BC86" s="243"/>
      <c r="BD86" s="243"/>
      <c r="BE86" s="243"/>
      <c r="BF86" s="246"/>
      <c r="BG86" s="246"/>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row>
    <row r="87" spans="1:94" s="290" customForma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9"/>
      <c r="AL87" s="289"/>
      <c r="AM87" s="289"/>
      <c r="AN87" s="289"/>
      <c r="AO87" s="289"/>
      <c r="AP87" s="289"/>
      <c r="AQ87" s="289"/>
      <c r="AR87" s="243"/>
      <c r="AS87" s="243"/>
      <c r="AT87" s="243"/>
      <c r="AU87" s="243"/>
      <c r="AV87" s="243"/>
      <c r="AW87" s="243"/>
      <c r="AX87" s="243"/>
      <c r="AY87" s="243"/>
      <c r="AZ87" s="243"/>
      <c r="BA87" s="243"/>
      <c r="BB87" s="243"/>
      <c r="BC87" s="243"/>
      <c r="BD87" s="243"/>
      <c r="BE87" s="243"/>
      <c r="BF87" s="246"/>
      <c r="BG87" s="246"/>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c r="CM87" s="243"/>
      <c r="CN87" s="243"/>
      <c r="CO87" s="243"/>
      <c r="CP87" s="243"/>
    </row>
    <row r="88" spans="1:94" s="290" customForma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9"/>
      <c r="AL88" s="289"/>
      <c r="AM88" s="289"/>
      <c r="AN88" s="289"/>
      <c r="AO88" s="289"/>
      <c r="AP88" s="289"/>
      <c r="AQ88" s="289"/>
      <c r="AR88" s="243"/>
      <c r="AS88" s="243"/>
      <c r="AT88" s="243"/>
      <c r="AU88" s="243"/>
      <c r="AV88" s="243"/>
      <c r="AW88" s="243"/>
      <c r="AX88" s="243"/>
      <c r="AY88" s="243"/>
      <c r="AZ88" s="243"/>
      <c r="BA88" s="243"/>
      <c r="BB88" s="243"/>
      <c r="BC88" s="243"/>
      <c r="BD88" s="243"/>
      <c r="BE88" s="243"/>
      <c r="BF88" s="246"/>
      <c r="BG88" s="246"/>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c r="CM88" s="243"/>
      <c r="CN88" s="243"/>
      <c r="CO88" s="243"/>
      <c r="CP88" s="243"/>
    </row>
    <row r="89" spans="1:94" s="290" customForma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9"/>
      <c r="AL89" s="289"/>
      <c r="AM89" s="289"/>
      <c r="AN89" s="289"/>
      <c r="AO89" s="289"/>
      <c r="AP89" s="289"/>
      <c r="AQ89" s="289"/>
      <c r="AR89" s="243"/>
      <c r="AS89" s="243"/>
      <c r="AT89" s="243"/>
      <c r="AU89" s="243"/>
      <c r="AV89" s="243"/>
      <c r="AW89" s="243"/>
      <c r="AX89" s="243"/>
      <c r="AY89" s="243"/>
      <c r="AZ89" s="243"/>
      <c r="BA89" s="243"/>
      <c r="BB89" s="243"/>
      <c r="BC89" s="243"/>
      <c r="BD89" s="243"/>
      <c r="BE89" s="243"/>
      <c r="BF89" s="246"/>
      <c r="BG89" s="246"/>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row>
    <row r="90" spans="1:94" s="290" customForma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9"/>
      <c r="AL90" s="289"/>
      <c r="AM90" s="289"/>
      <c r="AN90" s="289"/>
      <c r="AO90" s="289"/>
      <c r="AP90" s="289"/>
      <c r="AQ90" s="289"/>
      <c r="AR90" s="243"/>
      <c r="AS90" s="243"/>
      <c r="AT90" s="243"/>
      <c r="AU90" s="243"/>
      <c r="AV90" s="243"/>
      <c r="AW90" s="243"/>
      <c r="AX90" s="243"/>
      <c r="AY90" s="243"/>
      <c r="AZ90" s="243"/>
      <c r="BA90" s="243"/>
      <c r="BB90" s="243"/>
      <c r="BC90" s="243"/>
      <c r="BD90" s="243"/>
      <c r="BE90" s="243"/>
      <c r="BF90" s="246"/>
      <c r="BG90" s="246"/>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row>
    <row r="91" spans="1:94" s="290" customFormat="1">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9"/>
      <c r="AL91" s="289"/>
      <c r="AM91" s="289"/>
      <c r="AN91" s="289"/>
      <c r="AO91" s="289"/>
      <c r="AP91" s="289"/>
      <c r="AQ91" s="289"/>
      <c r="AR91" s="243"/>
      <c r="AS91" s="243"/>
      <c r="AT91" s="243"/>
      <c r="AU91" s="243"/>
      <c r="AV91" s="243"/>
      <c r="AW91" s="243"/>
      <c r="AX91" s="243"/>
      <c r="AY91" s="243"/>
      <c r="AZ91" s="243"/>
      <c r="BA91" s="243"/>
      <c r="BB91" s="243"/>
      <c r="BC91" s="243"/>
      <c r="BD91" s="243"/>
      <c r="BE91" s="243"/>
      <c r="BF91" s="246"/>
      <c r="BG91" s="246"/>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row>
    <row r="92" spans="1:94">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9"/>
      <c r="AL92" s="289"/>
      <c r="AM92" s="289"/>
      <c r="AN92" s="289"/>
      <c r="AO92" s="289"/>
      <c r="AP92" s="289"/>
      <c r="AQ92" s="289"/>
      <c r="AR92" s="243"/>
      <c r="AS92" s="243"/>
      <c r="AT92" s="243"/>
      <c r="AU92" s="243"/>
      <c r="AV92" s="243"/>
      <c r="AW92" s="243"/>
      <c r="AX92" s="243"/>
      <c r="AY92" s="243"/>
      <c r="AZ92" s="243"/>
      <c r="BA92" s="243"/>
      <c r="BB92" s="243"/>
      <c r="BC92" s="243"/>
      <c r="BD92" s="243"/>
      <c r="BE92" s="243"/>
      <c r="BF92" s="246"/>
      <c r="BG92" s="246"/>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row>
    <row r="93" spans="1:94">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9"/>
      <c r="AL93" s="289"/>
      <c r="AM93" s="289"/>
      <c r="AN93" s="289"/>
      <c r="AO93" s="289"/>
      <c r="AP93" s="289"/>
      <c r="AQ93" s="289"/>
      <c r="AR93" s="243"/>
      <c r="AS93" s="243"/>
      <c r="AT93" s="243"/>
      <c r="AU93" s="243"/>
      <c r="AV93" s="243"/>
      <c r="AW93" s="243"/>
      <c r="AX93" s="243"/>
      <c r="AY93" s="243"/>
      <c r="AZ93" s="243"/>
      <c r="BA93" s="243"/>
      <c r="BB93" s="243"/>
      <c r="BC93" s="243"/>
      <c r="BD93" s="243"/>
      <c r="BE93" s="243"/>
      <c r="BF93" s="246"/>
      <c r="BG93" s="246"/>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row>
    <row r="94" spans="1:94">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9"/>
      <c r="AL94" s="289"/>
      <c r="AM94" s="289"/>
      <c r="AN94" s="289"/>
      <c r="AO94" s="289"/>
      <c r="AP94" s="289"/>
      <c r="AQ94" s="289"/>
      <c r="AR94" s="243"/>
      <c r="AS94" s="243"/>
      <c r="AT94" s="243"/>
      <c r="AU94" s="243"/>
      <c r="AV94" s="243"/>
      <c r="AW94" s="243"/>
      <c r="AX94" s="243"/>
      <c r="AY94" s="243"/>
      <c r="AZ94" s="243"/>
      <c r="BA94" s="243"/>
      <c r="BB94" s="243"/>
      <c r="BC94" s="243"/>
      <c r="BD94" s="243"/>
      <c r="BE94" s="243"/>
      <c r="BF94" s="246"/>
      <c r="BG94" s="246"/>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row>
    <row r="95" spans="1:94">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9"/>
      <c r="AL95" s="289"/>
      <c r="AM95" s="289"/>
      <c r="AN95" s="289"/>
      <c r="AO95" s="289"/>
      <c r="AP95" s="289"/>
      <c r="AQ95" s="289"/>
      <c r="AR95" s="243"/>
      <c r="AS95" s="243"/>
      <c r="AT95" s="243"/>
      <c r="AU95" s="243"/>
      <c r="AV95" s="243"/>
      <c r="AW95" s="243"/>
      <c r="AX95" s="243"/>
      <c r="AY95" s="243"/>
      <c r="AZ95" s="243"/>
      <c r="BA95" s="243"/>
      <c r="BB95" s="243"/>
      <c r="BC95" s="243"/>
      <c r="BD95" s="243"/>
      <c r="BE95" s="243"/>
      <c r="BF95" s="246"/>
      <c r="BG95" s="246"/>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row>
    <row r="96" spans="1:94">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9"/>
      <c r="AL96" s="289"/>
      <c r="AM96" s="289"/>
      <c r="AN96" s="289"/>
      <c r="AO96" s="289"/>
      <c r="AP96" s="289"/>
      <c r="AQ96" s="289"/>
      <c r="AR96" s="243"/>
      <c r="AS96" s="243"/>
      <c r="AT96" s="243"/>
      <c r="AU96" s="243"/>
      <c r="AV96" s="243"/>
      <c r="AW96" s="243"/>
      <c r="AX96" s="243"/>
      <c r="AY96" s="243"/>
      <c r="AZ96" s="243"/>
      <c r="BA96" s="243"/>
      <c r="BB96" s="243"/>
      <c r="BC96" s="243"/>
      <c r="BD96" s="243"/>
      <c r="BE96" s="243"/>
      <c r="BF96" s="246"/>
      <c r="BG96" s="246"/>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row>
    <row r="97" spans="1:94">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9"/>
      <c r="AL97" s="289"/>
      <c r="AM97" s="289"/>
      <c r="AN97" s="289"/>
      <c r="AO97" s="289"/>
      <c r="AP97" s="289"/>
      <c r="AQ97" s="289"/>
      <c r="AR97" s="243"/>
      <c r="AS97" s="243"/>
      <c r="AT97" s="243"/>
      <c r="AU97" s="243"/>
      <c r="AV97" s="243"/>
      <c r="AW97" s="243"/>
      <c r="AX97" s="243"/>
      <c r="AY97" s="243"/>
      <c r="AZ97" s="243"/>
      <c r="BA97" s="243"/>
      <c r="BB97" s="243"/>
      <c r="BC97" s="243"/>
      <c r="BD97" s="243"/>
      <c r="BE97" s="243"/>
      <c r="BF97" s="246"/>
      <c r="BG97" s="246"/>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c r="CM97" s="243"/>
      <c r="CN97" s="243"/>
      <c r="CO97" s="243"/>
      <c r="CP97" s="243"/>
    </row>
    <row r="98" spans="1:94">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9"/>
      <c r="AL98" s="289"/>
      <c r="AM98" s="289"/>
      <c r="AN98" s="289"/>
      <c r="AO98" s="289"/>
      <c r="AP98" s="289"/>
      <c r="AQ98" s="289"/>
      <c r="AR98" s="243"/>
      <c r="AS98" s="243"/>
      <c r="AT98" s="243"/>
      <c r="AU98" s="243"/>
      <c r="AV98" s="243"/>
      <c r="AW98" s="243"/>
      <c r="AX98" s="243"/>
      <c r="AY98" s="243"/>
      <c r="AZ98" s="243"/>
      <c r="BA98" s="243"/>
      <c r="BB98" s="243"/>
      <c r="BC98" s="243"/>
      <c r="BD98" s="243"/>
      <c r="BE98" s="243"/>
      <c r="BF98" s="246"/>
      <c r="BG98" s="246"/>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c r="CM98" s="243"/>
      <c r="CN98" s="243"/>
      <c r="CO98" s="243"/>
      <c r="CP98" s="243"/>
    </row>
    <row r="99" spans="1:94">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9"/>
      <c r="AL99" s="289"/>
      <c r="AM99" s="289"/>
      <c r="AN99" s="289"/>
      <c r="AO99" s="289"/>
      <c r="AP99" s="289"/>
      <c r="AQ99" s="289"/>
      <c r="AR99" s="243"/>
      <c r="AS99" s="243"/>
      <c r="AT99" s="243"/>
      <c r="AU99" s="243"/>
      <c r="AV99" s="243"/>
      <c r="AW99" s="243"/>
      <c r="AX99" s="243"/>
      <c r="AY99" s="243"/>
      <c r="AZ99" s="243"/>
      <c r="BA99" s="243"/>
      <c r="BB99" s="243"/>
      <c r="BC99" s="243"/>
      <c r="BD99" s="243"/>
      <c r="BE99" s="243"/>
      <c r="BF99" s="246"/>
      <c r="BG99" s="246"/>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c r="CM99" s="243"/>
      <c r="CN99" s="243"/>
      <c r="CO99" s="243"/>
      <c r="CP99" s="243"/>
    </row>
    <row r="100" spans="1:94">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9"/>
      <c r="AL100" s="289"/>
      <c r="AM100" s="289"/>
      <c r="AN100" s="289"/>
      <c r="AO100" s="289"/>
      <c r="AP100" s="289"/>
      <c r="AQ100" s="289"/>
      <c r="AR100" s="243"/>
      <c r="AS100" s="243"/>
      <c r="AT100" s="243"/>
      <c r="AU100" s="243"/>
      <c r="AV100" s="243"/>
      <c r="AW100" s="243"/>
      <c r="AX100" s="243"/>
      <c r="AY100" s="243"/>
      <c r="AZ100" s="243"/>
      <c r="BA100" s="243"/>
      <c r="BB100" s="243"/>
      <c r="BC100" s="243"/>
      <c r="BD100" s="243"/>
      <c r="BE100" s="243"/>
      <c r="BF100" s="246"/>
      <c r="BG100" s="246"/>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c r="CM100" s="243"/>
      <c r="CN100" s="243"/>
      <c r="CO100" s="243"/>
      <c r="CP100" s="243"/>
    </row>
    <row r="101" spans="1:94">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9"/>
      <c r="AL101" s="289"/>
      <c r="AM101" s="289"/>
      <c r="AN101" s="289"/>
      <c r="AO101" s="289"/>
      <c r="AP101" s="289"/>
      <c r="AQ101" s="289"/>
      <c r="AR101" s="243"/>
      <c r="AS101" s="243"/>
      <c r="AT101" s="243"/>
      <c r="AU101" s="243"/>
      <c r="AV101" s="243"/>
      <c r="AW101" s="243"/>
      <c r="AX101" s="243"/>
      <c r="AY101" s="243"/>
      <c r="AZ101" s="243"/>
      <c r="BA101" s="243"/>
      <c r="BB101" s="243"/>
      <c r="BC101" s="243"/>
      <c r="BD101" s="243"/>
      <c r="BE101" s="243"/>
      <c r="BF101" s="246"/>
      <c r="BG101" s="246"/>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c r="CM101" s="243"/>
      <c r="CN101" s="243"/>
      <c r="CO101" s="243"/>
      <c r="CP101" s="243"/>
    </row>
    <row r="102" spans="1:94">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9"/>
      <c r="AL102" s="289"/>
      <c r="AM102" s="289"/>
      <c r="AN102" s="289"/>
      <c r="AO102" s="289"/>
      <c r="AP102" s="289"/>
      <c r="AQ102" s="289"/>
      <c r="AR102" s="243"/>
      <c r="AS102" s="243"/>
      <c r="AT102" s="243"/>
      <c r="AU102" s="243"/>
      <c r="AV102" s="243"/>
      <c r="AW102" s="243"/>
      <c r="AX102" s="243"/>
      <c r="AY102" s="243"/>
      <c r="AZ102" s="243"/>
      <c r="BA102" s="243"/>
      <c r="BB102" s="243"/>
      <c r="BC102" s="243"/>
      <c r="BD102" s="243"/>
      <c r="BE102" s="243"/>
      <c r="BF102" s="246"/>
      <c r="BG102" s="246"/>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row>
    <row r="103" spans="1:94">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9"/>
      <c r="AL103" s="289"/>
      <c r="AM103" s="289"/>
      <c r="AN103" s="289"/>
      <c r="AO103" s="289"/>
      <c r="AP103" s="289"/>
      <c r="AQ103" s="289"/>
      <c r="AR103" s="243"/>
      <c r="AS103" s="243"/>
      <c r="AT103" s="243"/>
      <c r="AU103" s="243"/>
      <c r="AV103" s="243"/>
      <c r="AW103" s="243"/>
      <c r="AX103" s="243"/>
      <c r="AY103" s="243"/>
      <c r="AZ103" s="243"/>
      <c r="BA103" s="243"/>
      <c r="BB103" s="243"/>
      <c r="BC103" s="243"/>
      <c r="BD103" s="243"/>
      <c r="BE103" s="243"/>
      <c r="BF103" s="246"/>
      <c r="BG103" s="246"/>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row>
    <row r="104" spans="1:94">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9"/>
      <c r="AL104" s="289"/>
      <c r="AM104" s="289"/>
      <c r="AN104" s="289"/>
      <c r="AO104" s="289"/>
      <c r="AP104" s="289"/>
      <c r="AQ104" s="289"/>
      <c r="AR104" s="243"/>
      <c r="AS104" s="243"/>
      <c r="AT104" s="243"/>
      <c r="AU104" s="243"/>
      <c r="AV104" s="243"/>
      <c r="AW104" s="243"/>
      <c r="AX104" s="243"/>
      <c r="AY104" s="243"/>
      <c r="AZ104" s="243"/>
      <c r="BA104" s="243"/>
      <c r="BB104" s="243"/>
      <c r="BC104" s="243"/>
      <c r="BD104" s="243"/>
      <c r="BE104" s="243"/>
      <c r="BF104" s="246"/>
      <c r="BG104" s="246"/>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row>
    <row r="105" spans="1:94">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9"/>
      <c r="AL105" s="289"/>
      <c r="AM105" s="289"/>
      <c r="AN105" s="289"/>
      <c r="AO105" s="289"/>
      <c r="AP105" s="289"/>
      <c r="AQ105" s="289"/>
      <c r="AR105" s="243"/>
      <c r="AS105" s="243"/>
      <c r="AT105" s="243"/>
      <c r="AU105" s="243"/>
      <c r="AV105" s="243"/>
      <c r="AW105" s="243"/>
      <c r="AX105" s="243"/>
      <c r="AY105" s="243"/>
      <c r="AZ105" s="243"/>
      <c r="BA105" s="243"/>
      <c r="BB105" s="243"/>
      <c r="BC105" s="243"/>
      <c r="BD105" s="243"/>
      <c r="BE105" s="243"/>
      <c r="BF105" s="246"/>
      <c r="BG105" s="246"/>
      <c r="BH105" s="243"/>
      <c r="BI105" s="243"/>
      <c r="BJ105" s="243"/>
      <c r="BK105" s="243"/>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row>
    <row r="106" spans="1:94">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9"/>
      <c r="AL106" s="289"/>
      <c r="AM106" s="289"/>
      <c r="AN106" s="289"/>
      <c r="AO106" s="289"/>
      <c r="AP106" s="289"/>
      <c r="AQ106" s="289"/>
      <c r="AR106" s="243"/>
      <c r="AS106" s="243"/>
      <c r="AT106" s="243"/>
      <c r="AU106" s="243"/>
      <c r="AV106" s="243"/>
      <c r="AW106" s="243"/>
      <c r="AX106" s="243"/>
      <c r="AY106" s="243"/>
      <c r="AZ106" s="243"/>
      <c r="BA106" s="243"/>
      <c r="BB106" s="243"/>
      <c r="BC106" s="243"/>
      <c r="BD106" s="243"/>
      <c r="BE106" s="243"/>
      <c r="BF106" s="246"/>
      <c r="BG106" s="246"/>
      <c r="BH106" s="243"/>
      <c r="BI106" s="243"/>
      <c r="BJ106" s="243"/>
      <c r="BK106" s="243"/>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row>
    <row r="107" spans="1:94">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9"/>
      <c r="AL107" s="289"/>
      <c r="AM107" s="289"/>
      <c r="AN107" s="289"/>
      <c r="AO107" s="289"/>
      <c r="AP107" s="289"/>
      <c r="AQ107" s="289"/>
      <c r="AR107" s="243"/>
      <c r="AS107" s="243"/>
      <c r="AT107" s="243"/>
      <c r="AU107" s="243"/>
      <c r="AV107" s="243"/>
      <c r="AW107" s="243"/>
      <c r="AX107" s="243"/>
      <c r="AY107" s="243"/>
      <c r="AZ107" s="243"/>
      <c r="BA107" s="243"/>
      <c r="BB107" s="243"/>
      <c r="BC107" s="243"/>
      <c r="BD107" s="243"/>
      <c r="BE107" s="243"/>
      <c r="BF107" s="246"/>
      <c r="BG107" s="246"/>
      <c r="BH107" s="243"/>
      <c r="BI107" s="243"/>
      <c r="BJ107" s="243"/>
      <c r="BK107" s="243"/>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row>
    <row r="108" spans="1:94">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9"/>
      <c r="AL108" s="289"/>
      <c r="AM108" s="289"/>
      <c r="AN108" s="289"/>
      <c r="AO108" s="289"/>
      <c r="AP108" s="289"/>
      <c r="AQ108" s="289"/>
      <c r="AR108" s="243"/>
      <c r="AS108" s="243"/>
      <c r="AT108" s="243"/>
      <c r="AU108" s="243"/>
      <c r="AV108" s="243"/>
      <c r="AW108" s="243"/>
      <c r="AX108" s="243"/>
      <c r="AY108" s="243"/>
      <c r="AZ108" s="243"/>
      <c r="BA108" s="243"/>
      <c r="BB108" s="243"/>
      <c r="BC108" s="243"/>
      <c r="BD108" s="243"/>
      <c r="BE108" s="243"/>
      <c r="BF108" s="246"/>
      <c r="BG108" s="246"/>
      <c r="BH108" s="243"/>
      <c r="BI108" s="243"/>
      <c r="BJ108" s="243"/>
      <c r="BK108" s="243"/>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row>
    <row r="109" spans="1:94">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9"/>
      <c r="AL109" s="289"/>
      <c r="AM109" s="289"/>
      <c r="AN109" s="289"/>
      <c r="AO109" s="289"/>
      <c r="AP109" s="289"/>
      <c r="AQ109" s="289"/>
      <c r="AR109" s="243"/>
      <c r="AS109" s="243"/>
      <c r="AT109" s="243"/>
      <c r="AU109" s="243"/>
      <c r="AV109" s="243"/>
      <c r="AW109" s="243"/>
      <c r="AX109" s="243"/>
      <c r="AY109" s="243"/>
      <c r="AZ109" s="243"/>
      <c r="BA109" s="243"/>
      <c r="BB109" s="243"/>
      <c r="BC109" s="243"/>
      <c r="BD109" s="243"/>
      <c r="BE109" s="243"/>
      <c r="BF109" s="246"/>
      <c r="BG109" s="246"/>
      <c r="BH109" s="243"/>
      <c r="BI109" s="243"/>
      <c r="BJ109" s="243"/>
      <c r="BK109" s="243"/>
      <c r="BL109" s="243"/>
      <c r="BM109" s="243"/>
      <c r="BN109" s="243"/>
      <c r="BO109" s="243"/>
      <c r="BP109" s="243"/>
      <c r="BQ109" s="243"/>
      <c r="BR109" s="243"/>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c r="CM109" s="243"/>
      <c r="CN109" s="243"/>
      <c r="CO109" s="243"/>
      <c r="CP109" s="243"/>
    </row>
    <row r="110" spans="1:94">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9"/>
      <c r="AL110" s="289"/>
      <c r="AM110" s="289"/>
      <c r="AN110" s="289"/>
      <c r="AO110" s="289"/>
      <c r="AP110" s="289"/>
      <c r="AQ110" s="289"/>
      <c r="AR110" s="243"/>
      <c r="AS110" s="243"/>
      <c r="AT110" s="243"/>
      <c r="AU110" s="243"/>
      <c r="AV110" s="243"/>
      <c r="AW110" s="243"/>
      <c r="AX110" s="243"/>
      <c r="AY110" s="243"/>
      <c r="AZ110" s="243"/>
      <c r="BA110" s="243"/>
      <c r="BB110" s="243"/>
      <c r="BC110" s="243"/>
      <c r="BD110" s="243"/>
      <c r="BE110" s="243"/>
      <c r="BF110" s="246"/>
      <c r="BG110" s="246"/>
      <c r="BH110" s="243"/>
      <c r="BI110" s="243"/>
      <c r="BJ110" s="243"/>
      <c r="BK110" s="243"/>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row>
    <row r="111" spans="1:94">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9"/>
      <c r="AL111" s="289"/>
      <c r="AM111" s="289"/>
      <c r="AN111" s="289"/>
      <c r="AO111" s="289"/>
      <c r="AP111" s="289"/>
      <c r="AQ111" s="289"/>
      <c r="AR111" s="243"/>
      <c r="AS111" s="243"/>
      <c r="AT111" s="243"/>
      <c r="AU111" s="243"/>
      <c r="AV111" s="243"/>
      <c r="AW111" s="243"/>
      <c r="AX111" s="243"/>
      <c r="AY111" s="243"/>
      <c r="AZ111" s="243"/>
      <c r="BA111" s="243"/>
      <c r="BB111" s="243"/>
      <c r="BC111" s="243"/>
      <c r="BD111" s="243"/>
      <c r="BE111" s="243"/>
      <c r="BF111" s="246"/>
      <c r="BG111" s="246"/>
      <c r="BH111" s="243"/>
      <c r="BI111" s="243"/>
      <c r="BJ111" s="243"/>
      <c r="BK111" s="243"/>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row>
    <row r="112" spans="1:94">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9"/>
      <c r="AL112" s="289"/>
      <c r="AM112" s="289"/>
      <c r="AN112" s="289"/>
      <c r="AO112" s="289"/>
      <c r="AP112" s="289"/>
      <c r="AQ112" s="289"/>
      <c r="AR112" s="243"/>
      <c r="AS112" s="243"/>
      <c r="AT112" s="243"/>
      <c r="AU112" s="243"/>
      <c r="AV112" s="243"/>
      <c r="AW112" s="243"/>
      <c r="AX112" s="243"/>
      <c r="AY112" s="243"/>
      <c r="AZ112" s="243"/>
      <c r="BA112" s="243"/>
      <c r="BB112" s="243"/>
      <c r="BC112" s="243"/>
      <c r="BD112" s="243"/>
      <c r="BE112" s="243"/>
      <c r="BF112" s="246"/>
      <c r="BG112" s="246"/>
      <c r="BH112" s="243"/>
      <c r="BI112" s="243"/>
      <c r="BJ112" s="243"/>
      <c r="BK112" s="243"/>
      <c r="BL112" s="243"/>
      <c r="BM112" s="243"/>
      <c r="BN112" s="243"/>
      <c r="BO112" s="243"/>
      <c r="BP112" s="243"/>
      <c r="BQ112" s="243"/>
      <c r="BR112" s="243"/>
      <c r="BS112" s="243"/>
      <c r="BT112" s="243"/>
      <c r="BU112" s="243"/>
      <c r="BV112" s="243"/>
      <c r="BW112" s="243"/>
      <c r="BX112" s="243"/>
      <c r="BY112" s="243"/>
      <c r="BZ112" s="243"/>
      <c r="CA112" s="243"/>
      <c r="CB112" s="243"/>
      <c r="CC112" s="243"/>
      <c r="CD112" s="243"/>
      <c r="CE112" s="243"/>
      <c r="CF112" s="243"/>
      <c r="CG112" s="243"/>
      <c r="CH112" s="243"/>
      <c r="CI112" s="243"/>
      <c r="CJ112" s="243"/>
      <c r="CK112" s="243"/>
      <c r="CL112" s="243"/>
      <c r="CM112" s="243"/>
      <c r="CN112" s="243"/>
      <c r="CO112" s="243"/>
      <c r="CP112" s="243"/>
    </row>
    <row r="113" spans="1:94">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9"/>
      <c r="AL113" s="289"/>
      <c r="AM113" s="289"/>
      <c r="AN113" s="289"/>
      <c r="AO113" s="289"/>
      <c r="AP113" s="289"/>
      <c r="AQ113" s="289"/>
      <c r="AR113" s="243"/>
      <c r="AS113" s="243"/>
      <c r="AT113" s="243"/>
      <c r="AU113" s="243"/>
      <c r="AV113" s="243"/>
      <c r="AW113" s="243"/>
      <c r="AX113" s="243"/>
      <c r="AY113" s="243"/>
      <c r="AZ113" s="243"/>
      <c r="BA113" s="243"/>
      <c r="BB113" s="243"/>
      <c r="BC113" s="243"/>
      <c r="BD113" s="243"/>
      <c r="BE113" s="243"/>
      <c r="BF113" s="246"/>
      <c r="BG113" s="246"/>
      <c r="BH113" s="243"/>
      <c r="BI113" s="243"/>
      <c r="BJ113" s="243"/>
      <c r="BK113" s="243"/>
      <c r="BL113" s="243"/>
      <c r="BM113" s="243"/>
      <c r="BN113" s="243"/>
      <c r="BO113" s="243"/>
      <c r="BP113" s="243"/>
      <c r="BQ113" s="243"/>
      <c r="BR113" s="243"/>
      <c r="BS113" s="243"/>
      <c r="BT113" s="243"/>
      <c r="BU113" s="243"/>
      <c r="BV113" s="243"/>
      <c r="BW113" s="243"/>
      <c r="BX113" s="243"/>
      <c r="BY113" s="243"/>
      <c r="BZ113" s="243"/>
      <c r="CA113" s="243"/>
      <c r="CB113" s="243"/>
      <c r="CC113" s="243"/>
      <c r="CD113" s="243"/>
      <c r="CE113" s="243"/>
      <c r="CF113" s="243"/>
      <c r="CG113" s="243"/>
      <c r="CH113" s="243"/>
      <c r="CI113" s="243"/>
      <c r="CJ113" s="243"/>
      <c r="CK113" s="243"/>
      <c r="CL113" s="243"/>
      <c r="CM113" s="243"/>
      <c r="CN113" s="243"/>
      <c r="CO113" s="243"/>
      <c r="CP113" s="243"/>
    </row>
    <row r="114" spans="1:94">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9"/>
      <c r="AL114" s="289"/>
      <c r="AM114" s="289"/>
      <c r="AN114" s="289"/>
      <c r="AO114" s="289"/>
      <c r="AP114" s="289"/>
      <c r="AQ114" s="289"/>
      <c r="AR114" s="243"/>
      <c r="AS114" s="243"/>
      <c r="AT114" s="243"/>
      <c r="AU114" s="243"/>
      <c r="AV114" s="243"/>
      <c r="AW114" s="243"/>
      <c r="AX114" s="243"/>
      <c r="AY114" s="243"/>
      <c r="AZ114" s="243"/>
      <c r="BA114" s="243"/>
      <c r="BB114" s="243"/>
      <c r="BC114" s="243"/>
      <c r="BD114" s="243"/>
      <c r="BE114" s="243"/>
      <c r="BF114" s="246"/>
      <c r="BG114" s="246"/>
      <c r="BH114" s="243"/>
      <c r="BI114" s="243"/>
      <c r="BJ114" s="243"/>
      <c r="BK114" s="243"/>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row>
    <row r="115" spans="1:94">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9"/>
      <c r="AL115" s="289"/>
      <c r="AM115" s="289"/>
      <c r="AN115" s="289"/>
      <c r="AO115" s="289"/>
      <c r="AP115" s="289"/>
      <c r="AQ115" s="289"/>
      <c r="AR115" s="243"/>
      <c r="AS115" s="243"/>
      <c r="AT115" s="243"/>
      <c r="AU115" s="243"/>
      <c r="AV115" s="243"/>
      <c r="AW115" s="243"/>
      <c r="AX115" s="243"/>
      <c r="AY115" s="243"/>
      <c r="AZ115" s="243"/>
      <c r="BA115" s="243"/>
      <c r="BB115" s="243"/>
      <c r="BC115" s="243"/>
      <c r="BD115" s="243"/>
      <c r="BE115" s="243"/>
      <c r="BF115" s="246"/>
      <c r="BG115" s="246"/>
      <c r="BH115" s="243"/>
      <c r="BI115" s="243"/>
      <c r="BJ115" s="243"/>
      <c r="BK115" s="243"/>
      <c r="BL115" s="243"/>
      <c r="BM115" s="243"/>
      <c r="BN115" s="243"/>
      <c r="BO115" s="243"/>
      <c r="BP115" s="243"/>
      <c r="BQ115" s="243"/>
      <c r="BR115" s="243"/>
      <c r="BS115" s="243"/>
      <c r="BT115" s="243"/>
      <c r="BU115" s="243"/>
      <c r="BV115" s="243"/>
      <c r="BW115" s="243"/>
      <c r="BX115" s="243"/>
      <c r="BY115" s="243"/>
      <c r="BZ115" s="243"/>
      <c r="CA115" s="243"/>
      <c r="CB115" s="243"/>
      <c r="CC115" s="243"/>
      <c r="CD115" s="243"/>
      <c r="CE115" s="243"/>
      <c r="CF115" s="243"/>
      <c r="CG115" s="243"/>
      <c r="CH115" s="243"/>
      <c r="CI115" s="243"/>
      <c r="CJ115" s="243"/>
      <c r="CK115" s="243"/>
      <c r="CL115" s="243"/>
      <c r="CM115" s="243"/>
      <c r="CN115" s="243"/>
      <c r="CO115" s="243"/>
      <c r="CP115" s="243"/>
    </row>
    <row r="116" spans="1:94">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9"/>
      <c r="AL116" s="289"/>
      <c r="AM116" s="289"/>
      <c r="AN116" s="289"/>
      <c r="AO116" s="289"/>
      <c r="AP116" s="289"/>
      <c r="AQ116" s="289"/>
      <c r="AR116" s="243"/>
      <c r="AS116" s="243"/>
      <c r="AT116" s="243"/>
      <c r="AU116" s="243"/>
      <c r="AV116" s="243"/>
      <c r="AW116" s="243"/>
      <c r="AX116" s="243"/>
      <c r="AY116" s="243"/>
      <c r="AZ116" s="243"/>
      <c r="BA116" s="243"/>
      <c r="BB116" s="243"/>
      <c r="BC116" s="243"/>
      <c r="BD116" s="243"/>
      <c r="BE116" s="243"/>
      <c r="BF116" s="246"/>
      <c r="BG116" s="246"/>
      <c r="BH116" s="243"/>
      <c r="BI116" s="243"/>
      <c r="BJ116" s="243"/>
      <c r="BK116" s="243"/>
      <c r="BL116" s="243"/>
      <c r="BM116" s="243"/>
      <c r="BN116" s="243"/>
      <c r="BO116" s="243"/>
      <c r="BP116" s="243"/>
      <c r="BQ116" s="243"/>
      <c r="BR116" s="243"/>
      <c r="BS116" s="243"/>
      <c r="BT116" s="243"/>
      <c r="BU116" s="243"/>
      <c r="BV116" s="243"/>
      <c r="BW116" s="243"/>
      <c r="BX116" s="243"/>
      <c r="BY116" s="243"/>
      <c r="BZ116" s="243"/>
      <c r="CA116" s="243"/>
      <c r="CB116" s="243"/>
      <c r="CC116" s="243"/>
      <c r="CD116" s="243"/>
      <c r="CE116" s="243"/>
      <c r="CF116" s="243"/>
      <c r="CG116" s="243"/>
      <c r="CH116" s="243"/>
      <c r="CI116" s="243"/>
      <c r="CJ116" s="243"/>
      <c r="CK116" s="243"/>
      <c r="CL116" s="243"/>
      <c r="CM116" s="243"/>
      <c r="CN116" s="243"/>
      <c r="CO116" s="243"/>
      <c r="CP116" s="243"/>
    </row>
    <row r="117" spans="1:94">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9"/>
      <c r="AL117" s="289"/>
      <c r="AM117" s="289"/>
      <c r="AN117" s="289"/>
      <c r="AO117" s="289"/>
      <c r="AP117" s="289"/>
      <c r="AQ117" s="289"/>
      <c r="AR117" s="243"/>
      <c r="AS117" s="243"/>
      <c r="AT117" s="243"/>
      <c r="AU117" s="243"/>
      <c r="AV117" s="243"/>
      <c r="AW117" s="243"/>
      <c r="AX117" s="243"/>
      <c r="AY117" s="243"/>
      <c r="AZ117" s="243"/>
      <c r="BA117" s="243"/>
      <c r="BB117" s="243"/>
      <c r="BC117" s="243"/>
      <c r="BD117" s="243"/>
      <c r="BE117" s="243"/>
      <c r="BF117" s="246"/>
      <c r="BG117" s="246"/>
      <c r="BH117" s="243"/>
      <c r="BI117" s="243"/>
      <c r="BJ117" s="243"/>
      <c r="BK117" s="243"/>
      <c r="BL117" s="243"/>
      <c r="BM117" s="243"/>
      <c r="BN117" s="243"/>
      <c r="BO117" s="243"/>
      <c r="BP117" s="243"/>
      <c r="BQ117" s="243"/>
      <c r="BR117" s="243"/>
      <c r="BS117" s="243"/>
      <c r="BT117" s="243"/>
      <c r="BU117" s="243"/>
      <c r="BV117" s="243"/>
      <c r="BW117" s="243"/>
      <c r="BX117" s="243"/>
      <c r="BY117" s="243"/>
      <c r="BZ117" s="243"/>
      <c r="CA117" s="243"/>
      <c r="CB117" s="243"/>
      <c r="CC117" s="243"/>
      <c r="CD117" s="243"/>
      <c r="CE117" s="243"/>
      <c r="CF117" s="243"/>
      <c r="CG117" s="243"/>
      <c r="CH117" s="243"/>
      <c r="CI117" s="243"/>
      <c r="CJ117" s="243"/>
      <c r="CK117" s="243"/>
      <c r="CL117" s="243"/>
      <c r="CM117" s="243"/>
      <c r="CN117" s="243"/>
      <c r="CO117" s="243"/>
      <c r="CP117" s="243"/>
    </row>
    <row r="118" spans="1:94">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9"/>
      <c r="AL118" s="289"/>
      <c r="AM118" s="289"/>
      <c r="AN118" s="289"/>
      <c r="AO118" s="289"/>
      <c r="AP118" s="289"/>
      <c r="AQ118" s="289"/>
      <c r="AR118" s="243"/>
      <c r="AS118" s="243"/>
      <c r="AT118" s="243"/>
      <c r="AU118" s="243"/>
      <c r="AV118" s="243"/>
      <c r="AW118" s="243"/>
      <c r="AX118" s="243"/>
      <c r="AY118" s="243"/>
      <c r="AZ118" s="243"/>
      <c r="BA118" s="243"/>
      <c r="BB118" s="243"/>
      <c r="BC118" s="243"/>
      <c r="BD118" s="243"/>
      <c r="BE118" s="243"/>
      <c r="BF118" s="246"/>
      <c r="BG118" s="246"/>
      <c r="BH118" s="243"/>
      <c r="BI118" s="243"/>
      <c r="BJ118" s="243"/>
      <c r="BK118" s="243"/>
      <c r="BL118" s="243"/>
      <c r="BM118" s="243"/>
      <c r="BN118" s="243"/>
      <c r="BO118" s="243"/>
      <c r="BP118" s="243"/>
      <c r="BQ118" s="243"/>
      <c r="BR118" s="243"/>
      <c r="BS118" s="243"/>
      <c r="BT118" s="243"/>
      <c r="BU118" s="243"/>
      <c r="BV118" s="243"/>
      <c r="BW118" s="243"/>
      <c r="BX118" s="243"/>
      <c r="BY118" s="243"/>
      <c r="BZ118" s="243"/>
      <c r="CA118" s="243"/>
      <c r="CB118" s="243"/>
      <c r="CC118" s="243"/>
      <c r="CD118" s="243"/>
      <c r="CE118" s="243"/>
      <c r="CF118" s="243"/>
      <c r="CG118" s="243"/>
      <c r="CH118" s="243"/>
      <c r="CI118" s="243"/>
      <c r="CJ118" s="243"/>
      <c r="CK118" s="243"/>
      <c r="CL118" s="243"/>
      <c r="CM118" s="243"/>
      <c r="CN118" s="243"/>
      <c r="CO118" s="243"/>
      <c r="CP118" s="243"/>
    </row>
    <row r="119" spans="1:94">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9"/>
      <c r="AL119" s="289"/>
      <c r="AM119" s="289"/>
      <c r="AN119" s="289"/>
      <c r="AO119" s="289"/>
      <c r="AP119" s="289"/>
      <c r="AQ119" s="289"/>
      <c r="AR119" s="243"/>
      <c r="AS119" s="243"/>
      <c r="AT119" s="243"/>
      <c r="AU119" s="243"/>
      <c r="AV119" s="243"/>
      <c r="AW119" s="243"/>
      <c r="AX119" s="243"/>
      <c r="AY119" s="243"/>
      <c r="AZ119" s="243"/>
      <c r="BA119" s="243"/>
      <c r="BB119" s="243"/>
      <c r="BC119" s="243"/>
      <c r="BD119" s="243"/>
      <c r="BE119" s="243"/>
      <c r="BF119" s="246"/>
      <c r="BG119" s="246"/>
      <c r="BH119" s="243"/>
      <c r="BI119" s="243"/>
      <c r="BJ119" s="243"/>
      <c r="BK119" s="243"/>
      <c r="BL119" s="243"/>
      <c r="BM119" s="243"/>
      <c r="BN119" s="243"/>
      <c r="BO119" s="243"/>
      <c r="BP119" s="243"/>
      <c r="BQ119" s="243"/>
      <c r="BR119" s="243"/>
      <c r="BS119" s="243"/>
      <c r="BT119" s="243"/>
      <c r="BU119" s="243"/>
      <c r="BV119" s="243"/>
      <c r="BW119" s="243"/>
      <c r="BX119" s="243"/>
      <c r="BY119" s="243"/>
      <c r="BZ119" s="243"/>
      <c r="CA119" s="243"/>
      <c r="CB119" s="243"/>
      <c r="CC119" s="243"/>
      <c r="CD119" s="243"/>
      <c r="CE119" s="243"/>
      <c r="CF119" s="243"/>
      <c r="CG119" s="243"/>
      <c r="CH119" s="243"/>
      <c r="CI119" s="243"/>
      <c r="CJ119" s="243"/>
      <c r="CK119" s="243"/>
      <c r="CL119" s="243"/>
      <c r="CM119" s="243"/>
      <c r="CN119" s="243"/>
      <c r="CO119" s="243"/>
      <c r="CP119" s="243"/>
    </row>
    <row r="120" spans="1:94">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9"/>
      <c r="AL120" s="289"/>
      <c r="AM120" s="289"/>
      <c r="AN120" s="289"/>
      <c r="AO120" s="289"/>
      <c r="AP120" s="289"/>
      <c r="AQ120" s="289"/>
      <c r="AR120" s="243"/>
      <c r="AS120" s="243"/>
      <c r="AT120" s="243"/>
      <c r="AU120" s="243"/>
      <c r="AV120" s="243"/>
      <c r="AW120" s="243"/>
      <c r="AX120" s="243"/>
      <c r="AY120" s="243"/>
      <c r="AZ120" s="243"/>
      <c r="BA120" s="243"/>
      <c r="BB120" s="243"/>
      <c r="BC120" s="243"/>
      <c r="BD120" s="243"/>
      <c r="BE120" s="243"/>
      <c r="BF120" s="246"/>
      <c r="BG120" s="246"/>
      <c r="BH120" s="243"/>
      <c r="BI120" s="243"/>
      <c r="BJ120" s="243"/>
      <c r="BK120" s="243"/>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row>
    <row r="121" spans="1:94">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9"/>
      <c r="AL121" s="289"/>
      <c r="AM121" s="289"/>
      <c r="AN121" s="289"/>
      <c r="AO121" s="289"/>
      <c r="AP121" s="289"/>
      <c r="AQ121" s="289"/>
      <c r="AR121" s="243"/>
      <c r="AS121" s="243"/>
      <c r="AT121" s="243"/>
      <c r="AU121" s="243"/>
      <c r="AV121" s="243"/>
      <c r="AW121" s="243"/>
      <c r="AX121" s="243"/>
      <c r="AY121" s="243"/>
      <c r="AZ121" s="243"/>
      <c r="BA121" s="243"/>
      <c r="BB121" s="243"/>
      <c r="BC121" s="243"/>
      <c r="BD121" s="243"/>
      <c r="BE121" s="243"/>
      <c r="BF121" s="246"/>
      <c r="BG121" s="246"/>
      <c r="BH121" s="243"/>
      <c r="BI121" s="243"/>
      <c r="BJ121" s="243"/>
      <c r="BK121" s="243"/>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row>
    <row r="122" spans="1:94">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9"/>
      <c r="AL122" s="289"/>
      <c r="AM122" s="289"/>
      <c r="AN122" s="289"/>
      <c r="AO122" s="289"/>
      <c r="AP122" s="289"/>
      <c r="AQ122" s="289"/>
      <c r="AR122" s="243"/>
      <c r="AS122" s="243"/>
      <c r="AT122" s="243"/>
      <c r="AU122" s="243"/>
      <c r="AV122" s="243"/>
      <c r="AW122" s="243"/>
      <c r="AX122" s="243"/>
      <c r="AY122" s="243"/>
      <c r="AZ122" s="243"/>
      <c r="BA122" s="243"/>
      <c r="BB122" s="243"/>
      <c r="BC122" s="243"/>
      <c r="BD122" s="243"/>
      <c r="BE122" s="243"/>
      <c r="BF122" s="246"/>
      <c r="BG122" s="246"/>
      <c r="BH122" s="243"/>
      <c r="BI122" s="243"/>
      <c r="BJ122" s="243"/>
      <c r="BK122" s="243"/>
      <c r="BL122" s="243"/>
      <c r="BM122" s="243"/>
      <c r="BN122" s="243"/>
      <c r="BO122" s="243"/>
      <c r="BP122" s="243"/>
      <c r="BQ122" s="243"/>
      <c r="BR122" s="243"/>
      <c r="BS122" s="243"/>
      <c r="BT122" s="243"/>
      <c r="BU122" s="243"/>
      <c r="BV122" s="243"/>
      <c r="BW122" s="243"/>
      <c r="BX122" s="243"/>
      <c r="BY122" s="243"/>
      <c r="BZ122" s="243"/>
      <c r="CA122" s="243"/>
      <c r="CB122" s="243"/>
      <c r="CC122" s="243"/>
      <c r="CD122" s="243"/>
      <c r="CE122" s="243"/>
      <c r="CF122" s="243"/>
      <c r="CG122" s="243"/>
      <c r="CH122" s="243"/>
      <c r="CI122" s="243"/>
      <c r="CJ122" s="243"/>
      <c r="CK122" s="243"/>
      <c r="CL122" s="243"/>
      <c r="CM122" s="243"/>
      <c r="CN122" s="243"/>
      <c r="CO122" s="243"/>
      <c r="CP122" s="243"/>
    </row>
    <row r="123" spans="1:94">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9"/>
      <c r="AL123" s="289"/>
      <c r="AM123" s="289"/>
      <c r="AN123" s="289"/>
      <c r="AO123" s="289"/>
      <c r="AP123" s="289"/>
      <c r="AQ123" s="289"/>
      <c r="AR123" s="243"/>
      <c r="AS123" s="243"/>
      <c r="AT123" s="243"/>
      <c r="AU123" s="243"/>
      <c r="AV123" s="243"/>
      <c r="AW123" s="243"/>
      <c r="AX123" s="243"/>
      <c r="AY123" s="243"/>
      <c r="AZ123" s="243"/>
      <c r="BA123" s="243"/>
      <c r="BB123" s="243"/>
      <c r="BC123" s="243"/>
      <c r="BD123" s="243"/>
      <c r="BE123" s="243"/>
      <c r="BF123" s="246"/>
      <c r="BG123" s="246"/>
      <c r="BH123" s="243"/>
      <c r="BI123" s="243"/>
      <c r="BJ123" s="243"/>
      <c r="BK123" s="243"/>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row>
    <row r="124" spans="1:94">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9"/>
      <c r="AL124" s="289"/>
      <c r="AM124" s="289"/>
      <c r="AN124" s="289"/>
      <c r="AO124" s="289"/>
      <c r="AP124" s="289"/>
      <c r="AQ124" s="289"/>
      <c r="AR124" s="243"/>
      <c r="AS124" s="243"/>
      <c r="AT124" s="243"/>
      <c r="AU124" s="243"/>
      <c r="AV124" s="243"/>
      <c r="AW124" s="243"/>
      <c r="AX124" s="243"/>
      <c r="AY124" s="243"/>
      <c r="AZ124" s="243"/>
      <c r="BA124" s="243"/>
      <c r="BB124" s="243"/>
      <c r="BC124" s="243"/>
      <c r="BD124" s="243"/>
      <c r="BE124" s="243"/>
      <c r="BF124" s="246"/>
      <c r="BG124" s="246"/>
      <c r="BH124" s="243"/>
      <c r="BI124" s="243"/>
      <c r="BJ124" s="243"/>
      <c r="BK124" s="243"/>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row>
  </sheetData>
  <sheetProtection algorithmName="SHA-512" hashValue="26I4aqr/uwxNZi+maTFydE0oPEKJt7+jBtYsxi3HeBIgkeSnK2EPKQxcqfqKLyDuxmyHBa3t8kBP+/JJaP9cFQ==" saltValue="AhsZVLfpMROIjiVCzDw2yA==" spinCount="100000" sheet="1" objects="1" scenarios="1" selectLockedCells="1" selectUnlockedCells="1"/>
  <mergeCells count="344">
    <mergeCell ref="L61:M61"/>
    <mergeCell ref="N61:O61"/>
    <mergeCell ref="P61:Q61"/>
    <mergeCell ref="L59:M59"/>
    <mergeCell ref="N59:O59"/>
    <mergeCell ref="P59:Q59"/>
    <mergeCell ref="L60:M60"/>
    <mergeCell ref="N60:O60"/>
    <mergeCell ref="P60:Q60"/>
    <mergeCell ref="L58:M58"/>
    <mergeCell ref="N58:O58"/>
    <mergeCell ref="P58:Q58"/>
    <mergeCell ref="L56:M56"/>
    <mergeCell ref="N56:O56"/>
    <mergeCell ref="P56:Q56"/>
    <mergeCell ref="L57:M57"/>
    <mergeCell ref="N57:O57"/>
    <mergeCell ref="P57:Q57"/>
    <mergeCell ref="L55:M55"/>
    <mergeCell ref="N55:O55"/>
    <mergeCell ref="P55:Q55"/>
    <mergeCell ref="T52:U52"/>
    <mergeCell ref="L53:M53"/>
    <mergeCell ref="L54:M54"/>
    <mergeCell ref="N54:O54"/>
    <mergeCell ref="P54:Q54"/>
    <mergeCell ref="P53:Q53"/>
    <mergeCell ref="N53:O53"/>
    <mergeCell ref="A52:E52"/>
    <mergeCell ref="F52:G52"/>
    <mergeCell ref="H52:I52"/>
    <mergeCell ref="J52:K52"/>
    <mergeCell ref="L52:M52"/>
    <mergeCell ref="N52:O52"/>
    <mergeCell ref="R50:S50"/>
    <mergeCell ref="T50:U50"/>
    <mergeCell ref="F51:G51"/>
    <mergeCell ref="H51:I51"/>
    <mergeCell ref="J51:K51"/>
    <mergeCell ref="L51:M51"/>
    <mergeCell ref="N51:O51"/>
    <mergeCell ref="P51:Q51"/>
    <mergeCell ref="R51:S51"/>
    <mergeCell ref="T51:U51"/>
    <mergeCell ref="F50:G50"/>
    <mergeCell ref="H50:I50"/>
    <mergeCell ref="J50:K50"/>
    <mergeCell ref="L50:M50"/>
    <mergeCell ref="N50:O50"/>
    <mergeCell ref="P50:Q50"/>
    <mergeCell ref="P52:Q52"/>
    <mergeCell ref="R52:S52"/>
    <mergeCell ref="R48:S48"/>
    <mergeCell ref="T48:U48"/>
    <mergeCell ref="F49:G49"/>
    <mergeCell ref="H49:I49"/>
    <mergeCell ref="J49:K49"/>
    <mergeCell ref="L49:M49"/>
    <mergeCell ref="N49:O49"/>
    <mergeCell ref="P49:Q49"/>
    <mergeCell ref="R49:S49"/>
    <mergeCell ref="T49:U49"/>
    <mergeCell ref="F48:G48"/>
    <mergeCell ref="H48:I48"/>
    <mergeCell ref="J48:K48"/>
    <mergeCell ref="L48:M48"/>
    <mergeCell ref="N48:O48"/>
    <mergeCell ref="P48:Q48"/>
    <mergeCell ref="R46:S46"/>
    <mergeCell ref="T46:U46"/>
    <mergeCell ref="F47:G47"/>
    <mergeCell ref="H47:I47"/>
    <mergeCell ref="J47:K47"/>
    <mergeCell ref="L47:M47"/>
    <mergeCell ref="N47:O47"/>
    <mergeCell ref="P47:Q47"/>
    <mergeCell ref="R47:S47"/>
    <mergeCell ref="T47:U47"/>
    <mergeCell ref="F46:G46"/>
    <mergeCell ref="H46:I46"/>
    <mergeCell ref="J46:K46"/>
    <mergeCell ref="L46:M46"/>
    <mergeCell ref="N46:O46"/>
    <mergeCell ref="P46:Q46"/>
    <mergeCell ref="R44:S44"/>
    <mergeCell ref="T44:U44"/>
    <mergeCell ref="F45:G45"/>
    <mergeCell ref="H45:I45"/>
    <mergeCell ref="J45:K45"/>
    <mergeCell ref="L45:M45"/>
    <mergeCell ref="N45:O45"/>
    <mergeCell ref="P45:Q45"/>
    <mergeCell ref="R45:S45"/>
    <mergeCell ref="T45:U45"/>
    <mergeCell ref="F44:G44"/>
    <mergeCell ref="H44:I44"/>
    <mergeCell ref="J44:K44"/>
    <mergeCell ref="L44:M44"/>
    <mergeCell ref="N44:O44"/>
    <mergeCell ref="P44:Q44"/>
    <mergeCell ref="R42:S42"/>
    <mergeCell ref="T42:U42"/>
    <mergeCell ref="F43:G43"/>
    <mergeCell ref="H43:I43"/>
    <mergeCell ref="J43:K43"/>
    <mergeCell ref="L43:M43"/>
    <mergeCell ref="N43:O43"/>
    <mergeCell ref="P43:Q43"/>
    <mergeCell ref="R43:S43"/>
    <mergeCell ref="T43:U43"/>
    <mergeCell ref="F42:G42"/>
    <mergeCell ref="H42:I42"/>
    <mergeCell ref="J42:K42"/>
    <mergeCell ref="L42:M42"/>
    <mergeCell ref="N42:O42"/>
    <mergeCell ref="P42:Q42"/>
    <mergeCell ref="R40:S40"/>
    <mergeCell ref="T40:U40"/>
    <mergeCell ref="F41:G41"/>
    <mergeCell ref="H41:I41"/>
    <mergeCell ref="J41:K41"/>
    <mergeCell ref="L41:M41"/>
    <mergeCell ref="N41:O41"/>
    <mergeCell ref="P41:Q41"/>
    <mergeCell ref="R41:S41"/>
    <mergeCell ref="T41:U41"/>
    <mergeCell ref="F40:G40"/>
    <mergeCell ref="H40:I40"/>
    <mergeCell ref="J40:K40"/>
    <mergeCell ref="L40:M40"/>
    <mergeCell ref="N40:O40"/>
    <mergeCell ref="P40:Q40"/>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R34:S34"/>
    <mergeCell ref="T34:U34"/>
    <mergeCell ref="F35:G35"/>
    <mergeCell ref="H35:I35"/>
    <mergeCell ref="J35:K35"/>
    <mergeCell ref="L35:M35"/>
    <mergeCell ref="N35:O35"/>
    <mergeCell ref="P35:Q35"/>
    <mergeCell ref="R35:S35"/>
    <mergeCell ref="T35:U35"/>
    <mergeCell ref="F34:G34"/>
    <mergeCell ref="H34:I34"/>
    <mergeCell ref="J34:K34"/>
    <mergeCell ref="L34:M34"/>
    <mergeCell ref="N34:O34"/>
    <mergeCell ref="P34:Q34"/>
    <mergeCell ref="R32:S32"/>
    <mergeCell ref="T32:U32"/>
    <mergeCell ref="F33:G33"/>
    <mergeCell ref="H33:I33"/>
    <mergeCell ref="J33:K33"/>
    <mergeCell ref="L33:M33"/>
    <mergeCell ref="N33:O33"/>
    <mergeCell ref="P33:Q33"/>
    <mergeCell ref="R33:S33"/>
    <mergeCell ref="T33:U33"/>
    <mergeCell ref="F32:G32"/>
    <mergeCell ref="H32:I32"/>
    <mergeCell ref="J32:K32"/>
    <mergeCell ref="L32:M32"/>
    <mergeCell ref="N32:O32"/>
    <mergeCell ref="P32:Q32"/>
    <mergeCell ref="F31:G31"/>
    <mergeCell ref="H31:I31"/>
    <mergeCell ref="J31:K31"/>
    <mergeCell ref="L31:M31"/>
    <mergeCell ref="N31:O31"/>
    <mergeCell ref="P31:Q31"/>
    <mergeCell ref="R31:S31"/>
    <mergeCell ref="T31:U31"/>
    <mergeCell ref="F30:G30"/>
    <mergeCell ref="H30:I30"/>
    <mergeCell ref="J30:K30"/>
    <mergeCell ref="L30:M30"/>
    <mergeCell ref="N30:O30"/>
    <mergeCell ref="P30:Q30"/>
    <mergeCell ref="A27:E27"/>
    <mergeCell ref="F27:U27"/>
    <mergeCell ref="W27:AJ30"/>
    <mergeCell ref="F28:I29"/>
    <mergeCell ref="J28:M28"/>
    <mergeCell ref="N28:O29"/>
    <mergeCell ref="P28:U29"/>
    <mergeCell ref="J29:K29"/>
    <mergeCell ref="L29:M29"/>
    <mergeCell ref="A30:E30"/>
    <mergeCell ref="R30:S30"/>
    <mergeCell ref="T30:U30"/>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F52:M52 P52:S52">
    <cfRule type="expression" dxfId="291" priority="7" stopIfTrue="1">
      <formula>F52=0</formula>
    </cfRule>
  </conditionalFormatting>
  <conditionalFormatting sqref="H31:AK32 H33:W36 AA33:AK36">
    <cfRule type="expression" dxfId="290" priority="6">
      <formula>H31=0</formula>
    </cfRule>
  </conditionalFormatting>
  <conditionalFormatting sqref="H37:AK51">
    <cfRule type="expression" dxfId="289" priority="1">
      <formula>H37=0</formula>
    </cfRule>
  </conditionalFormatting>
  <conditionalFormatting sqref="V52:AC52">
    <cfRule type="expression" dxfId="288" priority="8" stopIfTrue="1">
      <formula>V52=0</formula>
    </cfRule>
  </conditionalFormatting>
  <conditionalFormatting sqref="Z33:Z36">
    <cfRule type="expression" dxfId="287" priority="4">
      <formula>(Z33&lt;&gt;0)</formula>
    </cfRule>
    <cfRule type="expression" dxfId="286" priority="5">
      <formula>(Z33=0)</formula>
    </cfRule>
  </conditionalFormatting>
  <conditionalFormatting sqref="AF52:AI52 N54 P54:P61 N57">
    <cfRule type="expression" dxfId="285" priority="9" stopIfTrue="1">
      <formula>N52=0</formula>
    </cfRule>
  </conditionalFormatting>
  <pageMargins left="0.74803149606299213" right="0.19685039370078741" top="0.39370078740157483" bottom="0.39370078740157483" header="0.19685039370078741" footer="0.19685039370078741"/>
  <pageSetup paperSize="9" scale="64"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14F27-C19A-4362-B03F-8CB8E6B2D79F}">
  <sheetPr>
    <tabColor rgb="FF92D050"/>
    <pageSetUpPr fitToPage="1"/>
  </sheetPr>
  <dimension ref="A1:CP125"/>
  <sheetViews>
    <sheetView showGridLines="0" view="pageBreakPreview" zoomScaleNormal="100" zoomScaleSheetLayoutView="100" workbookViewId="0">
      <selection sqref="A1:AK4"/>
    </sheetView>
  </sheetViews>
  <sheetFormatPr defaultColWidth="3.7109375" defaultRowHeight="15"/>
  <cols>
    <col min="1" max="6" width="3.7109375" style="290"/>
    <col min="7" max="7" width="4.42578125" style="290" customWidth="1"/>
    <col min="8" max="10" width="3.7109375" style="290"/>
    <col min="11" max="16" width="5.28515625" style="290" customWidth="1"/>
    <col min="17" max="17" width="6" style="290" customWidth="1"/>
    <col min="18" max="18" width="3.7109375" style="290"/>
    <col min="19" max="19" width="5.42578125" style="290" customWidth="1"/>
    <col min="20" max="23" width="3.7109375" style="290"/>
    <col min="24" max="24" width="8.7109375" style="290" customWidth="1"/>
    <col min="25" max="37" width="3.7109375" style="290"/>
    <col min="38" max="38" width="3.7109375" style="247"/>
    <col min="39" max="50" width="8.7109375" style="247" customWidth="1"/>
    <col min="51" max="57" width="3.7109375" style="247"/>
    <col min="58" max="59" width="3.7109375" style="285"/>
    <col min="60" max="16384" width="3.7109375" style="247"/>
  </cols>
  <sheetData>
    <row r="1" spans="1:94"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8"/>
      <c r="AL1" s="238"/>
      <c r="AM1" s="238"/>
      <c r="AN1" s="238"/>
      <c r="AO1" s="238"/>
      <c r="AP1" s="238"/>
      <c r="AQ1" s="238"/>
      <c r="AR1" s="238"/>
      <c r="AS1" s="238"/>
      <c r="AT1" s="238"/>
      <c r="AU1" s="238"/>
      <c r="AV1" s="238"/>
      <c r="AW1" s="238"/>
      <c r="AX1" s="238"/>
      <c r="AY1" s="238"/>
      <c r="AZ1" s="238"/>
      <c r="BA1" s="238"/>
      <c r="BB1" s="238"/>
      <c r="BC1" s="238"/>
      <c r="BD1" s="238"/>
      <c r="BE1" s="238"/>
      <c r="BF1" s="239"/>
      <c r="BG1" s="239"/>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c r="CM1" s="238"/>
      <c r="CN1" s="238"/>
      <c r="CO1" s="238"/>
      <c r="CP1" s="238"/>
    </row>
    <row r="2" spans="1:94"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1"/>
      <c r="AL2" s="238"/>
      <c r="AM2" s="238"/>
      <c r="AN2" s="238"/>
      <c r="AO2" s="238"/>
      <c r="AP2" s="238"/>
      <c r="AQ2" s="238"/>
      <c r="AR2" s="238"/>
      <c r="AS2" s="238"/>
      <c r="AT2" s="238"/>
      <c r="AU2" s="238"/>
      <c r="AV2" s="238"/>
      <c r="AW2" s="238"/>
      <c r="AX2" s="238"/>
      <c r="AY2" s="238"/>
      <c r="AZ2" s="238"/>
      <c r="BA2" s="238"/>
      <c r="BB2" s="238"/>
      <c r="BC2" s="238"/>
      <c r="BD2" s="238"/>
      <c r="BE2" s="238"/>
      <c r="BF2" s="239"/>
      <c r="BG2" s="239"/>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row>
    <row r="3" spans="1:94"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1"/>
      <c r="AL3" s="238"/>
      <c r="AM3" s="238"/>
      <c r="AN3" s="238"/>
      <c r="AO3" s="238"/>
      <c r="AP3" s="238"/>
      <c r="AQ3" s="238"/>
      <c r="AR3" s="238"/>
      <c r="AS3" s="238"/>
      <c r="AT3" s="238"/>
      <c r="AU3" s="238"/>
      <c r="AV3" s="238"/>
      <c r="AW3" s="238"/>
      <c r="AX3" s="238"/>
      <c r="AY3" s="238"/>
      <c r="AZ3" s="238"/>
      <c r="BA3" s="238"/>
      <c r="BB3" s="238"/>
      <c r="BC3" s="238"/>
      <c r="BD3" s="238"/>
      <c r="BE3" s="238"/>
      <c r="BF3" s="239"/>
      <c r="BG3" s="239"/>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row>
    <row r="4" spans="1:94"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4"/>
      <c r="AL4" s="238"/>
      <c r="AM4" s="241"/>
      <c r="AN4" s="241"/>
      <c r="AO4" s="241"/>
      <c r="AP4" s="242" t="s">
        <v>576</v>
      </c>
      <c r="AQ4" s="242" t="s">
        <v>577</v>
      </c>
      <c r="AR4" s="242" t="s">
        <v>578</v>
      </c>
      <c r="AS4" s="241"/>
      <c r="AT4" s="241"/>
      <c r="AU4" s="241"/>
      <c r="AV4" s="241"/>
      <c r="AW4" s="241"/>
      <c r="AX4" s="238"/>
      <c r="AY4" s="238"/>
      <c r="AZ4" s="238"/>
      <c r="BA4" s="238"/>
      <c r="BB4" s="238"/>
      <c r="BC4" s="238"/>
      <c r="BD4" s="238"/>
      <c r="BE4" s="238"/>
      <c r="BF4" s="239"/>
      <c r="BG4" s="239"/>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row>
    <row r="5" spans="1:94" ht="15" customHeight="1">
      <c r="A5" s="875" t="s">
        <v>22</v>
      </c>
      <c r="B5" s="876"/>
      <c r="C5" s="876"/>
      <c r="D5" s="876"/>
      <c r="E5" s="876"/>
      <c r="F5" s="876"/>
      <c r="G5" s="876"/>
      <c r="H5" s="27" t="str">
        <f>'Emiss. Ops'!$C$2</f>
        <v>OMVP</v>
      </c>
      <c r="I5" s="27"/>
      <c r="J5" s="27"/>
      <c r="K5" s="27"/>
      <c r="L5" s="27"/>
      <c r="M5" s="27"/>
      <c r="N5" s="27"/>
      <c r="O5" s="27"/>
      <c r="P5" s="27"/>
      <c r="Q5" s="27"/>
      <c r="R5" s="27"/>
      <c r="S5" s="27"/>
      <c r="T5" s="27"/>
      <c r="U5" s="27"/>
      <c r="V5" s="27"/>
      <c r="W5" s="27"/>
      <c r="X5" s="27"/>
      <c r="Y5" s="876" t="s">
        <v>23</v>
      </c>
      <c r="Z5" s="876"/>
      <c r="AA5" s="876"/>
      <c r="AB5" s="876"/>
      <c r="AC5" s="877" t="str">
        <f>Effluents!$K$2</f>
        <v>PRJ-001030</v>
      </c>
      <c r="AD5" s="877"/>
      <c r="AE5" s="877"/>
      <c r="AF5" s="877"/>
      <c r="AG5" s="877"/>
      <c r="AH5" s="877"/>
      <c r="AI5" s="877"/>
      <c r="AJ5" s="877"/>
      <c r="AK5" s="878"/>
      <c r="AL5" s="243"/>
      <c r="AM5" s="244"/>
      <c r="AN5" s="244"/>
      <c r="AO5" s="244"/>
      <c r="AP5" s="245" t="s">
        <v>386</v>
      </c>
      <c r="AQ5" s="245" t="s">
        <v>729</v>
      </c>
      <c r="AR5" s="242">
        <v>1020</v>
      </c>
      <c r="AS5" s="244"/>
      <c r="AT5" s="244"/>
      <c r="AU5" s="244"/>
      <c r="AV5" s="244"/>
      <c r="AW5" s="244"/>
      <c r="AX5" s="238"/>
      <c r="AY5" s="238"/>
      <c r="AZ5" s="238"/>
      <c r="BA5" s="243"/>
      <c r="BB5" s="243"/>
      <c r="BC5" s="243"/>
      <c r="BD5" s="243"/>
      <c r="BE5" s="243"/>
      <c r="BF5" s="246"/>
      <c r="BG5" s="246"/>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row>
    <row r="6" spans="1:94" ht="15" customHeight="1">
      <c r="A6" s="862" t="s">
        <v>24</v>
      </c>
      <c r="B6" s="863"/>
      <c r="C6" s="863"/>
      <c r="D6" s="863"/>
      <c r="E6" s="863"/>
      <c r="F6" s="863"/>
      <c r="G6" s="863"/>
      <c r="H6" s="30" t="str">
        <f>'Emiss. Ops'!$C$3</f>
        <v>OMV Neptun BAT Study &amp; ESIA</v>
      </c>
      <c r="I6" s="30"/>
      <c r="J6" s="30"/>
      <c r="K6" s="30"/>
      <c r="L6" s="30"/>
      <c r="M6" s="30"/>
      <c r="N6" s="30"/>
      <c r="O6" s="30"/>
      <c r="P6" s="30"/>
      <c r="Q6" s="30"/>
      <c r="R6" s="30"/>
      <c r="S6" s="30"/>
      <c r="T6" s="30"/>
      <c r="U6" s="30"/>
      <c r="V6" s="30"/>
      <c r="W6" s="30"/>
      <c r="X6" s="30"/>
      <c r="Y6" s="863" t="s">
        <v>25</v>
      </c>
      <c r="Z6" s="863"/>
      <c r="AA6" s="863"/>
      <c r="AB6" s="863"/>
      <c r="AC6" s="860"/>
      <c r="AD6" s="860"/>
      <c r="AE6" s="860"/>
      <c r="AF6" s="860"/>
      <c r="AG6" s="860"/>
      <c r="AH6" s="860"/>
      <c r="AI6" s="860"/>
      <c r="AJ6" s="860"/>
      <c r="AK6" s="861"/>
      <c r="AL6" s="243"/>
      <c r="AM6" s="244"/>
      <c r="AN6" s="244"/>
      <c r="AO6" s="242"/>
      <c r="AP6" s="245" t="s">
        <v>406</v>
      </c>
      <c r="AQ6" s="245" t="s">
        <v>339</v>
      </c>
      <c r="AR6" s="245">
        <v>0.45400000000000001</v>
      </c>
      <c r="AS6" s="242"/>
      <c r="AT6" s="244"/>
      <c r="AU6" s="244"/>
      <c r="AV6" s="244"/>
      <c r="AW6" s="244"/>
      <c r="AX6" s="238"/>
      <c r="AY6" s="238"/>
      <c r="AZ6" s="238"/>
      <c r="BA6" s="243"/>
      <c r="BB6" s="243"/>
      <c r="BC6" s="243"/>
      <c r="BD6" s="243"/>
      <c r="BE6" s="243"/>
      <c r="BF6" s="246"/>
      <c r="BG6" s="246"/>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row>
    <row r="7" spans="1:94" ht="15" customHeight="1">
      <c r="A7" s="862" t="s">
        <v>26</v>
      </c>
      <c r="B7" s="863"/>
      <c r="C7" s="863"/>
      <c r="D7" s="863"/>
      <c r="E7" s="863"/>
      <c r="F7" s="863"/>
      <c r="G7" s="863"/>
      <c r="H7" s="30" t="str">
        <f>'Emiss. Ops'!$C$4</f>
        <v>Emissions Inventory</v>
      </c>
      <c r="I7" s="30"/>
      <c r="J7" s="30"/>
      <c r="K7" s="30"/>
      <c r="L7" s="30"/>
      <c r="M7" s="30"/>
      <c r="N7" s="30"/>
      <c r="O7" s="30"/>
      <c r="P7" s="30"/>
      <c r="Q7" s="30"/>
      <c r="R7" s="30"/>
      <c r="S7" s="30"/>
      <c r="T7" s="30"/>
      <c r="U7" s="30"/>
      <c r="V7" s="30"/>
      <c r="W7" s="30"/>
      <c r="X7" s="30"/>
      <c r="Y7" s="863" t="s">
        <v>27</v>
      </c>
      <c r="Z7" s="863"/>
      <c r="AA7" s="863"/>
      <c r="AB7" s="863"/>
      <c r="AC7" s="30" t="str">
        <f>'Emiss. Ops'!$I$4</f>
        <v>Normal Operations</v>
      </c>
      <c r="AD7" s="31"/>
      <c r="AE7" s="31"/>
      <c r="AF7" s="31"/>
      <c r="AG7" s="31"/>
      <c r="AH7" s="31"/>
      <c r="AI7" s="31"/>
      <c r="AJ7" s="31"/>
      <c r="AK7" s="32"/>
      <c r="AL7" s="243"/>
      <c r="AM7" s="244"/>
      <c r="AN7" s="244"/>
      <c r="AO7" s="242"/>
      <c r="AP7" s="245" t="s">
        <v>407</v>
      </c>
      <c r="AQ7" s="245" t="s">
        <v>730</v>
      </c>
      <c r="AR7" s="248">
        <f>0.305^3</f>
        <v>2.8372624999999999E-2</v>
      </c>
      <c r="AS7" s="242"/>
      <c r="AT7" s="244"/>
      <c r="AU7" s="244"/>
      <c r="AV7" s="244"/>
      <c r="AW7" s="244"/>
      <c r="AX7" s="238"/>
      <c r="AY7" s="238"/>
      <c r="AZ7" s="238"/>
      <c r="BA7" s="243"/>
      <c r="BB7" s="243"/>
      <c r="BC7" s="243"/>
      <c r="BD7" s="243"/>
      <c r="BE7" s="243"/>
      <c r="BF7" s="246"/>
      <c r="BG7" s="246"/>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row>
    <row r="8" spans="1:94"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8"/>
      <c r="AH8" s="1288"/>
      <c r="AI8" s="1288"/>
      <c r="AJ8" s="1288"/>
      <c r="AK8" s="1289"/>
      <c r="AL8" s="243"/>
      <c r="AM8" s="244"/>
      <c r="AN8" s="244"/>
      <c r="AO8" s="242"/>
      <c r="AP8" s="245" t="s">
        <v>729</v>
      </c>
      <c r="AQ8" s="245" t="s">
        <v>731</v>
      </c>
      <c r="AR8" s="249">
        <f>AR6/AR7 * ((AN18+273.15)/(AN20+273.15))</f>
        <v>16.912595854908194</v>
      </c>
      <c r="AS8" s="242"/>
      <c r="AT8" s="244"/>
      <c r="AU8" s="244"/>
      <c r="AV8" s="244"/>
      <c r="AW8" s="244"/>
      <c r="AX8" s="238"/>
      <c r="AY8" s="238"/>
      <c r="AZ8" s="238"/>
      <c r="BA8" s="243"/>
      <c r="BB8" s="243"/>
      <c r="BC8" s="243"/>
      <c r="BD8" s="243"/>
      <c r="BE8" s="243"/>
      <c r="BF8" s="246"/>
      <c r="BG8" s="246"/>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row>
    <row r="9" spans="1:94"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8"/>
      <c r="AH9" s="1288"/>
      <c r="AI9" s="1288"/>
      <c r="AJ9" s="1288"/>
      <c r="AK9" s="1289"/>
      <c r="AL9" s="243"/>
      <c r="AM9" s="244"/>
      <c r="AN9" s="244"/>
      <c r="AO9" s="242"/>
      <c r="AP9" s="242" t="s">
        <v>409</v>
      </c>
      <c r="AQ9" s="242" t="s">
        <v>410</v>
      </c>
      <c r="AR9" s="242">
        <v>947</v>
      </c>
      <c r="AS9" s="242"/>
      <c r="AT9" s="244"/>
      <c r="AU9" s="244"/>
      <c r="AV9" s="244"/>
      <c r="AW9" s="244"/>
      <c r="AX9" s="238"/>
      <c r="AY9" s="238"/>
      <c r="AZ9" s="238"/>
      <c r="BA9" s="243"/>
      <c r="BB9" s="243"/>
      <c r="BC9" s="243"/>
      <c r="BD9" s="243"/>
      <c r="BE9" s="243"/>
      <c r="BF9" s="246"/>
      <c r="BG9" s="246"/>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row>
    <row r="10" spans="1:94"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1283"/>
      <c r="V10" s="1283"/>
      <c r="W10" s="1283"/>
      <c r="X10" s="1283"/>
      <c r="Y10" s="859" t="s">
        <v>28</v>
      </c>
      <c r="Z10" s="859"/>
      <c r="AA10" s="859"/>
      <c r="AB10" s="859"/>
      <c r="AC10" s="1284"/>
      <c r="AD10" s="1284"/>
      <c r="AE10" s="1284"/>
      <c r="AF10" s="1285"/>
      <c r="AG10" s="1285"/>
      <c r="AH10" s="1285"/>
      <c r="AI10" s="1286"/>
      <c r="AJ10" s="1286"/>
      <c r="AK10" s="1287"/>
      <c r="AL10" s="238"/>
      <c r="AM10" s="241"/>
      <c r="AN10" s="241"/>
      <c r="AO10" s="245"/>
      <c r="AP10" s="245" t="s">
        <v>710</v>
      </c>
      <c r="AQ10" s="245" t="s">
        <v>709</v>
      </c>
      <c r="AR10" s="245">
        <v>1E-3</v>
      </c>
      <c r="AS10" s="245"/>
      <c r="AT10" s="241"/>
      <c r="AU10" s="241"/>
      <c r="AV10" s="241"/>
      <c r="AW10" s="241"/>
      <c r="AX10" s="238"/>
      <c r="AY10" s="238"/>
      <c r="AZ10" s="238"/>
      <c r="BA10" s="238"/>
      <c r="BB10" s="238"/>
      <c r="BC10" s="238"/>
      <c r="BD10" s="238"/>
      <c r="BE10" s="238"/>
      <c r="BF10" s="239"/>
      <c r="BG10" s="239"/>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row>
    <row r="11" spans="1:94" s="240" customFormat="1" ht="14.25" customHeight="1">
      <c r="A11" s="1271" t="s">
        <v>756</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3"/>
      <c r="AL11" s="238"/>
      <c r="AM11" s="241"/>
      <c r="AN11" s="241"/>
      <c r="AO11" s="245"/>
      <c r="AP11" s="245" t="s">
        <v>732</v>
      </c>
      <c r="AQ11" s="245" t="s">
        <v>409</v>
      </c>
      <c r="AR11" s="245">
        <f>1/(AR9/1000000)</f>
        <v>1055.9662090813094</v>
      </c>
      <c r="AS11" s="245"/>
      <c r="AT11" s="241"/>
      <c r="AU11" s="241"/>
      <c r="AV11" s="241"/>
      <c r="AW11" s="241"/>
      <c r="AX11" s="238"/>
      <c r="AY11" s="238"/>
      <c r="AZ11" s="238"/>
      <c r="BA11" s="238"/>
      <c r="BB11" s="238"/>
      <c r="BC11" s="238"/>
      <c r="BD11" s="238"/>
      <c r="BE11" s="238"/>
      <c r="BF11" s="239"/>
      <c r="BG11" s="239"/>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row>
    <row r="12" spans="1:94" s="240" customFormat="1" ht="14.25" customHeight="1">
      <c r="A12" s="1274"/>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5"/>
      <c r="AH12" s="1275"/>
      <c r="AI12" s="1275"/>
      <c r="AJ12" s="1275"/>
      <c r="AK12" s="1276"/>
      <c r="AL12" s="238"/>
      <c r="AM12" s="241"/>
      <c r="AN12" s="241"/>
      <c r="AO12" s="245"/>
      <c r="AP12" s="245"/>
      <c r="AQ12" s="245"/>
      <c r="AR12" s="245"/>
      <c r="AS12" s="245"/>
      <c r="AT12" s="241"/>
      <c r="AU12" s="241"/>
      <c r="AV12" s="241"/>
      <c r="AW12" s="241"/>
      <c r="AX12" s="238"/>
      <c r="AY12" s="238"/>
      <c r="AZ12" s="238"/>
      <c r="BA12" s="238"/>
      <c r="BB12" s="238"/>
      <c r="BC12" s="238"/>
      <c r="BD12" s="238"/>
      <c r="BE12" s="238"/>
      <c r="BF12" s="239"/>
      <c r="BG12" s="239"/>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row>
    <row r="13" spans="1:94" s="240" customFormat="1" ht="14.25" customHeight="1">
      <c r="A13" s="1277" t="s">
        <v>587</v>
      </c>
      <c r="B13" s="1278"/>
      <c r="C13" s="1278"/>
      <c r="D13" s="1278"/>
      <c r="E13" s="1278"/>
      <c r="F13" s="1278"/>
      <c r="G13" s="1279"/>
      <c r="H13" s="1280" t="s">
        <v>733</v>
      </c>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2"/>
      <c r="AL13" s="238"/>
      <c r="AM13" s="241"/>
      <c r="AN13" s="241"/>
      <c r="AO13" s="241"/>
      <c r="AP13" s="241"/>
      <c r="AQ13" s="241"/>
      <c r="AR13" s="241"/>
      <c r="AS13" s="241"/>
      <c r="AT13" s="241"/>
      <c r="AU13" s="241"/>
      <c r="AV13" s="241"/>
      <c r="AW13" s="241"/>
      <c r="AX13" s="241"/>
      <c r="AY13" s="241"/>
      <c r="AZ13" s="241"/>
      <c r="BA13" s="238"/>
      <c r="BB13" s="238"/>
      <c r="BC13" s="238"/>
      <c r="BD13" s="238"/>
      <c r="BE13" s="238"/>
      <c r="BF13" s="239"/>
      <c r="BG13" s="239"/>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row>
    <row r="14" spans="1:94" s="240" customFormat="1" ht="14.25" customHeight="1">
      <c r="A14" s="279" t="s">
        <v>589</v>
      </c>
      <c r="B14" s="429"/>
      <c r="C14" s="429"/>
      <c r="D14" s="429"/>
      <c r="E14" s="429"/>
      <c r="F14" s="429"/>
      <c r="G14" s="429"/>
      <c r="H14" s="1271" t="s">
        <v>590</v>
      </c>
      <c r="I14" s="1272"/>
      <c r="J14" s="1273"/>
      <c r="K14" s="1271" t="s">
        <v>591</v>
      </c>
      <c r="L14" s="1272"/>
      <c r="M14" s="1273"/>
      <c r="N14" s="1271" t="s">
        <v>592</v>
      </c>
      <c r="O14" s="1272"/>
      <c r="P14" s="1273"/>
      <c r="Q14" s="1271" t="s">
        <v>400</v>
      </c>
      <c r="R14" s="1272"/>
      <c r="S14" s="1273"/>
      <c r="T14" s="1271" t="s">
        <v>593</v>
      </c>
      <c r="U14" s="1272"/>
      <c r="V14" s="1273"/>
      <c r="W14" s="1271" t="s">
        <v>593</v>
      </c>
      <c r="X14" s="1272"/>
      <c r="Y14" s="1273"/>
      <c r="Z14" s="1271" t="s">
        <v>115</v>
      </c>
      <c r="AA14" s="1272"/>
      <c r="AB14" s="1273"/>
      <c r="AC14" s="1271" t="s">
        <v>115</v>
      </c>
      <c r="AD14" s="1272"/>
      <c r="AE14" s="1273"/>
      <c r="AF14" s="1271" t="s">
        <v>116</v>
      </c>
      <c r="AG14" s="1272"/>
      <c r="AH14" s="1273"/>
      <c r="AI14" s="1271" t="s">
        <v>116</v>
      </c>
      <c r="AJ14" s="1272"/>
      <c r="AK14" s="1273"/>
      <c r="AL14" s="238"/>
      <c r="AM14" s="241"/>
      <c r="AN14" s="241"/>
      <c r="AO14" s="241"/>
      <c r="AP14" s="241"/>
      <c r="AQ14" s="430"/>
      <c r="AR14" s="241"/>
      <c r="AS14" s="241"/>
      <c r="AT14" s="241"/>
      <c r="AU14" s="241"/>
      <c r="AV14" s="241"/>
      <c r="AW14" s="241"/>
      <c r="AX14" s="238"/>
      <c r="AY14" s="238"/>
      <c r="AZ14" s="238"/>
      <c r="BA14" s="238"/>
      <c r="BB14" s="238"/>
      <c r="BC14" s="238"/>
      <c r="BD14" s="238"/>
      <c r="BE14" s="238"/>
      <c r="BF14" s="239"/>
      <c r="BG14" s="239"/>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row>
    <row r="15" spans="1:94" s="240" customFormat="1" ht="14.25" customHeight="1">
      <c r="A15" s="250"/>
      <c r="B15" s="251"/>
      <c r="C15" s="251"/>
      <c r="D15" s="251"/>
      <c r="E15" s="251"/>
      <c r="F15" s="251"/>
      <c r="G15" s="251"/>
      <c r="H15" s="1302" t="s">
        <v>594</v>
      </c>
      <c r="I15" s="1283"/>
      <c r="J15" s="1303"/>
      <c r="K15" s="1302" t="s">
        <v>595</v>
      </c>
      <c r="L15" s="1283"/>
      <c r="M15" s="1303"/>
      <c r="N15" s="1302" t="s">
        <v>596</v>
      </c>
      <c r="O15" s="1283"/>
      <c r="P15" s="1303"/>
      <c r="Q15" s="1302" t="s">
        <v>597</v>
      </c>
      <c r="R15" s="1283"/>
      <c r="S15" s="1303"/>
      <c r="T15" s="1302" t="s">
        <v>734</v>
      </c>
      <c r="U15" s="1283"/>
      <c r="V15" s="1303"/>
      <c r="W15" s="1302" t="s">
        <v>599</v>
      </c>
      <c r="X15" s="1283"/>
      <c r="Y15" s="1303"/>
      <c r="Z15" s="1302" t="s">
        <v>734</v>
      </c>
      <c r="AA15" s="1283"/>
      <c r="AB15" s="1303"/>
      <c r="AC15" s="1302" t="s">
        <v>599</v>
      </c>
      <c r="AD15" s="1283"/>
      <c r="AE15" s="1303"/>
      <c r="AF15" s="1302" t="s">
        <v>734</v>
      </c>
      <c r="AG15" s="1283"/>
      <c r="AH15" s="1303"/>
      <c r="AI15" s="1302" t="s">
        <v>599</v>
      </c>
      <c r="AJ15" s="1283"/>
      <c r="AK15" s="1303"/>
      <c r="AL15" s="238"/>
      <c r="AM15" s="241"/>
      <c r="AN15" s="241"/>
      <c r="AO15" s="241"/>
      <c r="AP15" s="431" t="s">
        <v>393</v>
      </c>
      <c r="AQ15" s="432"/>
      <c r="AR15" s="433"/>
      <c r="AS15" s="431" t="s">
        <v>115</v>
      </c>
      <c r="AT15" s="432"/>
      <c r="AU15" s="433"/>
      <c r="AY15" s="238"/>
      <c r="AZ15" s="238"/>
      <c r="BA15" s="238"/>
      <c r="BB15" s="238"/>
      <c r="BC15" s="238"/>
      <c r="BD15" s="238"/>
      <c r="BE15" s="238"/>
      <c r="BF15" s="239"/>
      <c r="BG15" s="239"/>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row>
    <row r="16" spans="1:94" s="240" customFormat="1" ht="14.25" customHeight="1">
      <c r="A16" s="434" t="s">
        <v>735</v>
      </c>
      <c r="B16" s="435"/>
      <c r="C16" s="435"/>
      <c r="D16" s="435"/>
      <c r="E16" s="435"/>
      <c r="F16" s="435"/>
      <c r="G16" s="436"/>
      <c r="H16" s="1304"/>
      <c r="I16" s="1305"/>
      <c r="J16" s="1306"/>
      <c r="K16" s="1307"/>
      <c r="L16" s="1308"/>
      <c r="M16" s="1309"/>
      <c r="N16" s="1304"/>
      <c r="O16" s="1305"/>
      <c r="P16" s="1306"/>
      <c r="Q16" s="1415">
        <f>GTGs!Q15</f>
        <v>37.956295834166582</v>
      </c>
      <c r="R16" s="1416"/>
      <c r="S16" s="1417"/>
      <c r="T16" s="1418">
        <f>AR17</f>
        <v>1173.0576484964322</v>
      </c>
      <c r="U16" s="1419"/>
      <c r="V16" s="1420"/>
      <c r="W16" s="1304"/>
      <c r="X16" s="1305"/>
      <c r="Y16" s="1306"/>
      <c r="Z16" s="1418">
        <f>AU17</f>
        <v>6382.8136756423519</v>
      </c>
      <c r="AA16" s="1419"/>
      <c r="AB16" s="1420"/>
      <c r="AC16" s="1304"/>
      <c r="AD16" s="1305"/>
      <c r="AE16" s="1306"/>
      <c r="AF16" s="1379">
        <f>AR21</f>
        <v>40</v>
      </c>
      <c r="AG16" s="1380"/>
      <c r="AH16" s="1381"/>
      <c r="AI16" s="1304" t="s">
        <v>604</v>
      </c>
      <c r="AJ16" s="1305"/>
      <c r="AK16" s="1306"/>
      <c r="AL16" s="238"/>
      <c r="AM16" s="241" t="s">
        <v>605</v>
      </c>
      <c r="AN16" s="241"/>
      <c r="AO16" s="241"/>
      <c r="AP16" s="437" t="s">
        <v>386</v>
      </c>
      <c r="AQ16" s="437" t="s">
        <v>714</v>
      </c>
      <c r="AR16" s="437" t="s">
        <v>715</v>
      </c>
      <c r="AS16" s="437" t="s">
        <v>386</v>
      </c>
      <c r="AT16" s="437" t="s">
        <v>714</v>
      </c>
      <c r="AU16" s="437" t="s">
        <v>715</v>
      </c>
      <c r="AY16" s="238"/>
      <c r="AZ16" s="238"/>
      <c r="BA16" s="238"/>
      <c r="BB16" s="238"/>
      <c r="BC16" s="238"/>
      <c r="BD16" s="238"/>
      <c r="BE16" s="238"/>
      <c r="BF16" s="239"/>
      <c r="BG16" s="239"/>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row>
    <row r="17" spans="1:94" s="240" customFormat="1" ht="14.25" customHeight="1">
      <c r="A17" s="438" t="s">
        <v>736</v>
      </c>
      <c r="B17" s="439"/>
      <c r="C17" s="439"/>
      <c r="D17" s="439"/>
      <c r="E17" s="439"/>
      <c r="F17" s="439"/>
      <c r="G17" s="440"/>
      <c r="H17" s="1421">
        <f>CO2eEF!P16</f>
        <v>16.12</v>
      </c>
      <c r="I17" s="1422"/>
      <c r="J17" s="1423"/>
      <c r="K17" s="1424">
        <f>CO2eEF!P12</f>
        <v>0.69899999999999995</v>
      </c>
      <c r="L17" s="1425"/>
      <c r="M17" s="1426"/>
      <c r="N17" s="1421">
        <f>CO2eEF!P19</f>
        <v>49.78</v>
      </c>
      <c r="O17" s="1427"/>
      <c r="P17" s="1428"/>
      <c r="Q17" s="1421">
        <f>CO2eEF!P21</f>
        <v>37.770000000000003</v>
      </c>
      <c r="R17" s="1427"/>
      <c r="S17" s="1428"/>
      <c r="T17" s="1340">
        <f>Q17/Q16*T16</f>
        <v>1167.3000857957165</v>
      </c>
      <c r="U17" s="1341"/>
      <c r="V17" s="1342"/>
      <c r="W17" s="1322">
        <f>T17/1000000/K17</f>
        <v>1.6699572042857176E-3</v>
      </c>
      <c r="X17" s="1323"/>
      <c r="Y17" s="1324"/>
      <c r="Z17" s="1340">
        <f>Q17/Q16*Z16</f>
        <v>6351.4857609472811</v>
      </c>
      <c r="AA17" s="1341"/>
      <c r="AB17" s="1342"/>
      <c r="AC17" s="1322">
        <f>Z17/$K17/1000000</f>
        <v>9.0865318468487562E-3</v>
      </c>
      <c r="AD17" s="1323"/>
      <c r="AE17" s="1324"/>
      <c r="AF17" s="1299">
        <f>Q17/Q16*AF16</f>
        <v>39.80367332473061</v>
      </c>
      <c r="AG17" s="1300"/>
      <c r="AH17" s="1301"/>
      <c r="AI17" s="1322">
        <f>AF17/$K17/1000000</f>
        <v>5.6943738661989431E-5</v>
      </c>
      <c r="AJ17" s="1323"/>
      <c r="AK17" s="1324"/>
      <c r="AL17" s="238"/>
      <c r="AM17" s="441" t="s">
        <v>606</v>
      </c>
      <c r="AN17" s="241">
        <v>60</v>
      </c>
      <c r="AO17" s="241" t="s">
        <v>607</v>
      </c>
      <c r="AP17" s="442">
        <v>6.8000000000000005E-2</v>
      </c>
      <c r="AQ17" s="443">
        <f>AR5*$AP$17</f>
        <v>69.36</v>
      </c>
      <c r="AR17" s="443">
        <f>$AR$8*AQ17</f>
        <v>1173.0576484964322</v>
      </c>
      <c r="AS17" s="444">
        <v>0.37</v>
      </c>
      <c r="AT17" s="445">
        <f>AS17*AR5</f>
        <v>377.4</v>
      </c>
      <c r="AU17" s="446">
        <f>AT17*AR8</f>
        <v>6382.8136756423519</v>
      </c>
      <c r="AY17" s="238"/>
      <c r="AZ17" s="238"/>
      <c r="BA17" s="238"/>
      <c r="BB17" s="238"/>
      <c r="BC17" s="238"/>
      <c r="BD17" s="238"/>
      <c r="BE17" s="238"/>
      <c r="BF17" s="239"/>
      <c r="BG17" s="239"/>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row>
    <row r="18" spans="1:94" s="240" customFormat="1" ht="14.25" customHeight="1">
      <c r="A18" s="133"/>
      <c r="B18" s="251"/>
      <c r="C18" s="251"/>
      <c r="D18" s="251"/>
      <c r="E18" s="251"/>
      <c r="F18" s="251"/>
      <c r="G18" s="251"/>
      <c r="H18" s="1325"/>
      <c r="I18" s="1326"/>
      <c r="J18" s="1327"/>
      <c r="K18" s="1328"/>
      <c r="L18" s="1329"/>
      <c r="M18" s="1330"/>
      <c r="N18" s="1331"/>
      <c r="O18" s="1332"/>
      <c r="P18" s="1333"/>
      <c r="Q18" s="1334"/>
      <c r="R18" s="1335"/>
      <c r="S18" s="1336"/>
      <c r="T18" s="1337"/>
      <c r="U18" s="1338"/>
      <c r="V18" s="1339"/>
      <c r="W18" s="1302"/>
      <c r="X18" s="1283"/>
      <c r="Y18" s="1303"/>
      <c r="Z18" s="1337"/>
      <c r="AA18" s="1338"/>
      <c r="AB18" s="1339"/>
      <c r="AC18" s="1302"/>
      <c r="AD18" s="1283"/>
      <c r="AE18" s="1303"/>
      <c r="AF18" s="1343"/>
      <c r="AG18" s="1344"/>
      <c r="AH18" s="1345"/>
      <c r="AI18" s="1302"/>
      <c r="AJ18" s="1283"/>
      <c r="AK18" s="1303"/>
      <c r="AL18" s="238"/>
      <c r="AM18" s="441" t="s">
        <v>608</v>
      </c>
      <c r="AN18" s="447">
        <f>(AN17 - 32) * 5/9</f>
        <v>15.555555555555555</v>
      </c>
      <c r="AO18" s="241" t="s">
        <v>609</v>
      </c>
      <c r="AP18" s="444"/>
      <c r="AQ18" s="448"/>
      <c r="AR18" s="446"/>
      <c r="AS18" s="444"/>
      <c r="AT18" s="445"/>
      <c r="AU18" s="446"/>
      <c r="AY18" s="238"/>
      <c r="AZ18" s="238"/>
      <c r="BA18" s="238"/>
      <c r="BB18" s="238"/>
      <c r="BC18" s="238"/>
      <c r="BD18" s="238"/>
      <c r="BE18" s="238"/>
      <c r="BF18" s="239"/>
      <c r="BG18" s="239"/>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row>
    <row r="19" spans="1:94" s="240" customFormat="1" ht="14.25" customHeight="1">
      <c r="A19" s="279" t="s">
        <v>589</v>
      </c>
      <c r="B19" s="429"/>
      <c r="C19" s="429"/>
      <c r="D19" s="429"/>
      <c r="E19" s="429"/>
      <c r="F19" s="429"/>
      <c r="G19" s="449"/>
      <c r="H19" s="1271" t="s">
        <v>122</v>
      </c>
      <c r="I19" s="1272"/>
      <c r="J19" s="1273"/>
      <c r="K19" s="1271" t="s">
        <v>122</v>
      </c>
      <c r="L19" s="1272"/>
      <c r="M19" s="1273"/>
      <c r="N19" s="1271" t="s">
        <v>124</v>
      </c>
      <c r="O19" s="1272"/>
      <c r="P19" s="1273"/>
      <c r="Q19" s="1271" t="s">
        <v>124</v>
      </c>
      <c r="R19" s="1272"/>
      <c r="S19" s="1273"/>
      <c r="T19" s="1117" t="s">
        <v>123</v>
      </c>
      <c r="U19" s="1118"/>
      <c r="V19" s="1119"/>
      <c r="W19" s="1117" t="s">
        <v>123</v>
      </c>
      <c r="X19" s="1118"/>
      <c r="Y19" s="1119"/>
      <c r="Z19" s="1117" t="s">
        <v>716</v>
      </c>
      <c r="AA19" s="1118"/>
      <c r="AB19" s="1119"/>
      <c r="AC19" s="1117" t="s">
        <v>125</v>
      </c>
      <c r="AD19" s="1118"/>
      <c r="AE19" s="1119"/>
      <c r="AF19" s="30"/>
      <c r="AG19" s="30"/>
      <c r="AH19" s="30"/>
      <c r="AI19" s="30"/>
      <c r="AJ19" s="30"/>
      <c r="AK19" s="280"/>
      <c r="AL19" s="238"/>
      <c r="AM19" s="241"/>
      <c r="AN19" s="241"/>
      <c r="AO19" s="241"/>
      <c r="AP19" s="431" t="s">
        <v>116</v>
      </c>
      <c r="AQ19" s="432"/>
      <c r="AR19" s="433"/>
      <c r="AS19" s="431" t="s">
        <v>122</v>
      </c>
      <c r="AT19" s="432"/>
      <c r="AU19" s="433"/>
      <c r="AV19" s="238"/>
      <c r="AW19" s="238"/>
      <c r="AX19" s="238"/>
      <c r="AY19" s="238"/>
      <c r="AZ19" s="238"/>
      <c r="BA19" s="238"/>
      <c r="BB19" s="238"/>
      <c r="BC19" s="238"/>
      <c r="BD19" s="238"/>
      <c r="BE19" s="238"/>
      <c r="BF19" s="239"/>
      <c r="BG19" s="239"/>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row>
    <row r="20" spans="1:94" s="240" customFormat="1" ht="14.25" customHeight="1">
      <c r="A20" s="250"/>
      <c r="B20" s="251"/>
      <c r="C20" s="251"/>
      <c r="D20" s="251"/>
      <c r="E20" s="251"/>
      <c r="F20" s="251"/>
      <c r="G20" s="450"/>
      <c r="H20" s="1302" t="s">
        <v>734</v>
      </c>
      <c r="I20" s="1283"/>
      <c r="J20" s="1303"/>
      <c r="K20" s="1302" t="s">
        <v>599</v>
      </c>
      <c r="L20" s="1283"/>
      <c r="M20" s="1303"/>
      <c r="N20" s="1302" t="s">
        <v>734</v>
      </c>
      <c r="O20" s="1283"/>
      <c r="P20" s="1303"/>
      <c r="Q20" s="1302" t="s">
        <v>599</v>
      </c>
      <c r="R20" s="1283"/>
      <c r="S20" s="1303"/>
      <c r="T20" s="1089" t="s">
        <v>598</v>
      </c>
      <c r="U20" s="1090"/>
      <c r="V20" s="1091"/>
      <c r="W20" s="1089" t="s">
        <v>599</v>
      </c>
      <c r="X20" s="1090"/>
      <c r="Y20" s="1091"/>
      <c r="Z20" s="1089" t="s">
        <v>598</v>
      </c>
      <c r="AA20" s="1090"/>
      <c r="AB20" s="1091"/>
      <c r="AC20" s="1089" t="s">
        <v>599</v>
      </c>
      <c r="AD20" s="1090"/>
      <c r="AE20" s="1091"/>
      <c r="AF20" s="30"/>
      <c r="AG20" s="30"/>
      <c r="AH20" s="30"/>
      <c r="AI20" s="30"/>
      <c r="AJ20" s="30"/>
      <c r="AK20" s="253"/>
      <c r="AL20" s="238"/>
      <c r="AM20" s="441"/>
      <c r="AN20" s="241"/>
      <c r="AO20" s="241"/>
      <c r="AP20" s="437" t="s">
        <v>737</v>
      </c>
      <c r="AQ20" s="451" t="s">
        <v>738</v>
      </c>
      <c r="AR20" s="451" t="s">
        <v>731</v>
      </c>
      <c r="AS20" s="437" t="s">
        <v>386</v>
      </c>
      <c r="AT20" s="437" t="s">
        <v>714</v>
      </c>
      <c r="AU20" s="437" t="s">
        <v>715</v>
      </c>
      <c r="AV20" s="238"/>
      <c r="AW20" s="238"/>
      <c r="AX20" s="238"/>
      <c r="AY20" s="238"/>
      <c r="AZ20" s="238"/>
      <c r="BA20" s="238"/>
      <c r="BB20" s="238"/>
      <c r="BC20" s="238"/>
      <c r="BD20" s="238"/>
      <c r="BE20" s="238"/>
      <c r="BF20" s="239"/>
      <c r="BG20" s="239"/>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row>
    <row r="21" spans="1:94" s="240" customFormat="1" ht="14.25" customHeight="1">
      <c r="A21" s="434" t="s">
        <v>735</v>
      </c>
      <c r="B21" s="435"/>
      <c r="C21" s="435"/>
      <c r="D21" s="435"/>
      <c r="E21" s="435"/>
      <c r="F21" s="435"/>
      <c r="G21" s="436"/>
      <c r="H21" s="1418">
        <f>AU21</f>
        <v>2415.11868808089</v>
      </c>
      <c r="I21" s="1419"/>
      <c r="J21" s="1420"/>
      <c r="K21" s="1304"/>
      <c r="L21" s="1305"/>
      <c r="M21" s="1306"/>
      <c r="N21" s="1364"/>
      <c r="O21" s="1365"/>
      <c r="P21" s="1366"/>
      <c r="Q21" s="1367"/>
      <c r="R21" s="1368"/>
      <c r="S21" s="1369"/>
      <c r="T21" s="1262"/>
      <c r="U21" s="1263"/>
      <c r="V21" s="1264"/>
      <c r="W21" s="1265"/>
      <c r="X21" s="1266"/>
      <c r="Y21" s="1267"/>
      <c r="Z21" s="1262"/>
      <c r="AA21" s="1263"/>
      <c r="AB21" s="1264"/>
      <c r="AC21" s="1268"/>
      <c r="AD21" s="1269"/>
      <c r="AE21" s="1270"/>
      <c r="AF21" s="30"/>
      <c r="AG21" s="30"/>
      <c r="AH21" s="30"/>
      <c r="AI21" s="30"/>
      <c r="AJ21" s="30"/>
      <c r="AK21" s="253"/>
      <c r="AL21" s="238"/>
      <c r="AM21" s="241"/>
      <c r="AN21" s="241"/>
      <c r="AO21" s="241"/>
      <c r="AP21" s="444">
        <v>40</v>
      </c>
      <c r="AQ21" s="452">
        <f>AP21/1000000/1000/AR10</f>
        <v>4.0000000000000003E-5</v>
      </c>
      <c r="AR21" s="446">
        <f>AQ21*1000000</f>
        <v>40</v>
      </c>
      <c r="AS21" s="444">
        <v>0.14000000000000001</v>
      </c>
      <c r="AT21" s="443">
        <f>AS21*$AR$5</f>
        <v>142.80000000000001</v>
      </c>
      <c r="AU21" s="443">
        <f>$AR$8*AT21</f>
        <v>2415.11868808089</v>
      </c>
      <c r="AV21" s="238"/>
      <c r="AW21" s="238"/>
      <c r="AX21" s="238"/>
      <c r="AY21" s="238"/>
      <c r="AZ21" s="238"/>
      <c r="BA21" s="238"/>
      <c r="BB21" s="238"/>
      <c r="BC21" s="238"/>
      <c r="BD21" s="238"/>
      <c r="BE21" s="238"/>
      <c r="BF21" s="239"/>
      <c r="BG21" s="239"/>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row>
    <row r="22" spans="1:94" s="240" customFormat="1" ht="14.25" customHeight="1">
      <c r="A22" s="438" t="str">
        <f>A17</f>
        <v>Flare - Fuel Gas</v>
      </c>
      <c r="B22" s="439"/>
      <c r="C22" s="439"/>
      <c r="D22" s="439"/>
      <c r="E22" s="439"/>
      <c r="F22" s="439"/>
      <c r="G22" s="440"/>
      <c r="H22" s="1340">
        <f>Q17/Q16*H21</f>
        <v>2403.2648825205929</v>
      </c>
      <c r="I22" s="1341"/>
      <c r="J22" s="1342"/>
      <c r="K22" s="1322">
        <f>H22/1000000/$K17</f>
        <v>3.438147185294125E-3</v>
      </c>
      <c r="L22" s="1323"/>
      <c r="M22" s="1324"/>
      <c r="N22" s="1346"/>
      <c r="O22" s="1347"/>
      <c r="P22" s="1348"/>
      <c r="Q22" s="1349"/>
      <c r="R22" s="1350"/>
      <c r="S22" s="1351"/>
      <c r="T22" s="1256"/>
      <c r="U22" s="1257"/>
      <c r="V22" s="1258"/>
      <c r="W22" s="1253"/>
      <c r="X22" s="1254"/>
      <c r="Y22" s="1255"/>
      <c r="Z22" s="1250"/>
      <c r="AA22" s="1251"/>
      <c r="AB22" s="1252"/>
      <c r="AC22" s="1253"/>
      <c r="AD22" s="1254"/>
      <c r="AE22" s="1255"/>
      <c r="AF22" s="30"/>
      <c r="AG22" s="30"/>
      <c r="AH22" s="30"/>
      <c r="AI22" s="30"/>
      <c r="AJ22" s="30"/>
      <c r="AK22" s="253"/>
      <c r="AL22" s="238"/>
      <c r="AM22" s="241"/>
      <c r="AN22" s="241"/>
      <c r="AO22" s="241"/>
      <c r="AP22" s="444"/>
      <c r="AQ22" s="452"/>
      <c r="AR22" s="446"/>
      <c r="AS22" s="444"/>
      <c r="AT22" s="445"/>
      <c r="AU22" s="446"/>
      <c r="AV22" s="238"/>
      <c r="AW22" s="238"/>
      <c r="AX22" s="238"/>
      <c r="AY22" s="238"/>
      <c r="AZ22" s="238"/>
      <c r="BA22" s="238"/>
      <c r="BB22" s="238"/>
      <c r="BC22" s="238"/>
      <c r="BD22" s="238"/>
      <c r="BE22" s="238"/>
      <c r="BF22" s="239"/>
      <c r="BG22" s="239"/>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row>
    <row r="23" spans="1:94" s="240" customFormat="1" ht="14.25" customHeight="1">
      <c r="A23" s="133"/>
      <c r="B23" s="30"/>
      <c r="C23" s="30"/>
      <c r="D23" s="30"/>
      <c r="E23" s="30"/>
      <c r="F23" s="30"/>
      <c r="G23" s="253"/>
      <c r="H23" s="1352"/>
      <c r="I23" s="1353"/>
      <c r="J23" s="1354"/>
      <c r="K23" s="1355"/>
      <c r="L23" s="1356"/>
      <c r="M23" s="1357"/>
      <c r="N23" s="1358"/>
      <c r="O23" s="1359"/>
      <c r="P23" s="1360"/>
      <c r="Q23" s="1361"/>
      <c r="R23" s="1362"/>
      <c r="S23" s="1363"/>
      <c r="T23" s="1256"/>
      <c r="U23" s="1257"/>
      <c r="V23" s="1258"/>
      <c r="W23" s="1259"/>
      <c r="X23" s="1260"/>
      <c r="Y23" s="1261"/>
      <c r="Z23" s="1259"/>
      <c r="AA23" s="1260"/>
      <c r="AB23" s="1261"/>
      <c r="AC23" s="1259"/>
      <c r="AD23" s="1260"/>
      <c r="AE23" s="1261"/>
      <c r="AF23" s="30"/>
      <c r="AG23" s="30"/>
      <c r="AH23" s="30"/>
      <c r="AI23" s="30"/>
      <c r="AJ23" s="30"/>
      <c r="AK23" s="253"/>
      <c r="AL23" s="238"/>
      <c r="AM23" s="453">
        <f>X25/K17</f>
        <v>119217.93037672866</v>
      </c>
      <c r="AN23" s="241"/>
      <c r="AO23" s="241"/>
      <c r="AS23" s="245"/>
      <c r="AT23" s="454"/>
      <c r="AU23" s="455"/>
      <c r="AV23" s="238"/>
      <c r="AW23" s="238"/>
      <c r="AX23" s="238"/>
      <c r="AY23" s="238"/>
      <c r="AZ23" s="238"/>
      <c r="BA23" s="238"/>
      <c r="BB23" s="238"/>
      <c r="BC23" s="238"/>
      <c r="BD23" s="238"/>
      <c r="BE23" s="238"/>
      <c r="BF23" s="239"/>
      <c r="BG23" s="239"/>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row>
    <row r="24" spans="1:94" s="240" customFormat="1" ht="14.25" customHeight="1">
      <c r="A24" s="456" t="s">
        <v>612</v>
      </c>
      <c r="B24" s="457"/>
      <c r="C24" s="457"/>
      <c r="D24" s="457"/>
      <c r="E24" s="457"/>
      <c r="F24" s="457"/>
      <c r="G24" s="457"/>
      <c r="H24" s="457"/>
      <c r="I24" s="457"/>
      <c r="J24" s="457"/>
      <c r="K24" s="457"/>
      <c r="L24" s="457"/>
      <c r="M24" s="457"/>
      <c r="N24" s="457"/>
      <c r="O24" s="457"/>
      <c r="P24" s="457"/>
      <c r="Q24" s="457"/>
      <c r="R24" s="457"/>
      <c r="S24" s="458"/>
      <c r="T24" s="459" t="s">
        <v>613</v>
      </c>
      <c r="U24" s="460"/>
      <c r="V24" s="460"/>
      <c r="W24" s="460"/>
      <c r="X24" s="460"/>
      <c r="Y24" s="460"/>
      <c r="Z24" s="460"/>
      <c r="AA24" s="460"/>
      <c r="AB24" s="460"/>
      <c r="AC24" s="460"/>
      <c r="AD24" s="460"/>
      <c r="AE24" s="460"/>
      <c r="AF24" s="460"/>
      <c r="AG24" s="460"/>
      <c r="AH24" s="460"/>
      <c r="AI24" s="460"/>
      <c r="AJ24" s="460"/>
      <c r="AK24" s="461"/>
      <c r="AL24" s="238"/>
      <c r="AM24" s="241"/>
      <c r="AN24" s="241"/>
      <c r="AO24" s="241"/>
      <c r="AP24" s="241"/>
      <c r="AQ24" s="241"/>
      <c r="AR24" s="241"/>
      <c r="AS24" s="241"/>
      <c r="AT24" s="241"/>
      <c r="AU24" s="241"/>
      <c r="AV24" s="241"/>
      <c r="AW24" s="241"/>
      <c r="AX24" s="238"/>
      <c r="AY24" s="238"/>
      <c r="AZ24" s="238"/>
      <c r="BA24" s="238"/>
      <c r="BB24" s="238"/>
      <c r="BC24" s="238"/>
      <c r="BD24" s="238"/>
      <c r="BE24" s="238"/>
      <c r="BF24" s="239"/>
      <c r="BG24" s="239"/>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row>
    <row r="25" spans="1:94" s="240" customFormat="1" ht="14.25" customHeight="1">
      <c r="A25" s="462" t="s">
        <v>614</v>
      </c>
      <c r="B25" s="463"/>
      <c r="C25" s="463"/>
      <c r="D25" s="463"/>
      <c r="E25" s="463"/>
      <c r="F25" s="463"/>
      <c r="G25" s="463"/>
      <c r="H25" s="464"/>
      <c r="I25" s="463" t="s">
        <v>590</v>
      </c>
      <c r="J25" s="463"/>
      <c r="K25" s="463"/>
      <c r="L25" s="463" t="s">
        <v>615</v>
      </c>
      <c r="M25" s="463"/>
      <c r="N25" s="463"/>
      <c r="O25" s="463"/>
      <c r="P25" s="463"/>
      <c r="Q25" s="463"/>
      <c r="R25" s="463"/>
      <c r="S25" s="465" t="s">
        <v>616</v>
      </c>
      <c r="T25" s="1433" t="s">
        <v>757</v>
      </c>
      <c r="U25" s="1434"/>
      <c r="V25" s="1434"/>
      <c r="W25" s="1434"/>
      <c r="X25" s="1296">
        <f>X42*1000/2/24</f>
        <v>83333.333333333328</v>
      </c>
      <c r="Y25" s="1296"/>
      <c r="Z25" s="1296"/>
      <c r="AA25" s="1434" t="s">
        <v>617</v>
      </c>
      <c r="AB25" s="1434"/>
      <c r="AC25" s="1435">
        <f>X25/H17</f>
        <v>5169.5616211745237</v>
      </c>
      <c r="AD25" s="1435"/>
      <c r="AE25" s="1434" t="s">
        <v>618</v>
      </c>
      <c r="AF25" s="1434"/>
      <c r="AG25" s="1434"/>
      <c r="AH25" s="1429">
        <f>X25*N17/3600</f>
        <v>1152.3148148148148</v>
      </c>
      <c r="AI25" s="1429"/>
      <c r="AJ25" s="466" t="s">
        <v>590</v>
      </c>
      <c r="AK25" s="467"/>
      <c r="AL25" s="238"/>
      <c r="AM25" s="254">
        <f>X25*W22</f>
        <v>0</v>
      </c>
      <c r="AN25" s="241"/>
      <c r="AO25" s="241"/>
      <c r="AP25" s="241"/>
      <c r="AQ25" s="241"/>
      <c r="AR25" s="241"/>
      <c r="AS25" s="241"/>
      <c r="AT25" s="241"/>
      <c r="AU25" s="241"/>
      <c r="AV25" s="241"/>
      <c r="AW25" s="241"/>
      <c r="AX25" s="238"/>
      <c r="AY25" s="238"/>
      <c r="AZ25" s="238"/>
      <c r="BA25" s="238"/>
      <c r="BB25" s="238"/>
      <c r="BC25" s="238"/>
      <c r="BD25" s="238"/>
      <c r="BE25" s="238"/>
      <c r="BF25" s="239"/>
      <c r="BG25" s="239"/>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row>
    <row r="26" spans="1:94" s="240" customFormat="1" ht="14.25" customHeight="1">
      <c r="A26" s="468" t="s">
        <v>619</v>
      </c>
      <c r="B26" s="469"/>
      <c r="C26" s="469"/>
      <c r="D26" s="469"/>
      <c r="E26" s="469"/>
      <c r="F26" s="469"/>
      <c r="G26" s="469"/>
      <c r="H26" s="470"/>
      <c r="I26" s="469" t="s">
        <v>590</v>
      </c>
      <c r="J26" s="469"/>
      <c r="K26" s="469"/>
      <c r="L26" s="469"/>
      <c r="M26" s="469"/>
      <c r="N26" s="469"/>
      <c r="O26" s="469"/>
      <c r="P26" s="469"/>
      <c r="Q26" s="469"/>
      <c r="R26" s="469"/>
      <c r="S26" s="471"/>
      <c r="T26" s="1430"/>
      <c r="U26" s="1431"/>
      <c r="V26" s="1431"/>
      <c r="W26" s="1431"/>
      <c r="X26" s="1432"/>
      <c r="Y26" s="1432"/>
      <c r="Z26" s="1432"/>
      <c r="AA26" s="1431"/>
      <c r="AB26" s="1431"/>
      <c r="AC26" s="1432"/>
      <c r="AD26" s="1432"/>
      <c r="AE26" s="1431"/>
      <c r="AF26" s="1431"/>
      <c r="AG26" s="1431"/>
      <c r="AH26" s="1432"/>
      <c r="AI26" s="1432"/>
      <c r="AJ26" s="469"/>
      <c r="AK26" s="471"/>
      <c r="AL26" s="238"/>
      <c r="AM26" s="254">
        <f>W22*SUM(N34:O43)</f>
        <v>0</v>
      </c>
      <c r="AN26" s="241"/>
      <c r="AO26" s="241"/>
      <c r="AP26" s="241"/>
      <c r="AQ26" s="241"/>
      <c r="AR26" s="241"/>
      <c r="AS26" s="241"/>
      <c r="AT26" s="241"/>
      <c r="AU26" s="241"/>
      <c r="AV26" s="241"/>
      <c r="AW26" s="241"/>
      <c r="AX26" s="238"/>
      <c r="AY26" s="238"/>
      <c r="AZ26" s="238"/>
      <c r="BA26" s="238"/>
      <c r="BB26" s="238"/>
      <c r="BC26" s="238"/>
      <c r="BD26" s="238"/>
      <c r="BE26" s="238"/>
      <c r="BF26" s="239"/>
      <c r="BG26" s="239"/>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row>
    <row r="27" spans="1:94" s="240" customFormat="1" ht="14.25" customHeight="1">
      <c r="A27" s="250"/>
      <c r="B27" s="251"/>
      <c r="C27" s="251"/>
      <c r="D27" s="251"/>
      <c r="E27" s="251"/>
      <c r="F27" s="251"/>
      <c r="G27" s="251"/>
      <c r="H27" s="252"/>
      <c r="I27" s="251"/>
      <c r="J27" s="251"/>
      <c r="K27" s="251"/>
      <c r="L27" s="251"/>
      <c r="M27" s="251"/>
      <c r="N27" s="251"/>
      <c r="O27" s="251"/>
      <c r="P27" s="251"/>
      <c r="Q27" s="251"/>
      <c r="R27" s="251"/>
      <c r="S27" s="251"/>
      <c r="T27" s="472"/>
      <c r="U27" s="472"/>
      <c r="V27" s="473"/>
      <c r="W27" s="473"/>
      <c r="X27" s="474"/>
      <c r="Y27" s="474"/>
      <c r="Z27" s="474"/>
      <c r="AA27" s="473"/>
      <c r="AB27" s="473"/>
      <c r="AC27" s="474"/>
      <c r="AD27" s="474"/>
      <c r="AE27" s="473"/>
      <c r="AF27" s="473"/>
      <c r="AG27" s="473"/>
      <c r="AH27" s="474"/>
      <c r="AI27" s="474"/>
      <c r="AJ27" s="30"/>
      <c r="AK27" s="253"/>
      <c r="AL27" s="238"/>
      <c r="AM27" s="254"/>
      <c r="AN27" s="241"/>
      <c r="AO27" s="241"/>
      <c r="AP27" s="241"/>
      <c r="AQ27" s="241"/>
      <c r="AR27" s="241"/>
      <c r="AS27" s="241"/>
      <c r="AT27" s="241"/>
      <c r="AU27" s="241"/>
      <c r="AV27" s="241"/>
      <c r="AW27" s="241"/>
      <c r="AX27" s="238"/>
      <c r="AY27" s="238"/>
      <c r="AZ27" s="238"/>
      <c r="BA27" s="238"/>
      <c r="BB27" s="238"/>
      <c r="BC27" s="238"/>
      <c r="BD27" s="238"/>
      <c r="BE27" s="238"/>
      <c r="BF27" s="239"/>
      <c r="BG27" s="239"/>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row>
    <row r="28" spans="1:94" s="240" customFormat="1" ht="14.25" customHeight="1">
      <c r="A28" s="1370" t="s">
        <v>718</v>
      </c>
      <c r="B28" s="1370"/>
      <c r="C28" s="1370"/>
      <c r="D28" s="1370"/>
      <c r="E28" s="1370"/>
      <c r="F28" s="1371" t="str">
        <f>A17</f>
        <v>Flare - Fuel Gas</v>
      </c>
      <c r="G28" s="1372"/>
      <c r="H28" s="1372"/>
      <c r="I28" s="1372"/>
      <c r="J28" s="1372"/>
      <c r="K28" s="1372"/>
      <c r="L28" s="1372"/>
      <c r="M28" s="1372"/>
      <c r="N28" s="1372"/>
      <c r="O28" s="1372"/>
      <c r="P28" s="1372"/>
      <c r="Q28" s="1372"/>
      <c r="R28" s="1372"/>
      <c r="S28" s="1372"/>
      <c r="T28" s="1372"/>
      <c r="U28" s="1373"/>
      <c r="V28" s="30"/>
      <c r="W28" s="1402" t="s">
        <v>758</v>
      </c>
      <c r="X28" s="1184"/>
      <c r="Y28" s="1184"/>
      <c r="Z28" s="1184"/>
      <c r="AA28" s="1184"/>
      <c r="AB28" s="1184"/>
      <c r="AC28" s="1184"/>
      <c r="AD28" s="1184"/>
      <c r="AE28" s="1184"/>
      <c r="AF28" s="1184"/>
      <c r="AG28" s="1184"/>
      <c r="AH28" s="1184"/>
      <c r="AI28" s="1184"/>
      <c r="AJ28" s="1184"/>
      <c r="AK28" s="253"/>
      <c r="AL28" s="255"/>
      <c r="AM28" s="241"/>
      <c r="AN28" s="241"/>
      <c r="AO28" s="241"/>
      <c r="AP28" s="241"/>
      <c r="AQ28" s="241"/>
      <c r="AR28" s="241"/>
      <c r="AS28" s="241"/>
      <c r="AT28" s="241"/>
      <c r="AU28" s="241"/>
      <c r="AV28" s="241"/>
      <c r="AW28" s="241"/>
      <c r="AX28" s="241"/>
      <c r="AY28" s="241"/>
      <c r="AZ28" s="238"/>
      <c r="BA28" s="238"/>
      <c r="BB28" s="238"/>
      <c r="BC28" s="238"/>
      <c r="BD28" s="238"/>
      <c r="BE28" s="238"/>
      <c r="BF28" s="239"/>
      <c r="BG28" s="239"/>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38"/>
      <c r="CN28" s="238"/>
      <c r="CO28" s="238"/>
      <c r="CP28" s="238"/>
    </row>
    <row r="29" spans="1:94" s="240" customFormat="1" ht="14.25" customHeight="1">
      <c r="A29" s="256" t="s">
        <v>620</v>
      </c>
      <c r="B29" s="30"/>
      <c r="C29" s="30"/>
      <c r="D29" s="30"/>
      <c r="E29" s="30"/>
      <c r="F29" s="1374"/>
      <c r="G29" s="1374"/>
      <c r="H29" s="1374"/>
      <c r="I29" s="1374"/>
      <c r="J29" s="1375" t="s">
        <v>120</v>
      </c>
      <c r="K29" s="1375"/>
      <c r="L29" s="1375"/>
      <c r="M29" s="1375"/>
      <c r="N29" s="1374" t="s">
        <v>621</v>
      </c>
      <c r="O29" s="1374"/>
      <c r="P29" s="1375" t="s">
        <v>622</v>
      </c>
      <c r="Q29" s="1375"/>
      <c r="R29" s="1375"/>
      <c r="S29" s="1375"/>
      <c r="T29" s="1375"/>
      <c r="U29" s="1375"/>
      <c r="V29" s="257"/>
      <c r="W29" s="1184"/>
      <c r="X29" s="1184"/>
      <c r="Y29" s="1184"/>
      <c r="Z29" s="1184"/>
      <c r="AA29" s="1184"/>
      <c r="AB29" s="1184"/>
      <c r="AC29" s="1184"/>
      <c r="AD29" s="1184"/>
      <c r="AE29" s="1184"/>
      <c r="AF29" s="1184"/>
      <c r="AG29" s="1184"/>
      <c r="AH29" s="1184"/>
      <c r="AI29" s="1184"/>
      <c r="AJ29" s="1184"/>
      <c r="AK29" s="253"/>
      <c r="AL29" s="255"/>
      <c r="AM29" s="241"/>
      <c r="AN29" s="241"/>
      <c r="AO29" s="241"/>
      <c r="AP29" s="241"/>
      <c r="AQ29" s="241"/>
      <c r="AR29" s="241"/>
      <c r="AS29" s="241"/>
      <c r="AT29" s="241"/>
      <c r="AU29" s="241"/>
      <c r="AV29" s="241"/>
      <c r="AW29" s="241"/>
      <c r="AX29" s="241"/>
      <c r="AY29" s="241"/>
      <c r="AZ29" s="238"/>
      <c r="BA29" s="238"/>
      <c r="BB29" s="238"/>
      <c r="BC29" s="238"/>
      <c r="BD29" s="238"/>
      <c r="BE29" s="238"/>
      <c r="BF29" s="239"/>
      <c r="BG29" s="239"/>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row>
    <row r="30" spans="1:94" s="240" customFormat="1" ht="14.25" customHeight="1">
      <c r="A30" s="133"/>
      <c r="B30" s="30"/>
      <c r="C30" s="30"/>
      <c r="D30" s="30"/>
      <c r="E30" s="30"/>
      <c r="F30" s="1374"/>
      <c r="G30" s="1374"/>
      <c r="H30" s="1374"/>
      <c r="I30" s="1374"/>
      <c r="J30" s="1375" t="s">
        <v>624</v>
      </c>
      <c r="K30" s="1375"/>
      <c r="L30" s="1375" t="s">
        <v>625</v>
      </c>
      <c r="M30" s="1375"/>
      <c r="N30" s="1374"/>
      <c r="O30" s="1374"/>
      <c r="P30" s="1375"/>
      <c r="Q30" s="1375"/>
      <c r="R30" s="1375"/>
      <c r="S30" s="1375"/>
      <c r="T30" s="1375"/>
      <c r="U30" s="1375"/>
      <c r="V30" s="257"/>
      <c r="W30" s="1184"/>
      <c r="X30" s="1184"/>
      <c r="Y30" s="1184"/>
      <c r="Z30" s="1184"/>
      <c r="AA30" s="1184"/>
      <c r="AB30" s="1184"/>
      <c r="AC30" s="1184"/>
      <c r="AD30" s="1184"/>
      <c r="AE30" s="1184"/>
      <c r="AF30" s="1184"/>
      <c r="AG30" s="1184"/>
      <c r="AH30" s="1184"/>
      <c r="AI30" s="1184"/>
      <c r="AJ30" s="1184"/>
      <c r="AK30" s="253"/>
      <c r="AL30" s="258"/>
      <c r="AM30" s="259" t="s">
        <v>740</v>
      </c>
      <c r="AN30" s="259"/>
      <c r="AO30" s="259"/>
      <c r="AP30" s="259"/>
      <c r="AQ30" s="259"/>
      <c r="AR30" s="259"/>
      <c r="AS30" s="259" t="s">
        <v>741</v>
      </c>
      <c r="AT30" s="259"/>
      <c r="AU30" s="259" t="s">
        <v>742</v>
      </c>
      <c r="AV30" s="259"/>
      <c r="AW30" s="259"/>
      <c r="AX30" s="259"/>
      <c r="AY30" s="258"/>
      <c r="AZ30" s="238"/>
      <c r="BA30" s="238"/>
      <c r="BB30" s="238"/>
      <c r="BC30" s="238"/>
      <c r="BD30" s="238"/>
      <c r="BE30" s="238"/>
      <c r="BF30" s="239"/>
      <c r="BG30" s="239"/>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row>
    <row r="31" spans="1:94" s="240" customFormat="1" ht="14.25" customHeight="1">
      <c r="A31" s="1376" t="s">
        <v>630</v>
      </c>
      <c r="B31" s="1376"/>
      <c r="C31" s="1376"/>
      <c r="D31" s="1376"/>
      <c r="E31" s="1376"/>
      <c r="F31" s="1375" t="s">
        <v>631</v>
      </c>
      <c r="G31" s="1375"/>
      <c r="H31" s="1375" t="s">
        <v>618</v>
      </c>
      <c r="I31" s="1375"/>
      <c r="J31" s="1373" t="s">
        <v>618</v>
      </c>
      <c r="K31" s="1375"/>
      <c r="L31" s="1375" t="s">
        <v>618</v>
      </c>
      <c r="M31" s="1375"/>
      <c r="N31" s="1375" t="s">
        <v>617</v>
      </c>
      <c r="O31" s="1375"/>
      <c r="P31" s="1375" t="s">
        <v>631</v>
      </c>
      <c r="Q31" s="1375"/>
      <c r="R31" s="1371" t="s">
        <v>618</v>
      </c>
      <c r="S31" s="1373"/>
      <c r="T31" s="1371" t="s">
        <v>617</v>
      </c>
      <c r="U31" s="1373"/>
      <c r="V31" s="30"/>
      <c r="W31" s="1184"/>
      <c r="X31" s="1184"/>
      <c r="Y31" s="1184"/>
      <c r="Z31" s="1184"/>
      <c r="AA31" s="1184"/>
      <c r="AB31" s="1184"/>
      <c r="AC31" s="1184"/>
      <c r="AD31" s="1184"/>
      <c r="AE31" s="1184"/>
      <c r="AF31" s="1184"/>
      <c r="AG31" s="1184"/>
      <c r="AH31" s="1184"/>
      <c r="AI31" s="1184"/>
      <c r="AJ31" s="1184"/>
      <c r="AK31" s="253"/>
      <c r="AL31" s="258"/>
      <c r="AM31" s="259" t="s">
        <v>633</v>
      </c>
      <c r="AN31" s="259" t="s">
        <v>634</v>
      </c>
      <c r="AO31" s="259" t="s">
        <v>635</v>
      </c>
      <c r="AP31" s="259" t="s">
        <v>636</v>
      </c>
      <c r="AQ31" s="259" t="s">
        <v>637</v>
      </c>
      <c r="AR31" s="259" t="s">
        <v>590</v>
      </c>
      <c r="AS31" s="259" t="s">
        <v>428</v>
      </c>
      <c r="AT31" s="259" t="s">
        <v>429</v>
      </c>
      <c r="AU31" s="259" t="s">
        <v>126</v>
      </c>
      <c r="AV31" s="259" t="s">
        <v>431</v>
      </c>
      <c r="AW31" s="259" t="s">
        <v>429</v>
      </c>
      <c r="AX31" s="259" t="s">
        <v>124</v>
      </c>
      <c r="AY31" s="258"/>
      <c r="AZ31" s="238"/>
      <c r="BA31" s="238"/>
      <c r="BB31" s="238"/>
      <c r="BC31" s="238"/>
      <c r="BD31" s="238"/>
      <c r="BE31" s="238"/>
      <c r="BF31" s="239" t="s">
        <v>128</v>
      </c>
      <c r="BG31" s="239" t="s">
        <v>743</v>
      </c>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row>
    <row r="32" spans="1:94" s="240" customFormat="1" ht="14.25" customHeight="1">
      <c r="A32" s="260" t="s">
        <v>638</v>
      </c>
      <c r="B32" s="261"/>
      <c r="C32" s="261"/>
      <c r="D32" s="261"/>
      <c r="E32" s="262"/>
      <c r="F32" s="1377">
        <v>0</v>
      </c>
      <c r="G32" s="1378"/>
      <c r="H32" s="1379">
        <f t="shared" ref="H32:H52" si="0">F32*$AC$25</f>
        <v>0</v>
      </c>
      <c r="I32" s="1381"/>
      <c r="J32" s="1380"/>
      <c r="K32" s="1380"/>
      <c r="L32" s="1379"/>
      <c r="M32" s="1380"/>
      <c r="N32" s="1379">
        <f t="shared" ref="N32:N52" si="1">SUM(H32,J32,L32)*AR32</f>
        <v>0</v>
      </c>
      <c r="O32" s="1380"/>
      <c r="P32" s="1379"/>
      <c r="Q32" s="1381"/>
      <c r="R32" s="1379"/>
      <c r="S32" s="1380"/>
      <c r="T32" s="1379"/>
      <c r="U32" s="1381"/>
      <c r="V32" s="263"/>
      <c r="W32" s="263"/>
      <c r="X32" s="263"/>
      <c r="Y32" s="263"/>
      <c r="Z32" s="263"/>
      <c r="AA32" s="263"/>
      <c r="AB32" s="263"/>
      <c r="AC32" s="263"/>
      <c r="AD32" s="263"/>
      <c r="AE32" s="263"/>
      <c r="AF32" s="263"/>
      <c r="AG32" s="263"/>
      <c r="AH32" s="263"/>
      <c r="AI32" s="263"/>
      <c r="AJ32" s="263"/>
      <c r="AK32" s="264"/>
      <c r="AL32" s="258"/>
      <c r="AM32" s="259"/>
      <c r="AN32" s="259">
        <v>2</v>
      </c>
      <c r="AO32" s="259"/>
      <c r="AP32" s="259"/>
      <c r="AQ32" s="259"/>
      <c r="AR32" s="265">
        <f>AM32*12.01+AN32*1.008+AO32*16+AP32*14+AQ32*32</f>
        <v>2.016</v>
      </c>
      <c r="AS32" s="259">
        <f>AM32*1+AN32*0.25+AQ32*1</f>
        <v>0.5</v>
      </c>
      <c r="AT32" s="266">
        <f>0.79/0.21*AS32</f>
        <v>1.8809523809523812</v>
      </c>
      <c r="AU32" s="259">
        <f>1*AM32</f>
        <v>0</v>
      </c>
      <c r="AV32" s="259">
        <f>AN32/2</f>
        <v>1</v>
      </c>
      <c r="AW32" s="266">
        <f>AP32*0.5+AT32</f>
        <v>1.8809523809523812</v>
      </c>
      <c r="AX32" s="259">
        <f>AQ32*1</f>
        <v>0</v>
      </c>
      <c r="AY32" s="258"/>
      <c r="AZ32" s="238"/>
      <c r="BA32" s="238"/>
      <c r="BB32" s="238"/>
      <c r="BC32" s="238"/>
      <c r="BD32" s="238"/>
      <c r="BE32" s="239" t="s">
        <v>639</v>
      </c>
      <c r="BF32" s="239">
        <v>1.4200000000000001E-2</v>
      </c>
      <c r="BG32" s="239">
        <v>2.9999999999999997E-4</v>
      </c>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row>
    <row r="33" spans="1:94" s="240" customFormat="1" ht="14.25" customHeight="1">
      <c r="A33" s="267" t="s">
        <v>122</v>
      </c>
      <c r="B33" s="268"/>
      <c r="C33" s="268"/>
      <c r="D33" s="268"/>
      <c r="E33" s="269"/>
      <c r="F33" s="1377">
        <f>CO2eEF!P26</f>
        <v>0.99629999999999996</v>
      </c>
      <c r="G33" s="1378"/>
      <c r="H33" s="1299">
        <f>F33*$AC$25</f>
        <v>5150.4342431761779</v>
      </c>
      <c r="I33" s="1301"/>
      <c r="J33" s="1300"/>
      <c r="K33" s="1300"/>
      <c r="L33" s="1299"/>
      <c r="M33" s="1300"/>
      <c r="N33" s="1299">
        <f t="shared" si="1"/>
        <v>82623.266129032258</v>
      </c>
      <c r="O33" s="1301"/>
      <c r="P33" s="1299">
        <f>R33/$R$53</f>
        <v>3.2820154466845267E-4</v>
      </c>
      <c r="Q33" s="1301"/>
      <c r="R33" s="1299">
        <f>T33/$AR33</f>
        <v>17.860133739008667</v>
      </c>
      <c r="S33" s="1300"/>
      <c r="T33" s="1299">
        <f>$K22*$X25</f>
        <v>286.51226544117708</v>
      </c>
      <c r="U33" s="1301"/>
      <c r="V33" s="263"/>
      <c r="W33" s="263"/>
      <c r="X33" s="263"/>
      <c r="Y33" s="263"/>
      <c r="Z33" s="263"/>
      <c r="AA33" s="263"/>
      <c r="AB33" s="263"/>
      <c r="AC33" s="263"/>
      <c r="AD33" s="263"/>
      <c r="AE33" s="263"/>
      <c r="AF33" s="263"/>
      <c r="AG33" s="263"/>
      <c r="AH33" s="263"/>
      <c r="AI33" s="263"/>
      <c r="AJ33" s="263"/>
      <c r="AK33" s="264"/>
      <c r="AL33" s="258"/>
      <c r="AM33" s="259">
        <v>1</v>
      </c>
      <c r="AN33" s="259">
        <v>4</v>
      </c>
      <c r="AO33" s="259"/>
      <c r="AP33" s="259"/>
      <c r="AQ33" s="259"/>
      <c r="AR33" s="265">
        <f t="shared" ref="AR33:AR48" si="2">AM33*12.01+AN33*1.008+AO33*16+AP33*14+AQ33*32</f>
        <v>16.042000000000002</v>
      </c>
      <c r="AS33" s="259">
        <f t="shared" ref="AS33:AS47" si="3">AM33*1+AN33*0.25+AQ33*1</f>
        <v>2</v>
      </c>
      <c r="AT33" s="266">
        <f t="shared" ref="AT33:AT47" si="4">0.79/0.21*AS33</f>
        <v>7.5238095238095246</v>
      </c>
      <c r="AU33" s="259">
        <f t="shared" ref="AU33:AU47" si="5">1*AM33</f>
        <v>1</v>
      </c>
      <c r="AV33" s="259">
        <f t="shared" ref="AV33:AV47" si="6">AN33/2</f>
        <v>2</v>
      </c>
      <c r="AW33" s="266">
        <f t="shared" ref="AW33:AW47" si="7">AP33*0.5+AT33</f>
        <v>7.5238095238095246</v>
      </c>
      <c r="AX33" s="259">
        <f t="shared" ref="AX33:AX47" si="8">AQ33*1</f>
        <v>0</v>
      </c>
      <c r="AY33" s="258"/>
      <c r="AZ33" s="238"/>
      <c r="BA33" s="238"/>
      <c r="BB33" s="238"/>
      <c r="BC33" s="238"/>
      <c r="BD33" s="238"/>
      <c r="BE33" s="239" t="s">
        <v>126</v>
      </c>
      <c r="BF33" s="239">
        <v>9.5999999999999992E-3</v>
      </c>
      <c r="BG33" s="239">
        <v>0.77539999999999998</v>
      </c>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row>
    <row r="34" spans="1:94" s="240" customFormat="1" ht="14.25" customHeight="1">
      <c r="A34" s="267" t="s">
        <v>641</v>
      </c>
      <c r="B34" s="268"/>
      <c r="C34" s="268"/>
      <c r="D34" s="268"/>
      <c r="E34" s="269"/>
      <c r="F34" s="1377">
        <v>0</v>
      </c>
      <c r="G34" s="1378"/>
      <c r="H34" s="1299">
        <f t="shared" si="0"/>
        <v>0</v>
      </c>
      <c r="I34" s="1301"/>
      <c r="J34" s="1300"/>
      <c r="K34" s="1300"/>
      <c r="L34" s="1299"/>
      <c r="M34" s="1300"/>
      <c r="N34" s="1299">
        <f t="shared" si="1"/>
        <v>0</v>
      </c>
      <c r="O34" s="1301"/>
      <c r="P34" s="1299"/>
      <c r="Q34" s="1301"/>
      <c r="R34" s="1300"/>
      <c r="S34" s="1300"/>
      <c r="T34" s="1299"/>
      <c r="U34" s="1301"/>
      <c r="V34" s="263"/>
      <c r="W34" s="263"/>
      <c r="X34" s="270">
        <f>AH25</f>
        <v>1152.3148148148148</v>
      </c>
      <c r="Y34" s="31" t="s">
        <v>590</v>
      </c>
      <c r="Z34" s="270"/>
      <c r="AA34" s="263"/>
      <c r="AB34" s="263"/>
      <c r="AC34" s="263"/>
      <c r="AD34" s="263"/>
      <c r="AE34" s="263"/>
      <c r="AF34" s="263"/>
      <c r="AG34" s="263"/>
      <c r="AH34" s="263"/>
      <c r="AI34" s="263"/>
      <c r="AJ34" s="263"/>
      <c r="AK34" s="264"/>
      <c r="AL34" s="258"/>
      <c r="AM34" s="259">
        <v>2</v>
      </c>
      <c r="AN34" s="259">
        <v>4</v>
      </c>
      <c r="AO34" s="259"/>
      <c r="AP34" s="259"/>
      <c r="AQ34" s="259"/>
      <c r="AR34" s="265">
        <f t="shared" si="2"/>
        <v>28.052</v>
      </c>
      <c r="AS34" s="259">
        <f t="shared" si="3"/>
        <v>3</v>
      </c>
      <c r="AT34" s="266">
        <f t="shared" si="4"/>
        <v>11.285714285714286</v>
      </c>
      <c r="AU34" s="259">
        <f t="shared" si="5"/>
        <v>2</v>
      </c>
      <c r="AV34" s="259">
        <f t="shared" si="6"/>
        <v>2</v>
      </c>
      <c r="AW34" s="266">
        <f t="shared" si="7"/>
        <v>11.285714285714286</v>
      </c>
      <c r="AX34" s="259">
        <f t="shared" si="8"/>
        <v>0</v>
      </c>
      <c r="AY34" s="258"/>
      <c r="AZ34" s="238"/>
      <c r="BA34" s="238"/>
      <c r="BB34" s="238"/>
      <c r="BC34" s="238"/>
      <c r="BD34" s="238"/>
      <c r="BE34" s="239" t="s">
        <v>642</v>
      </c>
      <c r="BF34" s="239">
        <v>0.60499999999999998</v>
      </c>
      <c r="BG34" s="239">
        <v>1.43E-2</v>
      </c>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38"/>
      <c r="CN34" s="238"/>
      <c r="CO34" s="238"/>
      <c r="CP34" s="238"/>
    </row>
    <row r="35" spans="1:94" s="240" customFormat="1" ht="14.25" customHeight="1">
      <c r="A35" s="267" t="s">
        <v>643</v>
      </c>
      <c r="B35" s="268"/>
      <c r="C35" s="268"/>
      <c r="D35" s="268"/>
      <c r="E35" s="269"/>
      <c r="F35" s="1377">
        <f>CO2eEF!P27</f>
        <v>7.000000000000001E-4</v>
      </c>
      <c r="G35" s="1378"/>
      <c r="H35" s="1299">
        <f t="shared" si="0"/>
        <v>3.6186931348221671</v>
      </c>
      <c r="I35" s="1301"/>
      <c r="J35" s="1300"/>
      <c r="K35" s="1300"/>
      <c r="L35" s="1299"/>
      <c r="M35" s="1300"/>
      <c r="N35" s="1299">
        <f t="shared" si="1"/>
        <v>108.80686517783292</v>
      </c>
      <c r="O35" s="1301"/>
      <c r="P35" s="1299">
        <f>R35/$R$53</f>
        <v>0</v>
      </c>
      <c r="Q35" s="1301"/>
      <c r="R35" s="1300">
        <f>T35/$AR35</f>
        <v>0</v>
      </c>
      <c r="S35" s="1300"/>
      <c r="T35" s="1299">
        <f>$Q$22*N35</f>
        <v>0</v>
      </c>
      <c r="U35" s="1301"/>
      <c r="V35" s="263"/>
      <c r="W35" s="263"/>
      <c r="X35" s="31">
        <f>365*24</f>
        <v>8760</v>
      </c>
      <c r="Y35" s="31" t="s">
        <v>623</v>
      </c>
      <c r="Z35" s="270"/>
      <c r="AA35" s="263"/>
      <c r="AB35" s="263"/>
      <c r="AC35" s="263"/>
      <c r="AD35" s="263"/>
      <c r="AE35" s="263"/>
      <c r="AF35" s="263"/>
      <c r="AG35" s="263"/>
      <c r="AH35" s="263"/>
      <c r="AI35" s="263"/>
      <c r="AJ35" s="263"/>
      <c r="AK35" s="264"/>
      <c r="AL35" s="258"/>
      <c r="AM35" s="259">
        <v>2</v>
      </c>
      <c r="AN35" s="259">
        <v>6</v>
      </c>
      <c r="AO35" s="259"/>
      <c r="AP35" s="259"/>
      <c r="AQ35" s="259"/>
      <c r="AR35" s="265">
        <f t="shared" si="2"/>
        <v>30.067999999999998</v>
      </c>
      <c r="AS35" s="259">
        <f t="shared" si="3"/>
        <v>3.5</v>
      </c>
      <c r="AT35" s="266">
        <f t="shared" si="4"/>
        <v>13.166666666666668</v>
      </c>
      <c r="AU35" s="259">
        <f t="shared" si="5"/>
        <v>2</v>
      </c>
      <c r="AV35" s="259">
        <f t="shared" si="6"/>
        <v>3</v>
      </c>
      <c r="AW35" s="266">
        <f t="shared" si="7"/>
        <v>13.166666666666668</v>
      </c>
      <c r="AX35" s="259">
        <f t="shared" si="8"/>
        <v>0</v>
      </c>
      <c r="AY35" s="258"/>
      <c r="AZ35" s="238"/>
      <c r="BA35" s="238"/>
      <c r="BB35" s="238"/>
      <c r="BC35" s="238"/>
      <c r="BD35" s="238"/>
      <c r="BE35" s="239" t="s">
        <v>644</v>
      </c>
      <c r="BF35" s="239">
        <v>0.17519999999999999</v>
      </c>
      <c r="BG35" s="239">
        <v>1.9E-3</v>
      </c>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row>
    <row r="36" spans="1:94" s="240" customFormat="1" ht="14.25" customHeight="1">
      <c r="A36" s="267" t="s">
        <v>418</v>
      </c>
      <c r="B36" s="268"/>
      <c r="C36" s="268"/>
      <c r="D36" s="268"/>
      <c r="E36" s="269"/>
      <c r="F36" s="1377">
        <v>0</v>
      </c>
      <c r="G36" s="1378"/>
      <c r="H36" s="1299">
        <f t="shared" si="0"/>
        <v>0</v>
      </c>
      <c r="I36" s="1301"/>
      <c r="J36" s="1300"/>
      <c r="K36" s="1300"/>
      <c r="L36" s="1299"/>
      <c r="M36" s="1300"/>
      <c r="N36" s="1299">
        <f t="shared" si="1"/>
        <v>0</v>
      </c>
      <c r="O36" s="1301"/>
      <c r="P36" s="1299"/>
      <c r="Q36" s="1301"/>
      <c r="R36" s="1300"/>
      <c r="S36" s="1300"/>
      <c r="T36" s="1299"/>
      <c r="U36" s="1301"/>
      <c r="V36" s="263"/>
      <c r="W36" s="263"/>
      <c r="X36" s="272">
        <f>X34*X35</f>
        <v>10094277.777777778</v>
      </c>
      <c r="Y36" s="31" t="s">
        <v>626</v>
      </c>
      <c r="Z36" s="270"/>
      <c r="AA36" s="263"/>
      <c r="AB36" s="263"/>
      <c r="AC36" s="263"/>
      <c r="AD36" s="263"/>
      <c r="AE36" s="263"/>
      <c r="AF36" s="263"/>
      <c r="AG36" s="263"/>
      <c r="AH36" s="263"/>
      <c r="AI36" s="263"/>
      <c r="AJ36" s="263"/>
      <c r="AK36" s="264"/>
      <c r="AL36" s="258"/>
      <c r="AM36" s="259">
        <v>3</v>
      </c>
      <c r="AN36" s="259">
        <v>6</v>
      </c>
      <c r="AO36" s="259"/>
      <c r="AP36" s="259"/>
      <c r="AQ36" s="259"/>
      <c r="AR36" s="265">
        <f t="shared" si="2"/>
        <v>42.078000000000003</v>
      </c>
      <c r="AS36" s="259">
        <f t="shared" si="3"/>
        <v>4.5</v>
      </c>
      <c r="AT36" s="266">
        <f t="shared" si="4"/>
        <v>16.928571428571431</v>
      </c>
      <c r="AU36" s="259">
        <f t="shared" si="5"/>
        <v>3</v>
      </c>
      <c r="AV36" s="259">
        <f t="shared" si="6"/>
        <v>3</v>
      </c>
      <c r="AW36" s="266">
        <f t="shared" si="7"/>
        <v>16.928571428571431</v>
      </c>
      <c r="AX36" s="259">
        <f t="shared" si="8"/>
        <v>0</v>
      </c>
      <c r="AY36" s="258"/>
      <c r="AZ36" s="238"/>
      <c r="BA36" s="238"/>
      <c r="BB36" s="238"/>
      <c r="BC36" s="238"/>
      <c r="BD36" s="238"/>
      <c r="BE36" s="239" t="s">
        <v>645</v>
      </c>
      <c r="BF36" s="239">
        <v>0.1139</v>
      </c>
      <c r="BG36" s="239">
        <v>3.5999999999999999E-3</v>
      </c>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row>
    <row r="37" spans="1:94" s="240" customFormat="1" ht="14.25" customHeight="1">
      <c r="A37" s="267" t="s">
        <v>419</v>
      </c>
      <c r="B37" s="268"/>
      <c r="C37" s="268"/>
      <c r="D37" s="268"/>
      <c r="E37" s="269"/>
      <c r="F37" s="1377">
        <f>CO2eEF!P28</f>
        <v>2.0000000000000001E-4</v>
      </c>
      <c r="G37" s="1378"/>
      <c r="H37" s="1299">
        <f t="shared" si="0"/>
        <v>1.0339123242349049</v>
      </c>
      <c r="I37" s="1301"/>
      <c r="J37" s="1300"/>
      <c r="K37" s="1300"/>
      <c r="L37" s="1299"/>
      <c r="M37" s="1300"/>
      <c r="N37" s="1299">
        <f t="shared" si="1"/>
        <v>45.589330024813897</v>
      </c>
      <c r="O37" s="1301"/>
      <c r="P37" s="1299">
        <f>R37/$R$53</f>
        <v>0</v>
      </c>
      <c r="Q37" s="1301"/>
      <c r="R37" s="1300">
        <f>T37/$AR37</f>
        <v>0</v>
      </c>
      <c r="S37" s="1300"/>
      <c r="T37" s="1299">
        <f>$Q$22*N37</f>
        <v>0</v>
      </c>
      <c r="U37" s="1301"/>
      <c r="V37" s="263"/>
      <c r="W37" s="263"/>
      <c r="X37" s="272">
        <f>X36*3600/1000</f>
        <v>36339400</v>
      </c>
      <c r="Y37" s="31" t="s">
        <v>632</v>
      </c>
      <c r="Z37" s="270"/>
      <c r="AA37" s="263"/>
      <c r="AB37" s="263"/>
      <c r="AC37" s="263"/>
      <c r="AD37" s="263"/>
      <c r="AE37" s="263"/>
      <c r="AF37" s="263"/>
      <c r="AG37" s="263"/>
      <c r="AH37" s="263"/>
      <c r="AI37" s="263"/>
      <c r="AJ37" s="263"/>
      <c r="AK37" s="264"/>
      <c r="AL37" s="258"/>
      <c r="AM37" s="259">
        <v>3</v>
      </c>
      <c r="AN37" s="259">
        <v>8</v>
      </c>
      <c r="AO37" s="259"/>
      <c r="AP37" s="259"/>
      <c r="AQ37" s="259"/>
      <c r="AR37" s="265">
        <f t="shared" si="2"/>
        <v>44.094000000000001</v>
      </c>
      <c r="AS37" s="259">
        <f t="shared" si="3"/>
        <v>5</v>
      </c>
      <c r="AT37" s="266">
        <f t="shared" si="4"/>
        <v>18.80952380952381</v>
      </c>
      <c r="AU37" s="259">
        <f t="shared" si="5"/>
        <v>3</v>
      </c>
      <c r="AV37" s="259">
        <f t="shared" si="6"/>
        <v>4</v>
      </c>
      <c r="AW37" s="266">
        <f t="shared" si="7"/>
        <v>18.80952380952381</v>
      </c>
      <c r="AX37" s="259">
        <f t="shared" si="8"/>
        <v>0</v>
      </c>
      <c r="AY37" s="258"/>
      <c r="AZ37" s="238"/>
      <c r="BA37" s="238"/>
      <c r="BB37" s="238"/>
      <c r="BC37" s="238"/>
      <c r="BD37" s="238"/>
      <c r="BE37" s="239" t="s">
        <v>646</v>
      </c>
      <c r="BF37" s="239">
        <v>1.7100000000000001E-2</v>
      </c>
      <c r="BG37" s="239">
        <v>1E-3</v>
      </c>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row>
    <row r="38" spans="1:94" s="240" customFormat="1" ht="14.25" customHeight="1">
      <c r="A38" s="267" t="s">
        <v>420</v>
      </c>
      <c r="B38" s="268"/>
      <c r="C38" s="268"/>
      <c r="D38" s="268"/>
      <c r="E38" s="269"/>
      <c r="F38" s="1377">
        <v>0</v>
      </c>
      <c r="G38" s="1378"/>
      <c r="H38" s="1299">
        <f t="shared" si="0"/>
        <v>0</v>
      </c>
      <c r="I38" s="1301"/>
      <c r="J38" s="1300"/>
      <c r="K38" s="1300"/>
      <c r="L38" s="1299"/>
      <c r="M38" s="1300"/>
      <c r="N38" s="1299">
        <f t="shared" si="1"/>
        <v>0</v>
      </c>
      <c r="O38" s="1301"/>
      <c r="P38" s="1299"/>
      <c r="Q38" s="1301"/>
      <c r="R38" s="1300"/>
      <c r="S38" s="1300"/>
      <c r="T38" s="1299"/>
      <c r="U38" s="1301"/>
      <c r="V38" s="263"/>
      <c r="W38" s="263"/>
      <c r="X38" s="263"/>
      <c r="Y38" s="263"/>
      <c r="Z38" s="263"/>
      <c r="AA38" s="263"/>
      <c r="AB38" s="263"/>
      <c r="AC38" s="263"/>
      <c r="AD38" s="263"/>
      <c r="AE38" s="263"/>
      <c r="AF38" s="263"/>
      <c r="AG38" s="263"/>
      <c r="AH38" s="263"/>
      <c r="AI38" s="263"/>
      <c r="AJ38" s="263"/>
      <c r="AK38" s="264"/>
      <c r="AL38" s="258"/>
      <c r="AM38" s="259">
        <v>4</v>
      </c>
      <c r="AN38" s="259">
        <v>8</v>
      </c>
      <c r="AO38" s="259"/>
      <c r="AP38" s="259"/>
      <c r="AQ38" s="259"/>
      <c r="AR38" s="265">
        <f t="shared" si="2"/>
        <v>56.103999999999999</v>
      </c>
      <c r="AS38" s="259">
        <f t="shared" si="3"/>
        <v>6</v>
      </c>
      <c r="AT38" s="266">
        <f t="shared" si="4"/>
        <v>22.571428571428573</v>
      </c>
      <c r="AU38" s="259">
        <f t="shared" si="5"/>
        <v>4</v>
      </c>
      <c r="AV38" s="259">
        <f t="shared" si="6"/>
        <v>4</v>
      </c>
      <c r="AW38" s="266">
        <f t="shared" si="7"/>
        <v>22.571428571428573</v>
      </c>
      <c r="AX38" s="259">
        <f t="shared" si="8"/>
        <v>0</v>
      </c>
      <c r="AY38" s="258"/>
      <c r="AZ38" s="238"/>
      <c r="BA38" s="238"/>
      <c r="BB38" s="238"/>
      <c r="BC38" s="238"/>
      <c r="BD38" s="238"/>
      <c r="BE38" s="239" t="s">
        <v>647</v>
      </c>
      <c r="BF38" s="239">
        <v>4.5900000000000003E-2</v>
      </c>
      <c r="BG38" s="239">
        <v>2.3999999999999998E-3</v>
      </c>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row>
    <row r="39" spans="1:94" s="240" customFormat="1" ht="14.25" customHeight="1">
      <c r="A39" s="267" t="s">
        <v>421</v>
      </c>
      <c r="B39" s="268"/>
      <c r="C39" s="268"/>
      <c r="D39" s="268"/>
      <c r="E39" s="269"/>
      <c r="F39" s="1377">
        <f>CO2eEF!P29</f>
        <v>1E-4</v>
      </c>
      <c r="G39" s="1378"/>
      <c r="H39" s="1299">
        <f t="shared" si="0"/>
        <v>0.51695616211745243</v>
      </c>
      <c r="I39" s="1301"/>
      <c r="J39" s="1300"/>
      <c r="K39" s="1300"/>
      <c r="L39" s="1299"/>
      <c r="M39" s="1300"/>
      <c r="N39" s="1299">
        <f t="shared" si="1"/>
        <v>30.045492142266333</v>
      </c>
      <c r="O39" s="1301"/>
      <c r="P39" s="1299">
        <f>R39/$R$53</f>
        <v>0</v>
      </c>
      <c r="Q39" s="1301"/>
      <c r="R39" s="1300">
        <f>T39/$AR39</f>
        <v>0</v>
      </c>
      <c r="S39" s="1300"/>
      <c r="T39" s="1299">
        <f>$Q$22*N39</f>
        <v>0</v>
      </c>
      <c r="U39" s="1301"/>
      <c r="V39" s="263"/>
      <c r="W39" s="263"/>
      <c r="X39" s="263"/>
      <c r="Y39" s="263"/>
      <c r="Z39" s="263"/>
      <c r="AA39" s="263"/>
      <c r="AB39" s="263"/>
      <c r="AC39" s="263"/>
      <c r="AD39" s="263"/>
      <c r="AE39" s="263"/>
      <c r="AF39" s="263"/>
      <c r="AG39" s="263"/>
      <c r="AH39" s="263"/>
      <c r="AI39" s="263"/>
      <c r="AJ39" s="263"/>
      <c r="AK39" s="264"/>
      <c r="AL39" s="258"/>
      <c r="AM39" s="259">
        <v>4</v>
      </c>
      <c r="AN39" s="259">
        <v>10</v>
      </c>
      <c r="AO39" s="259"/>
      <c r="AP39" s="259"/>
      <c r="AQ39" s="259"/>
      <c r="AR39" s="265">
        <f>AM39*12.01+AN39*1.008+AO39*16+AP39*14+AQ39*32</f>
        <v>58.12</v>
      </c>
      <c r="AS39" s="259">
        <f t="shared" si="3"/>
        <v>6.5</v>
      </c>
      <c r="AT39" s="266">
        <f t="shared" si="4"/>
        <v>24.452380952380956</v>
      </c>
      <c r="AU39" s="259">
        <f t="shared" si="5"/>
        <v>4</v>
      </c>
      <c r="AV39" s="259">
        <f t="shared" si="6"/>
        <v>5</v>
      </c>
      <c r="AW39" s="266">
        <f t="shared" si="7"/>
        <v>24.452380952380956</v>
      </c>
      <c r="AX39" s="259">
        <f t="shared" si="8"/>
        <v>0</v>
      </c>
      <c r="AY39" s="258"/>
      <c r="AZ39" s="238"/>
      <c r="BA39" s="238"/>
      <c r="BB39" s="238"/>
      <c r="BC39" s="238"/>
      <c r="BD39" s="238"/>
      <c r="BE39" s="239" t="s">
        <v>648</v>
      </c>
      <c r="BF39" s="239">
        <v>8.2000000000000007E-3</v>
      </c>
      <c r="BG39" s="239">
        <v>1.6000000000000001E-3</v>
      </c>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38"/>
      <c r="CN39" s="238"/>
      <c r="CO39" s="238"/>
      <c r="CP39" s="238"/>
    </row>
    <row r="40" spans="1:94" s="240" customFormat="1" ht="14.25" customHeight="1">
      <c r="A40" s="267" t="s">
        <v>422</v>
      </c>
      <c r="B40" s="268"/>
      <c r="C40" s="268"/>
      <c r="D40" s="268"/>
      <c r="E40" s="269"/>
      <c r="F40" s="1377">
        <f>CO2eEF!P30</f>
        <v>0</v>
      </c>
      <c r="G40" s="1378"/>
      <c r="H40" s="1299">
        <f t="shared" si="0"/>
        <v>0</v>
      </c>
      <c r="I40" s="1301"/>
      <c r="J40" s="1300"/>
      <c r="K40" s="1300"/>
      <c r="L40" s="1299"/>
      <c r="M40" s="1300"/>
      <c r="N40" s="1299">
        <f t="shared" si="1"/>
        <v>0</v>
      </c>
      <c r="O40" s="1301"/>
      <c r="P40" s="1299">
        <f>R40/$R$53</f>
        <v>0</v>
      </c>
      <c r="Q40" s="1301"/>
      <c r="R40" s="1300">
        <f>T40/$AR40</f>
        <v>0</v>
      </c>
      <c r="S40" s="1300"/>
      <c r="T40" s="1299">
        <f>$Q$22*N40</f>
        <v>0</v>
      </c>
      <c r="U40" s="1301"/>
      <c r="V40" s="263"/>
      <c r="W40" s="263"/>
      <c r="X40" s="263" t="s">
        <v>720</v>
      </c>
      <c r="Y40" s="263"/>
      <c r="Z40" s="263"/>
      <c r="AA40" s="263"/>
      <c r="AB40" s="263"/>
      <c r="AC40" s="263"/>
      <c r="AD40" s="263"/>
      <c r="AE40" s="263"/>
      <c r="AF40" s="263"/>
      <c r="AG40" s="263"/>
      <c r="AH40" s="263"/>
      <c r="AI40" s="263"/>
      <c r="AJ40" s="263"/>
      <c r="AK40" s="264"/>
      <c r="AL40" s="258"/>
      <c r="AM40" s="259">
        <v>4</v>
      </c>
      <c r="AN40" s="259">
        <v>10</v>
      </c>
      <c r="AO40" s="259"/>
      <c r="AP40" s="259"/>
      <c r="AQ40" s="259"/>
      <c r="AR40" s="265">
        <f t="shared" si="2"/>
        <v>58.12</v>
      </c>
      <c r="AS40" s="259">
        <f t="shared" si="3"/>
        <v>6.5</v>
      </c>
      <c r="AT40" s="266">
        <f t="shared" si="4"/>
        <v>24.452380952380956</v>
      </c>
      <c r="AU40" s="259">
        <f t="shared" si="5"/>
        <v>4</v>
      </c>
      <c r="AV40" s="259">
        <f t="shared" si="6"/>
        <v>5</v>
      </c>
      <c r="AW40" s="266">
        <f t="shared" si="7"/>
        <v>24.452380952380956</v>
      </c>
      <c r="AX40" s="259">
        <f t="shared" si="8"/>
        <v>0</v>
      </c>
      <c r="AY40" s="258"/>
      <c r="AZ40" s="238"/>
      <c r="BA40" s="238"/>
      <c r="BB40" s="238"/>
      <c r="BC40" s="238"/>
      <c r="BD40" s="238"/>
      <c r="BE40" s="239" t="s">
        <v>649</v>
      </c>
      <c r="BF40" s="239">
        <v>2.0000000000000001E-4</v>
      </c>
      <c r="BG40" s="239">
        <v>0</v>
      </c>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row>
    <row r="41" spans="1:94" s="240" customFormat="1" ht="14.25" customHeight="1">
      <c r="A41" s="267" t="s">
        <v>423</v>
      </c>
      <c r="B41" s="268"/>
      <c r="C41" s="268"/>
      <c r="D41" s="268"/>
      <c r="E41" s="269"/>
      <c r="F41" s="1377">
        <f>CO2eEF!P31</f>
        <v>1E-4</v>
      </c>
      <c r="G41" s="1378"/>
      <c r="H41" s="1299">
        <f t="shared" si="0"/>
        <v>0.51695616211745243</v>
      </c>
      <c r="I41" s="1301"/>
      <c r="J41" s="1300"/>
      <c r="K41" s="1300"/>
      <c r="L41" s="1299"/>
      <c r="M41" s="1300"/>
      <c r="N41" s="1299">
        <f t="shared" si="1"/>
        <v>37.296319272125722</v>
      </c>
      <c r="O41" s="1301"/>
      <c r="P41" s="1299">
        <f>R41/$R$53</f>
        <v>0</v>
      </c>
      <c r="Q41" s="1301"/>
      <c r="R41" s="1300">
        <f>T41/$AR41</f>
        <v>0</v>
      </c>
      <c r="S41" s="1300"/>
      <c r="T41" s="1299">
        <f>$Q$22*N41</f>
        <v>0</v>
      </c>
      <c r="U41" s="1301"/>
      <c r="V41" s="263"/>
      <c r="W41" s="263"/>
      <c r="X41" s="263"/>
      <c r="Y41" s="263"/>
      <c r="Z41" s="263"/>
      <c r="AA41" s="263"/>
      <c r="AB41" s="263"/>
      <c r="AC41" s="263"/>
      <c r="AD41" s="263"/>
      <c r="AE41" s="263"/>
      <c r="AF41" s="263"/>
      <c r="AG41" s="263"/>
      <c r="AH41" s="263"/>
      <c r="AI41" s="263"/>
      <c r="AJ41" s="263"/>
      <c r="AK41" s="264"/>
      <c r="AL41" s="258"/>
      <c r="AM41" s="259">
        <v>5</v>
      </c>
      <c r="AN41" s="259">
        <v>12</v>
      </c>
      <c r="AO41" s="259"/>
      <c r="AP41" s="259"/>
      <c r="AQ41" s="259"/>
      <c r="AR41" s="265">
        <f t="shared" si="2"/>
        <v>72.146000000000001</v>
      </c>
      <c r="AS41" s="259">
        <f t="shared" si="3"/>
        <v>8</v>
      </c>
      <c r="AT41" s="266">
        <f t="shared" si="4"/>
        <v>30.095238095238098</v>
      </c>
      <c r="AU41" s="259">
        <f t="shared" si="5"/>
        <v>5</v>
      </c>
      <c r="AV41" s="259">
        <f t="shared" si="6"/>
        <v>6</v>
      </c>
      <c r="AW41" s="266">
        <f t="shared" si="7"/>
        <v>30.095238095238098</v>
      </c>
      <c r="AX41" s="259">
        <f t="shared" si="8"/>
        <v>0</v>
      </c>
      <c r="AY41" s="258"/>
      <c r="AZ41" s="238"/>
      <c r="BA41" s="238"/>
      <c r="BB41" s="238"/>
      <c r="BC41" s="238"/>
      <c r="BD41" s="238"/>
      <c r="BE41" s="239" t="s">
        <v>650</v>
      </c>
      <c r="BF41" s="239">
        <v>8.8999999999999999E-3</v>
      </c>
      <c r="BG41" s="239">
        <v>1.9E-3</v>
      </c>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row>
    <row r="42" spans="1:94" s="240" customFormat="1" ht="14.25" customHeight="1">
      <c r="A42" s="267" t="s">
        <v>424</v>
      </c>
      <c r="B42" s="268"/>
      <c r="C42" s="268"/>
      <c r="D42" s="268"/>
      <c r="E42" s="269"/>
      <c r="F42" s="1377">
        <f>CO2eEF!P33</f>
        <v>1E-4</v>
      </c>
      <c r="G42" s="1378"/>
      <c r="H42" s="1299">
        <f t="shared" si="0"/>
        <v>0.51695616211745243</v>
      </c>
      <c r="I42" s="1301"/>
      <c r="J42" s="1300"/>
      <c r="K42" s="1300"/>
      <c r="L42" s="1299"/>
      <c r="M42" s="1300"/>
      <c r="N42" s="1299">
        <f t="shared" si="1"/>
        <v>37.296319272125722</v>
      </c>
      <c r="O42" s="1301"/>
      <c r="P42" s="1299">
        <f>R42/$R$53</f>
        <v>0</v>
      </c>
      <c r="Q42" s="1301"/>
      <c r="R42" s="1300">
        <f>T42/$AR42</f>
        <v>0</v>
      </c>
      <c r="S42" s="1300"/>
      <c r="T42" s="1299">
        <f>$Q$22*N42</f>
        <v>0</v>
      </c>
      <c r="U42" s="1301"/>
      <c r="V42" s="263"/>
      <c r="W42" s="263"/>
      <c r="X42" s="589">
        <v>4000</v>
      </c>
      <c r="Y42" s="589" t="s">
        <v>744</v>
      </c>
      <c r="Z42" s="263"/>
      <c r="AA42" s="263"/>
      <c r="AB42" s="263"/>
      <c r="AC42" s="263"/>
      <c r="AD42" s="263"/>
      <c r="AE42" s="263"/>
      <c r="AF42" s="263"/>
      <c r="AG42" s="263"/>
      <c r="AH42" s="263"/>
      <c r="AI42" s="263"/>
      <c r="AJ42" s="263"/>
      <c r="AK42" s="264"/>
      <c r="AL42" s="258"/>
      <c r="AM42" s="259">
        <v>5</v>
      </c>
      <c r="AN42" s="259">
        <v>12</v>
      </c>
      <c r="AO42" s="259"/>
      <c r="AP42" s="259"/>
      <c r="AQ42" s="259"/>
      <c r="AR42" s="265">
        <f t="shared" si="2"/>
        <v>72.146000000000001</v>
      </c>
      <c r="AS42" s="259">
        <f t="shared" si="3"/>
        <v>8</v>
      </c>
      <c r="AT42" s="266">
        <f t="shared" si="4"/>
        <v>30.095238095238098</v>
      </c>
      <c r="AU42" s="259">
        <f t="shared" si="5"/>
        <v>5</v>
      </c>
      <c r="AV42" s="259">
        <f t="shared" si="6"/>
        <v>6</v>
      </c>
      <c r="AW42" s="266">
        <f t="shared" si="7"/>
        <v>30.095238095238098</v>
      </c>
      <c r="AX42" s="259">
        <f t="shared" si="8"/>
        <v>0</v>
      </c>
      <c r="AY42" s="258"/>
      <c r="AZ42" s="238"/>
      <c r="BA42" s="238"/>
      <c r="BB42" s="238"/>
      <c r="BC42" s="238"/>
      <c r="BD42" s="238"/>
      <c r="BE42" s="239" t="s">
        <v>651</v>
      </c>
      <c r="BF42" s="239">
        <v>2.0000000000000001E-4</v>
      </c>
      <c r="BG42" s="239">
        <v>2.9999999999999997E-4</v>
      </c>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row>
    <row r="43" spans="1:94" s="240" customFormat="1" ht="14.25" customHeight="1">
      <c r="A43" s="267" t="s">
        <v>721</v>
      </c>
      <c r="B43" s="268"/>
      <c r="C43" s="268"/>
      <c r="D43" s="268"/>
      <c r="E43" s="269"/>
      <c r="F43" s="1377">
        <f>1-(SUM(F32:F42)+SUM(F44:G52))</f>
        <v>2.00000000000089E-4</v>
      </c>
      <c r="G43" s="1378"/>
      <c r="H43" s="1299">
        <f t="shared" si="0"/>
        <v>1.0339123242353647</v>
      </c>
      <c r="I43" s="1301"/>
      <c r="J43" s="1300"/>
      <c r="K43" s="1300"/>
      <c r="L43" s="1299"/>
      <c r="M43" s="1300"/>
      <c r="N43" s="1299">
        <f t="shared" si="1"/>
        <v>89.094292804009839</v>
      </c>
      <c r="O43" s="1301"/>
      <c r="P43" s="1299">
        <f>R43/$R$53</f>
        <v>0</v>
      </c>
      <c r="Q43" s="1301"/>
      <c r="R43" s="1300">
        <f>T43/$AR43</f>
        <v>0</v>
      </c>
      <c r="S43" s="1300"/>
      <c r="T43" s="1299">
        <f>$Q$22*N43</f>
        <v>0</v>
      </c>
      <c r="U43" s="1301"/>
      <c r="V43" s="263"/>
      <c r="W43" s="263"/>
      <c r="X43" s="589">
        <v>2</v>
      </c>
      <c r="Y43" s="589" t="s">
        <v>745</v>
      </c>
      <c r="Z43" s="263"/>
      <c r="AA43" s="263"/>
      <c r="AB43" s="263"/>
      <c r="AC43" s="263"/>
      <c r="AD43" s="263"/>
      <c r="AE43" s="263"/>
      <c r="AF43" s="263"/>
      <c r="AG43" s="263"/>
      <c r="AH43" s="263"/>
      <c r="AI43" s="263"/>
      <c r="AJ43" s="263"/>
      <c r="AK43" s="264"/>
      <c r="AL43" s="258"/>
      <c r="AM43" s="259">
        <v>6</v>
      </c>
      <c r="AN43" s="259">
        <v>14</v>
      </c>
      <c r="AO43" s="259"/>
      <c r="AP43" s="259"/>
      <c r="AQ43" s="259"/>
      <c r="AR43" s="265">
        <f t="shared" si="2"/>
        <v>86.171999999999997</v>
      </c>
      <c r="AS43" s="259">
        <f t="shared" si="3"/>
        <v>9.5</v>
      </c>
      <c r="AT43" s="266">
        <f t="shared" si="4"/>
        <v>35.738095238095241</v>
      </c>
      <c r="AU43" s="259">
        <f t="shared" si="5"/>
        <v>6</v>
      </c>
      <c r="AV43" s="259">
        <f t="shared" si="6"/>
        <v>7</v>
      </c>
      <c r="AW43" s="266">
        <f t="shared" si="7"/>
        <v>35.738095238095241</v>
      </c>
      <c r="AX43" s="259">
        <f t="shared" si="8"/>
        <v>0</v>
      </c>
      <c r="AY43" s="258"/>
      <c r="AZ43" s="238"/>
      <c r="BA43" s="238"/>
      <c r="BB43" s="238"/>
      <c r="BC43" s="238"/>
      <c r="BD43" s="238"/>
      <c r="BE43" s="239" t="s">
        <v>652</v>
      </c>
      <c r="BF43" s="239">
        <v>0</v>
      </c>
      <c r="BG43" s="239">
        <v>5.0000000000000001E-4</v>
      </c>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38"/>
      <c r="CN43" s="238"/>
      <c r="CO43" s="238"/>
      <c r="CP43" s="238"/>
    </row>
    <row r="44" spans="1:94" s="240" customFormat="1" ht="14.25" customHeight="1">
      <c r="A44" s="267" t="s">
        <v>426</v>
      </c>
      <c r="B44" s="268"/>
      <c r="C44" s="268"/>
      <c r="D44" s="268"/>
      <c r="E44" s="269"/>
      <c r="F44" s="1377">
        <v>0</v>
      </c>
      <c r="G44" s="1378"/>
      <c r="H44" s="1299">
        <f>F44*$AC$25</f>
        <v>0</v>
      </c>
      <c r="I44" s="1301"/>
      <c r="J44" s="1300"/>
      <c r="K44" s="1300"/>
      <c r="L44" s="1299"/>
      <c r="M44" s="1300"/>
      <c r="N44" s="1299">
        <f t="shared" si="1"/>
        <v>0</v>
      </c>
      <c r="O44" s="1301"/>
      <c r="P44" s="1299"/>
      <c r="Q44" s="1301"/>
      <c r="R44" s="1300"/>
      <c r="S44" s="1300"/>
      <c r="T44" s="1299"/>
      <c r="U44" s="1301"/>
      <c r="V44" s="263"/>
      <c r="W44" s="263"/>
      <c r="X44" s="589">
        <f>X42/X43</f>
        <v>2000</v>
      </c>
      <c r="Y44" s="589" t="s">
        <v>746</v>
      </c>
      <c r="Z44" s="263"/>
      <c r="AA44" s="263"/>
      <c r="AB44" s="263"/>
      <c r="AC44" s="263"/>
      <c r="AD44" s="263"/>
      <c r="AE44" s="263"/>
      <c r="AF44" s="263"/>
      <c r="AG44" s="263"/>
      <c r="AH44" s="263"/>
      <c r="AI44" s="263"/>
      <c r="AJ44" s="263"/>
      <c r="AK44" s="264"/>
      <c r="AL44" s="258"/>
      <c r="AM44" s="259"/>
      <c r="AN44" s="259"/>
      <c r="AO44" s="259"/>
      <c r="AP44" s="259"/>
      <c r="AQ44" s="259"/>
      <c r="AR44" s="265">
        <v>4.0030000000000001</v>
      </c>
      <c r="AS44" s="259"/>
      <c r="AT44" s="266"/>
      <c r="AU44" s="259"/>
      <c r="AV44" s="259"/>
      <c r="AW44" s="266"/>
      <c r="AX44" s="259"/>
      <c r="AY44" s="258"/>
      <c r="AZ44" s="238"/>
      <c r="BA44" s="238"/>
      <c r="BB44" s="238"/>
      <c r="BC44" s="238"/>
      <c r="BD44" s="238"/>
      <c r="BE44" s="239" t="s">
        <v>653</v>
      </c>
      <c r="BF44" s="239">
        <v>0</v>
      </c>
      <c r="BG44" s="239">
        <v>1E-4</v>
      </c>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row>
    <row r="45" spans="1:94" s="240" customFormat="1" ht="14.25" customHeight="1">
      <c r="A45" s="267" t="s">
        <v>427</v>
      </c>
      <c r="B45" s="268"/>
      <c r="C45" s="268"/>
      <c r="D45" s="268"/>
      <c r="E45" s="269"/>
      <c r="F45" s="1377">
        <v>0</v>
      </c>
      <c r="G45" s="1378"/>
      <c r="H45" s="1299">
        <f t="shared" si="0"/>
        <v>0</v>
      </c>
      <c r="I45" s="1301"/>
      <c r="J45" s="1300"/>
      <c r="K45" s="1300"/>
      <c r="L45" s="1299"/>
      <c r="M45" s="1300"/>
      <c r="N45" s="1299">
        <f t="shared" si="1"/>
        <v>0</v>
      </c>
      <c r="O45" s="1301"/>
      <c r="P45" s="1299"/>
      <c r="Q45" s="1301"/>
      <c r="R45" s="1299"/>
      <c r="S45" s="1301"/>
      <c r="T45" s="1299"/>
      <c r="U45" s="1301"/>
      <c r="V45" s="263"/>
      <c r="W45" s="263"/>
      <c r="X45" s="589">
        <f>X44*1000/24</f>
        <v>83333.333333333328</v>
      </c>
      <c r="Y45" s="589" t="s">
        <v>617</v>
      </c>
      <c r="Z45" s="263"/>
      <c r="AA45" s="263"/>
      <c r="AB45" s="263"/>
      <c r="AC45" s="263"/>
      <c r="AD45" s="263"/>
      <c r="AE45" s="263"/>
      <c r="AF45" s="263"/>
      <c r="AG45" s="263"/>
      <c r="AH45" s="263"/>
      <c r="AI45" s="263"/>
      <c r="AJ45" s="263"/>
      <c r="AK45" s="264"/>
      <c r="AL45" s="258"/>
      <c r="AM45" s="259"/>
      <c r="AN45" s="259">
        <v>2</v>
      </c>
      <c r="AO45" s="259"/>
      <c r="AP45" s="259"/>
      <c r="AQ45" s="259">
        <v>1</v>
      </c>
      <c r="AR45" s="265">
        <f t="shared" si="2"/>
        <v>34.015999999999998</v>
      </c>
      <c r="AS45" s="259">
        <f t="shared" si="3"/>
        <v>1.5</v>
      </c>
      <c r="AT45" s="266">
        <f t="shared" si="4"/>
        <v>5.6428571428571432</v>
      </c>
      <c r="AU45" s="259">
        <f t="shared" si="5"/>
        <v>0</v>
      </c>
      <c r="AV45" s="259">
        <f t="shared" si="6"/>
        <v>1</v>
      </c>
      <c r="AW45" s="266">
        <f t="shared" si="7"/>
        <v>5.6428571428571432</v>
      </c>
      <c r="AX45" s="259">
        <f t="shared" si="8"/>
        <v>1</v>
      </c>
      <c r="AY45" s="258"/>
      <c r="AZ45" s="238"/>
      <c r="BA45" s="238"/>
      <c r="BB45" s="238"/>
      <c r="BC45" s="238"/>
      <c r="BD45" s="238"/>
      <c r="BE45" s="239" t="s">
        <v>654</v>
      </c>
      <c r="BF45" s="239">
        <v>0</v>
      </c>
      <c r="BG45" s="239">
        <v>4.0000000000000002E-4</v>
      </c>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row>
    <row r="46" spans="1:94" s="240" customFormat="1" ht="14.25" customHeight="1">
      <c r="A46" s="267" t="s">
        <v>428</v>
      </c>
      <c r="B46" s="268"/>
      <c r="C46" s="268"/>
      <c r="D46" s="268"/>
      <c r="E46" s="269"/>
      <c r="F46" s="1377">
        <v>0</v>
      </c>
      <c r="G46" s="1378"/>
      <c r="H46" s="1299">
        <f t="shared" si="0"/>
        <v>0</v>
      </c>
      <c r="I46" s="1301"/>
      <c r="J46" s="1300">
        <f>SUMPRODUCT(H32:H52,AS32:AS52)-H46</f>
        <v>10340.157154673285</v>
      </c>
      <c r="K46" s="1300"/>
      <c r="L46" s="1299">
        <v>0</v>
      </c>
      <c r="M46" s="1300"/>
      <c r="N46" s="1299">
        <f t="shared" si="1"/>
        <v>330885.02894954511</v>
      </c>
      <c r="O46" s="1301"/>
      <c r="P46" s="1299">
        <f t="shared" ref="P46:P52" si="9">R46/$R$53</f>
        <v>6.5640308933690534E-4</v>
      </c>
      <c r="Q46" s="1301"/>
      <c r="R46" s="1300">
        <f>L46+SUMPRODUCT(R33:R45,$AS33:$AS45)</f>
        <v>35.720267478017334</v>
      </c>
      <c r="S46" s="1300"/>
      <c r="T46" s="1299">
        <f>R46*$AR46</f>
        <v>1143.0485592965547</v>
      </c>
      <c r="U46" s="1301"/>
      <c r="V46" s="263"/>
      <c r="W46" s="263"/>
      <c r="X46" s="263"/>
      <c r="Y46" s="263"/>
      <c r="Z46" s="263"/>
      <c r="AA46" s="263"/>
      <c r="AB46" s="263"/>
      <c r="AC46" s="263"/>
      <c r="AD46" s="263"/>
      <c r="AE46" s="263"/>
      <c r="AF46" s="263"/>
      <c r="AG46" s="263"/>
      <c r="AH46" s="263"/>
      <c r="AI46" s="263"/>
      <c r="AJ46" s="263"/>
      <c r="AK46" s="264"/>
      <c r="AL46" s="258"/>
      <c r="AM46" s="259"/>
      <c r="AN46" s="259"/>
      <c r="AO46" s="259">
        <v>2</v>
      </c>
      <c r="AP46" s="259"/>
      <c r="AQ46" s="259"/>
      <c r="AR46" s="265">
        <f t="shared" si="2"/>
        <v>32</v>
      </c>
      <c r="AS46" s="259">
        <f t="shared" si="3"/>
        <v>0</v>
      </c>
      <c r="AT46" s="266">
        <f t="shared" si="4"/>
        <v>0</v>
      </c>
      <c r="AU46" s="259">
        <f t="shared" si="5"/>
        <v>0</v>
      </c>
      <c r="AV46" s="259">
        <f t="shared" si="6"/>
        <v>0</v>
      </c>
      <c r="AW46" s="266">
        <f t="shared" si="7"/>
        <v>0</v>
      </c>
      <c r="AX46" s="259">
        <f t="shared" si="8"/>
        <v>0</v>
      </c>
      <c r="AY46" s="258"/>
      <c r="AZ46" s="238"/>
      <c r="BA46" s="238"/>
      <c r="BB46" s="238"/>
      <c r="BC46" s="238"/>
      <c r="BD46" s="238"/>
      <c r="BE46" s="239" t="s">
        <v>655</v>
      </c>
      <c r="BF46" s="239">
        <v>0</v>
      </c>
      <c r="BG46" s="239">
        <v>2.0000000000000001E-4</v>
      </c>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row>
    <row r="47" spans="1:94" s="240" customFormat="1" ht="14.25" customHeight="1">
      <c r="A47" s="267" t="s">
        <v>429</v>
      </c>
      <c r="B47" s="268"/>
      <c r="C47" s="268"/>
      <c r="D47" s="268"/>
      <c r="E47" s="269"/>
      <c r="F47" s="1377">
        <f>CO2eEF!P24</f>
        <v>1.5E-3</v>
      </c>
      <c r="G47" s="1378"/>
      <c r="H47" s="1299">
        <f t="shared" si="0"/>
        <v>7.7543424317617857</v>
      </c>
      <c r="I47" s="1301"/>
      <c r="J47" s="1300">
        <f>0.79/0.21*J46</f>
        <v>38898.686439009027</v>
      </c>
      <c r="K47" s="1301"/>
      <c r="L47" s="1299">
        <f>0.71/0.29*L46</f>
        <v>0</v>
      </c>
      <c r="M47" s="1300"/>
      <c r="N47" s="1299">
        <f t="shared" si="1"/>
        <v>1089380.341880342</v>
      </c>
      <c r="O47" s="1301"/>
      <c r="P47" s="1299">
        <f t="shared" si="9"/>
        <v>0.7149250782238904</v>
      </c>
      <c r="Q47" s="1301"/>
      <c r="R47" s="1299">
        <f>$H47+J47+L47-R50/2</f>
        <v>38904.928139045602</v>
      </c>
      <c r="S47" s="1301"/>
      <c r="T47" s="1340">
        <f>R47*$AR47</f>
        <v>1089337.9878932768</v>
      </c>
      <c r="U47" s="1342"/>
      <c r="V47" s="263"/>
      <c r="W47" s="263"/>
      <c r="X47" s="263"/>
      <c r="Y47" s="263"/>
      <c r="Z47" s="263"/>
      <c r="AA47" s="263"/>
      <c r="AB47" s="263"/>
      <c r="AC47" s="263"/>
      <c r="AD47" s="263"/>
      <c r="AE47" s="263"/>
      <c r="AF47" s="263"/>
      <c r="AG47" s="263"/>
      <c r="AH47" s="263"/>
      <c r="AI47" s="263"/>
      <c r="AJ47" s="263"/>
      <c r="AK47" s="264"/>
      <c r="AL47" s="258"/>
      <c r="AM47" s="259"/>
      <c r="AN47" s="259"/>
      <c r="AO47" s="259"/>
      <c r="AP47" s="259">
        <v>2</v>
      </c>
      <c r="AQ47" s="259"/>
      <c r="AR47" s="265">
        <f t="shared" si="2"/>
        <v>28</v>
      </c>
      <c r="AS47" s="259">
        <f t="shared" si="3"/>
        <v>0</v>
      </c>
      <c r="AT47" s="266">
        <f t="shared" si="4"/>
        <v>0</v>
      </c>
      <c r="AU47" s="259">
        <f t="shared" si="5"/>
        <v>0</v>
      </c>
      <c r="AV47" s="259">
        <f t="shared" si="6"/>
        <v>0</v>
      </c>
      <c r="AW47" s="266">
        <f t="shared" si="7"/>
        <v>1</v>
      </c>
      <c r="AX47" s="259">
        <f t="shared" si="8"/>
        <v>0</v>
      </c>
      <c r="AY47" s="258"/>
      <c r="AZ47" s="238"/>
      <c r="BA47" s="238"/>
      <c r="BB47" s="238"/>
      <c r="BC47" s="238"/>
      <c r="BD47" s="238"/>
      <c r="BE47" s="239" t="s">
        <v>656</v>
      </c>
      <c r="BF47" s="239">
        <v>1.5E-3</v>
      </c>
      <c r="BG47" s="239">
        <v>0</v>
      </c>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row>
    <row r="48" spans="1:94" s="240" customFormat="1" ht="14.25" customHeight="1">
      <c r="A48" s="267" t="s">
        <v>115</v>
      </c>
      <c r="B48" s="268"/>
      <c r="C48" s="268"/>
      <c r="D48" s="268"/>
      <c r="E48" s="269"/>
      <c r="F48" s="1377">
        <v>0</v>
      </c>
      <c r="G48" s="1378"/>
      <c r="H48" s="1299">
        <f t="shared" si="0"/>
        <v>0</v>
      </c>
      <c r="I48" s="1301"/>
      <c r="J48" s="1300"/>
      <c r="K48" s="1300"/>
      <c r="L48" s="1299"/>
      <c r="M48" s="1300"/>
      <c r="N48" s="1299">
        <f t="shared" si="1"/>
        <v>0</v>
      </c>
      <c r="O48" s="1301"/>
      <c r="P48" s="1299">
        <f t="shared" si="9"/>
        <v>4.9677497741658263E-4</v>
      </c>
      <c r="Q48" s="1301"/>
      <c r="R48" s="1300">
        <f>T48/$AR$48</f>
        <v>27.033594688946675</v>
      </c>
      <c r="S48" s="1300"/>
      <c r="T48" s="1299">
        <f>$AC17*$X25</f>
        <v>757.21098723739635</v>
      </c>
      <c r="U48" s="1301"/>
      <c r="V48" s="263"/>
      <c r="W48" s="263"/>
      <c r="X48" s="263"/>
      <c r="Y48" s="263"/>
      <c r="Z48" s="263"/>
      <c r="AA48" s="263"/>
      <c r="AB48" s="263"/>
      <c r="AC48" s="263"/>
      <c r="AD48" s="263"/>
      <c r="AE48" s="263"/>
      <c r="AF48" s="263"/>
      <c r="AG48" s="263"/>
      <c r="AH48" s="263"/>
      <c r="AI48" s="263"/>
      <c r="AJ48" s="263"/>
      <c r="AK48" s="264"/>
      <c r="AL48" s="258"/>
      <c r="AM48" s="258">
        <v>1</v>
      </c>
      <c r="AN48" s="258"/>
      <c r="AO48" s="258">
        <v>1</v>
      </c>
      <c r="AP48" s="258"/>
      <c r="AQ48" s="258"/>
      <c r="AR48" s="265">
        <f t="shared" si="2"/>
        <v>28.009999999999998</v>
      </c>
      <c r="AS48" s="259"/>
      <c r="AT48" s="258"/>
      <c r="AU48" s="258"/>
      <c r="AV48" s="258"/>
      <c r="AW48" s="258"/>
      <c r="AX48" s="258"/>
      <c r="AY48" s="258"/>
      <c r="AZ48" s="238"/>
      <c r="BA48" s="238"/>
      <c r="BB48" s="238"/>
      <c r="BC48" s="238"/>
      <c r="BD48" s="238"/>
      <c r="BE48" s="239" t="s">
        <v>657</v>
      </c>
      <c r="BF48" s="239">
        <v>1E-4</v>
      </c>
      <c r="BG48" s="239">
        <v>0</v>
      </c>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38"/>
      <c r="CN48" s="238"/>
      <c r="CO48" s="238"/>
      <c r="CP48" s="238"/>
    </row>
    <row r="49" spans="1:94" s="240" customFormat="1" ht="14.25" customHeight="1">
      <c r="A49" s="267" t="s">
        <v>126</v>
      </c>
      <c r="B49" s="268"/>
      <c r="C49" s="268"/>
      <c r="D49" s="268"/>
      <c r="E49" s="269"/>
      <c r="F49" s="1377">
        <f>CO2eEF!P25</f>
        <v>8.0000000000000004E-4</v>
      </c>
      <c r="G49" s="1378"/>
      <c r="H49" s="1299">
        <f t="shared" si="0"/>
        <v>4.1356492969396195</v>
      </c>
      <c r="I49" s="1301"/>
      <c r="J49" s="1300"/>
      <c r="K49" s="1300"/>
      <c r="L49" s="1299"/>
      <c r="M49" s="1300"/>
      <c r="N49" s="1299">
        <f t="shared" si="1"/>
        <v>182.00992555831263</v>
      </c>
      <c r="O49" s="1301"/>
      <c r="P49" s="1299">
        <f t="shared" si="9"/>
        <v>9.4333461424103704E-2</v>
      </c>
      <c r="Q49" s="1301"/>
      <c r="R49" s="1300">
        <f>SUMPRODUCT($H32:$H52,$AU32:$AU52)+$H49-R48-SUMPRODUCT(R33:R43,$AU33:$AU43)</f>
        <v>5133.4561475025685</v>
      </c>
      <c r="S49" s="1300"/>
      <c r="T49" s="1299">
        <f>R49*$AR49</f>
        <v>225923.40505158802</v>
      </c>
      <c r="U49" s="1301"/>
      <c r="V49" s="263"/>
      <c r="W49" s="263"/>
      <c r="X49" s="263"/>
      <c r="Y49" s="263"/>
      <c r="Z49" s="263"/>
      <c r="AA49" s="263"/>
      <c r="AB49" s="263"/>
      <c r="AC49" s="263"/>
      <c r="AD49" s="263"/>
      <c r="AE49" s="263"/>
      <c r="AF49" s="263"/>
      <c r="AG49" s="263"/>
      <c r="AH49" s="263"/>
      <c r="AI49" s="263"/>
      <c r="AJ49" s="263"/>
      <c r="AK49" s="264"/>
      <c r="AL49" s="258"/>
      <c r="AM49" s="259">
        <v>1</v>
      </c>
      <c r="AN49" s="259"/>
      <c r="AO49" s="259">
        <v>2</v>
      </c>
      <c r="AP49" s="259"/>
      <c r="AQ49" s="259"/>
      <c r="AR49" s="265">
        <f>AM49*12.01+AN49*1.008+AO49*16+AP49*14+AQ49*32</f>
        <v>44.01</v>
      </c>
      <c r="AS49" s="259"/>
      <c r="AT49" s="259"/>
      <c r="AU49" s="259"/>
      <c r="AV49" s="259"/>
      <c r="AW49" s="259"/>
      <c r="AX49" s="259"/>
      <c r="AY49" s="258"/>
      <c r="AZ49" s="238"/>
      <c r="BA49" s="238"/>
      <c r="BB49" s="238"/>
      <c r="BC49" s="238"/>
      <c r="BD49" s="238"/>
      <c r="BE49" s="239" t="s">
        <v>658</v>
      </c>
      <c r="BF49" s="239">
        <v>0</v>
      </c>
      <c r="BG49" s="239">
        <v>0</v>
      </c>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row>
    <row r="50" spans="1:94" s="240" customFormat="1" ht="14.25" customHeight="1">
      <c r="A50" s="267" t="s">
        <v>430</v>
      </c>
      <c r="B50" s="268"/>
      <c r="C50" s="268"/>
      <c r="D50" s="268"/>
      <c r="E50" s="269"/>
      <c r="F50" s="1377">
        <v>0</v>
      </c>
      <c r="G50" s="1378"/>
      <c r="H50" s="1299">
        <f t="shared" si="0"/>
        <v>0</v>
      </c>
      <c r="I50" s="1301"/>
      <c r="J50" s="1300"/>
      <c r="K50" s="1300"/>
      <c r="L50" s="1299"/>
      <c r="M50" s="1300"/>
      <c r="N50" s="1299">
        <f t="shared" si="1"/>
        <v>0</v>
      </c>
      <c r="O50" s="1301"/>
      <c r="P50" s="1299">
        <f t="shared" si="9"/>
        <v>5.5593264629013907E-5</v>
      </c>
      <c r="Q50" s="1301"/>
      <c r="R50" s="1300">
        <f>T50/$AR50</f>
        <v>3.0252847903726767</v>
      </c>
      <c r="S50" s="1300"/>
      <c r="T50" s="1299">
        <f>$W17*$X25</f>
        <v>139.16310035714312</v>
      </c>
      <c r="U50" s="1301"/>
      <c r="V50" s="263"/>
      <c r="W50" s="263"/>
      <c r="X50" s="263"/>
      <c r="Y50" s="263"/>
      <c r="Z50" s="263"/>
      <c r="AA50" s="263"/>
      <c r="AB50" s="263"/>
      <c r="AC50" s="263"/>
      <c r="AD50" s="263"/>
      <c r="AE50" s="263"/>
      <c r="AF50" s="263"/>
      <c r="AG50" s="263"/>
      <c r="AH50" s="263"/>
      <c r="AI50" s="263"/>
      <c r="AJ50" s="263"/>
      <c r="AK50" s="264"/>
      <c r="AL50" s="258"/>
      <c r="AM50" s="258"/>
      <c r="AN50" s="258"/>
      <c r="AO50" s="258">
        <v>2</v>
      </c>
      <c r="AP50" s="258">
        <v>1</v>
      </c>
      <c r="AQ50" s="258"/>
      <c r="AR50" s="265">
        <f>AM50*12.01+AN50*1.008+AO50*16+AP50*14+AQ50*32</f>
        <v>46</v>
      </c>
      <c r="AS50" s="259"/>
      <c r="AT50" s="258"/>
      <c r="AU50" s="258"/>
      <c r="AV50" s="258"/>
      <c r="AW50" s="258"/>
      <c r="AX50" s="258"/>
      <c r="AY50" s="258"/>
      <c r="AZ50" s="238"/>
      <c r="BA50" s="238"/>
      <c r="BB50" s="238"/>
      <c r="BC50" s="238"/>
      <c r="BD50" s="238"/>
      <c r="BE50" s="239" t="s">
        <v>659</v>
      </c>
      <c r="BF50" s="239">
        <v>0</v>
      </c>
      <c r="BG50" s="239">
        <v>0</v>
      </c>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38"/>
      <c r="CN50" s="238"/>
      <c r="CO50" s="238"/>
      <c r="CP50" s="238"/>
    </row>
    <row r="51" spans="1:94" s="240" customFormat="1" ht="14.25" customHeight="1">
      <c r="A51" s="267" t="s">
        <v>124</v>
      </c>
      <c r="B51" s="268"/>
      <c r="C51" s="268"/>
      <c r="D51" s="268"/>
      <c r="E51" s="269"/>
      <c r="F51" s="1377">
        <v>0</v>
      </c>
      <c r="G51" s="1378"/>
      <c r="H51" s="1299">
        <f t="shared" si="0"/>
        <v>0</v>
      </c>
      <c r="I51" s="1301"/>
      <c r="J51" s="1300"/>
      <c r="K51" s="1300"/>
      <c r="L51" s="1299"/>
      <c r="M51" s="1300"/>
      <c r="N51" s="1299">
        <f t="shared" si="1"/>
        <v>0</v>
      </c>
      <c r="O51" s="1301"/>
      <c r="P51" s="1299">
        <f t="shared" si="9"/>
        <v>0</v>
      </c>
      <c r="Q51" s="1301"/>
      <c r="R51" s="1299">
        <f>SUMPRODUCT(H32:H52,$AX32:$AX52)+H51</f>
        <v>0</v>
      </c>
      <c r="S51" s="1300"/>
      <c r="T51" s="1299">
        <f>R51*$AR51</f>
        <v>0</v>
      </c>
      <c r="U51" s="1301"/>
      <c r="V51" s="263"/>
      <c r="W51" s="263"/>
      <c r="X51" s="263"/>
      <c r="Y51" s="263"/>
      <c r="Z51" s="263"/>
      <c r="AA51" s="263"/>
      <c r="AB51" s="263"/>
      <c r="AC51" s="263"/>
      <c r="AD51" s="263"/>
      <c r="AE51" s="263"/>
      <c r="AF51" s="263"/>
      <c r="AG51" s="263"/>
      <c r="AH51" s="263"/>
      <c r="AI51" s="263"/>
      <c r="AJ51" s="263"/>
      <c r="AK51" s="264"/>
      <c r="AL51" s="258"/>
      <c r="AM51" s="258"/>
      <c r="AN51" s="258"/>
      <c r="AO51" s="258">
        <v>2</v>
      </c>
      <c r="AP51" s="258"/>
      <c r="AQ51" s="258">
        <v>1</v>
      </c>
      <c r="AR51" s="265">
        <f>AM51*12.01+AN51*1.008+AO51*16+AP51*14+AQ51*32</f>
        <v>64</v>
      </c>
      <c r="AS51" s="259"/>
      <c r="AT51" s="258"/>
      <c r="AU51" s="258"/>
      <c r="AV51" s="258"/>
      <c r="AW51" s="258"/>
      <c r="AX51" s="258"/>
      <c r="AY51" s="258"/>
      <c r="AZ51" s="238"/>
      <c r="BA51" s="238"/>
      <c r="BB51" s="238"/>
      <c r="BC51" s="238"/>
      <c r="BD51" s="238"/>
      <c r="BE51" s="239" t="s">
        <v>660</v>
      </c>
      <c r="BF51" s="239">
        <v>0</v>
      </c>
      <c r="BG51" s="239">
        <v>0</v>
      </c>
      <c r="BH51" s="238"/>
      <c r="BI51" s="238"/>
      <c r="BJ51" s="238"/>
      <c r="BK51" s="238"/>
      <c r="BL51" s="238"/>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38"/>
      <c r="CN51" s="238"/>
      <c r="CO51" s="238"/>
      <c r="CP51" s="238"/>
    </row>
    <row r="52" spans="1:94" s="240" customFormat="1" ht="14.25" customHeight="1">
      <c r="A52" s="273" t="s">
        <v>431</v>
      </c>
      <c r="B52" s="274"/>
      <c r="C52" s="274"/>
      <c r="D52" s="274"/>
      <c r="E52" s="274"/>
      <c r="F52" s="1377">
        <f>CO2eEF!P47</f>
        <v>0</v>
      </c>
      <c r="G52" s="1378"/>
      <c r="H52" s="1299">
        <f t="shared" si="0"/>
        <v>0</v>
      </c>
      <c r="I52" s="1301"/>
      <c r="J52" s="1384"/>
      <c r="K52" s="1384"/>
      <c r="L52" s="1382"/>
      <c r="M52" s="1384"/>
      <c r="N52" s="1299">
        <f t="shared" si="1"/>
        <v>0</v>
      </c>
      <c r="O52" s="1301"/>
      <c r="P52" s="1343">
        <f t="shared" si="9"/>
        <v>0.18920448747595484</v>
      </c>
      <c r="Q52" s="1345"/>
      <c r="R52" s="1300">
        <f>SUMPRODUCT(H32:H52,$AV32:$AV52)+H52-SUMPRODUCT(R33:R43,$AV33:$AV43)</f>
        <v>10296.165588601389</v>
      </c>
      <c r="S52" s="1300"/>
      <c r="T52" s="1382">
        <f>R52*$AR52</f>
        <v>185495.71924424259</v>
      </c>
      <c r="U52" s="1383"/>
      <c r="V52" s="263"/>
      <c r="W52" s="263"/>
      <c r="X52" s="263"/>
      <c r="Y52" s="263"/>
      <c r="Z52" s="263"/>
      <c r="AA52" s="263"/>
      <c r="AB52" s="263"/>
      <c r="AC52" s="263"/>
      <c r="AD52" s="263"/>
      <c r="AE52" s="263"/>
      <c r="AF52" s="263"/>
      <c r="AG52" s="263"/>
      <c r="AH52" s="263"/>
      <c r="AI52" s="263"/>
      <c r="AJ52" s="263"/>
      <c r="AK52" s="264"/>
      <c r="AL52" s="258"/>
      <c r="AM52" s="258"/>
      <c r="AN52" s="258">
        <v>2</v>
      </c>
      <c r="AO52" s="258">
        <v>1</v>
      </c>
      <c r="AP52" s="258"/>
      <c r="AQ52" s="258"/>
      <c r="AR52" s="265">
        <f>AM52*12.01+AN52*1.008+AO52*16+AP52*14+AQ52*32</f>
        <v>18.015999999999998</v>
      </c>
      <c r="AS52" s="259"/>
      <c r="AT52" s="258"/>
      <c r="AU52" s="258"/>
      <c r="AV52" s="258"/>
      <c r="AW52" s="258"/>
      <c r="AX52" s="258"/>
      <c r="AY52" s="258"/>
      <c r="AZ52" s="238"/>
      <c r="BA52" s="238"/>
      <c r="BB52" s="238"/>
      <c r="BC52" s="238"/>
      <c r="BD52" s="238"/>
      <c r="BE52" s="239" t="s">
        <v>661</v>
      </c>
      <c r="BF52" s="239">
        <v>0</v>
      </c>
      <c r="BG52" s="239">
        <v>0</v>
      </c>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row>
    <row r="53" spans="1:94" s="240" customFormat="1" ht="14.25" customHeight="1">
      <c r="A53" s="1391" t="s">
        <v>663</v>
      </c>
      <c r="B53" s="1392"/>
      <c r="C53" s="1392"/>
      <c r="D53" s="1392"/>
      <c r="E53" s="1393"/>
      <c r="F53" s="1394">
        <f>SUM(F32:F52)</f>
        <v>1</v>
      </c>
      <c r="G53" s="1395"/>
      <c r="H53" s="1371">
        <f>SUM(H32:H52)</f>
        <v>5169.5616211745255</v>
      </c>
      <c r="I53" s="1373"/>
      <c r="J53" s="1396">
        <f>SUM(J32:J52)</f>
        <v>49238.843593682308</v>
      </c>
      <c r="K53" s="1396"/>
      <c r="L53" s="1371">
        <f>SUM(L32:L52)</f>
        <v>0</v>
      </c>
      <c r="M53" s="1372"/>
      <c r="N53" s="1385">
        <f>SUM(N32:N52)</f>
        <v>1503418.7755031707</v>
      </c>
      <c r="O53" s="1386"/>
      <c r="P53" s="1385">
        <f>SUM(P32:P52)</f>
        <v>1</v>
      </c>
      <c r="Q53" s="1386"/>
      <c r="R53" s="1371">
        <f>SUM(R32:R52)</f>
        <v>54418.18915584591</v>
      </c>
      <c r="S53" s="1373"/>
      <c r="T53" s="1387">
        <f>SUM(T32:T52)</f>
        <v>1503083.0471014397</v>
      </c>
      <c r="U53" s="1388"/>
      <c r="V53" s="275"/>
      <c r="W53" s="275"/>
      <c r="X53" s="30"/>
      <c r="Y53" s="30"/>
      <c r="Z53" s="276"/>
      <c r="AA53" s="276"/>
      <c r="AB53" s="30"/>
      <c r="AC53" s="30"/>
      <c r="AD53" s="277"/>
      <c r="AE53" s="277"/>
      <c r="AF53" s="263"/>
      <c r="AG53" s="263"/>
      <c r="AH53" s="30"/>
      <c r="AI53" s="30"/>
      <c r="AJ53" s="277"/>
      <c r="AK53" s="278"/>
      <c r="AL53" s="238"/>
      <c r="AM53" s="238"/>
      <c r="AN53" s="238"/>
      <c r="AO53" s="238"/>
      <c r="AP53" s="238"/>
      <c r="AQ53" s="238"/>
      <c r="AR53" s="238"/>
      <c r="AS53" s="238"/>
      <c r="AT53" s="238"/>
      <c r="AU53" s="238"/>
      <c r="AV53" s="238"/>
      <c r="AW53" s="238"/>
      <c r="AX53" s="238"/>
      <c r="AY53" s="238"/>
      <c r="AZ53" s="238"/>
      <c r="BA53" s="238"/>
      <c r="BB53" s="238"/>
      <c r="BC53" s="238"/>
      <c r="BD53" s="238"/>
      <c r="BE53" s="239" t="s">
        <v>662</v>
      </c>
      <c r="BF53" s="239">
        <v>0</v>
      </c>
      <c r="BG53" s="239">
        <v>0</v>
      </c>
      <c r="BH53" s="238"/>
      <c r="BI53" s="238"/>
      <c r="BJ53" s="238"/>
      <c r="BK53" s="238"/>
      <c r="BL53" s="238"/>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38"/>
      <c r="CN53" s="238"/>
      <c r="CO53" s="238"/>
      <c r="CP53" s="238"/>
    </row>
    <row r="54" spans="1:94" s="240" customFormat="1" ht="14.25" customHeight="1">
      <c r="A54" s="475" t="s">
        <v>665</v>
      </c>
      <c r="B54" s="476"/>
      <c r="C54" s="476"/>
      <c r="D54" s="476"/>
      <c r="E54" s="435"/>
      <c r="F54" s="435"/>
      <c r="G54" s="435"/>
      <c r="H54" s="435"/>
      <c r="I54" s="435"/>
      <c r="J54" s="435"/>
      <c r="K54" s="435"/>
      <c r="L54" s="1189" t="s">
        <v>666</v>
      </c>
      <c r="M54" s="1190"/>
      <c r="N54" s="1400" t="s">
        <v>617</v>
      </c>
      <c r="O54" s="1400"/>
      <c r="P54" s="1400" t="s">
        <v>332</v>
      </c>
      <c r="Q54" s="1400"/>
      <c r="AG54" s="479"/>
      <c r="AH54" s="479"/>
      <c r="AI54" s="479"/>
      <c r="AJ54" s="479"/>
      <c r="AK54" s="480"/>
      <c r="AL54" s="481"/>
      <c r="AM54" s="238"/>
      <c r="AN54" s="238"/>
      <c r="AO54" s="238"/>
      <c r="AP54" s="238"/>
      <c r="AQ54" s="238"/>
      <c r="AR54" s="238"/>
      <c r="AS54" s="238"/>
      <c r="AT54" s="238"/>
      <c r="AU54" s="238"/>
      <c r="AV54" s="238"/>
      <c r="AW54" s="238"/>
      <c r="AX54" s="238"/>
      <c r="AY54" s="238"/>
      <c r="AZ54" s="238"/>
      <c r="BA54" s="238"/>
      <c r="BB54" s="238"/>
      <c r="BC54" s="238"/>
      <c r="BD54" s="238"/>
      <c r="BE54" s="239" t="s">
        <v>664</v>
      </c>
      <c r="BF54" s="239">
        <v>0</v>
      </c>
      <c r="BG54" s="239">
        <v>0</v>
      </c>
      <c r="BH54" s="238"/>
      <c r="BI54" s="238"/>
      <c r="BJ54" s="238"/>
      <c r="BK54" s="238"/>
      <c r="BL54" s="238"/>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38"/>
      <c r="CN54" s="238"/>
      <c r="CO54" s="238"/>
      <c r="CP54" s="238"/>
    </row>
    <row r="55" spans="1:94" s="240" customFormat="1" ht="14.25" customHeight="1">
      <c r="A55" s="273" t="s">
        <v>668</v>
      </c>
      <c r="B55" s="30"/>
      <c r="C55" s="30"/>
      <c r="D55" s="30"/>
      <c r="E55" s="30"/>
      <c r="F55" s="30"/>
      <c r="G55" s="30"/>
      <c r="H55" s="30"/>
      <c r="I55" s="30"/>
      <c r="J55" s="30"/>
      <c r="K55" s="30"/>
      <c r="L55" s="1185">
        <f>N55*1000/3600</f>
        <v>38.65641676587309</v>
      </c>
      <c r="M55" s="1186"/>
      <c r="N55" s="1403">
        <f>W17*$X$25</f>
        <v>139.16310035714312</v>
      </c>
      <c r="O55" s="1403"/>
      <c r="P55" s="1403">
        <f>N55*2*24/1000</f>
        <v>6.6798288171428704</v>
      </c>
      <c r="Q55" s="1403"/>
      <c r="AG55" s="30"/>
      <c r="AH55" s="30"/>
      <c r="AI55" s="30"/>
      <c r="AJ55" s="30"/>
      <c r="AK55" s="253"/>
      <c r="AL55" s="238"/>
      <c r="AM55" s="238"/>
      <c r="AN55" s="238"/>
      <c r="AO55" s="482"/>
      <c r="AP55" s="238"/>
      <c r="AQ55" s="238"/>
      <c r="AR55" s="238"/>
      <c r="AS55" s="238"/>
      <c r="AT55" s="238"/>
      <c r="AU55" s="238"/>
      <c r="AV55" s="238"/>
      <c r="AW55" s="238"/>
      <c r="AX55" s="238"/>
      <c r="AY55" s="238"/>
      <c r="AZ55" s="238"/>
      <c r="BA55" s="238"/>
      <c r="BB55" s="238"/>
      <c r="BC55" s="238"/>
      <c r="BD55" s="238"/>
      <c r="BE55" s="239" t="s">
        <v>669</v>
      </c>
      <c r="BF55" s="239">
        <v>0</v>
      </c>
      <c r="BG55" s="239">
        <v>1.5800000000000002E-2</v>
      </c>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38"/>
      <c r="CN55" s="238"/>
      <c r="CO55" s="238"/>
      <c r="CP55" s="238"/>
    </row>
    <row r="56" spans="1:94" s="240" customFormat="1" ht="14.25" customHeight="1">
      <c r="A56" s="273" t="s">
        <v>670</v>
      </c>
      <c r="B56" s="30"/>
      <c r="C56" s="30"/>
      <c r="D56" s="30"/>
      <c r="E56" s="30"/>
      <c r="F56" s="30"/>
      <c r="G56" s="30"/>
      <c r="H56" s="30"/>
      <c r="I56" s="30"/>
      <c r="J56" s="30"/>
      <c r="K56" s="30"/>
      <c r="L56" s="1185">
        <f>N56*1000/3600</f>
        <v>210.33638534372119</v>
      </c>
      <c r="M56" s="1186"/>
      <c r="N56" s="1403">
        <f>AC17*$X$25</f>
        <v>757.21098723739635</v>
      </c>
      <c r="O56" s="1403"/>
      <c r="P56" s="1403">
        <f t="shared" ref="P56:P62" si="10">N56*2*24/1000</f>
        <v>36.346127387395029</v>
      </c>
      <c r="Q56" s="1403"/>
      <c r="AG56" s="30"/>
      <c r="AH56" s="30"/>
      <c r="AI56" s="30"/>
      <c r="AJ56" s="30"/>
      <c r="AK56" s="253"/>
      <c r="AL56" s="238"/>
      <c r="AM56" s="238"/>
      <c r="AN56" s="238"/>
      <c r="AO56" s="482"/>
      <c r="AP56" s="238"/>
      <c r="AQ56" s="238"/>
      <c r="AR56" s="238"/>
      <c r="AS56" s="238"/>
      <c r="AT56" s="238"/>
      <c r="AU56" s="238"/>
      <c r="AV56" s="238"/>
      <c r="AW56" s="238"/>
      <c r="AX56" s="238"/>
      <c r="AY56" s="238"/>
      <c r="AZ56" s="238"/>
      <c r="BA56" s="238"/>
      <c r="BB56" s="238"/>
      <c r="BC56" s="238"/>
      <c r="BD56" s="238"/>
      <c r="BE56" s="239"/>
      <c r="BF56" s="239"/>
      <c r="BG56" s="239"/>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38"/>
      <c r="CN56" s="238"/>
      <c r="CO56" s="238"/>
      <c r="CP56" s="238"/>
    </row>
    <row r="57" spans="1:94" s="240" customFormat="1" ht="14.25" customHeight="1">
      <c r="A57" s="483" t="s">
        <v>748</v>
      </c>
      <c r="B57" s="484"/>
      <c r="C57" s="484"/>
      <c r="D57" s="484"/>
      <c r="E57" s="484"/>
      <c r="F57" s="484"/>
      <c r="G57" s="484"/>
      <c r="H57" s="484"/>
      <c r="I57" s="484"/>
      <c r="J57" s="484"/>
      <c r="K57" s="484"/>
      <c r="L57" s="1185">
        <f>N57*1000/3600</f>
        <v>1.3181420986571626</v>
      </c>
      <c r="M57" s="1186"/>
      <c r="N57" s="1389">
        <f>AI17*X25</f>
        <v>4.7453115551657854</v>
      </c>
      <c r="O57" s="1389"/>
      <c r="P57" s="1403">
        <f t="shared" si="10"/>
        <v>0.22777495464795772</v>
      </c>
      <c r="Q57" s="1403"/>
      <c r="AG57" s="484"/>
      <c r="AH57" s="484"/>
      <c r="AI57" s="484"/>
      <c r="AJ57" s="485"/>
      <c r="AK57" s="486"/>
      <c r="AL57" s="238"/>
      <c r="AM57" s="238"/>
      <c r="AN57" s="281"/>
      <c r="AO57" s="238"/>
      <c r="AP57" s="238"/>
      <c r="AQ57" s="238"/>
      <c r="AR57" s="238"/>
      <c r="AS57" s="238"/>
      <c r="AT57" s="238"/>
      <c r="AU57" s="238"/>
      <c r="AV57" s="238"/>
      <c r="AW57" s="238"/>
      <c r="AX57" s="238"/>
      <c r="AY57" s="238"/>
      <c r="AZ57" s="238"/>
      <c r="BA57" s="238"/>
      <c r="BB57" s="238"/>
      <c r="BC57" s="238"/>
      <c r="BD57" s="238"/>
      <c r="BE57" s="239" t="s">
        <v>667</v>
      </c>
      <c r="BF57" s="239">
        <v>0</v>
      </c>
      <c r="BG57" s="239">
        <v>4.4999999999999997E-3</v>
      </c>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38"/>
      <c r="CN57" s="238"/>
      <c r="CO57" s="238"/>
      <c r="CP57" s="238"/>
    </row>
    <row r="58" spans="1:94" s="240" customFormat="1" ht="14.25" customHeight="1">
      <c r="A58" s="273" t="s">
        <v>672</v>
      </c>
      <c r="B58" s="30"/>
      <c r="C58" s="30"/>
      <c r="D58" s="30"/>
      <c r="E58" s="30"/>
      <c r="F58" s="30"/>
      <c r="G58" s="30"/>
      <c r="H58" s="30"/>
      <c r="I58" s="30"/>
      <c r="J58" s="30"/>
      <c r="K58" s="30"/>
      <c r="L58" s="1185">
        <f>N58*1000/3600</f>
        <v>79.58674040032696</v>
      </c>
      <c r="M58" s="1186"/>
      <c r="N58" s="1407">
        <f>K22*$X$25</f>
        <v>286.51226544117708</v>
      </c>
      <c r="O58" s="1407"/>
      <c r="P58" s="1403">
        <f t="shared" si="10"/>
        <v>13.752588741176499</v>
      </c>
      <c r="Q58" s="1403"/>
      <c r="AG58" s="30"/>
      <c r="AH58" s="30"/>
      <c r="AI58" s="30"/>
      <c r="AJ58" s="30"/>
      <c r="AK58" s="253"/>
      <c r="AL58" s="238"/>
      <c r="AM58" s="238"/>
      <c r="AN58" s="238"/>
      <c r="AO58" s="482"/>
      <c r="AP58" s="238"/>
      <c r="AQ58" s="238"/>
      <c r="AR58" s="238"/>
      <c r="AS58" s="238"/>
      <c r="AT58" s="238"/>
      <c r="AU58" s="238"/>
      <c r="AV58" s="238"/>
      <c r="AW58" s="238"/>
      <c r="AX58" s="238"/>
      <c r="AY58" s="238"/>
      <c r="AZ58" s="238"/>
      <c r="BA58" s="238"/>
      <c r="BB58" s="238"/>
      <c r="BC58" s="238"/>
      <c r="BD58" s="238"/>
      <c r="BE58" s="239"/>
      <c r="BF58" s="239"/>
      <c r="BG58" s="239"/>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row>
    <row r="59" spans="1:94" s="240" customFormat="1" ht="14.25" customHeight="1">
      <c r="A59" s="273" t="s">
        <v>673</v>
      </c>
      <c r="B59" s="30"/>
      <c r="C59" s="30"/>
      <c r="D59" s="30"/>
      <c r="E59" s="30"/>
      <c r="F59" s="30"/>
      <c r="G59" s="30"/>
      <c r="H59" s="30"/>
      <c r="I59" s="30"/>
      <c r="J59" s="30"/>
      <c r="K59" s="30"/>
      <c r="L59" s="1187">
        <f>N59*1000/3600</f>
        <v>0</v>
      </c>
      <c r="M59" s="1408"/>
      <c r="N59" s="1409">
        <f>W22*$X$25</f>
        <v>0</v>
      </c>
      <c r="O59" s="1409"/>
      <c r="P59" s="1403">
        <f t="shared" si="10"/>
        <v>0</v>
      </c>
      <c r="Q59" s="1403"/>
      <c r="AG59" s="30"/>
      <c r="AH59" s="30"/>
      <c r="AI59" s="30"/>
      <c r="AJ59" s="30"/>
      <c r="AK59" s="253"/>
      <c r="AL59" s="238"/>
      <c r="AM59" s="238"/>
      <c r="AN59" s="238"/>
      <c r="AO59" s="482"/>
      <c r="AP59" s="238"/>
      <c r="AQ59" s="238"/>
      <c r="AR59" s="238"/>
      <c r="AS59" s="238"/>
      <c r="AT59" s="238"/>
      <c r="AU59" s="238"/>
      <c r="AV59" s="238"/>
      <c r="AW59" s="238"/>
      <c r="AX59" s="238"/>
      <c r="AY59" s="238"/>
      <c r="AZ59" s="238"/>
      <c r="BA59" s="238"/>
      <c r="BB59" s="238"/>
      <c r="BC59" s="238"/>
      <c r="BD59" s="238"/>
      <c r="BE59" s="239"/>
      <c r="BF59" s="239"/>
      <c r="BG59" s="239"/>
      <c r="BH59" s="238"/>
      <c r="BI59" s="238"/>
      <c r="BJ59" s="238"/>
      <c r="BK59" s="238"/>
      <c r="BL59" s="238"/>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38"/>
      <c r="CN59" s="238"/>
      <c r="CO59" s="238"/>
      <c r="CP59" s="238"/>
    </row>
    <row r="60" spans="1:94" s="240" customFormat="1" ht="14.25" customHeight="1">
      <c r="A60" s="273" t="s">
        <v>675</v>
      </c>
      <c r="B60" s="30"/>
      <c r="C60" s="30"/>
      <c r="D60" s="30"/>
      <c r="E60" s="30"/>
      <c r="F60" s="30"/>
      <c r="G60" s="30"/>
      <c r="H60" s="30"/>
      <c r="I60" s="30"/>
      <c r="J60" s="30"/>
      <c r="K60" s="30"/>
      <c r="L60" s="1187">
        <f t="shared" ref="L60:L61" si="11">N60*1000/3600</f>
        <v>0</v>
      </c>
      <c r="M60" s="1408"/>
      <c r="N60" s="1414"/>
      <c r="O60" s="1414"/>
      <c r="P60" s="1403">
        <f t="shared" si="10"/>
        <v>0</v>
      </c>
      <c r="Q60" s="1403"/>
      <c r="AG60" s="30"/>
      <c r="AH60" s="30"/>
      <c r="AI60" s="30"/>
      <c r="AJ60" s="30"/>
      <c r="AK60" s="253"/>
      <c r="AL60" s="238"/>
      <c r="AM60" s="238"/>
      <c r="AN60" s="238"/>
      <c r="AO60" s="482"/>
      <c r="AP60" s="238"/>
      <c r="AQ60" s="238"/>
      <c r="AR60" s="238"/>
      <c r="AS60" s="238"/>
      <c r="AT60" s="238"/>
      <c r="AU60" s="238"/>
      <c r="AV60" s="238"/>
      <c r="AW60" s="238"/>
      <c r="AX60" s="238"/>
      <c r="AY60" s="238"/>
      <c r="AZ60" s="238"/>
      <c r="BA60" s="238"/>
      <c r="BB60" s="238"/>
      <c r="BC60" s="238"/>
      <c r="BD60" s="238"/>
      <c r="BE60" s="239"/>
      <c r="BF60" s="239"/>
      <c r="BG60" s="239"/>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row>
    <row r="61" spans="1:94" s="240" customFormat="1" ht="14.25" customHeight="1">
      <c r="A61" s="273" t="s">
        <v>676</v>
      </c>
      <c r="B61" s="30"/>
      <c r="C61" s="30"/>
      <c r="D61" s="30"/>
      <c r="E61" s="30"/>
      <c r="F61" s="30"/>
      <c r="G61" s="30"/>
      <c r="H61" s="30"/>
      <c r="I61" s="30"/>
      <c r="J61" s="30"/>
      <c r="K61" s="30"/>
      <c r="L61" s="1187">
        <f t="shared" si="11"/>
        <v>0</v>
      </c>
      <c r="M61" s="1408"/>
      <c r="N61" s="1414"/>
      <c r="O61" s="1414"/>
      <c r="P61" s="1403">
        <f t="shared" si="10"/>
        <v>0</v>
      </c>
      <c r="Q61" s="1403"/>
      <c r="AG61" s="30"/>
      <c r="AH61" s="30"/>
      <c r="AI61" s="30"/>
      <c r="AJ61" s="30"/>
      <c r="AK61" s="253"/>
      <c r="AL61" s="238"/>
      <c r="AM61" s="238"/>
      <c r="AN61" s="238"/>
      <c r="AO61" s="281"/>
      <c r="AP61" s="238"/>
      <c r="AQ61" s="238"/>
      <c r="AR61" s="238"/>
      <c r="AS61" s="238"/>
      <c r="AT61" s="238"/>
      <c r="AU61" s="238"/>
      <c r="AV61" s="238"/>
      <c r="AW61" s="238"/>
      <c r="AX61" s="238"/>
      <c r="AY61" s="238"/>
      <c r="AZ61" s="238"/>
      <c r="BA61" s="238"/>
      <c r="BB61" s="238"/>
      <c r="BC61" s="238"/>
      <c r="BD61" s="238"/>
      <c r="BE61" s="239"/>
      <c r="BF61" s="239"/>
      <c r="BG61" s="239"/>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row>
    <row r="62" spans="1:94" s="240" customFormat="1" ht="14.25" customHeight="1">
      <c r="A62" s="273" t="s">
        <v>677</v>
      </c>
      <c r="B62" s="30"/>
      <c r="C62" s="30"/>
      <c r="D62" s="30"/>
      <c r="E62" s="30"/>
      <c r="F62" s="30"/>
      <c r="G62" s="30"/>
      <c r="H62" s="30"/>
      <c r="I62" s="30"/>
      <c r="J62" s="30"/>
      <c r="K62" s="30"/>
      <c r="L62" s="1436">
        <f>N62*1000/3600</f>
        <v>63260.32793581835</v>
      </c>
      <c r="M62" s="1437"/>
      <c r="N62" s="1438">
        <f>X25*CO2eEF!I28</f>
        <v>227737.18056894606</v>
      </c>
      <c r="O62" s="1438"/>
      <c r="P62" s="1439">
        <f t="shared" si="10"/>
        <v>10931.38466730941</v>
      </c>
      <c r="Q62" s="1439"/>
      <c r="R62" s="608"/>
      <c r="S62" s="608"/>
      <c r="T62" s="608"/>
      <c r="U62" s="608"/>
      <c r="V62" s="608"/>
      <c r="W62" s="608"/>
      <c r="X62" s="608"/>
      <c r="Y62" s="608"/>
      <c r="Z62" s="608"/>
      <c r="AA62" s="608"/>
      <c r="AB62" s="608"/>
      <c r="AC62" s="608"/>
      <c r="AD62" s="608"/>
      <c r="AE62" s="608"/>
      <c r="AF62" s="608"/>
      <c r="AG62" s="30"/>
      <c r="AH62" s="30"/>
      <c r="AI62" s="30"/>
      <c r="AJ62" s="30"/>
      <c r="AK62" s="253"/>
      <c r="AL62" s="238"/>
      <c r="AM62" s="238"/>
      <c r="AN62" s="238"/>
      <c r="AO62" s="281"/>
      <c r="AP62" s="238"/>
      <c r="AQ62" s="238"/>
      <c r="AR62" s="238"/>
      <c r="AS62" s="238"/>
      <c r="AT62" s="238"/>
      <c r="AU62" s="238"/>
      <c r="AV62" s="238"/>
      <c r="AW62" s="238"/>
      <c r="AX62" s="238"/>
      <c r="AY62" s="238"/>
      <c r="AZ62" s="238"/>
      <c r="BA62" s="238"/>
      <c r="BB62" s="238"/>
      <c r="BC62" s="238"/>
      <c r="BD62" s="238"/>
      <c r="BE62" s="239"/>
      <c r="BF62" s="239"/>
      <c r="BG62" s="239"/>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row>
    <row r="63" spans="1:94" s="240" customFormat="1" ht="14.25" customHeight="1">
      <c r="A63" s="279" t="s">
        <v>749</v>
      </c>
      <c r="B63" s="132"/>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c r="AJ63" s="132"/>
      <c r="AK63" s="280"/>
      <c r="AL63" s="238"/>
      <c r="AM63" s="238"/>
      <c r="AN63" s="238"/>
      <c r="AO63" s="281"/>
      <c r="AP63" s="238"/>
      <c r="AQ63" s="238"/>
      <c r="AR63" s="238"/>
      <c r="AS63" s="238"/>
      <c r="AT63" s="238"/>
      <c r="AU63" s="238"/>
      <c r="AV63" s="238"/>
      <c r="AW63" s="238"/>
      <c r="AX63" s="238"/>
      <c r="AY63" s="238"/>
      <c r="AZ63" s="238"/>
      <c r="BA63" s="238"/>
      <c r="BB63" s="238"/>
      <c r="BC63" s="238"/>
      <c r="BD63" s="238"/>
      <c r="BE63" s="239"/>
      <c r="BF63" s="239"/>
      <c r="BG63" s="239"/>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row>
    <row r="64" spans="1:94" s="240" customFormat="1" ht="14.25" customHeight="1">
      <c r="A64" s="282" t="s">
        <v>31</v>
      </c>
      <c r="B64" s="30" t="s">
        <v>750</v>
      </c>
      <c r="C64" s="30"/>
      <c r="D64" s="30"/>
      <c r="E64" s="30"/>
      <c r="F64" s="30"/>
      <c r="G64" s="30"/>
      <c r="H64" s="30"/>
      <c r="I64" s="30"/>
      <c r="J64" s="30"/>
      <c r="K64" s="30"/>
      <c r="L64" s="30"/>
      <c r="M64" s="30"/>
      <c r="N64" s="283"/>
      <c r="O64" s="283"/>
      <c r="P64" s="283"/>
      <c r="Q64" s="30"/>
      <c r="R64" s="30"/>
      <c r="S64" s="30"/>
      <c r="T64" s="30"/>
      <c r="U64" s="30"/>
      <c r="V64" s="30"/>
      <c r="W64" s="30"/>
      <c r="X64" s="30"/>
      <c r="Y64" s="30"/>
      <c r="Z64" s="30"/>
      <c r="AA64" s="30"/>
      <c r="AB64" s="30"/>
      <c r="AC64" s="30"/>
      <c r="AD64" s="30"/>
      <c r="AE64" s="30"/>
      <c r="AF64" s="30"/>
      <c r="AG64" s="30"/>
      <c r="AH64" s="30"/>
      <c r="AI64" s="30"/>
      <c r="AJ64" s="30"/>
      <c r="AK64" s="253"/>
      <c r="AL64" s="238"/>
      <c r="AM64" s="238"/>
      <c r="AN64" s="238"/>
      <c r="AO64" s="238"/>
      <c r="AP64" s="238"/>
      <c r="AQ64" s="238"/>
      <c r="AR64" s="238"/>
      <c r="AS64" s="238"/>
      <c r="AT64" s="238"/>
      <c r="AU64" s="238"/>
      <c r="AV64" s="238"/>
      <c r="AW64" s="238"/>
      <c r="AX64" s="238"/>
      <c r="AY64" s="238"/>
      <c r="AZ64" s="238"/>
      <c r="BA64" s="238"/>
      <c r="BB64" s="238"/>
      <c r="BC64" s="238"/>
      <c r="BD64" s="238"/>
      <c r="BE64" s="239" t="s">
        <v>679</v>
      </c>
      <c r="BF64" s="239">
        <v>0</v>
      </c>
      <c r="BG64" s="239">
        <v>0</v>
      </c>
      <c r="BH64" s="238"/>
      <c r="BI64" s="238"/>
      <c r="BJ64" s="238"/>
      <c r="BK64" s="238"/>
      <c r="BL64" s="238"/>
      <c r="BM64" s="238"/>
      <c r="BN64" s="238"/>
      <c r="BO64" s="238"/>
      <c r="BP64" s="238"/>
      <c r="BQ64" s="238"/>
      <c r="BR64" s="238"/>
      <c r="BS64" s="238"/>
      <c r="BT64" s="238"/>
      <c r="BU64" s="238"/>
      <c r="BV64" s="238"/>
      <c r="BW64" s="238"/>
      <c r="BX64" s="238"/>
      <c r="BY64" s="238"/>
      <c r="BZ64" s="238"/>
      <c r="CA64" s="238"/>
      <c r="CB64" s="238"/>
      <c r="CC64" s="238"/>
      <c r="CD64" s="238"/>
      <c r="CE64" s="238"/>
      <c r="CF64" s="238"/>
      <c r="CG64" s="238"/>
      <c r="CH64" s="238"/>
      <c r="CI64" s="238"/>
      <c r="CJ64" s="238"/>
      <c r="CK64" s="238"/>
      <c r="CL64" s="238"/>
      <c r="CM64" s="238"/>
      <c r="CN64" s="238"/>
      <c r="CO64" s="238"/>
      <c r="CP64" s="238"/>
    </row>
    <row r="65" spans="1:94" ht="14.25" customHeight="1">
      <c r="A65" s="282" t="s">
        <v>33</v>
      </c>
      <c r="B65" s="31" t="s">
        <v>751</v>
      </c>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6"/>
      <c r="AL65" s="243"/>
      <c r="AM65" s="243"/>
      <c r="AN65" s="243"/>
      <c r="AO65" s="243"/>
      <c r="AP65" s="243"/>
      <c r="AQ65" s="243"/>
      <c r="AR65" s="243"/>
      <c r="AS65" s="243"/>
      <c r="AT65" s="243"/>
      <c r="AU65" s="243"/>
      <c r="AV65" s="243"/>
      <c r="AW65" s="243"/>
      <c r="AX65" s="243"/>
      <c r="AY65" s="243"/>
      <c r="AZ65" s="243"/>
      <c r="BA65" s="243"/>
      <c r="BB65" s="243"/>
      <c r="BC65" s="243"/>
      <c r="BD65" s="243"/>
      <c r="BE65" s="246" t="s">
        <v>681</v>
      </c>
      <c r="BF65" s="246">
        <v>0</v>
      </c>
      <c r="BG65" s="246">
        <v>0</v>
      </c>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c r="CM65" s="243"/>
      <c r="CN65" s="243"/>
      <c r="CO65" s="243"/>
      <c r="CP65" s="243"/>
    </row>
    <row r="66" spans="1:94" ht="14.25" customHeight="1">
      <c r="A66" s="282" t="s">
        <v>752</v>
      </c>
      <c r="B66" s="30" t="s">
        <v>753</v>
      </c>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6"/>
      <c r="AL66" s="243"/>
      <c r="AM66" s="243"/>
      <c r="AN66" s="243"/>
      <c r="AO66" s="243"/>
      <c r="AP66" s="243"/>
      <c r="AQ66" s="243"/>
      <c r="AR66" s="243"/>
      <c r="AS66" s="243"/>
      <c r="AT66" s="243"/>
      <c r="AU66" s="243"/>
      <c r="AV66" s="243"/>
      <c r="AW66" s="243"/>
      <c r="AX66" s="243"/>
      <c r="AY66" s="243"/>
      <c r="AZ66" s="243"/>
      <c r="BA66" s="243"/>
      <c r="BB66" s="243"/>
      <c r="BC66" s="243"/>
      <c r="BD66" s="243"/>
      <c r="BE66" s="246" t="s">
        <v>684</v>
      </c>
      <c r="BF66" s="246">
        <v>0</v>
      </c>
      <c r="BG66" s="246">
        <v>0</v>
      </c>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row>
    <row r="67" spans="1:94" ht="14.25" customHeight="1">
      <c r="A67" s="282" t="s">
        <v>38</v>
      </c>
      <c r="B67" s="31" t="s">
        <v>725</v>
      </c>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6"/>
      <c r="AL67" s="243"/>
      <c r="AM67" s="243"/>
      <c r="AN67" s="243"/>
      <c r="AO67" s="243"/>
      <c r="AP67" s="243"/>
      <c r="AQ67" s="243"/>
      <c r="AR67" s="243"/>
      <c r="AS67" s="243"/>
      <c r="AT67" s="243"/>
      <c r="AU67" s="243"/>
      <c r="AV67" s="243"/>
      <c r="AW67" s="243"/>
      <c r="AX67" s="243"/>
      <c r="AY67" s="243"/>
      <c r="AZ67" s="243"/>
      <c r="BA67" s="243"/>
      <c r="BB67" s="243"/>
      <c r="BC67" s="243"/>
      <c r="BD67" s="243"/>
      <c r="BE67" s="246"/>
      <c r="BF67" s="246"/>
      <c r="BG67" s="246"/>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c r="CM67" s="243"/>
      <c r="CN67" s="243"/>
      <c r="CO67" s="243"/>
      <c r="CP67" s="243"/>
    </row>
    <row r="68" spans="1:94" ht="13.15" customHeight="1">
      <c r="A68" s="282" t="s">
        <v>41</v>
      </c>
      <c r="B68" s="284" t="s">
        <v>726</v>
      </c>
      <c r="C68" s="487"/>
      <c r="D68" s="487"/>
      <c r="E68" s="487"/>
      <c r="F68" s="487"/>
      <c r="G68" s="487"/>
      <c r="H68" s="487"/>
      <c r="I68" s="487"/>
      <c r="J68" s="487"/>
      <c r="K68" s="487"/>
      <c r="L68" s="487"/>
      <c r="M68" s="487"/>
      <c r="N68" s="487"/>
      <c r="O68" s="487"/>
      <c r="P68" s="487"/>
      <c r="Q68" s="487"/>
      <c r="R68" s="487"/>
      <c r="S68" s="487"/>
      <c r="T68" s="487"/>
      <c r="U68" s="487"/>
      <c r="V68" s="487"/>
      <c r="W68" s="487"/>
      <c r="X68" s="487"/>
      <c r="Y68" s="487"/>
      <c r="Z68" s="487"/>
      <c r="AA68" s="487"/>
      <c r="AB68" s="487"/>
      <c r="AC68" s="487"/>
      <c r="AD68" s="487"/>
      <c r="AE68" s="487"/>
      <c r="AF68" s="487"/>
      <c r="AG68" s="487"/>
      <c r="AH68" s="487"/>
      <c r="AI68" s="487"/>
      <c r="AJ68" s="487"/>
      <c r="AK68" s="488"/>
      <c r="AL68" s="243"/>
      <c r="AM68" s="243"/>
      <c r="AN68" s="243"/>
      <c r="AO68" s="243"/>
      <c r="AP68" s="243"/>
      <c r="AQ68" s="243"/>
      <c r="AR68" s="243"/>
      <c r="AS68" s="243"/>
      <c r="AT68" s="243"/>
      <c r="AU68" s="243"/>
      <c r="AV68" s="243"/>
      <c r="AW68" s="243"/>
      <c r="AX68" s="243"/>
      <c r="AY68" s="243"/>
      <c r="AZ68" s="243"/>
      <c r="BA68" s="243"/>
      <c r="BB68" s="243"/>
      <c r="BC68" s="243"/>
      <c r="BD68" s="243"/>
      <c r="BE68" s="246" t="s">
        <v>686</v>
      </c>
      <c r="BF68" s="246">
        <v>0</v>
      </c>
      <c r="BG68" s="246">
        <v>0</v>
      </c>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c r="CM68" s="243"/>
      <c r="CN68" s="243"/>
      <c r="CO68" s="243"/>
      <c r="CP68" s="243"/>
    </row>
    <row r="69" spans="1:94">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9"/>
      <c r="AL69" s="289"/>
      <c r="AM69" s="289"/>
      <c r="AN69" s="289"/>
      <c r="AO69" s="289"/>
      <c r="AP69" s="289"/>
      <c r="AQ69" s="289"/>
      <c r="AR69" s="243"/>
      <c r="AS69" s="243"/>
      <c r="AT69" s="243"/>
      <c r="AU69" s="243"/>
      <c r="AV69" s="243"/>
      <c r="AW69" s="243"/>
      <c r="AX69" s="243"/>
      <c r="AY69" s="243"/>
      <c r="AZ69" s="243"/>
      <c r="BA69" s="243"/>
      <c r="BB69" s="243"/>
      <c r="BC69" s="243"/>
      <c r="BD69" s="243"/>
      <c r="BE69" s="246" t="s">
        <v>690</v>
      </c>
      <c r="BF69" s="246">
        <v>2.9999999999999997E-4</v>
      </c>
      <c r="BG69" s="246">
        <v>0</v>
      </c>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row>
    <row r="70" spans="1:94">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9"/>
      <c r="AL70" s="289"/>
      <c r="AM70" s="289"/>
      <c r="AN70" s="289"/>
      <c r="AO70" s="289"/>
      <c r="AP70" s="289"/>
      <c r="AQ70" s="289"/>
      <c r="AR70" s="243"/>
      <c r="AS70" s="243"/>
      <c r="AT70" s="243"/>
      <c r="AU70" s="243"/>
      <c r="AV70" s="243"/>
      <c r="AW70" s="243"/>
      <c r="AX70" s="243"/>
      <c r="AY70" s="243"/>
      <c r="AZ70" s="243"/>
      <c r="BA70" s="243"/>
      <c r="BB70" s="243"/>
      <c r="BC70" s="243"/>
      <c r="BD70" s="243"/>
      <c r="BE70" s="246" t="s">
        <v>691</v>
      </c>
      <c r="BF70" s="246">
        <v>0</v>
      </c>
      <c r="BG70" s="246">
        <v>0</v>
      </c>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row>
    <row r="71" spans="1:94">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9"/>
      <c r="AL71" s="289"/>
      <c r="AM71" s="289"/>
      <c r="AN71" s="289"/>
      <c r="AO71" s="289"/>
      <c r="AP71" s="289"/>
      <c r="AQ71" s="289"/>
      <c r="AR71" s="243"/>
      <c r="AS71" s="243"/>
      <c r="AT71" s="243"/>
      <c r="AU71" s="243"/>
      <c r="AV71" s="243"/>
      <c r="AW71" s="243"/>
      <c r="AX71" s="243"/>
      <c r="AY71" s="243"/>
      <c r="AZ71" s="243"/>
      <c r="BA71" s="243"/>
      <c r="BB71" s="243"/>
      <c r="BC71" s="243"/>
      <c r="BD71" s="243"/>
      <c r="BE71" s="246" t="s">
        <v>692</v>
      </c>
      <c r="BF71" s="246">
        <v>0</v>
      </c>
      <c r="BG71" s="246">
        <v>0</v>
      </c>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row>
    <row r="72" spans="1:94">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9"/>
      <c r="AL72" s="289"/>
      <c r="AM72" s="289"/>
      <c r="AN72" s="289"/>
      <c r="AO72" s="289"/>
      <c r="AP72" s="289"/>
      <c r="AQ72" s="289"/>
      <c r="AR72" s="243"/>
      <c r="AS72" s="243"/>
      <c r="AT72" s="243"/>
      <c r="AU72" s="243"/>
      <c r="AV72" s="243"/>
      <c r="AW72" s="243"/>
      <c r="AX72" s="243"/>
      <c r="AY72" s="243"/>
      <c r="AZ72" s="243"/>
      <c r="BA72" s="243"/>
      <c r="BB72" s="243"/>
      <c r="BC72" s="243"/>
      <c r="BD72" s="243"/>
      <c r="BE72" s="246" t="s">
        <v>693</v>
      </c>
      <c r="BF72" s="246">
        <v>0</v>
      </c>
      <c r="BG72" s="246">
        <v>0</v>
      </c>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row>
    <row r="73" spans="1:94">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9"/>
      <c r="AL73" s="289"/>
      <c r="AM73" s="289"/>
      <c r="AN73" s="289"/>
      <c r="AO73" s="289"/>
      <c r="AP73" s="289"/>
      <c r="AQ73" s="289"/>
      <c r="AR73" s="243"/>
      <c r="AS73" s="243"/>
      <c r="AT73" s="243"/>
      <c r="AU73" s="243"/>
      <c r="AV73" s="243"/>
      <c r="AW73" s="243"/>
      <c r="AX73" s="243"/>
      <c r="AY73" s="243"/>
      <c r="AZ73" s="243"/>
      <c r="BA73" s="243"/>
      <c r="BB73" s="243"/>
      <c r="BC73" s="243"/>
      <c r="BD73" s="243"/>
      <c r="BE73" s="246" t="s">
        <v>694</v>
      </c>
      <c r="BF73" s="246">
        <v>0</v>
      </c>
      <c r="BG73" s="246">
        <v>0</v>
      </c>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243"/>
      <c r="CO73" s="243"/>
      <c r="CP73" s="243"/>
    </row>
    <row r="74" spans="1:94">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9"/>
      <c r="AL74" s="289"/>
      <c r="AM74" s="289"/>
      <c r="AN74" s="289"/>
      <c r="AO74" s="289"/>
      <c r="AP74" s="289"/>
      <c r="AQ74" s="289"/>
      <c r="AR74" s="243"/>
      <c r="AS74" s="243"/>
      <c r="AT74" s="243"/>
      <c r="AU74" s="243"/>
      <c r="AV74" s="243"/>
      <c r="AW74" s="243"/>
      <c r="AX74" s="243"/>
      <c r="AY74" s="243"/>
      <c r="AZ74" s="243"/>
      <c r="BA74" s="243"/>
      <c r="BB74" s="243"/>
      <c r="BC74" s="243"/>
      <c r="BD74" s="243"/>
      <c r="BE74" s="246" t="s">
        <v>695</v>
      </c>
      <c r="BF74" s="246">
        <v>0</v>
      </c>
      <c r="BG74" s="246">
        <v>0</v>
      </c>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row>
    <row r="75" spans="1:94">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9"/>
      <c r="AL75" s="289"/>
      <c r="AM75" s="289"/>
      <c r="AN75" s="289"/>
      <c r="AO75" s="289"/>
      <c r="AP75" s="289"/>
      <c r="AQ75" s="289"/>
      <c r="AR75" s="243"/>
      <c r="AS75" s="243"/>
      <c r="AT75" s="243"/>
      <c r="AU75" s="243"/>
      <c r="AV75" s="243"/>
      <c r="AW75" s="243"/>
      <c r="AX75" s="243"/>
      <c r="AY75" s="243"/>
      <c r="AZ75" s="243"/>
      <c r="BA75" s="243"/>
      <c r="BB75" s="243"/>
      <c r="BC75" s="243"/>
      <c r="BD75" s="243"/>
      <c r="BE75" s="246" t="s">
        <v>696</v>
      </c>
      <c r="BF75" s="246">
        <v>0</v>
      </c>
      <c r="BG75" s="246">
        <v>0</v>
      </c>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row>
    <row r="76" spans="1:94">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8"/>
      <c r="AH76" s="288"/>
      <c r="AI76" s="288"/>
      <c r="AJ76" s="288"/>
      <c r="AK76" s="289"/>
      <c r="AL76" s="289"/>
      <c r="AM76" s="289"/>
      <c r="AN76" s="289"/>
      <c r="AO76" s="289"/>
      <c r="AP76" s="289"/>
      <c r="AQ76" s="289"/>
      <c r="AR76" s="243"/>
      <c r="AS76" s="243"/>
      <c r="AT76" s="243"/>
      <c r="AU76" s="243"/>
      <c r="AV76" s="243"/>
      <c r="AW76" s="243"/>
      <c r="AX76" s="243"/>
      <c r="AY76" s="243"/>
      <c r="AZ76" s="243"/>
      <c r="BA76" s="243"/>
      <c r="BB76" s="243"/>
      <c r="BC76" s="243"/>
      <c r="BD76" s="243"/>
      <c r="BE76" s="246" t="s">
        <v>697</v>
      </c>
      <c r="BF76" s="246">
        <v>0</v>
      </c>
      <c r="BG76" s="246">
        <v>0</v>
      </c>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c r="CM76" s="243"/>
      <c r="CN76" s="243"/>
      <c r="CO76" s="243"/>
      <c r="CP76" s="243"/>
    </row>
    <row r="77" spans="1:94" s="290" customForma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9"/>
      <c r="AL77" s="289"/>
      <c r="AM77" s="289"/>
      <c r="AN77" s="289"/>
      <c r="AO77" s="289"/>
      <c r="AP77" s="289"/>
      <c r="AQ77" s="289"/>
      <c r="AR77" s="243"/>
      <c r="AS77" s="243"/>
      <c r="AT77" s="243"/>
      <c r="AU77" s="243"/>
      <c r="AV77" s="243"/>
      <c r="AW77" s="243"/>
      <c r="AX77" s="243"/>
      <c r="AY77" s="243"/>
      <c r="AZ77" s="243"/>
      <c r="BA77" s="243"/>
      <c r="BB77" s="243"/>
      <c r="BC77" s="243"/>
      <c r="BD77" s="243"/>
      <c r="BE77" s="246" t="s">
        <v>431</v>
      </c>
      <c r="BF77" s="246">
        <v>1E-4</v>
      </c>
      <c r="BG77" s="246">
        <v>0.17530000000000001</v>
      </c>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c r="CM77" s="243"/>
      <c r="CN77" s="243"/>
      <c r="CO77" s="243"/>
      <c r="CP77" s="243"/>
    </row>
    <row r="78" spans="1:94" s="290" customForma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9"/>
      <c r="AL78" s="289"/>
      <c r="AM78" s="289"/>
      <c r="AN78" s="289"/>
      <c r="AO78" s="289"/>
      <c r="AP78" s="289"/>
      <c r="AQ78" s="289"/>
      <c r="AR78" s="243"/>
      <c r="AS78" s="243"/>
      <c r="AT78" s="243"/>
      <c r="AU78" s="243"/>
      <c r="AV78" s="243"/>
      <c r="AW78" s="243"/>
      <c r="AX78" s="243"/>
      <c r="AY78" s="243"/>
      <c r="AZ78" s="243"/>
      <c r="BA78" s="243"/>
      <c r="BB78" s="243"/>
      <c r="BC78" s="243"/>
      <c r="BD78" s="243"/>
      <c r="BE78" s="243"/>
      <c r="BF78" s="246"/>
      <c r="BG78" s="246"/>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c r="CM78" s="243"/>
      <c r="CN78" s="243"/>
      <c r="CO78" s="243"/>
      <c r="CP78" s="243"/>
    </row>
    <row r="79" spans="1:94" s="290" customForma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9"/>
      <c r="AL79" s="289"/>
      <c r="AM79" s="289"/>
      <c r="AN79" s="289"/>
      <c r="AO79" s="289"/>
      <c r="AP79" s="289"/>
      <c r="AQ79" s="289"/>
      <c r="AR79" s="243"/>
      <c r="AS79" s="243"/>
      <c r="AT79" s="243"/>
      <c r="AU79" s="243"/>
      <c r="AV79" s="243"/>
      <c r="AW79" s="243"/>
      <c r="AX79" s="243"/>
      <c r="AY79" s="243"/>
      <c r="AZ79" s="243"/>
      <c r="BA79" s="243"/>
      <c r="BB79" s="243"/>
      <c r="BC79" s="243"/>
      <c r="BD79" s="243"/>
      <c r="BE79" s="243"/>
      <c r="BF79" s="246"/>
      <c r="BG79" s="246"/>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c r="CM79" s="243"/>
      <c r="CN79" s="243"/>
      <c r="CO79" s="243"/>
      <c r="CP79" s="243"/>
    </row>
    <row r="80" spans="1:94" s="290" customForma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9"/>
      <c r="AL80" s="289"/>
      <c r="AM80" s="289"/>
      <c r="AN80" s="289"/>
      <c r="AO80" s="289"/>
      <c r="AP80" s="289"/>
      <c r="AQ80" s="289"/>
      <c r="AR80" s="243"/>
      <c r="AS80" s="243"/>
      <c r="AT80" s="243"/>
      <c r="AU80" s="243"/>
      <c r="AV80" s="243"/>
      <c r="AW80" s="243"/>
      <c r="AX80" s="243"/>
      <c r="AY80" s="243"/>
      <c r="AZ80" s="243"/>
      <c r="BA80" s="243"/>
      <c r="BB80" s="243"/>
      <c r="BC80" s="243"/>
      <c r="BD80" s="243"/>
      <c r="BE80" s="243"/>
      <c r="BF80" s="246"/>
      <c r="BG80" s="246"/>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c r="CM80" s="243"/>
      <c r="CN80" s="243"/>
      <c r="CO80" s="243"/>
      <c r="CP80" s="243"/>
    </row>
    <row r="81" spans="1:94" s="290" customForma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9"/>
      <c r="AL81" s="289"/>
      <c r="AM81" s="289"/>
      <c r="AN81" s="289"/>
      <c r="AO81" s="289"/>
      <c r="AP81" s="289"/>
      <c r="AQ81" s="289"/>
      <c r="AR81" s="243"/>
      <c r="AS81" s="243"/>
      <c r="AT81" s="243"/>
      <c r="AU81" s="243"/>
      <c r="AV81" s="243"/>
      <c r="AW81" s="243"/>
      <c r="AX81" s="243"/>
      <c r="AY81" s="243"/>
      <c r="AZ81" s="243"/>
      <c r="BA81" s="243"/>
      <c r="BB81" s="243"/>
      <c r="BC81" s="243"/>
      <c r="BD81" s="243"/>
      <c r="BE81" s="243"/>
      <c r="BF81" s="246"/>
      <c r="BG81" s="246"/>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c r="CM81" s="243"/>
      <c r="CN81" s="243"/>
      <c r="CO81" s="243"/>
      <c r="CP81" s="243"/>
    </row>
    <row r="82" spans="1:94" s="290" customForma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9"/>
      <c r="AL82" s="289"/>
      <c r="AM82" s="289"/>
      <c r="AN82" s="289"/>
      <c r="AO82" s="289"/>
      <c r="AP82" s="289"/>
      <c r="AQ82" s="289"/>
      <c r="AR82" s="243"/>
      <c r="AS82" s="243"/>
      <c r="AT82" s="243"/>
      <c r="AU82" s="243"/>
      <c r="AV82" s="243"/>
      <c r="AW82" s="243"/>
      <c r="AX82" s="243"/>
      <c r="AY82" s="243"/>
      <c r="AZ82" s="243"/>
      <c r="BA82" s="243"/>
      <c r="BB82" s="243"/>
      <c r="BC82" s="243"/>
      <c r="BD82" s="243"/>
      <c r="BE82" s="243"/>
      <c r="BF82" s="246"/>
      <c r="BG82" s="246"/>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c r="CM82" s="243"/>
      <c r="CN82" s="243"/>
      <c r="CO82" s="243"/>
      <c r="CP82" s="243"/>
    </row>
    <row r="83" spans="1:94" s="290" customForma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9"/>
      <c r="AL83" s="289"/>
      <c r="AM83" s="289"/>
      <c r="AN83" s="289"/>
      <c r="AO83" s="289"/>
      <c r="AP83" s="289"/>
      <c r="AQ83" s="289"/>
      <c r="AR83" s="243"/>
      <c r="AS83" s="243"/>
      <c r="AT83" s="243"/>
      <c r="AU83" s="243"/>
      <c r="AV83" s="243"/>
      <c r="AW83" s="243"/>
      <c r="AX83" s="243"/>
      <c r="AY83" s="243"/>
      <c r="AZ83" s="243"/>
      <c r="BA83" s="243"/>
      <c r="BB83" s="243"/>
      <c r="BC83" s="243"/>
      <c r="BD83" s="243"/>
      <c r="BE83" s="243"/>
      <c r="BF83" s="246"/>
      <c r="BG83" s="246"/>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c r="CM83" s="243"/>
      <c r="CN83" s="243"/>
      <c r="CO83" s="243"/>
      <c r="CP83" s="243"/>
    </row>
    <row r="84" spans="1:94" s="290" customForma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9"/>
      <c r="AL84" s="289"/>
      <c r="AM84" s="289"/>
      <c r="AN84" s="289"/>
      <c r="AO84" s="289"/>
      <c r="AP84" s="289"/>
      <c r="AQ84" s="289"/>
      <c r="AR84" s="243"/>
      <c r="AS84" s="243"/>
      <c r="AT84" s="243"/>
      <c r="AU84" s="243"/>
      <c r="AV84" s="243"/>
      <c r="AW84" s="243"/>
      <c r="AX84" s="243"/>
      <c r="AY84" s="243"/>
      <c r="AZ84" s="243"/>
      <c r="BA84" s="243"/>
      <c r="BB84" s="243"/>
      <c r="BC84" s="243"/>
      <c r="BD84" s="243"/>
      <c r="BE84" s="243"/>
      <c r="BF84" s="246"/>
      <c r="BG84" s="246"/>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c r="CM84" s="243"/>
      <c r="CN84" s="243"/>
      <c r="CO84" s="243"/>
      <c r="CP84" s="243"/>
    </row>
    <row r="85" spans="1:94" s="290" customForma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9"/>
      <c r="AL85" s="289"/>
      <c r="AM85" s="289"/>
      <c r="AN85" s="289"/>
      <c r="AO85" s="289"/>
      <c r="AP85" s="289"/>
      <c r="AQ85" s="289"/>
      <c r="AR85" s="243"/>
      <c r="AS85" s="243"/>
      <c r="AT85" s="243"/>
      <c r="AU85" s="243"/>
      <c r="AV85" s="243"/>
      <c r="AW85" s="243"/>
      <c r="AX85" s="243"/>
      <c r="AY85" s="243"/>
      <c r="AZ85" s="243"/>
      <c r="BA85" s="243"/>
      <c r="BB85" s="243"/>
      <c r="BC85" s="243"/>
      <c r="BD85" s="243"/>
      <c r="BE85" s="243"/>
      <c r="BF85" s="246"/>
      <c r="BG85" s="246"/>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c r="CM85" s="243"/>
      <c r="CN85" s="243"/>
      <c r="CO85" s="243"/>
      <c r="CP85" s="243"/>
    </row>
    <row r="86" spans="1:94" s="290" customForma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9"/>
      <c r="AL86" s="289"/>
      <c r="AM86" s="289"/>
      <c r="AN86" s="289"/>
      <c r="AO86" s="289"/>
      <c r="AP86" s="289"/>
      <c r="AQ86" s="289"/>
      <c r="AR86" s="243"/>
      <c r="AS86" s="243"/>
      <c r="AT86" s="243"/>
      <c r="AU86" s="243"/>
      <c r="AV86" s="243"/>
      <c r="AW86" s="243"/>
      <c r="AX86" s="243"/>
      <c r="AY86" s="243"/>
      <c r="AZ86" s="243"/>
      <c r="BA86" s="243"/>
      <c r="BB86" s="243"/>
      <c r="BC86" s="243"/>
      <c r="BD86" s="243"/>
      <c r="BE86" s="243"/>
      <c r="BF86" s="246"/>
      <c r="BG86" s="246"/>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row>
    <row r="87" spans="1:94" s="290" customForma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9"/>
      <c r="AL87" s="289"/>
      <c r="AM87" s="289"/>
      <c r="AN87" s="289"/>
      <c r="AO87" s="289"/>
      <c r="AP87" s="289"/>
      <c r="AQ87" s="289"/>
      <c r="AR87" s="243"/>
      <c r="AS87" s="243"/>
      <c r="AT87" s="243"/>
      <c r="AU87" s="243"/>
      <c r="AV87" s="243"/>
      <c r="AW87" s="243"/>
      <c r="AX87" s="243"/>
      <c r="AY87" s="243"/>
      <c r="AZ87" s="243"/>
      <c r="BA87" s="243"/>
      <c r="BB87" s="243"/>
      <c r="BC87" s="243"/>
      <c r="BD87" s="243"/>
      <c r="BE87" s="243"/>
      <c r="BF87" s="246"/>
      <c r="BG87" s="246"/>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c r="CM87" s="243"/>
      <c r="CN87" s="243"/>
      <c r="CO87" s="243"/>
      <c r="CP87" s="243"/>
    </row>
    <row r="88" spans="1:94" s="290" customForma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9"/>
      <c r="AL88" s="289"/>
      <c r="AM88" s="289"/>
      <c r="AN88" s="289"/>
      <c r="AO88" s="289"/>
      <c r="AP88" s="289"/>
      <c r="AQ88" s="289"/>
      <c r="AR88" s="243"/>
      <c r="AS88" s="243"/>
      <c r="AT88" s="243"/>
      <c r="AU88" s="243"/>
      <c r="AV88" s="243"/>
      <c r="AW88" s="243"/>
      <c r="AX88" s="243"/>
      <c r="AY88" s="243"/>
      <c r="AZ88" s="243"/>
      <c r="BA88" s="243"/>
      <c r="BB88" s="243"/>
      <c r="BC88" s="243"/>
      <c r="BD88" s="243"/>
      <c r="BE88" s="243"/>
      <c r="BF88" s="246"/>
      <c r="BG88" s="246"/>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c r="CM88" s="243"/>
      <c r="CN88" s="243"/>
      <c r="CO88" s="243"/>
      <c r="CP88" s="243"/>
    </row>
    <row r="89" spans="1:94" s="290" customForma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9"/>
      <c r="AL89" s="289"/>
      <c r="AM89" s="289"/>
      <c r="AN89" s="289"/>
      <c r="AO89" s="289"/>
      <c r="AP89" s="289"/>
      <c r="AQ89" s="289"/>
      <c r="AR89" s="243"/>
      <c r="AS89" s="243"/>
      <c r="AT89" s="243"/>
      <c r="AU89" s="243"/>
      <c r="AV89" s="243"/>
      <c r="AW89" s="243"/>
      <c r="AX89" s="243"/>
      <c r="AY89" s="243"/>
      <c r="AZ89" s="243"/>
      <c r="BA89" s="243"/>
      <c r="BB89" s="243"/>
      <c r="BC89" s="243"/>
      <c r="BD89" s="243"/>
      <c r="BE89" s="243"/>
      <c r="BF89" s="246"/>
      <c r="BG89" s="246"/>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row>
    <row r="90" spans="1:94" s="290" customForma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9"/>
      <c r="AL90" s="289"/>
      <c r="AM90" s="289"/>
      <c r="AN90" s="289"/>
      <c r="AO90" s="289"/>
      <c r="AP90" s="289"/>
      <c r="AQ90" s="289"/>
      <c r="AR90" s="243"/>
      <c r="AS90" s="243"/>
      <c r="AT90" s="243"/>
      <c r="AU90" s="243"/>
      <c r="AV90" s="243"/>
      <c r="AW90" s="243"/>
      <c r="AX90" s="243"/>
      <c r="AY90" s="243"/>
      <c r="AZ90" s="243"/>
      <c r="BA90" s="243"/>
      <c r="BB90" s="243"/>
      <c r="BC90" s="243"/>
      <c r="BD90" s="243"/>
      <c r="BE90" s="243"/>
      <c r="BF90" s="246"/>
      <c r="BG90" s="246"/>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row>
    <row r="91" spans="1:94" s="290" customFormat="1">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9"/>
      <c r="AL91" s="289"/>
      <c r="AM91" s="289"/>
      <c r="AN91" s="289"/>
      <c r="AO91" s="289"/>
      <c r="AP91" s="289"/>
      <c r="AQ91" s="289"/>
      <c r="AR91" s="243"/>
      <c r="AS91" s="243"/>
      <c r="AT91" s="243"/>
      <c r="AU91" s="243"/>
      <c r="AV91" s="243"/>
      <c r="AW91" s="243"/>
      <c r="AX91" s="243"/>
      <c r="AY91" s="243"/>
      <c r="AZ91" s="243"/>
      <c r="BA91" s="243"/>
      <c r="BB91" s="243"/>
      <c r="BC91" s="243"/>
      <c r="BD91" s="243"/>
      <c r="BE91" s="243"/>
      <c r="BF91" s="246"/>
      <c r="BG91" s="246"/>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row>
    <row r="92" spans="1:94" s="290" customFormat="1">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9"/>
      <c r="AL92" s="289"/>
      <c r="AM92" s="289"/>
      <c r="AN92" s="289"/>
      <c r="AO92" s="289"/>
      <c r="AP92" s="289"/>
      <c r="AQ92" s="289"/>
      <c r="AR92" s="243"/>
      <c r="AS92" s="243"/>
      <c r="AT92" s="243"/>
      <c r="AU92" s="243"/>
      <c r="AV92" s="243"/>
      <c r="AW92" s="243"/>
      <c r="AX92" s="243"/>
      <c r="AY92" s="243"/>
      <c r="AZ92" s="243"/>
      <c r="BA92" s="243"/>
      <c r="BB92" s="243"/>
      <c r="BC92" s="243"/>
      <c r="BD92" s="243"/>
      <c r="BE92" s="243"/>
      <c r="BF92" s="246"/>
      <c r="BG92" s="246"/>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row>
    <row r="93" spans="1:94">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9"/>
      <c r="AL93" s="289"/>
      <c r="AM93" s="289"/>
      <c r="AN93" s="289"/>
      <c r="AO93" s="289"/>
      <c r="AP93" s="289"/>
      <c r="AQ93" s="289"/>
      <c r="AR93" s="243"/>
      <c r="AS93" s="243"/>
      <c r="AT93" s="243"/>
      <c r="AU93" s="243"/>
      <c r="AV93" s="243"/>
      <c r="AW93" s="243"/>
      <c r="AX93" s="243"/>
      <c r="AY93" s="243"/>
      <c r="AZ93" s="243"/>
      <c r="BA93" s="243"/>
      <c r="BB93" s="243"/>
      <c r="BC93" s="243"/>
      <c r="BD93" s="243"/>
      <c r="BE93" s="243"/>
      <c r="BF93" s="246"/>
      <c r="BG93" s="246"/>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row>
    <row r="94" spans="1:94">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9"/>
      <c r="AL94" s="289"/>
      <c r="AM94" s="289"/>
      <c r="AN94" s="289"/>
      <c r="AO94" s="289"/>
      <c r="AP94" s="289"/>
      <c r="AQ94" s="289"/>
      <c r="AR94" s="243"/>
      <c r="AS94" s="243"/>
      <c r="AT94" s="243"/>
      <c r="AU94" s="243"/>
      <c r="AV94" s="243"/>
      <c r="AW94" s="243"/>
      <c r="AX94" s="243"/>
      <c r="AY94" s="243"/>
      <c r="AZ94" s="243"/>
      <c r="BA94" s="243"/>
      <c r="BB94" s="243"/>
      <c r="BC94" s="243"/>
      <c r="BD94" s="243"/>
      <c r="BE94" s="243"/>
      <c r="BF94" s="246"/>
      <c r="BG94" s="246"/>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row>
    <row r="95" spans="1:94">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9"/>
      <c r="AL95" s="289"/>
      <c r="AM95" s="289"/>
      <c r="AN95" s="289"/>
      <c r="AO95" s="289"/>
      <c r="AP95" s="289"/>
      <c r="AQ95" s="289"/>
      <c r="AR95" s="243"/>
      <c r="AS95" s="243"/>
      <c r="AT95" s="243"/>
      <c r="AU95" s="243"/>
      <c r="AV95" s="243"/>
      <c r="AW95" s="243"/>
      <c r="AX95" s="243"/>
      <c r="AY95" s="243"/>
      <c r="AZ95" s="243"/>
      <c r="BA95" s="243"/>
      <c r="BB95" s="243"/>
      <c r="BC95" s="243"/>
      <c r="BD95" s="243"/>
      <c r="BE95" s="243"/>
      <c r="BF95" s="246"/>
      <c r="BG95" s="246"/>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row>
    <row r="96" spans="1:94">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9"/>
      <c r="AL96" s="289"/>
      <c r="AM96" s="289"/>
      <c r="AN96" s="289"/>
      <c r="AO96" s="289"/>
      <c r="AP96" s="289"/>
      <c r="AQ96" s="289"/>
      <c r="AR96" s="243"/>
      <c r="AS96" s="243"/>
      <c r="AT96" s="243"/>
      <c r="AU96" s="243"/>
      <c r="AV96" s="243"/>
      <c r="AW96" s="243"/>
      <c r="AX96" s="243"/>
      <c r="AY96" s="243"/>
      <c r="AZ96" s="243"/>
      <c r="BA96" s="243"/>
      <c r="BB96" s="243"/>
      <c r="BC96" s="243"/>
      <c r="BD96" s="243"/>
      <c r="BE96" s="243"/>
      <c r="BF96" s="246"/>
      <c r="BG96" s="246"/>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row>
    <row r="97" spans="1:94">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9"/>
      <c r="AL97" s="289"/>
      <c r="AM97" s="289"/>
      <c r="AN97" s="289"/>
      <c r="AO97" s="289"/>
      <c r="AP97" s="289"/>
      <c r="AQ97" s="289"/>
      <c r="AR97" s="243"/>
      <c r="AS97" s="243"/>
      <c r="AT97" s="243"/>
      <c r="AU97" s="243"/>
      <c r="AV97" s="243"/>
      <c r="AW97" s="243"/>
      <c r="AX97" s="243"/>
      <c r="AY97" s="243"/>
      <c r="AZ97" s="243"/>
      <c r="BA97" s="243"/>
      <c r="BB97" s="243"/>
      <c r="BC97" s="243"/>
      <c r="BD97" s="243"/>
      <c r="BE97" s="243"/>
      <c r="BF97" s="246"/>
      <c r="BG97" s="246"/>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c r="CM97" s="243"/>
      <c r="CN97" s="243"/>
      <c r="CO97" s="243"/>
      <c r="CP97" s="243"/>
    </row>
    <row r="98" spans="1:94">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9"/>
      <c r="AL98" s="289"/>
      <c r="AM98" s="289"/>
      <c r="AN98" s="289"/>
      <c r="AO98" s="289"/>
      <c r="AP98" s="289"/>
      <c r="AQ98" s="289"/>
      <c r="AR98" s="243"/>
      <c r="AS98" s="243"/>
      <c r="AT98" s="243"/>
      <c r="AU98" s="243"/>
      <c r="AV98" s="243"/>
      <c r="AW98" s="243"/>
      <c r="AX98" s="243"/>
      <c r="AY98" s="243"/>
      <c r="AZ98" s="243"/>
      <c r="BA98" s="243"/>
      <c r="BB98" s="243"/>
      <c r="BC98" s="243"/>
      <c r="BD98" s="243"/>
      <c r="BE98" s="243"/>
      <c r="BF98" s="246"/>
      <c r="BG98" s="246"/>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c r="CM98" s="243"/>
      <c r="CN98" s="243"/>
      <c r="CO98" s="243"/>
      <c r="CP98" s="243"/>
    </row>
    <row r="99" spans="1:94">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9"/>
      <c r="AL99" s="289"/>
      <c r="AM99" s="289"/>
      <c r="AN99" s="289"/>
      <c r="AO99" s="289"/>
      <c r="AP99" s="289"/>
      <c r="AQ99" s="289"/>
      <c r="AR99" s="243"/>
      <c r="AS99" s="243"/>
      <c r="AT99" s="243"/>
      <c r="AU99" s="243"/>
      <c r="AV99" s="243"/>
      <c r="AW99" s="243"/>
      <c r="AX99" s="243"/>
      <c r="AY99" s="243"/>
      <c r="AZ99" s="243"/>
      <c r="BA99" s="243"/>
      <c r="BB99" s="243"/>
      <c r="BC99" s="243"/>
      <c r="BD99" s="243"/>
      <c r="BE99" s="243"/>
      <c r="BF99" s="246"/>
      <c r="BG99" s="246"/>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c r="CM99" s="243"/>
      <c r="CN99" s="243"/>
      <c r="CO99" s="243"/>
      <c r="CP99" s="243"/>
    </row>
    <row r="100" spans="1:94">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9"/>
      <c r="AL100" s="289"/>
      <c r="AM100" s="289"/>
      <c r="AN100" s="289"/>
      <c r="AO100" s="289"/>
      <c r="AP100" s="289"/>
      <c r="AQ100" s="289"/>
      <c r="AR100" s="243"/>
      <c r="AS100" s="243"/>
      <c r="AT100" s="243"/>
      <c r="AU100" s="243"/>
      <c r="AV100" s="243"/>
      <c r="AW100" s="243"/>
      <c r="AX100" s="243"/>
      <c r="AY100" s="243"/>
      <c r="AZ100" s="243"/>
      <c r="BA100" s="243"/>
      <c r="BB100" s="243"/>
      <c r="BC100" s="243"/>
      <c r="BD100" s="243"/>
      <c r="BE100" s="243"/>
      <c r="BF100" s="246"/>
      <c r="BG100" s="246"/>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c r="CM100" s="243"/>
      <c r="CN100" s="243"/>
      <c r="CO100" s="243"/>
      <c r="CP100" s="243"/>
    </row>
    <row r="101" spans="1:94">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9"/>
      <c r="AL101" s="289"/>
      <c r="AM101" s="289"/>
      <c r="AN101" s="289"/>
      <c r="AO101" s="289"/>
      <c r="AP101" s="289"/>
      <c r="AQ101" s="289"/>
      <c r="AR101" s="243"/>
      <c r="AS101" s="243"/>
      <c r="AT101" s="243"/>
      <c r="AU101" s="243"/>
      <c r="AV101" s="243"/>
      <c r="AW101" s="243"/>
      <c r="AX101" s="243"/>
      <c r="AY101" s="243"/>
      <c r="AZ101" s="243"/>
      <c r="BA101" s="243"/>
      <c r="BB101" s="243"/>
      <c r="BC101" s="243"/>
      <c r="BD101" s="243"/>
      <c r="BE101" s="243"/>
      <c r="BF101" s="246"/>
      <c r="BG101" s="246"/>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c r="CM101" s="243"/>
      <c r="CN101" s="243"/>
      <c r="CO101" s="243"/>
      <c r="CP101" s="243"/>
    </row>
    <row r="102" spans="1:94">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9"/>
      <c r="AL102" s="289"/>
      <c r="AM102" s="289"/>
      <c r="AN102" s="289"/>
      <c r="AO102" s="289"/>
      <c r="AP102" s="289"/>
      <c r="AQ102" s="289"/>
      <c r="AR102" s="243"/>
      <c r="AS102" s="243"/>
      <c r="AT102" s="243"/>
      <c r="AU102" s="243"/>
      <c r="AV102" s="243"/>
      <c r="AW102" s="243"/>
      <c r="AX102" s="243"/>
      <c r="AY102" s="243"/>
      <c r="AZ102" s="243"/>
      <c r="BA102" s="243"/>
      <c r="BB102" s="243"/>
      <c r="BC102" s="243"/>
      <c r="BD102" s="243"/>
      <c r="BE102" s="243"/>
      <c r="BF102" s="246"/>
      <c r="BG102" s="246"/>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row>
    <row r="103" spans="1:94">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9"/>
      <c r="AL103" s="289"/>
      <c r="AM103" s="289"/>
      <c r="AN103" s="289"/>
      <c r="AO103" s="289"/>
      <c r="AP103" s="289"/>
      <c r="AQ103" s="289"/>
      <c r="AR103" s="243"/>
      <c r="AS103" s="243"/>
      <c r="AT103" s="243"/>
      <c r="AU103" s="243"/>
      <c r="AV103" s="243"/>
      <c r="AW103" s="243"/>
      <c r="AX103" s="243"/>
      <c r="AY103" s="243"/>
      <c r="AZ103" s="243"/>
      <c r="BA103" s="243"/>
      <c r="BB103" s="243"/>
      <c r="BC103" s="243"/>
      <c r="BD103" s="243"/>
      <c r="BE103" s="243"/>
      <c r="BF103" s="246"/>
      <c r="BG103" s="246"/>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row>
    <row r="104" spans="1:94">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9"/>
      <c r="AL104" s="289"/>
      <c r="AM104" s="289"/>
      <c r="AN104" s="289"/>
      <c r="AO104" s="289"/>
      <c r="AP104" s="289"/>
      <c r="AQ104" s="289"/>
      <c r="AR104" s="243"/>
      <c r="AS104" s="243"/>
      <c r="AT104" s="243"/>
      <c r="AU104" s="243"/>
      <c r="AV104" s="243"/>
      <c r="AW104" s="243"/>
      <c r="AX104" s="243"/>
      <c r="AY104" s="243"/>
      <c r="AZ104" s="243"/>
      <c r="BA104" s="243"/>
      <c r="BB104" s="243"/>
      <c r="BC104" s="243"/>
      <c r="BD104" s="243"/>
      <c r="BE104" s="243"/>
      <c r="BF104" s="246"/>
      <c r="BG104" s="246"/>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row>
    <row r="105" spans="1:94">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9"/>
      <c r="AL105" s="289"/>
      <c r="AM105" s="289"/>
      <c r="AN105" s="289"/>
      <c r="AO105" s="289"/>
      <c r="AP105" s="289"/>
      <c r="AQ105" s="289"/>
      <c r="AR105" s="243"/>
      <c r="AS105" s="243"/>
      <c r="AT105" s="243"/>
      <c r="AU105" s="243"/>
      <c r="AV105" s="243"/>
      <c r="AW105" s="243"/>
      <c r="AX105" s="243"/>
      <c r="AY105" s="243"/>
      <c r="AZ105" s="243"/>
      <c r="BA105" s="243"/>
      <c r="BB105" s="243"/>
      <c r="BC105" s="243"/>
      <c r="BD105" s="243"/>
      <c r="BE105" s="243"/>
      <c r="BF105" s="246"/>
      <c r="BG105" s="246"/>
      <c r="BH105" s="243"/>
      <c r="BI105" s="243"/>
      <c r="BJ105" s="243"/>
      <c r="BK105" s="243"/>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row>
    <row r="106" spans="1:94">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9"/>
      <c r="AL106" s="289"/>
      <c r="AM106" s="289"/>
      <c r="AN106" s="289"/>
      <c r="AO106" s="289"/>
      <c r="AP106" s="289"/>
      <c r="AQ106" s="289"/>
      <c r="AR106" s="243"/>
      <c r="AS106" s="243"/>
      <c r="AT106" s="243"/>
      <c r="AU106" s="243"/>
      <c r="AV106" s="243"/>
      <c r="AW106" s="243"/>
      <c r="AX106" s="243"/>
      <c r="AY106" s="243"/>
      <c r="AZ106" s="243"/>
      <c r="BA106" s="243"/>
      <c r="BB106" s="243"/>
      <c r="BC106" s="243"/>
      <c r="BD106" s="243"/>
      <c r="BE106" s="243"/>
      <c r="BF106" s="246"/>
      <c r="BG106" s="246"/>
      <c r="BH106" s="243"/>
      <c r="BI106" s="243"/>
      <c r="BJ106" s="243"/>
      <c r="BK106" s="243"/>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row>
    <row r="107" spans="1:94">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9"/>
      <c r="AL107" s="289"/>
      <c r="AM107" s="289"/>
      <c r="AN107" s="289"/>
      <c r="AO107" s="289"/>
      <c r="AP107" s="289"/>
      <c r="AQ107" s="289"/>
      <c r="AR107" s="243"/>
      <c r="AS107" s="243"/>
      <c r="AT107" s="243"/>
      <c r="AU107" s="243"/>
      <c r="AV107" s="243"/>
      <c r="AW107" s="243"/>
      <c r="AX107" s="243"/>
      <c r="AY107" s="243"/>
      <c r="AZ107" s="243"/>
      <c r="BA107" s="243"/>
      <c r="BB107" s="243"/>
      <c r="BC107" s="243"/>
      <c r="BD107" s="243"/>
      <c r="BE107" s="243"/>
      <c r="BF107" s="246"/>
      <c r="BG107" s="246"/>
      <c r="BH107" s="243"/>
      <c r="BI107" s="243"/>
      <c r="BJ107" s="243"/>
      <c r="BK107" s="243"/>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row>
    <row r="108" spans="1:94">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9"/>
      <c r="AL108" s="289"/>
      <c r="AM108" s="289"/>
      <c r="AN108" s="289"/>
      <c r="AO108" s="289"/>
      <c r="AP108" s="289"/>
      <c r="AQ108" s="289"/>
      <c r="AR108" s="243"/>
      <c r="AS108" s="243"/>
      <c r="AT108" s="243"/>
      <c r="AU108" s="243"/>
      <c r="AV108" s="243"/>
      <c r="AW108" s="243"/>
      <c r="AX108" s="243"/>
      <c r="AY108" s="243"/>
      <c r="AZ108" s="243"/>
      <c r="BA108" s="243"/>
      <c r="BB108" s="243"/>
      <c r="BC108" s="243"/>
      <c r="BD108" s="243"/>
      <c r="BE108" s="243"/>
      <c r="BF108" s="246"/>
      <c r="BG108" s="246"/>
      <c r="BH108" s="243"/>
      <c r="BI108" s="243"/>
      <c r="BJ108" s="243"/>
      <c r="BK108" s="243"/>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row>
    <row r="109" spans="1:94">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9"/>
      <c r="AL109" s="289"/>
      <c r="AM109" s="289"/>
      <c r="AN109" s="289"/>
      <c r="AO109" s="289"/>
      <c r="AP109" s="289"/>
      <c r="AQ109" s="289"/>
      <c r="AR109" s="243"/>
      <c r="AS109" s="243"/>
      <c r="AT109" s="243"/>
      <c r="AU109" s="243"/>
      <c r="AV109" s="243"/>
      <c r="AW109" s="243"/>
      <c r="AX109" s="243"/>
      <c r="AY109" s="243"/>
      <c r="AZ109" s="243"/>
      <c r="BA109" s="243"/>
      <c r="BB109" s="243"/>
      <c r="BC109" s="243"/>
      <c r="BD109" s="243"/>
      <c r="BE109" s="243"/>
      <c r="BF109" s="246"/>
      <c r="BG109" s="246"/>
      <c r="BH109" s="243"/>
      <c r="BI109" s="243"/>
      <c r="BJ109" s="243"/>
      <c r="BK109" s="243"/>
      <c r="BL109" s="243"/>
      <c r="BM109" s="243"/>
      <c r="BN109" s="243"/>
      <c r="BO109" s="243"/>
      <c r="BP109" s="243"/>
      <c r="BQ109" s="243"/>
      <c r="BR109" s="243"/>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c r="CM109" s="243"/>
      <c r="CN109" s="243"/>
      <c r="CO109" s="243"/>
      <c r="CP109" s="243"/>
    </row>
    <row r="110" spans="1:94">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9"/>
      <c r="AL110" s="289"/>
      <c r="AM110" s="289"/>
      <c r="AN110" s="289"/>
      <c r="AO110" s="289"/>
      <c r="AP110" s="289"/>
      <c r="AQ110" s="289"/>
      <c r="AR110" s="243"/>
      <c r="AS110" s="243"/>
      <c r="AT110" s="243"/>
      <c r="AU110" s="243"/>
      <c r="AV110" s="243"/>
      <c r="AW110" s="243"/>
      <c r="AX110" s="243"/>
      <c r="AY110" s="243"/>
      <c r="AZ110" s="243"/>
      <c r="BA110" s="243"/>
      <c r="BB110" s="243"/>
      <c r="BC110" s="243"/>
      <c r="BD110" s="243"/>
      <c r="BE110" s="243"/>
      <c r="BF110" s="246"/>
      <c r="BG110" s="246"/>
      <c r="BH110" s="243"/>
      <c r="BI110" s="243"/>
      <c r="BJ110" s="243"/>
      <c r="BK110" s="243"/>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row>
    <row r="111" spans="1:94">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9"/>
      <c r="AL111" s="289"/>
      <c r="AM111" s="289"/>
      <c r="AN111" s="289"/>
      <c r="AO111" s="289"/>
      <c r="AP111" s="289"/>
      <c r="AQ111" s="289"/>
      <c r="AR111" s="243"/>
      <c r="AS111" s="243"/>
      <c r="AT111" s="243"/>
      <c r="AU111" s="243"/>
      <c r="AV111" s="243"/>
      <c r="AW111" s="243"/>
      <c r="AX111" s="243"/>
      <c r="AY111" s="243"/>
      <c r="AZ111" s="243"/>
      <c r="BA111" s="243"/>
      <c r="BB111" s="243"/>
      <c r="BC111" s="243"/>
      <c r="BD111" s="243"/>
      <c r="BE111" s="243"/>
      <c r="BF111" s="246"/>
      <c r="BG111" s="246"/>
      <c r="BH111" s="243"/>
      <c r="BI111" s="243"/>
      <c r="BJ111" s="243"/>
      <c r="BK111" s="243"/>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row>
    <row r="112" spans="1:94">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9"/>
      <c r="AL112" s="289"/>
      <c r="AM112" s="289"/>
      <c r="AN112" s="289"/>
      <c r="AO112" s="289"/>
      <c r="AP112" s="289"/>
      <c r="AQ112" s="289"/>
      <c r="AR112" s="243"/>
      <c r="AS112" s="243"/>
      <c r="AT112" s="243"/>
      <c r="AU112" s="243"/>
      <c r="AV112" s="243"/>
      <c r="AW112" s="243"/>
      <c r="AX112" s="243"/>
      <c r="AY112" s="243"/>
      <c r="AZ112" s="243"/>
      <c r="BA112" s="243"/>
      <c r="BB112" s="243"/>
      <c r="BC112" s="243"/>
      <c r="BD112" s="243"/>
      <c r="BE112" s="243"/>
      <c r="BF112" s="246"/>
      <c r="BG112" s="246"/>
      <c r="BH112" s="243"/>
      <c r="BI112" s="243"/>
      <c r="BJ112" s="243"/>
      <c r="BK112" s="243"/>
      <c r="BL112" s="243"/>
      <c r="BM112" s="243"/>
      <c r="BN112" s="243"/>
      <c r="BO112" s="243"/>
      <c r="BP112" s="243"/>
      <c r="BQ112" s="243"/>
      <c r="BR112" s="243"/>
      <c r="BS112" s="243"/>
      <c r="BT112" s="243"/>
      <c r="BU112" s="243"/>
      <c r="BV112" s="243"/>
      <c r="BW112" s="243"/>
      <c r="BX112" s="243"/>
      <c r="BY112" s="243"/>
      <c r="BZ112" s="243"/>
      <c r="CA112" s="243"/>
      <c r="CB112" s="243"/>
      <c r="CC112" s="243"/>
      <c r="CD112" s="243"/>
      <c r="CE112" s="243"/>
      <c r="CF112" s="243"/>
      <c r="CG112" s="243"/>
      <c r="CH112" s="243"/>
      <c r="CI112" s="243"/>
      <c r="CJ112" s="243"/>
      <c r="CK112" s="243"/>
      <c r="CL112" s="243"/>
      <c r="CM112" s="243"/>
      <c r="CN112" s="243"/>
      <c r="CO112" s="243"/>
      <c r="CP112" s="243"/>
    </row>
    <row r="113" spans="1:94">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9"/>
      <c r="AL113" s="289"/>
      <c r="AM113" s="289"/>
      <c r="AN113" s="289"/>
      <c r="AO113" s="289"/>
      <c r="AP113" s="289"/>
      <c r="AQ113" s="289"/>
      <c r="AR113" s="243"/>
      <c r="AS113" s="243"/>
      <c r="AT113" s="243"/>
      <c r="AU113" s="243"/>
      <c r="AV113" s="243"/>
      <c r="AW113" s="243"/>
      <c r="AX113" s="243"/>
      <c r="AY113" s="243"/>
      <c r="AZ113" s="243"/>
      <c r="BA113" s="243"/>
      <c r="BB113" s="243"/>
      <c r="BC113" s="243"/>
      <c r="BD113" s="243"/>
      <c r="BE113" s="243"/>
      <c r="BF113" s="246"/>
      <c r="BG113" s="246"/>
      <c r="BH113" s="243"/>
      <c r="BI113" s="243"/>
      <c r="BJ113" s="243"/>
      <c r="BK113" s="243"/>
      <c r="BL113" s="243"/>
      <c r="BM113" s="243"/>
      <c r="BN113" s="243"/>
      <c r="BO113" s="243"/>
      <c r="BP113" s="243"/>
      <c r="BQ113" s="243"/>
      <c r="BR113" s="243"/>
      <c r="BS113" s="243"/>
      <c r="BT113" s="243"/>
      <c r="BU113" s="243"/>
      <c r="BV113" s="243"/>
      <c r="BW113" s="243"/>
      <c r="BX113" s="243"/>
      <c r="BY113" s="243"/>
      <c r="BZ113" s="243"/>
      <c r="CA113" s="243"/>
      <c r="CB113" s="243"/>
      <c r="CC113" s="243"/>
      <c r="CD113" s="243"/>
      <c r="CE113" s="243"/>
      <c r="CF113" s="243"/>
      <c r="CG113" s="243"/>
      <c r="CH113" s="243"/>
      <c r="CI113" s="243"/>
      <c r="CJ113" s="243"/>
      <c r="CK113" s="243"/>
      <c r="CL113" s="243"/>
      <c r="CM113" s="243"/>
      <c r="CN113" s="243"/>
      <c r="CO113" s="243"/>
      <c r="CP113" s="243"/>
    </row>
    <row r="114" spans="1:94">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9"/>
      <c r="AL114" s="289"/>
      <c r="AM114" s="289"/>
      <c r="AN114" s="289"/>
      <c r="AO114" s="289"/>
      <c r="AP114" s="289"/>
      <c r="AQ114" s="289"/>
      <c r="AR114" s="243"/>
      <c r="AS114" s="243"/>
      <c r="AT114" s="243"/>
      <c r="AU114" s="243"/>
      <c r="AV114" s="243"/>
      <c r="AW114" s="243"/>
      <c r="AX114" s="243"/>
      <c r="AY114" s="243"/>
      <c r="AZ114" s="243"/>
      <c r="BA114" s="243"/>
      <c r="BB114" s="243"/>
      <c r="BC114" s="243"/>
      <c r="BD114" s="243"/>
      <c r="BE114" s="243"/>
      <c r="BF114" s="246"/>
      <c r="BG114" s="246"/>
      <c r="BH114" s="243"/>
      <c r="BI114" s="243"/>
      <c r="BJ114" s="243"/>
      <c r="BK114" s="243"/>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row>
    <row r="115" spans="1:94">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9"/>
      <c r="AL115" s="289"/>
      <c r="AM115" s="289"/>
      <c r="AN115" s="289"/>
      <c r="AO115" s="289"/>
      <c r="AP115" s="289"/>
      <c r="AQ115" s="289"/>
      <c r="AR115" s="243"/>
      <c r="AS115" s="243"/>
      <c r="AT115" s="243"/>
      <c r="AU115" s="243"/>
      <c r="AV115" s="243"/>
      <c r="AW115" s="243"/>
      <c r="AX115" s="243"/>
      <c r="AY115" s="243"/>
      <c r="AZ115" s="243"/>
      <c r="BA115" s="243"/>
      <c r="BB115" s="243"/>
      <c r="BC115" s="243"/>
      <c r="BD115" s="243"/>
      <c r="BE115" s="243"/>
      <c r="BF115" s="246"/>
      <c r="BG115" s="246"/>
      <c r="BH115" s="243"/>
      <c r="BI115" s="243"/>
      <c r="BJ115" s="243"/>
      <c r="BK115" s="243"/>
      <c r="BL115" s="243"/>
      <c r="BM115" s="243"/>
      <c r="BN115" s="243"/>
      <c r="BO115" s="243"/>
      <c r="BP115" s="243"/>
      <c r="BQ115" s="243"/>
      <c r="BR115" s="243"/>
      <c r="BS115" s="243"/>
      <c r="BT115" s="243"/>
      <c r="BU115" s="243"/>
      <c r="BV115" s="243"/>
      <c r="BW115" s="243"/>
      <c r="BX115" s="243"/>
      <c r="BY115" s="243"/>
      <c r="BZ115" s="243"/>
      <c r="CA115" s="243"/>
      <c r="CB115" s="243"/>
      <c r="CC115" s="243"/>
      <c r="CD115" s="243"/>
      <c r="CE115" s="243"/>
      <c r="CF115" s="243"/>
      <c r="CG115" s="243"/>
      <c r="CH115" s="243"/>
      <c r="CI115" s="243"/>
      <c r="CJ115" s="243"/>
      <c r="CK115" s="243"/>
      <c r="CL115" s="243"/>
      <c r="CM115" s="243"/>
      <c r="CN115" s="243"/>
      <c r="CO115" s="243"/>
      <c r="CP115" s="243"/>
    </row>
    <row r="116" spans="1:94">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9"/>
      <c r="AL116" s="289"/>
      <c r="AM116" s="289"/>
      <c r="AN116" s="289"/>
      <c r="AO116" s="289"/>
      <c r="AP116" s="289"/>
      <c r="AQ116" s="289"/>
      <c r="AR116" s="243"/>
      <c r="AS116" s="243"/>
      <c r="AT116" s="243"/>
      <c r="AU116" s="243"/>
      <c r="AV116" s="243"/>
      <c r="AW116" s="243"/>
      <c r="AX116" s="243"/>
      <c r="AY116" s="243"/>
      <c r="AZ116" s="243"/>
      <c r="BA116" s="243"/>
      <c r="BB116" s="243"/>
      <c r="BC116" s="243"/>
      <c r="BD116" s="243"/>
      <c r="BE116" s="243"/>
      <c r="BF116" s="246"/>
      <c r="BG116" s="246"/>
      <c r="BH116" s="243"/>
      <c r="BI116" s="243"/>
      <c r="BJ116" s="243"/>
      <c r="BK116" s="243"/>
      <c r="BL116" s="243"/>
      <c r="BM116" s="243"/>
      <c r="BN116" s="243"/>
      <c r="BO116" s="243"/>
      <c r="BP116" s="243"/>
      <c r="BQ116" s="243"/>
      <c r="BR116" s="243"/>
      <c r="BS116" s="243"/>
      <c r="BT116" s="243"/>
      <c r="BU116" s="243"/>
      <c r="BV116" s="243"/>
      <c r="BW116" s="243"/>
      <c r="BX116" s="243"/>
      <c r="BY116" s="243"/>
      <c r="BZ116" s="243"/>
      <c r="CA116" s="243"/>
      <c r="CB116" s="243"/>
      <c r="CC116" s="243"/>
      <c r="CD116" s="243"/>
      <c r="CE116" s="243"/>
      <c r="CF116" s="243"/>
      <c r="CG116" s="243"/>
      <c r="CH116" s="243"/>
      <c r="CI116" s="243"/>
      <c r="CJ116" s="243"/>
      <c r="CK116" s="243"/>
      <c r="CL116" s="243"/>
      <c r="CM116" s="243"/>
      <c r="CN116" s="243"/>
      <c r="CO116" s="243"/>
      <c r="CP116" s="243"/>
    </row>
    <row r="117" spans="1:94">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9"/>
      <c r="AL117" s="289"/>
      <c r="AM117" s="289"/>
      <c r="AN117" s="289"/>
      <c r="AO117" s="289"/>
      <c r="AP117" s="289"/>
      <c r="AQ117" s="289"/>
      <c r="AR117" s="243"/>
      <c r="AS117" s="243"/>
      <c r="AT117" s="243"/>
      <c r="AU117" s="243"/>
      <c r="AV117" s="243"/>
      <c r="AW117" s="243"/>
      <c r="AX117" s="243"/>
      <c r="AY117" s="243"/>
      <c r="AZ117" s="243"/>
      <c r="BA117" s="243"/>
      <c r="BB117" s="243"/>
      <c r="BC117" s="243"/>
      <c r="BD117" s="243"/>
      <c r="BE117" s="243"/>
      <c r="BF117" s="246"/>
      <c r="BG117" s="246"/>
      <c r="BH117" s="243"/>
      <c r="BI117" s="243"/>
      <c r="BJ117" s="243"/>
      <c r="BK117" s="243"/>
      <c r="BL117" s="243"/>
      <c r="BM117" s="243"/>
      <c r="BN117" s="243"/>
      <c r="BO117" s="243"/>
      <c r="BP117" s="243"/>
      <c r="BQ117" s="243"/>
      <c r="BR117" s="243"/>
      <c r="BS117" s="243"/>
      <c r="BT117" s="243"/>
      <c r="BU117" s="243"/>
      <c r="BV117" s="243"/>
      <c r="BW117" s="243"/>
      <c r="BX117" s="243"/>
      <c r="BY117" s="243"/>
      <c r="BZ117" s="243"/>
      <c r="CA117" s="243"/>
      <c r="CB117" s="243"/>
      <c r="CC117" s="243"/>
      <c r="CD117" s="243"/>
      <c r="CE117" s="243"/>
      <c r="CF117" s="243"/>
      <c r="CG117" s="243"/>
      <c r="CH117" s="243"/>
      <c r="CI117" s="243"/>
      <c r="CJ117" s="243"/>
      <c r="CK117" s="243"/>
      <c r="CL117" s="243"/>
      <c r="CM117" s="243"/>
      <c r="CN117" s="243"/>
      <c r="CO117" s="243"/>
      <c r="CP117" s="243"/>
    </row>
    <row r="118" spans="1:94">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9"/>
      <c r="AL118" s="289"/>
      <c r="AM118" s="289"/>
      <c r="AN118" s="289"/>
      <c r="AO118" s="289"/>
      <c r="AP118" s="289"/>
      <c r="AQ118" s="289"/>
      <c r="AR118" s="243"/>
      <c r="AS118" s="243"/>
      <c r="AT118" s="243"/>
      <c r="AU118" s="243"/>
      <c r="AV118" s="243"/>
      <c r="AW118" s="243"/>
      <c r="AX118" s="243"/>
      <c r="AY118" s="243"/>
      <c r="AZ118" s="243"/>
      <c r="BA118" s="243"/>
      <c r="BB118" s="243"/>
      <c r="BC118" s="243"/>
      <c r="BD118" s="243"/>
      <c r="BE118" s="243"/>
      <c r="BF118" s="246"/>
      <c r="BG118" s="246"/>
      <c r="BH118" s="243"/>
      <c r="BI118" s="243"/>
      <c r="BJ118" s="243"/>
      <c r="BK118" s="243"/>
      <c r="BL118" s="243"/>
      <c r="BM118" s="243"/>
      <c r="BN118" s="243"/>
      <c r="BO118" s="243"/>
      <c r="BP118" s="243"/>
      <c r="BQ118" s="243"/>
      <c r="BR118" s="243"/>
      <c r="BS118" s="243"/>
      <c r="BT118" s="243"/>
      <c r="BU118" s="243"/>
      <c r="BV118" s="243"/>
      <c r="BW118" s="243"/>
      <c r="BX118" s="243"/>
      <c r="BY118" s="243"/>
      <c r="BZ118" s="243"/>
      <c r="CA118" s="243"/>
      <c r="CB118" s="243"/>
      <c r="CC118" s="243"/>
      <c r="CD118" s="243"/>
      <c r="CE118" s="243"/>
      <c r="CF118" s="243"/>
      <c r="CG118" s="243"/>
      <c r="CH118" s="243"/>
      <c r="CI118" s="243"/>
      <c r="CJ118" s="243"/>
      <c r="CK118" s="243"/>
      <c r="CL118" s="243"/>
      <c r="CM118" s="243"/>
      <c r="CN118" s="243"/>
      <c r="CO118" s="243"/>
      <c r="CP118" s="243"/>
    </row>
    <row r="119" spans="1:94">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9"/>
      <c r="AL119" s="289"/>
      <c r="AM119" s="289"/>
      <c r="AN119" s="289"/>
      <c r="AO119" s="289"/>
      <c r="AP119" s="289"/>
      <c r="AQ119" s="289"/>
      <c r="AR119" s="243"/>
      <c r="AS119" s="243"/>
      <c r="AT119" s="243"/>
      <c r="AU119" s="243"/>
      <c r="AV119" s="243"/>
      <c r="AW119" s="243"/>
      <c r="AX119" s="243"/>
      <c r="AY119" s="243"/>
      <c r="AZ119" s="243"/>
      <c r="BA119" s="243"/>
      <c r="BB119" s="243"/>
      <c r="BC119" s="243"/>
      <c r="BD119" s="243"/>
      <c r="BE119" s="243"/>
      <c r="BF119" s="246"/>
      <c r="BG119" s="246"/>
      <c r="BH119" s="243"/>
      <c r="BI119" s="243"/>
      <c r="BJ119" s="243"/>
      <c r="BK119" s="243"/>
      <c r="BL119" s="243"/>
      <c r="BM119" s="243"/>
      <c r="BN119" s="243"/>
      <c r="BO119" s="243"/>
      <c r="BP119" s="243"/>
      <c r="BQ119" s="243"/>
      <c r="BR119" s="243"/>
      <c r="BS119" s="243"/>
      <c r="BT119" s="243"/>
      <c r="BU119" s="243"/>
      <c r="BV119" s="243"/>
      <c r="BW119" s="243"/>
      <c r="BX119" s="243"/>
      <c r="BY119" s="243"/>
      <c r="BZ119" s="243"/>
      <c r="CA119" s="243"/>
      <c r="CB119" s="243"/>
      <c r="CC119" s="243"/>
      <c r="CD119" s="243"/>
      <c r="CE119" s="243"/>
      <c r="CF119" s="243"/>
      <c r="CG119" s="243"/>
      <c r="CH119" s="243"/>
      <c r="CI119" s="243"/>
      <c r="CJ119" s="243"/>
      <c r="CK119" s="243"/>
      <c r="CL119" s="243"/>
      <c r="CM119" s="243"/>
      <c r="CN119" s="243"/>
      <c r="CO119" s="243"/>
      <c r="CP119" s="243"/>
    </row>
    <row r="120" spans="1:94">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9"/>
      <c r="AL120" s="289"/>
      <c r="AM120" s="289"/>
      <c r="AN120" s="289"/>
      <c r="AO120" s="289"/>
      <c r="AP120" s="289"/>
      <c r="AQ120" s="289"/>
      <c r="AR120" s="243"/>
      <c r="AS120" s="243"/>
      <c r="AT120" s="243"/>
      <c r="AU120" s="243"/>
      <c r="AV120" s="243"/>
      <c r="AW120" s="243"/>
      <c r="AX120" s="243"/>
      <c r="AY120" s="243"/>
      <c r="AZ120" s="243"/>
      <c r="BA120" s="243"/>
      <c r="BB120" s="243"/>
      <c r="BC120" s="243"/>
      <c r="BD120" s="243"/>
      <c r="BE120" s="243"/>
      <c r="BF120" s="246"/>
      <c r="BG120" s="246"/>
      <c r="BH120" s="243"/>
      <c r="BI120" s="243"/>
      <c r="BJ120" s="243"/>
      <c r="BK120" s="243"/>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row>
    <row r="121" spans="1:94">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9"/>
      <c r="AL121" s="289"/>
      <c r="AM121" s="289"/>
      <c r="AN121" s="289"/>
      <c r="AO121" s="289"/>
      <c r="AP121" s="289"/>
      <c r="AQ121" s="289"/>
      <c r="AR121" s="243"/>
      <c r="AS121" s="243"/>
      <c r="AT121" s="243"/>
      <c r="AU121" s="243"/>
      <c r="AV121" s="243"/>
      <c r="AW121" s="243"/>
      <c r="AX121" s="243"/>
      <c r="AY121" s="243"/>
      <c r="AZ121" s="243"/>
      <c r="BA121" s="243"/>
      <c r="BB121" s="243"/>
      <c r="BC121" s="243"/>
      <c r="BD121" s="243"/>
      <c r="BE121" s="243"/>
      <c r="BF121" s="246"/>
      <c r="BG121" s="246"/>
      <c r="BH121" s="243"/>
      <c r="BI121" s="243"/>
      <c r="BJ121" s="243"/>
      <c r="BK121" s="243"/>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row>
    <row r="122" spans="1:94">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9"/>
      <c r="AL122" s="289"/>
      <c r="AM122" s="289"/>
      <c r="AN122" s="289"/>
      <c r="AO122" s="289"/>
      <c r="AP122" s="289"/>
      <c r="AQ122" s="289"/>
      <c r="AR122" s="243"/>
      <c r="AS122" s="243"/>
      <c r="AT122" s="243"/>
      <c r="AU122" s="243"/>
      <c r="AV122" s="243"/>
      <c r="AW122" s="243"/>
      <c r="AX122" s="243"/>
      <c r="AY122" s="243"/>
      <c r="AZ122" s="243"/>
      <c r="BA122" s="243"/>
      <c r="BB122" s="243"/>
      <c r="BC122" s="243"/>
      <c r="BD122" s="243"/>
      <c r="BE122" s="243"/>
      <c r="BF122" s="246"/>
      <c r="BG122" s="246"/>
      <c r="BH122" s="243"/>
      <c r="BI122" s="243"/>
      <c r="BJ122" s="243"/>
      <c r="BK122" s="243"/>
      <c r="BL122" s="243"/>
      <c r="BM122" s="243"/>
      <c r="BN122" s="243"/>
      <c r="BO122" s="243"/>
      <c r="BP122" s="243"/>
      <c r="BQ122" s="243"/>
      <c r="BR122" s="243"/>
      <c r="BS122" s="243"/>
      <c r="BT122" s="243"/>
      <c r="BU122" s="243"/>
      <c r="BV122" s="243"/>
      <c r="BW122" s="243"/>
      <c r="BX122" s="243"/>
      <c r="BY122" s="243"/>
      <c r="BZ122" s="243"/>
      <c r="CA122" s="243"/>
      <c r="CB122" s="243"/>
      <c r="CC122" s="243"/>
      <c r="CD122" s="243"/>
      <c r="CE122" s="243"/>
      <c r="CF122" s="243"/>
      <c r="CG122" s="243"/>
      <c r="CH122" s="243"/>
      <c r="CI122" s="243"/>
      <c r="CJ122" s="243"/>
      <c r="CK122" s="243"/>
      <c r="CL122" s="243"/>
      <c r="CM122" s="243"/>
      <c r="CN122" s="243"/>
      <c r="CO122" s="243"/>
      <c r="CP122" s="243"/>
    </row>
    <row r="123" spans="1:94">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9"/>
      <c r="AL123" s="289"/>
      <c r="AM123" s="289"/>
      <c r="AN123" s="289"/>
      <c r="AO123" s="289"/>
      <c r="AP123" s="289"/>
      <c r="AQ123" s="289"/>
      <c r="AR123" s="243"/>
      <c r="AS123" s="243"/>
      <c r="AT123" s="243"/>
      <c r="AU123" s="243"/>
      <c r="AV123" s="243"/>
      <c r="AW123" s="243"/>
      <c r="AX123" s="243"/>
      <c r="AY123" s="243"/>
      <c r="AZ123" s="243"/>
      <c r="BA123" s="243"/>
      <c r="BB123" s="243"/>
      <c r="BC123" s="243"/>
      <c r="BD123" s="243"/>
      <c r="BE123" s="243"/>
      <c r="BF123" s="246"/>
      <c r="BG123" s="246"/>
      <c r="BH123" s="243"/>
      <c r="BI123" s="243"/>
      <c r="BJ123" s="243"/>
      <c r="BK123" s="243"/>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row>
    <row r="124" spans="1:94">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9"/>
      <c r="AL124" s="289"/>
      <c r="AM124" s="289"/>
      <c r="AN124" s="289"/>
      <c r="AO124" s="289"/>
      <c r="AP124" s="289"/>
      <c r="AQ124" s="289"/>
      <c r="AR124" s="243"/>
      <c r="AS124" s="243"/>
      <c r="AT124" s="243"/>
      <c r="AU124" s="243"/>
      <c r="AV124" s="243"/>
      <c r="AW124" s="243"/>
      <c r="AX124" s="243"/>
      <c r="AY124" s="243"/>
      <c r="AZ124" s="243"/>
      <c r="BA124" s="243"/>
      <c r="BB124" s="243"/>
      <c r="BC124" s="243"/>
      <c r="BD124" s="243"/>
      <c r="BE124" s="243"/>
      <c r="BF124" s="246"/>
      <c r="BG124" s="246"/>
      <c r="BH124" s="243"/>
      <c r="BI124" s="243"/>
      <c r="BJ124" s="243"/>
      <c r="BK124" s="243"/>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row>
    <row r="125" spans="1:94">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c r="AD125" s="288"/>
      <c r="AE125" s="288"/>
      <c r="AF125" s="288"/>
      <c r="AG125" s="288"/>
      <c r="AH125" s="288"/>
      <c r="AI125" s="288"/>
      <c r="AJ125" s="288"/>
      <c r="AK125" s="289"/>
      <c r="AL125" s="289"/>
      <c r="AM125" s="289"/>
      <c r="AN125" s="289"/>
      <c r="AO125" s="289"/>
      <c r="AP125" s="289"/>
      <c r="AQ125" s="289"/>
      <c r="AR125" s="243"/>
      <c r="AS125" s="243"/>
      <c r="AT125" s="243"/>
      <c r="AU125" s="243"/>
      <c r="AV125" s="243"/>
      <c r="AW125" s="243"/>
      <c r="AX125" s="243"/>
      <c r="AY125" s="243"/>
      <c r="AZ125" s="243"/>
      <c r="BA125" s="243"/>
      <c r="BB125" s="243"/>
      <c r="BC125" s="243"/>
      <c r="BD125" s="243"/>
      <c r="BE125" s="243"/>
      <c r="BF125" s="246"/>
      <c r="BG125" s="246"/>
      <c r="BH125" s="243"/>
      <c r="BI125" s="243"/>
      <c r="BJ125" s="243"/>
      <c r="BK125" s="243"/>
      <c r="BL125" s="243"/>
      <c r="BM125" s="243"/>
      <c r="BN125" s="243"/>
      <c r="BO125" s="243"/>
      <c r="BP125" s="243"/>
      <c r="BQ125" s="243"/>
      <c r="BR125" s="243"/>
      <c r="BS125" s="243"/>
      <c r="BT125" s="243"/>
      <c r="BU125" s="243"/>
      <c r="BV125" s="243"/>
      <c r="BW125" s="243"/>
      <c r="BX125" s="243"/>
      <c r="BY125" s="243"/>
      <c r="BZ125" s="243"/>
      <c r="CA125" s="243"/>
      <c r="CB125" s="243"/>
      <c r="CC125" s="243"/>
      <c r="CD125" s="243"/>
      <c r="CE125" s="243"/>
      <c r="CF125" s="243"/>
      <c r="CG125" s="243"/>
      <c r="CH125" s="243"/>
      <c r="CI125" s="243"/>
      <c r="CJ125" s="243"/>
      <c r="CK125" s="243"/>
      <c r="CL125" s="243"/>
      <c r="CM125" s="243"/>
      <c r="CN125" s="243"/>
      <c r="CO125" s="243"/>
      <c r="CP125" s="243"/>
    </row>
  </sheetData>
  <sheetProtection algorithmName="SHA-512" hashValue="2nvQ8syF4n0gjjN3WW6wTq36fuJaRWxamFRqeRdApYlKlE5TnMfde9Ilya6lROCUyHI9WUpjBNTKH5a/8aEXSg==" saltValue="3yyenU/b79Y6I162AEPcFg==" spinCount="100000" sheet="1" objects="1" scenarios="1" selectLockedCells="1" selectUnlockedCells="1"/>
  <mergeCells count="344">
    <mergeCell ref="L62:M62"/>
    <mergeCell ref="N62:O62"/>
    <mergeCell ref="L60:M60"/>
    <mergeCell ref="N60:O60"/>
    <mergeCell ref="L61:M61"/>
    <mergeCell ref="N61:O61"/>
    <mergeCell ref="P60:Q60"/>
    <mergeCell ref="P61:Q61"/>
    <mergeCell ref="P62:Q62"/>
    <mergeCell ref="L58:M58"/>
    <mergeCell ref="N58:O58"/>
    <mergeCell ref="L56:M56"/>
    <mergeCell ref="N56:O56"/>
    <mergeCell ref="L59:M59"/>
    <mergeCell ref="N59:O59"/>
    <mergeCell ref="P56:Q56"/>
    <mergeCell ref="P57:Q57"/>
    <mergeCell ref="P58:Q58"/>
    <mergeCell ref="P59:Q59"/>
    <mergeCell ref="L55:M55"/>
    <mergeCell ref="N55:O55"/>
    <mergeCell ref="N54:O54"/>
    <mergeCell ref="P54:Q54"/>
    <mergeCell ref="P55:Q55"/>
    <mergeCell ref="T53:U53"/>
    <mergeCell ref="L54:M54"/>
    <mergeCell ref="L57:M57"/>
    <mergeCell ref="N57:O57"/>
    <mergeCell ref="A53:E53"/>
    <mergeCell ref="F53:G53"/>
    <mergeCell ref="H53:I53"/>
    <mergeCell ref="J53:K53"/>
    <mergeCell ref="L53:M53"/>
    <mergeCell ref="N53:O53"/>
    <mergeCell ref="R51:S51"/>
    <mergeCell ref="T51:U51"/>
    <mergeCell ref="F52:G52"/>
    <mergeCell ref="H52:I52"/>
    <mergeCell ref="J52:K52"/>
    <mergeCell ref="L52:M52"/>
    <mergeCell ref="N52:O52"/>
    <mergeCell ref="P52:Q52"/>
    <mergeCell ref="R52:S52"/>
    <mergeCell ref="T52:U52"/>
    <mergeCell ref="F51:G51"/>
    <mergeCell ref="H51:I51"/>
    <mergeCell ref="J51:K51"/>
    <mergeCell ref="L51:M51"/>
    <mergeCell ref="N51:O51"/>
    <mergeCell ref="P51:Q51"/>
    <mergeCell ref="P53:Q53"/>
    <mergeCell ref="R53:S53"/>
    <mergeCell ref="R49:S49"/>
    <mergeCell ref="T49:U49"/>
    <mergeCell ref="F50:G50"/>
    <mergeCell ref="H50:I50"/>
    <mergeCell ref="J50:K50"/>
    <mergeCell ref="L50:M50"/>
    <mergeCell ref="N50:O50"/>
    <mergeCell ref="P50:Q50"/>
    <mergeCell ref="R50:S50"/>
    <mergeCell ref="T50:U50"/>
    <mergeCell ref="F49:G49"/>
    <mergeCell ref="H49:I49"/>
    <mergeCell ref="J49:K49"/>
    <mergeCell ref="L49:M49"/>
    <mergeCell ref="N49:O49"/>
    <mergeCell ref="P49:Q49"/>
    <mergeCell ref="R47:S47"/>
    <mergeCell ref="T47:U47"/>
    <mergeCell ref="F48:G48"/>
    <mergeCell ref="H48:I48"/>
    <mergeCell ref="J48:K48"/>
    <mergeCell ref="L48:M48"/>
    <mergeCell ref="N48:O48"/>
    <mergeCell ref="P48:Q48"/>
    <mergeCell ref="R48:S48"/>
    <mergeCell ref="T48:U48"/>
    <mergeCell ref="F47:G47"/>
    <mergeCell ref="H47:I47"/>
    <mergeCell ref="J47:K47"/>
    <mergeCell ref="L47:M47"/>
    <mergeCell ref="N47:O47"/>
    <mergeCell ref="P47:Q47"/>
    <mergeCell ref="R45:S45"/>
    <mergeCell ref="T45:U45"/>
    <mergeCell ref="F46:G46"/>
    <mergeCell ref="H46:I46"/>
    <mergeCell ref="J46:K46"/>
    <mergeCell ref="L46:M46"/>
    <mergeCell ref="N46:O46"/>
    <mergeCell ref="P46:Q46"/>
    <mergeCell ref="R46:S46"/>
    <mergeCell ref="T46:U46"/>
    <mergeCell ref="F45:G45"/>
    <mergeCell ref="H45:I45"/>
    <mergeCell ref="J45:K45"/>
    <mergeCell ref="L45:M45"/>
    <mergeCell ref="N45:O45"/>
    <mergeCell ref="P45:Q45"/>
    <mergeCell ref="R43:S43"/>
    <mergeCell ref="T43:U43"/>
    <mergeCell ref="F44:G44"/>
    <mergeCell ref="H44:I44"/>
    <mergeCell ref="J44:K44"/>
    <mergeCell ref="L44:M44"/>
    <mergeCell ref="N44:O44"/>
    <mergeCell ref="P44:Q44"/>
    <mergeCell ref="R44:S44"/>
    <mergeCell ref="T44:U44"/>
    <mergeCell ref="F43:G43"/>
    <mergeCell ref="H43:I43"/>
    <mergeCell ref="J43:K43"/>
    <mergeCell ref="L43:M43"/>
    <mergeCell ref="N43:O43"/>
    <mergeCell ref="P43:Q43"/>
    <mergeCell ref="R41:S41"/>
    <mergeCell ref="T41:U41"/>
    <mergeCell ref="F42:G42"/>
    <mergeCell ref="H42:I42"/>
    <mergeCell ref="J42:K42"/>
    <mergeCell ref="L42:M42"/>
    <mergeCell ref="N42:O42"/>
    <mergeCell ref="P42:Q42"/>
    <mergeCell ref="R42:S42"/>
    <mergeCell ref="T42:U42"/>
    <mergeCell ref="F41:G41"/>
    <mergeCell ref="H41:I41"/>
    <mergeCell ref="J41:K41"/>
    <mergeCell ref="L41:M41"/>
    <mergeCell ref="N41:O41"/>
    <mergeCell ref="P41:Q41"/>
    <mergeCell ref="R39:S39"/>
    <mergeCell ref="T39:U39"/>
    <mergeCell ref="F40:G40"/>
    <mergeCell ref="H40:I40"/>
    <mergeCell ref="J40:K40"/>
    <mergeCell ref="L40:M40"/>
    <mergeCell ref="N40:O40"/>
    <mergeCell ref="P40:Q40"/>
    <mergeCell ref="R40:S40"/>
    <mergeCell ref="T40:U40"/>
    <mergeCell ref="F39:G39"/>
    <mergeCell ref="H39:I39"/>
    <mergeCell ref="J39:K39"/>
    <mergeCell ref="L39:M39"/>
    <mergeCell ref="N39:O39"/>
    <mergeCell ref="P39:Q39"/>
    <mergeCell ref="R37:S37"/>
    <mergeCell ref="T37:U37"/>
    <mergeCell ref="F38:G38"/>
    <mergeCell ref="H38:I38"/>
    <mergeCell ref="J38:K38"/>
    <mergeCell ref="L38:M38"/>
    <mergeCell ref="N38:O38"/>
    <mergeCell ref="P38:Q38"/>
    <mergeCell ref="R38:S38"/>
    <mergeCell ref="T38:U38"/>
    <mergeCell ref="F37:G37"/>
    <mergeCell ref="H37:I37"/>
    <mergeCell ref="J37:K37"/>
    <mergeCell ref="L37:M37"/>
    <mergeCell ref="N37:O37"/>
    <mergeCell ref="P37:Q37"/>
    <mergeCell ref="R35:S35"/>
    <mergeCell ref="T35:U35"/>
    <mergeCell ref="F36:G36"/>
    <mergeCell ref="H36:I36"/>
    <mergeCell ref="J36:K36"/>
    <mergeCell ref="L36:M36"/>
    <mergeCell ref="N36:O36"/>
    <mergeCell ref="P36:Q36"/>
    <mergeCell ref="R36:S36"/>
    <mergeCell ref="T36:U36"/>
    <mergeCell ref="F35:G35"/>
    <mergeCell ref="H35:I35"/>
    <mergeCell ref="J35:K35"/>
    <mergeCell ref="L35:M35"/>
    <mergeCell ref="N35:O35"/>
    <mergeCell ref="P35:Q35"/>
    <mergeCell ref="R33:S33"/>
    <mergeCell ref="T33:U33"/>
    <mergeCell ref="F34:G34"/>
    <mergeCell ref="H34:I34"/>
    <mergeCell ref="J34:K34"/>
    <mergeCell ref="L34:M34"/>
    <mergeCell ref="N34:O34"/>
    <mergeCell ref="P34:Q34"/>
    <mergeCell ref="R34:S34"/>
    <mergeCell ref="T34:U34"/>
    <mergeCell ref="F33:G33"/>
    <mergeCell ref="H33:I33"/>
    <mergeCell ref="J33:K33"/>
    <mergeCell ref="L33:M33"/>
    <mergeCell ref="N33:O33"/>
    <mergeCell ref="P33:Q33"/>
    <mergeCell ref="F32:G32"/>
    <mergeCell ref="H32:I32"/>
    <mergeCell ref="J32:K32"/>
    <mergeCell ref="L32:M32"/>
    <mergeCell ref="N32:O32"/>
    <mergeCell ref="P32:Q32"/>
    <mergeCell ref="R32:S32"/>
    <mergeCell ref="T32:U32"/>
    <mergeCell ref="F31:G31"/>
    <mergeCell ref="H31:I31"/>
    <mergeCell ref="J31:K31"/>
    <mergeCell ref="L31:M31"/>
    <mergeCell ref="N31:O31"/>
    <mergeCell ref="P31:Q31"/>
    <mergeCell ref="A28:E28"/>
    <mergeCell ref="F28:U28"/>
    <mergeCell ref="W28:AJ31"/>
    <mergeCell ref="F29:I30"/>
    <mergeCell ref="J29:M29"/>
    <mergeCell ref="N29:O30"/>
    <mergeCell ref="P29:U30"/>
    <mergeCell ref="J30:K30"/>
    <mergeCell ref="L30:M30"/>
    <mergeCell ref="A31:E31"/>
    <mergeCell ref="R31:S31"/>
    <mergeCell ref="T31:U31"/>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F53:M53 P53:S53">
    <cfRule type="expression" dxfId="284" priority="6" stopIfTrue="1">
      <formula>F53=0</formula>
    </cfRule>
  </conditionalFormatting>
  <conditionalFormatting sqref="H32:AK33 H34:W37 AA34:AK37">
    <cfRule type="expression" dxfId="283" priority="5">
      <formula>H32=0</formula>
    </cfRule>
  </conditionalFormatting>
  <conditionalFormatting sqref="H38:AK52">
    <cfRule type="expression" dxfId="282" priority="1">
      <formula>H38=0</formula>
    </cfRule>
  </conditionalFormatting>
  <conditionalFormatting sqref="V53:AC53">
    <cfRule type="expression" dxfId="281" priority="7" stopIfTrue="1">
      <formula>V53=0</formula>
    </cfRule>
  </conditionalFormatting>
  <conditionalFormatting sqref="Z34:Z37">
    <cfRule type="expression" dxfId="280" priority="3">
      <formula>(Z34&lt;&gt;0)</formula>
    </cfRule>
    <cfRule type="expression" dxfId="279" priority="4">
      <formula>(Z34=0)</formula>
    </cfRule>
  </conditionalFormatting>
  <conditionalFormatting sqref="AF53:AI53 N57 N59">
    <cfRule type="expression" dxfId="278" priority="8" stopIfTrue="1">
      <formula>N53=0</formula>
    </cfRule>
  </conditionalFormatting>
  <pageMargins left="0.74803149606299213" right="0.19685039370078741" top="0.39370078740157483" bottom="0.39370078740157483" header="0.19685039370078741" footer="0.19685039370078741"/>
  <pageSetup paperSize="9" scale="61"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ECE10-B962-4EC0-BFE3-272FD24ACE6A}">
  <sheetPr>
    <tabColor rgb="FF92D050"/>
    <pageSetUpPr fitToPage="1"/>
  </sheetPr>
  <dimension ref="A1:CP125"/>
  <sheetViews>
    <sheetView showGridLines="0" view="pageBreakPreview" zoomScaleNormal="100" zoomScaleSheetLayoutView="100" workbookViewId="0">
      <selection sqref="A1:AK4"/>
    </sheetView>
  </sheetViews>
  <sheetFormatPr defaultColWidth="3.7109375" defaultRowHeight="15"/>
  <cols>
    <col min="1" max="6" width="3.7109375" style="290"/>
    <col min="7" max="7" width="4.42578125" style="290" customWidth="1"/>
    <col min="8" max="11" width="3.7109375" style="290"/>
    <col min="12" max="16" width="4.7109375" style="290" customWidth="1"/>
    <col min="17" max="17" width="5.7109375" style="290" customWidth="1"/>
    <col min="18" max="18" width="8.5703125" style="290" bestFit="1" customWidth="1"/>
    <col min="19" max="19" width="5.42578125" style="290" customWidth="1"/>
    <col min="20" max="23" width="3.7109375" style="290"/>
    <col min="24" max="24" width="8.7109375" style="290" customWidth="1"/>
    <col min="25" max="37" width="3.7109375" style="290"/>
    <col min="38" max="38" width="3.7109375" style="247"/>
    <col min="39" max="50" width="8.7109375" style="247" customWidth="1"/>
    <col min="51" max="57" width="3.7109375" style="247"/>
    <col min="58" max="59" width="3.7109375" style="285"/>
    <col min="60" max="16384" width="3.7109375" style="247"/>
  </cols>
  <sheetData>
    <row r="1" spans="1:94"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8"/>
      <c r="AL1" s="238"/>
      <c r="AM1" s="238"/>
      <c r="AN1" s="238"/>
      <c r="AO1" s="238"/>
      <c r="AP1" s="238"/>
      <c r="AQ1" s="238"/>
      <c r="AR1" s="238"/>
      <c r="AS1" s="238"/>
      <c r="AT1" s="238"/>
      <c r="AU1" s="238"/>
      <c r="AV1" s="238"/>
      <c r="AW1" s="238"/>
      <c r="AX1" s="238"/>
      <c r="AY1" s="238"/>
      <c r="AZ1" s="238"/>
      <c r="BA1" s="238"/>
      <c r="BB1" s="238"/>
      <c r="BC1" s="238"/>
      <c r="BD1" s="238"/>
      <c r="BE1" s="238"/>
      <c r="BF1" s="239"/>
      <c r="BG1" s="239"/>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c r="CM1" s="238"/>
      <c r="CN1" s="238"/>
      <c r="CO1" s="238"/>
      <c r="CP1" s="238"/>
    </row>
    <row r="2" spans="1:94"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1"/>
      <c r="AL2" s="238"/>
      <c r="AM2" s="238"/>
      <c r="AN2" s="238"/>
      <c r="AO2" s="238"/>
      <c r="AP2" s="238"/>
      <c r="AQ2" s="238"/>
      <c r="AR2" s="238"/>
      <c r="AS2" s="238"/>
      <c r="AT2" s="238"/>
      <c r="AU2" s="238"/>
      <c r="AV2" s="238"/>
      <c r="AW2" s="238"/>
      <c r="AX2" s="238"/>
      <c r="AY2" s="238"/>
      <c r="AZ2" s="238"/>
      <c r="BA2" s="238"/>
      <c r="BB2" s="238"/>
      <c r="BC2" s="238"/>
      <c r="BD2" s="238"/>
      <c r="BE2" s="238"/>
      <c r="BF2" s="239"/>
      <c r="BG2" s="239"/>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row>
    <row r="3" spans="1:94"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1"/>
      <c r="AL3" s="238"/>
      <c r="AM3" s="238"/>
      <c r="AN3" s="238"/>
      <c r="AO3" s="238"/>
      <c r="AP3" s="238"/>
      <c r="AQ3" s="238"/>
      <c r="AR3" s="238"/>
      <c r="AS3" s="238"/>
      <c r="AT3" s="238"/>
      <c r="AU3" s="238"/>
      <c r="AV3" s="238"/>
      <c r="AW3" s="238"/>
      <c r="AX3" s="238"/>
      <c r="AY3" s="238"/>
      <c r="AZ3" s="238"/>
      <c r="BA3" s="238"/>
      <c r="BB3" s="238"/>
      <c r="BC3" s="238"/>
      <c r="BD3" s="238"/>
      <c r="BE3" s="238"/>
      <c r="BF3" s="239"/>
      <c r="BG3" s="239"/>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row>
    <row r="4" spans="1:94"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4"/>
      <c r="AL4" s="238"/>
      <c r="AM4" s="241"/>
      <c r="AN4" s="241"/>
      <c r="AO4" s="241"/>
      <c r="AP4" s="242" t="s">
        <v>576</v>
      </c>
      <c r="AQ4" s="242" t="s">
        <v>577</v>
      </c>
      <c r="AR4" s="242" t="s">
        <v>578</v>
      </c>
      <c r="AS4" s="241"/>
      <c r="AT4" s="241"/>
      <c r="AU4" s="241"/>
      <c r="AV4" s="241"/>
      <c r="AW4" s="241"/>
      <c r="AX4" s="238"/>
      <c r="AY4" s="238"/>
      <c r="AZ4" s="238"/>
      <c r="BA4" s="238"/>
      <c r="BB4" s="238"/>
      <c r="BC4" s="238"/>
      <c r="BD4" s="238"/>
      <c r="BE4" s="238"/>
      <c r="BF4" s="239"/>
      <c r="BG4" s="239"/>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row>
    <row r="5" spans="1:94" ht="15" customHeight="1">
      <c r="A5" s="875" t="s">
        <v>22</v>
      </c>
      <c r="B5" s="876"/>
      <c r="C5" s="876"/>
      <c r="D5" s="876"/>
      <c r="E5" s="876"/>
      <c r="F5" s="876"/>
      <c r="G5" s="876"/>
      <c r="H5" s="27" t="str">
        <f>'Emiss. Ops'!$C$2</f>
        <v>OMVP</v>
      </c>
      <c r="I5" s="27"/>
      <c r="J5" s="27"/>
      <c r="K5" s="27"/>
      <c r="L5" s="27"/>
      <c r="M5" s="27"/>
      <c r="N5" s="27"/>
      <c r="O5" s="27"/>
      <c r="P5" s="27"/>
      <c r="Q5" s="27"/>
      <c r="R5" s="27"/>
      <c r="S5" s="27"/>
      <c r="T5" s="27"/>
      <c r="U5" s="27"/>
      <c r="V5" s="27"/>
      <c r="W5" s="27"/>
      <c r="X5" s="27"/>
      <c r="Y5" s="876" t="s">
        <v>23</v>
      </c>
      <c r="Z5" s="876"/>
      <c r="AA5" s="876"/>
      <c r="AB5" s="876"/>
      <c r="AC5" s="877" t="str">
        <f>Effluents!$K$2</f>
        <v>PRJ-001030</v>
      </c>
      <c r="AD5" s="877"/>
      <c r="AE5" s="877"/>
      <c r="AF5" s="877"/>
      <c r="AG5" s="877"/>
      <c r="AH5" s="877"/>
      <c r="AI5" s="877"/>
      <c r="AJ5" s="877"/>
      <c r="AK5" s="878"/>
      <c r="AL5" s="243"/>
      <c r="AM5" s="244"/>
      <c r="AN5" s="244"/>
      <c r="AO5" s="244"/>
      <c r="AP5" s="245" t="s">
        <v>386</v>
      </c>
      <c r="AQ5" s="245" t="s">
        <v>729</v>
      </c>
      <c r="AR5" s="242">
        <v>1020</v>
      </c>
      <c r="AS5" s="244"/>
      <c r="AT5" s="244"/>
      <c r="AU5" s="244"/>
      <c r="AV5" s="244"/>
      <c r="AW5" s="244"/>
      <c r="AX5" s="238"/>
      <c r="AY5" s="238"/>
      <c r="AZ5" s="238"/>
      <c r="BA5" s="243"/>
      <c r="BB5" s="243"/>
      <c r="BC5" s="243"/>
      <c r="BD5" s="243"/>
      <c r="BE5" s="243"/>
      <c r="BF5" s="246"/>
      <c r="BG5" s="246"/>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row>
    <row r="6" spans="1:94" ht="15" customHeight="1">
      <c r="A6" s="862" t="s">
        <v>24</v>
      </c>
      <c r="B6" s="863"/>
      <c r="C6" s="863"/>
      <c r="D6" s="863"/>
      <c r="E6" s="863"/>
      <c r="F6" s="863"/>
      <c r="G6" s="863"/>
      <c r="H6" s="30" t="str">
        <f>'Emiss. Ops'!$C$3</f>
        <v>OMV Neptun BAT Study &amp; ESIA</v>
      </c>
      <c r="I6" s="30"/>
      <c r="J6" s="30"/>
      <c r="K6" s="30"/>
      <c r="L6" s="30"/>
      <c r="M6" s="30"/>
      <c r="N6" s="30"/>
      <c r="O6" s="30"/>
      <c r="P6" s="30"/>
      <c r="Q6" s="30"/>
      <c r="R6" s="30"/>
      <c r="S6" s="30"/>
      <c r="T6" s="30"/>
      <c r="U6" s="30"/>
      <c r="V6" s="30"/>
      <c r="W6" s="30"/>
      <c r="X6" s="30"/>
      <c r="Y6" s="863" t="s">
        <v>25</v>
      </c>
      <c r="Z6" s="863"/>
      <c r="AA6" s="863"/>
      <c r="AB6" s="863"/>
      <c r="AC6" s="860"/>
      <c r="AD6" s="860"/>
      <c r="AE6" s="860"/>
      <c r="AF6" s="860"/>
      <c r="AG6" s="860"/>
      <c r="AH6" s="860"/>
      <c r="AI6" s="860"/>
      <c r="AJ6" s="860"/>
      <c r="AK6" s="861"/>
      <c r="AL6" s="243"/>
      <c r="AM6" s="244"/>
      <c r="AN6" s="244"/>
      <c r="AO6" s="242"/>
      <c r="AP6" s="245" t="s">
        <v>406</v>
      </c>
      <c r="AQ6" s="245" t="s">
        <v>339</v>
      </c>
      <c r="AR6" s="245">
        <v>0.45400000000000001</v>
      </c>
      <c r="AS6" s="242"/>
      <c r="AT6" s="244"/>
      <c r="AU6" s="244"/>
      <c r="AV6" s="244"/>
      <c r="AW6" s="244"/>
      <c r="AX6" s="238"/>
      <c r="AY6" s="238"/>
      <c r="AZ6" s="238"/>
      <c r="BA6" s="243"/>
      <c r="BB6" s="243"/>
      <c r="BC6" s="243"/>
      <c r="BD6" s="243"/>
      <c r="BE6" s="243"/>
      <c r="BF6" s="246"/>
      <c r="BG6" s="246"/>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row>
    <row r="7" spans="1:94" ht="15" customHeight="1">
      <c r="A7" s="862" t="s">
        <v>26</v>
      </c>
      <c r="B7" s="863"/>
      <c r="C7" s="863"/>
      <c r="D7" s="863"/>
      <c r="E7" s="863"/>
      <c r="F7" s="863"/>
      <c r="G7" s="863"/>
      <c r="H7" s="30" t="str">
        <f>'Emiss. Ops'!$C$4</f>
        <v>Emissions Inventory</v>
      </c>
      <c r="I7" s="30"/>
      <c r="J7" s="30"/>
      <c r="K7" s="30"/>
      <c r="L7" s="30"/>
      <c r="M7" s="30"/>
      <c r="N7" s="30"/>
      <c r="O7" s="30"/>
      <c r="P7" s="30"/>
      <c r="Q7" s="30"/>
      <c r="R7" s="30"/>
      <c r="S7" s="30"/>
      <c r="T7" s="30"/>
      <c r="U7" s="30"/>
      <c r="V7" s="30"/>
      <c r="W7" s="30"/>
      <c r="X7" s="30"/>
      <c r="Y7" s="863" t="s">
        <v>27</v>
      </c>
      <c r="Z7" s="863"/>
      <c r="AA7" s="863"/>
      <c r="AB7" s="863"/>
      <c r="AC7" s="30" t="str">
        <f>'Emiss. Ops'!$I$4</f>
        <v>Normal Operations</v>
      </c>
      <c r="AD7" s="31"/>
      <c r="AE7" s="31"/>
      <c r="AF7" s="31"/>
      <c r="AG7" s="31"/>
      <c r="AH7" s="31"/>
      <c r="AI7" s="31"/>
      <c r="AJ7" s="31"/>
      <c r="AK7" s="32"/>
      <c r="AL7" s="243"/>
      <c r="AM7" s="244"/>
      <c r="AN7" s="244"/>
      <c r="AO7" s="242"/>
      <c r="AP7" s="245" t="s">
        <v>407</v>
      </c>
      <c r="AQ7" s="245" t="s">
        <v>730</v>
      </c>
      <c r="AR7" s="248">
        <f>0.305^3</f>
        <v>2.8372624999999999E-2</v>
      </c>
      <c r="AS7" s="242"/>
      <c r="AT7" s="244"/>
      <c r="AU7" s="244"/>
      <c r="AV7" s="244"/>
      <c r="AW7" s="244"/>
      <c r="AX7" s="238"/>
      <c r="AY7" s="238"/>
      <c r="AZ7" s="238"/>
      <c r="BA7" s="243"/>
      <c r="BB7" s="243"/>
      <c r="BC7" s="243"/>
      <c r="BD7" s="243"/>
      <c r="BE7" s="243"/>
      <c r="BF7" s="246"/>
      <c r="BG7" s="246"/>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row>
    <row r="8" spans="1:94"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8"/>
      <c r="AH8" s="1288"/>
      <c r="AI8" s="1288"/>
      <c r="AJ8" s="1288"/>
      <c r="AK8" s="1289"/>
      <c r="AL8" s="243"/>
      <c r="AM8" s="244"/>
      <c r="AN8" s="244"/>
      <c r="AO8" s="242"/>
      <c r="AP8" s="245" t="s">
        <v>729</v>
      </c>
      <c r="AQ8" s="245" t="s">
        <v>731</v>
      </c>
      <c r="AR8" s="249">
        <f>AR6/AR7 * ((AN18+273.15)/(AN20+273.15))</f>
        <v>16.912595854908194</v>
      </c>
      <c r="AS8" s="242"/>
      <c r="AT8" s="244"/>
      <c r="AU8" s="244"/>
      <c r="AV8" s="244"/>
      <c r="AW8" s="244"/>
      <c r="AX8" s="238"/>
      <c r="AY8" s="238"/>
      <c r="AZ8" s="238"/>
      <c r="BA8" s="243"/>
      <c r="BB8" s="243"/>
      <c r="BC8" s="243"/>
      <c r="BD8" s="243"/>
      <c r="BE8" s="243"/>
      <c r="BF8" s="246"/>
      <c r="BG8" s="246"/>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row>
    <row r="9" spans="1:94"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8"/>
      <c r="AH9" s="1288"/>
      <c r="AI9" s="1288"/>
      <c r="AJ9" s="1288"/>
      <c r="AK9" s="1289"/>
      <c r="AL9" s="243"/>
      <c r="AM9" s="244"/>
      <c r="AN9" s="244"/>
      <c r="AO9" s="242"/>
      <c r="AP9" s="242" t="s">
        <v>409</v>
      </c>
      <c r="AQ9" s="242" t="s">
        <v>410</v>
      </c>
      <c r="AR9" s="242">
        <v>947</v>
      </c>
      <c r="AS9" s="242"/>
      <c r="AT9" s="244"/>
      <c r="AU9" s="244"/>
      <c r="AV9" s="244"/>
      <c r="AW9" s="244"/>
      <c r="AX9" s="238"/>
      <c r="AY9" s="238"/>
      <c r="AZ9" s="238"/>
      <c r="BA9" s="243"/>
      <c r="BB9" s="243"/>
      <c r="BC9" s="243"/>
      <c r="BD9" s="243"/>
      <c r="BE9" s="243"/>
      <c r="BF9" s="246"/>
      <c r="BG9" s="246"/>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row>
    <row r="10" spans="1:94"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1283"/>
      <c r="V10" s="1283"/>
      <c r="W10" s="1283"/>
      <c r="X10" s="1283"/>
      <c r="Y10" s="859" t="s">
        <v>28</v>
      </c>
      <c r="Z10" s="859"/>
      <c r="AA10" s="859"/>
      <c r="AB10" s="859"/>
      <c r="AC10" s="1284"/>
      <c r="AD10" s="1284"/>
      <c r="AE10" s="1284"/>
      <c r="AF10" s="1285"/>
      <c r="AG10" s="1285"/>
      <c r="AH10" s="1285"/>
      <c r="AI10" s="1286"/>
      <c r="AJ10" s="1286"/>
      <c r="AK10" s="1287"/>
      <c r="AL10" s="238"/>
      <c r="AM10" s="241"/>
      <c r="AN10" s="241"/>
      <c r="AO10" s="245"/>
      <c r="AP10" s="245" t="s">
        <v>710</v>
      </c>
      <c r="AQ10" s="245" t="s">
        <v>709</v>
      </c>
      <c r="AR10" s="245">
        <v>1E-3</v>
      </c>
      <c r="AS10" s="245"/>
      <c r="AT10" s="241"/>
      <c r="AU10" s="241"/>
      <c r="AV10" s="241"/>
      <c r="AW10" s="241"/>
      <c r="AX10" s="238"/>
      <c r="AY10" s="238"/>
      <c r="AZ10" s="238"/>
      <c r="BA10" s="238"/>
      <c r="BB10" s="238"/>
      <c r="BC10" s="238"/>
      <c r="BD10" s="238"/>
      <c r="BE10" s="238"/>
      <c r="BF10" s="239"/>
      <c r="BG10" s="239"/>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row>
    <row r="11" spans="1:94" s="240" customFormat="1" ht="14.25" customHeight="1">
      <c r="A11" s="1271" t="s">
        <v>759</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3"/>
      <c r="AL11" s="238"/>
      <c r="AM11" s="241"/>
      <c r="AN11" s="241"/>
      <c r="AO11" s="245"/>
      <c r="AP11" s="245" t="s">
        <v>732</v>
      </c>
      <c r="AQ11" s="245" t="s">
        <v>409</v>
      </c>
      <c r="AR11" s="245">
        <f>1/(AR9/1000000)</f>
        <v>1055.9662090813094</v>
      </c>
      <c r="AS11" s="245"/>
      <c r="AT11" s="241"/>
      <c r="AU11" s="241"/>
      <c r="AV11" s="241"/>
      <c r="AW11" s="241"/>
      <c r="AX11" s="238"/>
      <c r="AY11" s="238"/>
      <c r="AZ11" s="238"/>
      <c r="BA11" s="238"/>
      <c r="BB11" s="238"/>
      <c r="BC11" s="238"/>
      <c r="BD11" s="238"/>
      <c r="BE11" s="238"/>
      <c r="BF11" s="239"/>
      <c r="BG11" s="239"/>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row>
    <row r="12" spans="1:94" s="240" customFormat="1" ht="14.25" customHeight="1">
      <c r="A12" s="1274"/>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5"/>
      <c r="AH12" s="1275"/>
      <c r="AI12" s="1275"/>
      <c r="AJ12" s="1275"/>
      <c r="AK12" s="1276"/>
      <c r="AL12" s="238"/>
      <c r="AM12" s="241"/>
      <c r="AN12" s="241"/>
      <c r="AO12" s="245"/>
      <c r="AP12" s="245"/>
      <c r="AQ12" s="245"/>
      <c r="AR12" s="245"/>
      <c r="AS12" s="245"/>
      <c r="AT12" s="241"/>
      <c r="AU12" s="241"/>
      <c r="AV12" s="241"/>
      <c r="AW12" s="241"/>
      <c r="AX12" s="238"/>
      <c r="AY12" s="238"/>
      <c r="AZ12" s="238"/>
      <c r="BA12" s="238"/>
      <c r="BB12" s="238"/>
      <c r="BC12" s="238"/>
      <c r="BD12" s="238"/>
      <c r="BE12" s="238"/>
      <c r="BF12" s="239"/>
      <c r="BG12" s="239"/>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row>
    <row r="13" spans="1:94" s="240" customFormat="1" ht="14.25" customHeight="1">
      <c r="A13" s="1277" t="s">
        <v>587</v>
      </c>
      <c r="B13" s="1278"/>
      <c r="C13" s="1278"/>
      <c r="D13" s="1278"/>
      <c r="E13" s="1278"/>
      <c r="F13" s="1278"/>
      <c r="G13" s="1279"/>
      <c r="H13" s="1280" t="s">
        <v>733</v>
      </c>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2"/>
      <c r="AL13" s="238"/>
      <c r="AM13" s="241"/>
      <c r="AN13" s="241"/>
      <c r="AO13" s="241"/>
      <c r="AP13" s="241"/>
      <c r="AQ13" s="241"/>
      <c r="AR13" s="241"/>
      <c r="AS13" s="241"/>
      <c r="AT13" s="241"/>
      <c r="AU13" s="241"/>
      <c r="AV13" s="241"/>
      <c r="AW13" s="241"/>
      <c r="AX13" s="241"/>
      <c r="AY13" s="241"/>
      <c r="AZ13" s="241"/>
      <c r="BA13" s="238"/>
      <c r="BB13" s="238"/>
      <c r="BC13" s="238"/>
      <c r="BD13" s="238"/>
      <c r="BE13" s="238"/>
      <c r="BF13" s="239"/>
      <c r="BG13" s="239"/>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row>
    <row r="14" spans="1:94" s="240" customFormat="1" ht="14.25" customHeight="1">
      <c r="A14" s="279" t="s">
        <v>589</v>
      </c>
      <c r="B14" s="429"/>
      <c r="C14" s="429"/>
      <c r="D14" s="429"/>
      <c r="E14" s="429"/>
      <c r="F14" s="429"/>
      <c r="G14" s="429"/>
      <c r="H14" s="1271" t="s">
        <v>590</v>
      </c>
      <c r="I14" s="1272"/>
      <c r="J14" s="1273"/>
      <c r="K14" s="1271" t="s">
        <v>591</v>
      </c>
      <c r="L14" s="1272"/>
      <c r="M14" s="1273"/>
      <c r="N14" s="1271" t="s">
        <v>592</v>
      </c>
      <c r="O14" s="1272"/>
      <c r="P14" s="1273"/>
      <c r="Q14" s="1271" t="s">
        <v>400</v>
      </c>
      <c r="R14" s="1272"/>
      <c r="S14" s="1273"/>
      <c r="T14" s="1271" t="s">
        <v>593</v>
      </c>
      <c r="U14" s="1272"/>
      <c r="V14" s="1273"/>
      <c r="W14" s="1271" t="s">
        <v>593</v>
      </c>
      <c r="X14" s="1272"/>
      <c r="Y14" s="1273"/>
      <c r="Z14" s="1271" t="s">
        <v>115</v>
      </c>
      <c r="AA14" s="1272"/>
      <c r="AB14" s="1273"/>
      <c r="AC14" s="1271" t="s">
        <v>115</v>
      </c>
      <c r="AD14" s="1272"/>
      <c r="AE14" s="1273"/>
      <c r="AF14" s="1271" t="s">
        <v>116</v>
      </c>
      <c r="AG14" s="1272"/>
      <c r="AH14" s="1273"/>
      <c r="AI14" s="1271" t="s">
        <v>116</v>
      </c>
      <c r="AJ14" s="1272"/>
      <c r="AK14" s="1273"/>
      <c r="AL14" s="238"/>
      <c r="AM14" s="241"/>
      <c r="AN14" s="241"/>
      <c r="AO14" s="241"/>
      <c r="AP14" s="241"/>
      <c r="AQ14" s="430"/>
      <c r="AR14" s="241"/>
      <c r="AS14" s="241"/>
      <c r="AT14" s="241"/>
      <c r="AU14" s="241"/>
      <c r="AV14" s="241"/>
      <c r="AW14" s="241"/>
      <c r="AX14" s="238"/>
      <c r="AY14" s="238"/>
      <c r="AZ14" s="238"/>
      <c r="BA14" s="238"/>
      <c r="BB14" s="238"/>
      <c r="BC14" s="238"/>
      <c r="BD14" s="238"/>
      <c r="BE14" s="238"/>
      <c r="BF14" s="239"/>
      <c r="BG14" s="239"/>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row>
    <row r="15" spans="1:94" s="240" customFormat="1" ht="14.25" customHeight="1">
      <c r="A15" s="250"/>
      <c r="B15" s="251"/>
      <c r="C15" s="251"/>
      <c r="D15" s="251"/>
      <c r="E15" s="251"/>
      <c r="F15" s="251"/>
      <c r="G15" s="251"/>
      <c r="H15" s="1302" t="s">
        <v>594</v>
      </c>
      <c r="I15" s="1283"/>
      <c r="J15" s="1303"/>
      <c r="K15" s="1302" t="s">
        <v>595</v>
      </c>
      <c r="L15" s="1283"/>
      <c r="M15" s="1303"/>
      <c r="N15" s="1302" t="s">
        <v>596</v>
      </c>
      <c r="O15" s="1283"/>
      <c r="P15" s="1303"/>
      <c r="Q15" s="1302" t="s">
        <v>597</v>
      </c>
      <c r="R15" s="1283"/>
      <c r="S15" s="1303"/>
      <c r="T15" s="1302" t="s">
        <v>734</v>
      </c>
      <c r="U15" s="1283"/>
      <c r="V15" s="1303"/>
      <c r="W15" s="1302" t="s">
        <v>599</v>
      </c>
      <c r="X15" s="1283"/>
      <c r="Y15" s="1303"/>
      <c r="Z15" s="1302" t="s">
        <v>734</v>
      </c>
      <c r="AA15" s="1283"/>
      <c r="AB15" s="1303"/>
      <c r="AC15" s="1302" t="s">
        <v>599</v>
      </c>
      <c r="AD15" s="1283"/>
      <c r="AE15" s="1303"/>
      <c r="AF15" s="1302" t="s">
        <v>734</v>
      </c>
      <c r="AG15" s="1283"/>
      <c r="AH15" s="1303"/>
      <c r="AI15" s="1302" t="s">
        <v>599</v>
      </c>
      <c r="AJ15" s="1283"/>
      <c r="AK15" s="1303"/>
      <c r="AL15" s="238"/>
      <c r="AM15" s="241"/>
      <c r="AN15" s="241"/>
      <c r="AO15" s="241"/>
      <c r="AP15" s="431" t="s">
        <v>393</v>
      </c>
      <c r="AQ15" s="432"/>
      <c r="AR15" s="433"/>
      <c r="AS15" s="431" t="s">
        <v>115</v>
      </c>
      <c r="AT15" s="432"/>
      <c r="AU15" s="433"/>
      <c r="AV15" s="238"/>
      <c r="AW15" s="238"/>
      <c r="AX15" s="238"/>
      <c r="AY15" s="238"/>
      <c r="AZ15" s="238"/>
      <c r="BA15" s="238"/>
      <c r="BB15" s="238"/>
      <c r="BC15" s="238"/>
      <c r="BD15" s="238"/>
      <c r="BE15" s="238"/>
      <c r="BF15" s="239"/>
      <c r="BG15" s="239"/>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row>
    <row r="16" spans="1:94" s="240" customFormat="1" ht="14.25" customHeight="1">
      <c r="A16" s="434" t="s">
        <v>735</v>
      </c>
      <c r="B16" s="435"/>
      <c r="C16" s="435"/>
      <c r="D16" s="435"/>
      <c r="E16" s="435"/>
      <c r="F16" s="435"/>
      <c r="G16" s="436"/>
      <c r="H16" s="1304"/>
      <c r="I16" s="1305"/>
      <c r="J16" s="1306"/>
      <c r="K16" s="1307"/>
      <c r="L16" s="1308"/>
      <c r="M16" s="1309"/>
      <c r="N16" s="1304"/>
      <c r="O16" s="1305"/>
      <c r="P16" s="1306"/>
      <c r="Q16" s="1415">
        <f>GTGs!Q15</f>
        <v>37.956295834166582</v>
      </c>
      <c r="R16" s="1416"/>
      <c r="S16" s="1417"/>
      <c r="T16" s="1418">
        <f>AR17</f>
        <v>1173.0576484964322</v>
      </c>
      <c r="U16" s="1419"/>
      <c r="V16" s="1420"/>
      <c r="W16" s="1304"/>
      <c r="X16" s="1305"/>
      <c r="Y16" s="1306"/>
      <c r="Z16" s="1418">
        <f>AU17</f>
        <v>6382.8136756423519</v>
      </c>
      <c r="AA16" s="1419"/>
      <c r="AB16" s="1420"/>
      <c r="AC16" s="1304"/>
      <c r="AD16" s="1305"/>
      <c r="AE16" s="1306"/>
      <c r="AF16" s="1379">
        <f>AR21</f>
        <v>40</v>
      </c>
      <c r="AG16" s="1380"/>
      <c r="AH16" s="1381"/>
      <c r="AI16" s="1304" t="s">
        <v>604</v>
      </c>
      <c r="AJ16" s="1305"/>
      <c r="AK16" s="1306"/>
      <c r="AL16" s="238"/>
      <c r="AM16" s="241" t="s">
        <v>605</v>
      </c>
      <c r="AN16" s="241"/>
      <c r="AO16" s="241"/>
      <c r="AP16" s="437" t="s">
        <v>386</v>
      </c>
      <c r="AQ16" s="437" t="s">
        <v>714</v>
      </c>
      <c r="AR16" s="437" t="s">
        <v>715</v>
      </c>
      <c r="AS16" s="437" t="s">
        <v>386</v>
      </c>
      <c r="AT16" s="437" t="s">
        <v>714</v>
      </c>
      <c r="AU16" s="437" t="s">
        <v>715</v>
      </c>
      <c r="AV16" s="238"/>
      <c r="AW16" s="238"/>
      <c r="AX16" s="238"/>
      <c r="AY16" s="238"/>
      <c r="AZ16" s="238"/>
      <c r="BA16" s="238"/>
      <c r="BB16" s="238"/>
      <c r="BC16" s="238"/>
      <c r="BD16" s="238"/>
      <c r="BE16" s="238"/>
      <c r="BF16" s="239"/>
      <c r="BG16" s="239"/>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row>
    <row r="17" spans="1:94" s="240" customFormat="1" ht="14.25" customHeight="1">
      <c r="A17" s="438" t="s">
        <v>736</v>
      </c>
      <c r="B17" s="439"/>
      <c r="C17" s="439"/>
      <c r="D17" s="439"/>
      <c r="E17" s="439"/>
      <c r="F17" s="439"/>
      <c r="G17" s="440"/>
      <c r="H17" s="1421">
        <f>CO2eEF!P16</f>
        <v>16.12</v>
      </c>
      <c r="I17" s="1422"/>
      <c r="J17" s="1423"/>
      <c r="K17" s="1424">
        <f>CO2eEF!P12</f>
        <v>0.69899999999999995</v>
      </c>
      <c r="L17" s="1425"/>
      <c r="M17" s="1426"/>
      <c r="N17" s="1421">
        <f>CO2eEF!P19</f>
        <v>49.78</v>
      </c>
      <c r="O17" s="1427"/>
      <c r="P17" s="1428"/>
      <c r="Q17" s="1421">
        <f>CO2eEF!P21</f>
        <v>37.770000000000003</v>
      </c>
      <c r="R17" s="1427"/>
      <c r="S17" s="1428"/>
      <c r="T17" s="1340">
        <f>Q17/Q16*T16</f>
        <v>1167.3000857957165</v>
      </c>
      <c r="U17" s="1341"/>
      <c r="V17" s="1342"/>
      <c r="W17" s="1322">
        <f>T17/1000000/K17</f>
        <v>1.6699572042857176E-3</v>
      </c>
      <c r="X17" s="1323"/>
      <c r="Y17" s="1324"/>
      <c r="Z17" s="1340">
        <f>Q17/Q16*Z16</f>
        <v>6351.4857609472811</v>
      </c>
      <c r="AA17" s="1341"/>
      <c r="AB17" s="1342"/>
      <c r="AC17" s="1322">
        <f>Z17/$K17/1000000</f>
        <v>9.0865318468487562E-3</v>
      </c>
      <c r="AD17" s="1323"/>
      <c r="AE17" s="1324"/>
      <c r="AF17" s="1299">
        <f>Q17/Q16*AF16</f>
        <v>39.80367332473061</v>
      </c>
      <c r="AG17" s="1300"/>
      <c r="AH17" s="1301"/>
      <c r="AI17" s="1322">
        <f>AF17/$K17/1000000</f>
        <v>5.6943738661989431E-5</v>
      </c>
      <c r="AJ17" s="1323"/>
      <c r="AK17" s="1324"/>
      <c r="AL17" s="238"/>
      <c r="AM17" s="441" t="s">
        <v>606</v>
      </c>
      <c r="AN17" s="241">
        <v>60</v>
      </c>
      <c r="AO17" s="241" t="s">
        <v>607</v>
      </c>
      <c r="AP17" s="442">
        <v>6.8000000000000005E-2</v>
      </c>
      <c r="AQ17" s="443">
        <f>AR5*$AP$17</f>
        <v>69.36</v>
      </c>
      <c r="AR17" s="443">
        <f>$AR$8*AQ17</f>
        <v>1173.0576484964322</v>
      </c>
      <c r="AS17" s="444">
        <v>0.37</v>
      </c>
      <c r="AT17" s="445">
        <f>AS17*AR5</f>
        <v>377.4</v>
      </c>
      <c r="AU17" s="446">
        <f>AT17*AR8</f>
        <v>6382.8136756423519</v>
      </c>
      <c r="AV17" s="238"/>
      <c r="AW17" s="238"/>
      <c r="AX17" s="238"/>
      <c r="AY17" s="238"/>
      <c r="AZ17" s="238"/>
      <c r="BA17" s="238"/>
      <c r="BB17" s="238"/>
      <c r="BC17" s="238"/>
      <c r="BD17" s="238"/>
      <c r="BE17" s="238"/>
      <c r="BF17" s="239"/>
      <c r="BG17" s="239"/>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row>
    <row r="18" spans="1:94" s="240" customFormat="1" ht="14.25" customHeight="1">
      <c r="A18" s="133"/>
      <c r="B18" s="251"/>
      <c r="C18" s="251"/>
      <c r="D18" s="251"/>
      <c r="E18" s="251"/>
      <c r="F18" s="251"/>
      <c r="G18" s="251"/>
      <c r="H18" s="1325"/>
      <c r="I18" s="1326"/>
      <c r="J18" s="1327"/>
      <c r="K18" s="1328"/>
      <c r="L18" s="1329"/>
      <c r="M18" s="1330"/>
      <c r="N18" s="1331"/>
      <c r="O18" s="1332"/>
      <c r="P18" s="1333"/>
      <c r="Q18" s="1334"/>
      <c r="R18" s="1335"/>
      <c r="S18" s="1336"/>
      <c r="T18" s="1337"/>
      <c r="U18" s="1338"/>
      <c r="V18" s="1339"/>
      <c r="W18" s="1302"/>
      <c r="X18" s="1283"/>
      <c r="Y18" s="1303"/>
      <c r="Z18" s="1337"/>
      <c r="AA18" s="1338"/>
      <c r="AB18" s="1339"/>
      <c r="AC18" s="1302"/>
      <c r="AD18" s="1283"/>
      <c r="AE18" s="1303"/>
      <c r="AF18" s="1343"/>
      <c r="AG18" s="1344"/>
      <c r="AH18" s="1345"/>
      <c r="AI18" s="1302"/>
      <c r="AJ18" s="1283"/>
      <c r="AK18" s="1303"/>
      <c r="AL18" s="238"/>
      <c r="AM18" s="441" t="s">
        <v>608</v>
      </c>
      <c r="AN18" s="447">
        <f>(AN17 - 32) * 5/9</f>
        <v>15.555555555555555</v>
      </c>
      <c r="AO18" s="241" t="s">
        <v>609</v>
      </c>
      <c r="AP18" s="444"/>
      <c r="AQ18" s="448"/>
      <c r="AR18" s="446"/>
      <c r="AS18" s="444"/>
      <c r="AT18" s="445"/>
      <c r="AU18" s="446"/>
      <c r="AV18" s="238"/>
      <c r="AW18" s="238"/>
      <c r="AX18" s="238"/>
      <c r="AY18" s="238"/>
      <c r="AZ18" s="238"/>
      <c r="BA18" s="238"/>
      <c r="BB18" s="238"/>
      <c r="BC18" s="238"/>
      <c r="BD18" s="238"/>
      <c r="BE18" s="238"/>
      <c r="BF18" s="239"/>
      <c r="BG18" s="239"/>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row>
    <row r="19" spans="1:94" s="240" customFormat="1" ht="14.25" customHeight="1">
      <c r="A19" s="279" t="s">
        <v>589</v>
      </c>
      <c r="B19" s="429"/>
      <c r="C19" s="429"/>
      <c r="D19" s="429"/>
      <c r="E19" s="429"/>
      <c r="F19" s="429"/>
      <c r="G19" s="449"/>
      <c r="H19" s="1271" t="s">
        <v>122</v>
      </c>
      <c r="I19" s="1272"/>
      <c r="J19" s="1273"/>
      <c r="K19" s="1271" t="s">
        <v>122</v>
      </c>
      <c r="L19" s="1272"/>
      <c r="M19" s="1273"/>
      <c r="N19" s="1271" t="s">
        <v>124</v>
      </c>
      <c r="O19" s="1272"/>
      <c r="P19" s="1273"/>
      <c r="Q19" s="1271" t="s">
        <v>124</v>
      </c>
      <c r="R19" s="1272"/>
      <c r="S19" s="1273"/>
      <c r="T19" s="1117" t="s">
        <v>123</v>
      </c>
      <c r="U19" s="1118"/>
      <c r="V19" s="1119"/>
      <c r="W19" s="1117" t="s">
        <v>123</v>
      </c>
      <c r="X19" s="1118"/>
      <c r="Y19" s="1119"/>
      <c r="Z19" s="1117" t="s">
        <v>716</v>
      </c>
      <c r="AA19" s="1118"/>
      <c r="AB19" s="1119"/>
      <c r="AC19" s="1117" t="s">
        <v>125</v>
      </c>
      <c r="AD19" s="1118"/>
      <c r="AE19" s="1119"/>
      <c r="AF19" s="30"/>
      <c r="AG19" s="30"/>
      <c r="AH19" s="30"/>
      <c r="AI19" s="30"/>
      <c r="AJ19" s="30"/>
      <c r="AK19" s="280"/>
      <c r="AL19" s="238"/>
      <c r="AM19" s="241"/>
      <c r="AN19" s="241"/>
      <c r="AO19" s="241"/>
      <c r="AP19" s="431" t="s">
        <v>116</v>
      </c>
      <c r="AQ19" s="432"/>
      <c r="AR19" s="433"/>
      <c r="AS19" s="431" t="s">
        <v>122</v>
      </c>
      <c r="AT19" s="432"/>
      <c r="AU19" s="433"/>
      <c r="AV19" s="238"/>
      <c r="AW19" s="238"/>
      <c r="AX19" s="238"/>
      <c r="AY19" s="238"/>
      <c r="AZ19" s="238"/>
      <c r="BA19" s="238"/>
      <c r="BB19" s="238"/>
      <c r="BC19" s="238"/>
      <c r="BD19" s="238"/>
      <c r="BE19" s="238"/>
      <c r="BF19" s="239"/>
      <c r="BG19" s="239"/>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row>
    <row r="20" spans="1:94" s="240" customFormat="1" ht="14.25" customHeight="1">
      <c r="A20" s="250"/>
      <c r="B20" s="251"/>
      <c r="C20" s="251"/>
      <c r="D20" s="251"/>
      <c r="E20" s="251"/>
      <c r="F20" s="251"/>
      <c r="G20" s="450"/>
      <c r="H20" s="1302" t="s">
        <v>734</v>
      </c>
      <c r="I20" s="1283"/>
      <c r="J20" s="1303"/>
      <c r="K20" s="1302" t="s">
        <v>599</v>
      </c>
      <c r="L20" s="1283"/>
      <c r="M20" s="1303"/>
      <c r="N20" s="1302" t="s">
        <v>734</v>
      </c>
      <c r="O20" s="1283"/>
      <c r="P20" s="1303"/>
      <c r="Q20" s="1302" t="s">
        <v>599</v>
      </c>
      <c r="R20" s="1283"/>
      <c r="S20" s="1303"/>
      <c r="T20" s="1089" t="s">
        <v>598</v>
      </c>
      <c r="U20" s="1090"/>
      <c r="V20" s="1091"/>
      <c r="W20" s="1089" t="s">
        <v>599</v>
      </c>
      <c r="X20" s="1090"/>
      <c r="Y20" s="1091"/>
      <c r="Z20" s="1089" t="s">
        <v>598</v>
      </c>
      <c r="AA20" s="1090"/>
      <c r="AB20" s="1091"/>
      <c r="AC20" s="1089" t="s">
        <v>599</v>
      </c>
      <c r="AD20" s="1090"/>
      <c r="AE20" s="1091"/>
      <c r="AF20" s="30"/>
      <c r="AG20" s="30"/>
      <c r="AH20" s="30"/>
      <c r="AI20" s="30"/>
      <c r="AJ20" s="30"/>
      <c r="AK20" s="253"/>
      <c r="AL20" s="238"/>
      <c r="AM20" s="441"/>
      <c r="AN20" s="241"/>
      <c r="AO20" s="241"/>
      <c r="AP20" s="437" t="s">
        <v>737</v>
      </c>
      <c r="AQ20" s="451" t="s">
        <v>738</v>
      </c>
      <c r="AR20" s="451" t="s">
        <v>731</v>
      </c>
      <c r="AS20" s="437" t="s">
        <v>386</v>
      </c>
      <c r="AT20" s="437" t="s">
        <v>714</v>
      </c>
      <c r="AU20" s="437" t="s">
        <v>715</v>
      </c>
      <c r="AV20" s="238"/>
      <c r="AW20" s="238"/>
      <c r="AX20" s="238"/>
      <c r="AY20" s="238"/>
      <c r="AZ20" s="238"/>
      <c r="BA20" s="238"/>
      <c r="BB20" s="238"/>
      <c r="BC20" s="238"/>
      <c r="BD20" s="238"/>
      <c r="BE20" s="238"/>
      <c r="BF20" s="239"/>
      <c r="BG20" s="239"/>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row>
    <row r="21" spans="1:94" s="240" customFormat="1" ht="14.25" customHeight="1">
      <c r="A21" s="434" t="s">
        <v>735</v>
      </c>
      <c r="B21" s="435"/>
      <c r="C21" s="435"/>
      <c r="D21" s="435"/>
      <c r="E21" s="435"/>
      <c r="F21" s="435"/>
      <c r="G21" s="436"/>
      <c r="H21" s="1418">
        <f>AU21</f>
        <v>2415.11868808089</v>
      </c>
      <c r="I21" s="1419"/>
      <c r="J21" s="1420"/>
      <c r="K21" s="1304"/>
      <c r="L21" s="1305"/>
      <c r="M21" s="1306"/>
      <c r="N21" s="1364"/>
      <c r="O21" s="1365"/>
      <c r="P21" s="1366"/>
      <c r="Q21" s="1367"/>
      <c r="R21" s="1368"/>
      <c r="S21" s="1369"/>
      <c r="T21" s="1262"/>
      <c r="U21" s="1263"/>
      <c r="V21" s="1264"/>
      <c r="W21" s="1265"/>
      <c r="X21" s="1266"/>
      <c r="Y21" s="1267"/>
      <c r="Z21" s="1262"/>
      <c r="AA21" s="1263"/>
      <c r="AB21" s="1264"/>
      <c r="AC21" s="1268"/>
      <c r="AD21" s="1269"/>
      <c r="AE21" s="1270"/>
      <c r="AF21" s="30"/>
      <c r="AG21" s="30"/>
      <c r="AH21" s="30"/>
      <c r="AI21" s="30"/>
      <c r="AJ21" s="30"/>
      <c r="AK21" s="253"/>
      <c r="AL21" s="238"/>
      <c r="AM21" s="241"/>
      <c r="AN21" s="241"/>
      <c r="AO21" s="241"/>
      <c r="AP21" s="444">
        <v>40</v>
      </c>
      <c r="AQ21" s="452">
        <f>AP21/1000000/1000/AR10</f>
        <v>4.0000000000000003E-5</v>
      </c>
      <c r="AR21" s="446">
        <f>AQ21*1000000</f>
        <v>40</v>
      </c>
      <c r="AS21" s="444">
        <v>0.14000000000000001</v>
      </c>
      <c r="AT21" s="443">
        <f>AS21*$AR$5</f>
        <v>142.80000000000001</v>
      </c>
      <c r="AU21" s="443">
        <f>$AR$8*AT21</f>
        <v>2415.11868808089</v>
      </c>
      <c r="AV21" s="238"/>
      <c r="AW21" s="238"/>
      <c r="AX21" s="238"/>
      <c r="AY21" s="238"/>
      <c r="AZ21" s="238"/>
      <c r="BA21" s="238"/>
      <c r="BB21" s="238"/>
      <c r="BC21" s="238"/>
      <c r="BD21" s="238"/>
      <c r="BE21" s="238"/>
      <c r="BF21" s="239"/>
      <c r="BG21" s="239"/>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row>
    <row r="22" spans="1:94" s="240" customFormat="1" ht="14.25" customHeight="1">
      <c r="A22" s="438" t="str">
        <f>A17</f>
        <v>Flare - Fuel Gas</v>
      </c>
      <c r="B22" s="439"/>
      <c r="C22" s="439"/>
      <c r="D22" s="439"/>
      <c r="E22" s="439"/>
      <c r="F22" s="439"/>
      <c r="G22" s="440"/>
      <c r="H22" s="1340">
        <f>Q17/Q16*H21</f>
        <v>2403.2648825205929</v>
      </c>
      <c r="I22" s="1341"/>
      <c r="J22" s="1342"/>
      <c r="K22" s="1322">
        <f>H22/1000000/$K17</f>
        <v>3.438147185294125E-3</v>
      </c>
      <c r="L22" s="1323"/>
      <c r="M22" s="1324"/>
      <c r="N22" s="1346"/>
      <c r="O22" s="1347"/>
      <c r="P22" s="1348"/>
      <c r="Q22" s="1349"/>
      <c r="R22" s="1350"/>
      <c r="S22" s="1351"/>
      <c r="T22" s="1256"/>
      <c r="U22" s="1257"/>
      <c r="V22" s="1258"/>
      <c r="W22" s="1253"/>
      <c r="X22" s="1254"/>
      <c r="Y22" s="1255"/>
      <c r="Z22" s="1250"/>
      <c r="AA22" s="1251"/>
      <c r="AB22" s="1252"/>
      <c r="AC22" s="1253"/>
      <c r="AD22" s="1254"/>
      <c r="AE22" s="1255"/>
      <c r="AF22" s="30"/>
      <c r="AG22" s="30"/>
      <c r="AH22" s="30"/>
      <c r="AI22" s="30"/>
      <c r="AJ22" s="30"/>
      <c r="AK22" s="253"/>
      <c r="AL22" s="238"/>
      <c r="AM22" s="241"/>
      <c r="AN22" s="241"/>
      <c r="AO22" s="241"/>
      <c r="AP22" s="444"/>
      <c r="AQ22" s="452"/>
      <c r="AR22" s="446"/>
      <c r="AS22" s="444"/>
      <c r="AT22" s="445"/>
      <c r="AU22" s="446"/>
      <c r="AV22" s="238"/>
      <c r="AW22" s="238"/>
      <c r="AX22" s="238"/>
      <c r="AY22" s="238"/>
      <c r="AZ22" s="238"/>
      <c r="BA22" s="238"/>
      <c r="BB22" s="238"/>
      <c r="BC22" s="238"/>
      <c r="BD22" s="238"/>
      <c r="BE22" s="238"/>
      <c r="BF22" s="239"/>
      <c r="BG22" s="239"/>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row>
    <row r="23" spans="1:94" s="240" customFormat="1" ht="14.25" customHeight="1">
      <c r="A23" s="133"/>
      <c r="B23" s="30"/>
      <c r="C23" s="30"/>
      <c r="D23" s="30"/>
      <c r="E23" s="30"/>
      <c r="F23" s="30"/>
      <c r="G23" s="253"/>
      <c r="H23" s="1352"/>
      <c r="I23" s="1353"/>
      <c r="J23" s="1354"/>
      <c r="K23" s="1355"/>
      <c r="L23" s="1356"/>
      <c r="M23" s="1357"/>
      <c r="N23" s="1358"/>
      <c r="O23" s="1359"/>
      <c r="P23" s="1360"/>
      <c r="Q23" s="1361"/>
      <c r="R23" s="1362"/>
      <c r="S23" s="1363"/>
      <c r="T23" s="1256"/>
      <c r="U23" s="1257"/>
      <c r="V23" s="1258"/>
      <c r="W23" s="1259"/>
      <c r="X23" s="1260"/>
      <c r="Y23" s="1261"/>
      <c r="Z23" s="1259"/>
      <c r="AA23" s="1260"/>
      <c r="AB23" s="1261"/>
      <c r="AC23" s="1259"/>
      <c r="AD23" s="1260"/>
      <c r="AE23" s="1261"/>
      <c r="AF23" s="30"/>
      <c r="AG23" s="30"/>
      <c r="AH23" s="30"/>
      <c r="AI23" s="30"/>
      <c r="AJ23" s="30"/>
      <c r="AK23" s="253"/>
      <c r="AL23" s="238"/>
      <c r="AM23" s="453">
        <f>X25/K17</f>
        <v>138054.3633762518</v>
      </c>
      <c r="AN23" s="241"/>
      <c r="AO23" s="241"/>
      <c r="AP23" s="238"/>
      <c r="AQ23" s="238"/>
      <c r="AR23" s="238"/>
      <c r="AS23" s="245"/>
      <c r="AT23" s="454"/>
      <c r="AU23" s="455"/>
      <c r="AV23" s="238"/>
      <c r="AW23" s="238"/>
      <c r="AX23" s="238"/>
      <c r="AY23" s="238"/>
      <c r="AZ23" s="238"/>
      <c r="BA23" s="238"/>
      <c r="BB23" s="238"/>
      <c r="BC23" s="238"/>
      <c r="BD23" s="238"/>
      <c r="BE23" s="238"/>
      <c r="BF23" s="239"/>
      <c r="BG23" s="239"/>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row>
    <row r="24" spans="1:94" s="240" customFormat="1" ht="14.25" customHeight="1">
      <c r="A24" s="456" t="s">
        <v>612</v>
      </c>
      <c r="B24" s="457"/>
      <c r="C24" s="457"/>
      <c r="D24" s="457"/>
      <c r="E24" s="457"/>
      <c r="F24" s="457"/>
      <c r="G24" s="457"/>
      <c r="H24" s="457"/>
      <c r="I24" s="457"/>
      <c r="J24" s="457"/>
      <c r="K24" s="457"/>
      <c r="L24" s="457"/>
      <c r="M24" s="457"/>
      <c r="N24" s="457"/>
      <c r="O24" s="457"/>
      <c r="P24" s="457"/>
      <c r="Q24" s="457"/>
      <c r="R24" s="457"/>
      <c r="S24" s="458"/>
      <c r="T24" s="459" t="s">
        <v>613</v>
      </c>
      <c r="U24" s="460"/>
      <c r="V24" s="460"/>
      <c r="W24" s="460"/>
      <c r="X24" s="460"/>
      <c r="Y24" s="460"/>
      <c r="Z24" s="460"/>
      <c r="AA24" s="460"/>
      <c r="AB24" s="460"/>
      <c r="AC24" s="460"/>
      <c r="AD24" s="460"/>
      <c r="AE24" s="460"/>
      <c r="AF24" s="460"/>
      <c r="AG24" s="460"/>
      <c r="AH24" s="460"/>
      <c r="AI24" s="460"/>
      <c r="AJ24" s="460"/>
      <c r="AK24" s="461"/>
      <c r="AL24" s="238"/>
      <c r="AM24" s="241"/>
      <c r="AN24" s="241"/>
      <c r="AO24" s="241"/>
      <c r="AP24" s="241"/>
      <c r="AQ24" s="241"/>
      <c r="AR24" s="241"/>
      <c r="AS24" s="241"/>
      <c r="AT24" s="241"/>
      <c r="AU24" s="241"/>
      <c r="AV24" s="241"/>
      <c r="AW24" s="241"/>
      <c r="AX24" s="238"/>
      <c r="AY24" s="238"/>
      <c r="AZ24" s="238"/>
      <c r="BA24" s="238"/>
      <c r="BB24" s="238"/>
      <c r="BC24" s="238"/>
      <c r="BD24" s="238"/>
      <c r="BE24" s="238"/>
      <c r="BF24" s="239"/>
      <c r="BG24" s="239"/>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row>
    <row r="25" spans="1:94" s="240" customFormat="1" ht="14.25" customHeight="1">
      <c r="A25" s="462" t="s">
        <v>614</v>
      </c>
      <c r="B25" s="463"/>
      <c r="C25" s="463"/>
      <c r="D25" s="463"/>
      <c r="E25" s="463"/>
      <c r="F25" s="463"/>
      <c r="G25" s="463"/>
      <c r="H25" s="464"/>
      <c r="I25" s="463" t="s">
        <v>590</v>
      </c>
      <c r="J25" s="463"/>
      <c r="K25" s="463"/>
      <c r="L25" s="463" t="s">
        <v>615</v>
      </c>
      <c r="M25" s="463"/>
      <c r="N25" s="463"/>
      <c r="O25" s="463"/>
      <c r="P25" s="463"/>
      <c r="Q25" s="463"/>
      <c r="R25" s="463"/>
      <c r="S25" s="465" t="s">
        <v>616</v>
      </c>
      <c r="T25" s="1433" t="s">
        <v>757</v>
      </c>
      <c r="U25" s="1434"/>
      <c r="V25" s="1434"/>
      <c r="W25" s="1434"/>
      <c r="X25" s="1440">
        <f>X45</f>
        <v>96500</v>
      </c>
      <c r="Y25" s="1440"/>
      <c r="Z25" s="1440"/>
      <c r="AA25" s="1434" t="s">
        <v>617</v>
      </c>
      <c r="AB25" s="1434"/>
      <c r="AC25" s="1435">
        <f>X25/H17</f>
        <v>5986.3523573200991</v>
      </c>
      <c r="AD25" s="1435"/>
      <c r="AE25" s="1434" t="s">
        <v>618</v>
      </c>
      <c r="AF25" s="1434"/>
      <c r="AG25" s="1434"/>
      <c r="AH25" s="1429">
        <f>X25*N17/3600</f>
        <v>1334.3805555555555</v>
      </c>
      <c r="AI25" s="1429"/>
      <c r="AJ25" s="466" t="s">
        <v>590</v>
      </c>
      <c r="AK25" s="467"/>
      <c r="AL25" s="238"/>
      <c r="AM25" s="254">
        <f>X25*W22</f>
        <v>0</v>
      </c>
      <c r="AN25" s="241"/>
      <c r="AO25" s="241"/>
      <c r="AP25" s="241"/>
      <c r="AQ25" s="241"/>
      <c r="AR25" s="241"/>
      <c r="AS25" s="241"/>
      <c r="AT25" s="241"/>
      <c r="AU25" s="241"/>
      <c r="AV25" s="241"/>
      <c r="AW25" s="241"/>
      <c r="AX25" s="238"/>
      <c r="AY25" s="238"/>
      <c r="AZ25" s="238"/>
      <c r="BA25" s="238"/>
      <c r="BB25" s="238"/>
      <c r="BC25" s="238"/>
      <c r="BD25" s="238"/>
      <c r="BE25" s="238"/>
      <c r="BF25" s="239"/>
      <c r="BG25" s="239"/>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row>
    <row r="26" spans="1:94" s="240" customFormat="1" ht="14.25" customHeight="1">
      <c r="A26" s="468" t="s">
        <v>619</v>
      </c>
      <c r="B26" s="469"/>
      <c r="C26" s="469"/>
      <c r="D26" s="469"/>
      <c r="E26" s="469"/>
      <c r="F26" s="469"/>
      <c r="G26" s="469"/>
      <c r="H26" s="470"/>
      <c r="I26" s="469" t="s">
        <v>590</v>
      </c>
      <c r="J26" s="469"/>
      <c r="K26" s="469"/>
      <c r="L26" s="469"/>
      <c r="M26" s="469"/>
      <c r="N26" s="469"/>
      <c r="O26" s="469"/>
      <c r="P26" s="469"/>
      <c r="Q26" s="469"/>
      <c r="R26" s="469"/>
      <c r="S26" s="471"/>
      <c r="T26" s="1430"/>
      <c r="U26" s="1431"/>
      <c r="V26" s="1431"/>
      <c r="W26" s="1431"/>
      <c r="X26" s="1432"/>
      <c r="Y26" s="1432"/>
      <c r="Z26" s="1432"/>
      <c r="AA26" s="1431"/>
      <c r="AB26" s="1431"/>
      <c r="AC26" s="1432"/>
      <c r="AD26" s="1432"/>
      <c r="AE26" s="1431"/>
      <c r="AF26" s="1431"/>
      <c r="AG26" s="1431"/>
      <c r="AH26" s="1432"/>
      <c r="AI26" s="1432"/>
      <c r="AJ26" s="469"/>
      <c r="AK26" s="471"/>
      <c r="AL26" s="238"/>
      <c r="AM26" s="254">
        <f>W22*SUM(N34:O43)</f>
        <v>0</v>
      </c>
      <c r="AN26" s="241"/>
      <c r="AO26" s="241"/>
      <c r="AP26" s="241"/>
      <c r="AQ26" s="241"/>
      <c r="AR26" s="241"/>
      <c r="AS26" s="241"/>
      <c r="AT26" s="241"/>
      <c r="AU26" s="241"/>
      <c r="AV26" s="241"/>
      <c r="AW26" s="241"/>
      <c r="AX26" s="238"/>
      <c r="AY26" s="238"/>
      <c r="AZ26" s="238"/>
      <c r="BA26" s="238"/>
      <c r="BB26" s="238"/>
      <c r="BC26" s="238"/>
      <c r="BD26" s="238"/>
      <c r="BE26" s="238"/>
      <c r="BF26" s="239"/>
      <c r="BG26" s="239"/>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row>
    <row r="27" spans="1:94" s="240" customFormat="1" ht="14.25" customHeight="1">
      <c r="A27" s="250"/>
      <c r="B27" s="251"/>
      <c r="C27" s="251"/>
      <c r="D27" s="251"/>
      <c r="E27" s="251"/>
      <c r="F27" s="251"/>
      <c r="G27" s="251"/>
      <c r="H27" s="252"/>
      <c r="I27" s="251"/>
      <c r="J27" s="251"/>
      <c r="K27" s="251"/>
      <c r="L27" s="251"/>
      <c r="M27" s="251"/>
      <c r="N27" s="251"/>
      <c r="O27" s="251"/>
      <c r="P27" s="251"/>
      <c r="Q27" s="251"/>
      <c r="R27" s="251"/>
      <c r="S27" s="251"/>
      <c r="T27" s="472"/>
      <c r="U27" s="472"/>
      <c r="V27" s="473"/>
      <c r="W27" s="473"/>
      <c r="X27" s="474"/>
      <c r="Y27" s="474"/>
      <c r="Z27" s="474"/>
      <c r="AA27" s="473"/>
      <c r="AB27" s="473"/>
      <c r="AC27" s="474"/>
      <c r="AD27" s="474"/>
      <c r="AE27" s="473"/>
      <c r="AF27" s="473"/>
      <c r="AG27" s="473"/>
      <c r="AH27" s="474"/>
      <c r="AI27" s="474"/>
      <c r="AJ27" s="30"/>
      <c r="AK27" s="253"/>
      <c r="AL27" s="238"/>
      <c r="AM27" s="254"/>
      <c r="AN27" s="241"/>
      <c r="AO27" s="241"/>
      <c r="AP27" s="241"/>
      <c r="AQ27" s="241"/>
      <c r="AR27" s="241"/>
      <c r="AS27" s="241"/>
      <c r="AT27" s="241"/>
      <c r="AU27" s="241"/>
      <c r="AV27" s="241"/>
      <c r="AW27" s="241"/>
      <c r="AX27" s="238"/>
      <c r="AY27" s="238"/>
      <c r="AZ27" s="238"/>
      <c r="BA27" s="238"/>
      <c r="BB27" s="238"/>
      <c r="BC27" s="238"/>
      <c r="BD27" s="238"/>
      <c r="BE27" s="238"/>
      <c r="BF27" s="239"/>
      <c r="BG27" s="239"/>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row>
    <row r="28" spans="1:94" s="240" customFormat="1" ht="14.25" customHeight="1">
      <c r="A28" s="1370" t="s">
        <v>718</v>
      </c>
      <c r="B28" s="1370"/>
      <c r="C28" s="1370"/>
      <c r="D28" s="1370"/>
      <c r="E28" s="1370"/>
      <c r="F28" s="1371" t="str">
        <f>A17</f>
        <v>Flare - Fuel Gas</v>
      </c>
      <c r="G28" s="1372"/>
      <c r="H28" s="1372"/>
      <c r="I28" s="1372"/>
      <c r="J28" s="1372"/>
      <c r="K28" s="1372"/>
      <c r="L28" s="1372"/>
      <c r="M28" s="1372"/>
      <c r="N28" s="1372"/>
      <c r="O28" s="1372"/>
      <c r="P28" s="1372"/>
      <c r="Q28" s="1372"/>
      <c r="R28" s="1372"/>
      <c r="S28" s="1372"/>
      <c r="T28" s="1372"/>
      <c r="U28" s="1373"/>
      <c r="V28" s="30"/>
      <c r="W28" s="1402" t="s">
        <v>760</v>
      </c>
      <c r="X28" s="1184"/>
      <c r="Y28" s="1184"/>
      <c r="Z28" s="1184"/>
      <c r="AA28" s="1184"/>
      <c r="AB28" s="1184"/>
      <c r="AC28" s="1184"/>
      <c r="AD28" s="1184"/>
      <c r="AE28" s="1184"/>
      <c r="AF28" s="1184"/>
      <c r="AG28" s="1184"/>
      <c r="AH28" s="1184"/>
      <c r="AI28" s="1184"/>
      <c r="AJ28" s="1184"/>
      <c r="AK28" s="253"/>
      <c r="AL28" s="255"/>
      <c r="AM28" s="241"/>
      <c r="AN28" s="241"/>
      <c r="AO28" s="241"/>
      <c r="AP28" s="241"/>
      <c r="AQ28" s="241"/>
      <c r="AR28" s="241"/>
      <c r="AS28" s="241"/>
      <c r="AT28" s="241"/>
      <c r="AU28" s="241"/>
      <c r="AV28" s="241"/>
      <c r="AW28" s="241"/>
      <c r="AX28" s="241"/>
      <c r="AY28" s="241"/>
      <c r="AZ28" s="238"/>
      <c r="BA28" s="238"/>
      <c r="BB28" s="238"/>
      <c r="BC28" s="238"/>
      <c r="BD28" s="238"/>
      <c r="BE28" s="238"/>
      <c r="BF28" s="239"/>
      <c r="BG28" s="239"/>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38"/>
      <c r="CN28" s="238"/>
      <c r="CO28" s="238"/>
      <c r="CP28" s="238"/>
    </row>
    <row r="29" spans="1:94" s="240" customFormat="1" ht="14.25" customHeight="1">
      <c r="A29" s="256" t="s">
        <v>620</v>
      </c>
      <c r="B29" s="30"/>
      <c r="C29" s="30"/>
      <c r="D29" s="30"/>
      <c r="E29" s="30"/>
      <c r="F29" s="1374"/>
      <c r="G29" s="1374"/>
      <c r="H29" s="1374"/>
      <c r="I29" s="1374"/>
      <c r="J29" s="1375" t="s">
        <v>120</v>
      </c>
      <c r="K29" s="1375"/>
      <c r="L29" s="1375"/>
      <c r="M29" s="1375"/>
      <c r="N29" s="1374" t="s">
        <v>621</v>
      </c>
      <c r="O29" s="1374"/>
      <c r="P29" s="1375" t="s">
        <v>622</v>
      </c>
      <c r="Q29" s="1375"/>
      <c r="R29" s="1375"/>
      <c r="S29" s="1375"/>
      <c r="T29" s="1375"/>
      <c r="U29" s="1375"/>
      <c r="V29" s="257"/>
      <c r="W29" s="1184"/>
      <c r="X29" s="1184"/>
      <c r="Y29" s="1184"/>
      <c r="Z29" s="1184"/>
      <c r="AA29" s="1184"/>
      <c r="AB29" s="1184"/>
      <c r="AC29" s="1184"/>
      <c r="AD29" s="1184"/>
      <c r="AE29" s="1184"/>
      <c r="AF29" s="1184"/>
      <c r="AG29" s="1184"/>
      <c r="AH29" s="1184"/>
      <c r="AI29" s="1184"/>
      <c r="AJ29" s="1184"/>
      <c r="AK29" s="253"/>
      <c r="AL29" s="255"/>
      <c r="AM29" s="241"/>
      <c r="AN29" s="241"/>
      <c r="AO29" s="241"/>
      <c r="AP29" s="241"/>
      <c r="AQ29" s="241"/>
      <c r="AR29" s="241"/>
      <c r="AS29" s="241"/>
      <c r="AT29" s="241"/>
      <c r="AU29" s="241"/>
      <c r="AV29" s="241"/>
      <c r="AW29" s="241"/>
      <c r="AX29" s="241"/>
      <c r="AY29" s="241"/>
      <c r="AZ29" s="238"/>
      <c r="BA29" s="238"/>
      <c r="BB29" s="238"/>
      <c r="BC29" s="238"/>
      <c r="BD29" s="238"/>
      <c r="BE29" s="238"/>
      <c r="BF29" s="239"/>
      <c r="BG29" s="239"/>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row>
    <row r="30" spans="1:94" s="240" customFormat="1" ht="14.25" customHeight="1">
      <c r="A30" s="133"/>
      <c r="B30" s="30"/>
      <c r="C30" s="30"/>
      <c r="D30" s="30"/>
      <c r="E30" s="30"/>
      <c r="F30" s="1374"/>
      <c r="G30" s="1374"/>
      <c r="H30" s="1374"/>
      <c r="I30" s="1374"/>
      <c r="J30" s="1375" t="s">
        <v>624</v>
      </c>
      <c r="K30" s="1375"/>
      <c r="L30" s="1375" t="s">
        <v>625</v>
      </c>
      <c r="M30" s="1375"/>
      <c r="N30" s="1374"/>
      <c r="O30" s="1374"/>
      <c r="P30" s="1375"/>
      <c r="Q30" s="1375"/>
      <c r="R30" s="1375"/>
      <c r="S30" s="1375"/>
      <c r="T30" s="1375"/>
      <c r="U30" s="1375"/>
      <c r="V30" s="257"/>
      <c r="W30" s="1184"/>
      <c r="X30" s="1184"/>
      <c r="Y30" s="1184"/>
      <c r="Z30" s="1184"/>
      <c r="AA30" s="1184"/>
      <c r="AB30" s="1184"/>
      <c r="AC30" s="1184"/>
      <c r="AD30" s="1184"/>
      <c r="AE30" s="1184"/>
      <c r="AF30" s="1184"/>
      <c r="AG30" s="1184"/>
      <c r="AH30" s="1184"/>
      <c r="AI30" s="1184"/>
      <c r="AJ30" s="1184"/>
      <c r="AK30" s="253"/>
      <c r="AL30" s="258"/>
      <c r="AM30" s="259" t="s">
        <v>740</v>
      </c>
      <c r="AN30" s="259"/>
      <c r="AO30" s="259"/>
      <c r="AP30" s="259"/>
      <c r="AQ30" s="259"/>
      <c r="AR30" s="259"/>
      <c r="AS30" s="259" t="s">
        <v>741</v>
      </c>
      <c r="AT30" s="259"/>
      <c r="AU30" s="259" t="s">
        <v>742</v>
      </c>
      <c r="AV30" s="259"/>
      <c r="AW30" s="259"/>
      <c r="AX30" s="259"/>
      <c r="AY30" s="258"/>
      <c r="AZ30" s="238"/>
      <c r="BA30" s="238"/>
      <c r="BB30" s="238"/>
      <c r="BC30" s="238"/>
      <c r="BD30" s="238"/>
      <c r="BE30" s="238"/>
      <c r="BF30" s="239"/>
      <c r="BG30" s="239"/>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row>
    <row r="31" spans="1:94" s="240" customFormat="1" ht="14.25" customHeight="1">
      <c r="A31" s="1376" t="s">
        <v>630</v>
      </c>
      <c r="B31" s="1376"/>
      <c r="C31" s="1376"/>
      <c r="D31" s="1376"/>
      <c r="E31" s="1376"/>
      <c r="F31" s="1375" t="s">
        <v>631</v>
      </c>
      <c r="G31" s="1375"/>
      <c r="H31" s="1375" t="s">
        <v>618</v>
      </c>
      <c r="I31" s="1375"/>
      <c r="J31" s="1373" t="s">
        <v>618</v>
      </c>
      <c r="K31" s="1375"/>
      <c r="L31" s="1375" t="s">
        <v>618</v>
      </c>
      <c r="M31" s="1375"/>
      <c r="N31" s="1375" t="s">
        <v>617</v>
      </c>
      <c r="O31" s="1375"/>
      <c r="P31" s="1375" t="s">
        <v>631</v>
      </c>
      <c r="Q31" s="1375"/>
      <c r="R31" s="1371" t="s">
        <v>618</v>
      </c>
      <c r="S31" s="1373"/>
      <c r="T31" s="1371" t="s">
        <v>617</v>
      </c>
      <c r="U31" s="1373"/>
      <c r="V31" s="30"/>
      <c r="W31" s="1184"/>
      <c r="X31" s="1184"/>
      <c r="Y31" s="1184"/>
      <c r="Z31" s="1184"/>
      <c r="AA31" s="1184"/>
      <c r="AB31" s="1184"/>
      <c r="AC31" s="1184"/>
      <c r="AD31" s="1184"/>
      <c r="AE31" s="1184"/>
      <c r="AF31" s="1184"/>
      <c r="AG31" s="1184"/>
      <c r="AH31" s="1184"/>
      <c r="AI31" s="1184"/>
      <c r="AJ31" s="1184"/>
      <c r="AK31" s="253"/>
      <c r="AL31" s="258"/>
      <c r="AM31" s="259" t="s">
        <v>633</v>
      </c>
      <c r="AN31" s="259" t="s">
        <v>634</v>
      </c>
      <c r="AO31" s="259" t="s">
        <v>635</v>
      </c>
      <c r="AP31" s="259" t="s">
        <v>636</v>
      </c>
      <c r="AQ31" s="259" t="s">
        <v>637</v>
      </c>
      <c r="AR31" s="259" t="s">
        <v>590</v>
      </c>
      <c r="AS31" s="259" t="s">
        <v>428</v>
      </c>
      <c r="AT31" s="259" t="s">
        <v>429</v>
      </c>
      <c r="AU31" s="259" t="s">
        <v>126</v>
      </c>
      <c r="AV31" s="259" t="s">
        <v>431</v>
      </c>
      <c r="AW31" s="259" t="s">
        <v>429</v>
      </c>
      <c r="AX31" s="259" t="s">
        <v>124</v>
      </c>
      <c r="AY31" s="258"/>
      <c r="AZ31" s="238"/>
      <c r="BA31" s="238"/>
      <c r="BB31" s="238"/>
      <c r="BC31" s="238"/>
      <c r="BD31" s="238"/>
      <c r="BE31" s="238"/>
      <c r="BF31" s="239" t="s">
        <v>128</v>
      </c>
      <c r="BG31" s="239" t="s">
        <v>743</v>
      </c>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row>
    <row r="32" spans="1:94" s="240" customFormat="1" ht="14.25" customHeight="1">
      <c r="A32" s="260" t="s">
        <v>638</v>
      </c>
      <c r="B32" s="261"/>
      <c r="C32" s="261"/>
      <c r="D32" s="261"/>
      <c r="E32" s="262"/>
      <c r="F32" s="1441">
        <v>0</v>
      </c>
      <c r="G32" s="1442"/>
      <c r="H32" s="1379">
        <f t="shared" ref="H32:H52" si="0">F32*$AC$25</f>
        <v>0</v>
      </c>
      <c r="I32" s="1381"/>
      <c r="J32" s="1380"/>
      <c r="K32" s="1380"/>
      <c r="L32" s="1379"/>
      <c r="M32" s="1380"/>
      <c r="N32" s="1379">
        <f t="shared" ref="N32:N52" si="1">SUM(H32,J32,L32)*AR32</f>
        <v>0</v>
      </c>
      <c r="O32" s="1380"/>
      <c r="P32" s="1379"/>
      <c r="Q32" s="1381"/>
      <c r="R32" s="1379"/>
      <c r="S32" s="1380"/>
      <c r="T32" s="1379"/>
      <c r="U32" s="1381"/>
      <c r="V32" s="263"/>
      <c r="W32" s="263"/>
      <c r="X32" s="263"/>
      <c r="Y32" s="263"/>
      <c r="Z32" s="263"/>
      <c r="AA32" s="263"/>
      <c r="AB32" s="263"/>
      <c r="AC32" s="263"/>
      <c r="AD32" s="263"/>
      <c r="AE32" s="263"/>
      <c r="AF32" s="263"/>
      <c r="AG32" s="263"/>
      <c r="AH32" s="263"/>
      <c r="AI32" s="263"/>
      <c r="AJ32" s="263"/>
      <c r="AK32" s="264"/>
      <c r="AL32" s="258"/>
      <c r="AM32" s="259"/>
      <c r="AN32" s="259">
        <v>2</v>
      </c>
      <c r="AO32" s="259"/>
      <c r="AP32" s="259"/>
      <c r="AQ32" s="259"/>
      <c r="AR32" s="265">
        <f>AM32*12.01+AN32*1.008+AO32*16+AP32*14+AQ32*32</f>
        <v>2.016</v>
      </c>
      <c r="AS32" s="259">
        <f>AM32*1+AN32*0.25+AQ32*1</f>
        <v>0.5</v>
      </c>
      <c r="AT32" s="266">
        <f>0.79/0.21*AS32</f>
        <v>1.8809523809523812</v>
      </c>
      <c r="AU32" s="259">
        <f>1*AM32</f>
        <v>0</v>
      </c>
      <c r="AV32" s="259">
        <f>AN32/2</f>
        <v>1</v>
      </c>
      <c r="AW32" s="266">
        <f>AP32*0.5+AT32</f>
        <v>1.8809523809523812</v>
      </c>
      <c r="AX32" s="259">
        <f>AQ32*1</f>
        <v>0</v>
      </c>
      <c r="AY32" s="258"/>
      <c r="AZ32" s="238"/>
      <c r="BA32" s="238"/>
      <c r="BB32" s="238"/>
      <c r="BC32" s="238"/>
      <c r="BD32" s="238"/>
      <c r="BE32" s="239" t="s">
        <v>639</v>
      </c>
      <c r="BF32" s="239">
        <v>1.4200000000000001E-2</v>
      </c>
      <c r="BG32" s="239">
        <v>2.9999999999999997E-4</v>
      </c>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row>
    <row r="33" spans="1:94" s="240" customFormat="1" ht="14.25" customHeight="1">
      <c r="A33" s="267" t="s">
        <v>122</v>
      </c>
      <c r="B33" s="268"/>
      <c r="C33" s="268"/>
      <c r="D33" s="268"/>
      <c r="E33" s="269"/>
      <c r="F33" s="1377">
        <v>0.99629999999999996</v>
      </c>
      <c r="G33" s="1443"/>
      <c r="H33" s="1299">
        <f>F33*$AC$25</f>
        <v>5964.2028535980144</v>
      </c>
      <c r="I33" s="1301"/>
      <c r="J33" s="1300"/>
      <c r="K33" s="1300"/>
      <c r="L33" s="1299"/>
      <c r="M33" s="1300"/>
      <c r="N33" s="1299">
        <f t="shared" si="1"/>
        <v>95677.74217741935</v>
      </c>
      <c r="O33" s="1301"/>
      <c r="P33" s="1299">
        <f>R33/$R$53</f>
        <v>3.2820154466845273E-4</v>
      </c>
      <c r="Q33" s="1301"/>
      <c r="R33" s="1299">
        <f>T33/$AR33</f>
        <v>20.682034869772039</v>
      </c>
      <c r="S33" s="1300"/>
      <c r="T33" s="1299">
        <f>$K22*$X25</f>
        <v>331.78120338088308</v>
      </c>
      <c r="U33" s="1301"/>
      <c r="V33" s="263"/>
      <c r="W33" s="263"/>
      <c r="X33" s="263"/>
      <c r="Y33" s="263"/>
      <c r="Z33" s="263"/>
      <c r="AA33" s="263"/>
      <c r="AB33" s="263"/>
      <c r="AC33" s="263"/>
      <c r="AD33" s="263"/>
      <c r="AE33" s="263"/>
      <c r="AF33" s="263"/>
      <c r="AG33" s="263"/>
      <c r="AH33" s="263"/>
      <c r="AI33" s="263"/>
      <c r="AJ33" s="263"/>
      <c r="AK33" s="264"/>
      <c r="AL33" s="258"/>
      <c r="AM33" s="259">
        <v>1</v>
      </c>
      <c r="AN33" s="259">
        <v>4</v>
      </c>
      <c r="AO33" s="259"/>
      <c r="AP33" s="259"/>
      <c r="AQ33" s="259"/>
      <c r="AR33" s="265">
        <f t="shared" ref="AR33:AR48" si="2">AM33*12.01+AN33*1.008+AO33*16+AP33*14+AQ33*32</f>
        <v>16.042000000000002</v>
      </c>
      <c r="AS33" s="259">
        <f t="shared" ref="AS33:AS47" si="3">AM33*1+AN33*0.25+AQ33*1</f>
        <v>2</v>
      </c>
      <c r="AT33" s="266">
        <f t="shared" ref="AT33:AT47" si="4">0.79/0.21*AS33</f>
        <v>7.5238095238095246</v>
      </c>
      <c r="AU33" s="259">
        <f t="shared" ref="AU33:AU47" si="5">1*AM33</f>
        <v>1</v>
      </c>
      <c r="AV33" s="259">
        <f t="shared" ref="AV33:AV47" si="6">AN33/2</f>
        <v>2</v>
      </c>
      <c r="AW33" s="266">
        <f t="shared" ref="AW33:AW47" si="7">AP33*0.5+AT33</f>
        <v>7.5238095238095246</v>
      </c>
      <c r="AX33" s="259">
        <f t="shared" ref="AX33:AX47" si="8">AQ33*1</f>
        <v>0</v>
      </c>
      <c r="AY33" s="258"/>
      <c r="AZ33" s="238"/>
      <c r="BA33" s="238"/>
      <c r="BB33" s="238"/>
      <c r="BC33" s="238"/>
      <c r="BD33" s="238"/>
      <c r="BE33" s="239" t="s">
        <v>126</v>
      </c>
      <c r="BF33" s="239">
        <v>9.5999999999999992E-3</v>
      </c>
      <c r="BG33" s="239">
        <v>0.77539999999999998</v>
      </c>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row>
    <row r="34" spans="1:94" s="240" customFormat="1" ht="14.25" customHeight="1">
      <c r="A34" s="267" t="s">
        <v>641</v>
      </c>
      <c r="B34" s="268"/>
      <c r="C34" s="268"/>
      <c r="D34" s="268"/>
      <c r="E34" s="269"/>
      <c r="F34" s="1377">
        <v>0</v>
      </c>
      <c r="G34" s="1443"/>
      <c r="H34" s="1299">
        <f t="shared" si="0"/>
        <v>0</v>
      </c>
      <c r="I34" s="1301"/>
      <c r="J34" s="1300"/>
      <c r="K34" s="1300"/>
      <c r="L34" s="1299"/>
      <c r="M34" s="1300"/>
      <c r="N34" s="1299">
        <f t="shared" si="1"/>
        <v>0</v>
      </c>
      <c r="O34" s="1301"/>
      <c r="P34" s="1299"/>
      <c r="Q34" s="1301"/>
      <c r="R34" s="1300"/>
      <c r="S34" s="1300"/>
      <c r="T34" s="1299"/>
      <c r="U34" s="1301"/>
      <c r="V34" s="263"/>
      <c r="W34" s="263"/>
      <c r="X34" s="270">
        <f>AH25</f>
        <v>1334.3805555555555</v>
      </c>
      <c r="Y34" s="31" t="s">
        <v>590</v>
      </c>
      <c r="Z34" s="270"/>
      <c r="AA34" s="263"/>
      <c r="AB34" s="263"/>
      <c r="AC34" s="263"/>
      <c r="AD34" s="263"/>
      <c r="AE34" s="263"/>
      <c r="AF34" s="263"/>
      <c r="AG34" s="263"/>
      <c r="AH34" s="263"/>
      <c r="AI34" s="263"/>
      <c r="AJ34" s="263"/>
      <c r="AK34" s="264"/>
      <c r="AL34" s="258"/>
      <c r="AM34" s="259">
        <v>2</v>
      </c>
      <c r="AN34" s="259">
        <v>4</v>
      </c>
      <c r="AO34" s="259"/>
      <c r="AP34" s="259"/>
      <c r="AQ34" s="259"/>
      <c r="AR34" s="265">
        <f t="shared" si="2"/>
        <v>28.052</v>
      </c>
      <c r="AS34" s="259">
        <f t="shared" si="3"/>
        <v>3</v>
      </c>
      <c r="AT34" s="266">
        <f t="shared" si="4"/>
        <v>11.285714285714286</v>
      </c>
      <c r="AU34" s="259">
        <f t="shared" si="5"/>
        <v>2</v>
      </c>
      <c r="AV34" s="259">
        <f t="shared" si="6"/>
        <v>2</v>
      </c>
      <c r="AW34" s="266">
        <f t="shared" si="7"/>
        <v>11.285714285714286</v>
      </c>
      <c r="AX34" s="259">
        <f t="shared" si="8"/>
        <v>0</v>
      </c>
      <c r="AY34" s="258"/>
      <c r="AZ34" s="238"/>
      <c r="BA34" s="238"/>
      <c r="BB34" s="238"/>
      <c r="BC34" s="238"/>
      <c r="BD34" s="238"/>
      <c r="BE34" s="239" t="s">
        <v>642</v>
      </c>
      <c r="BF34" s="239">
        <v>0.60499999999999998</v>
      </c>
      <c r="BG34" s="239">
        <v>1.43E-2</v>
      </c>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38"/>
      <c r="CN34" s="238"/>
      <c r="CO34" s="238"/>
      <c r="CP34" s="238"/>
    </row>
    <row r="35" spans="1:94" s="240" customFormat="1" ht="14.25" customHeight="1">
      <c r="A35" s="267" t="s">
        <v>643</v>
      </c>
      <c r="B35" s="268"/>
      <c r="C35" s="268"/>
      <c r="D35" s="268"/>
      <c r="E35" s="269"/>
      <c r="F35" s="1377">
        <v>7.000000000000001E-4</v>
      </c>
      <c r="G35" s="1443"/>
      <c r="H35" s="1299">
        <f t="shared" si="0"/>
        <v>4.1904466501240698</v>
      </c>
      <c r="I35" s="1301"/>
      <c r="J35" s="1300"/>
      <c r="K35" s="1300"/>
      <c r="L35" s="1299"/>
      <c r="M35" s="1300"/>
      <c r="N35" s="1299">
        <f t="shared" si="1"/>
        <v>125.99834987593051</v>
      </c>
      <c r="O35" s="1301"/>
      <c r="P35" s="1299">
        <f>R35/$R$53</f>
        <v>0</v>
      </c>
      <c r="Q35" s="1301"/>
      <c r="R35" s="1300">
        <f>T35/$AR35</f>
        <v>0</v>
      </c>
      <c r="S35" s="1300"/>
      <c r="T35" s="1299">
        <f>$Q$22*N35</f>
        <v>0</v>
      </c>
      <c r="U35" s="1301"/>
      <c r="V35" s="263"/>
      <c r="W35" s="263"/>
      <c r="X35" s="31">
        <f>365*24</f>
        <v>8760</v>
      </c>
      <c r="Y35" s="31" t="s">
        <v>623</v>
      </c>
      <c r="Z35" s="270"/>
      <c r="AA35" s="263"/>
      <c r="AB35" s="263"/>
      <c r="AC35" s="263"/>
      <c r="AD35" s="263"/>
      <c r="AE35" s="263"/>
      <c r="AF35" s="263"/>
      <c r="AG35" s="263"/>
      <c r="AH35" s="263"/>
      <c r="AI35" s="263"/>
      <c r="AJ35" s="263"/>
      <c r="AK35" s="264"/>
      <c r="AL35" s="258"/>
      <c r="AM35" s="259">
        <v>2</v>
      </c>
      <c r="AN35" s="259">
        <v>6</v>
      </c>
      <c r="AO35" s="259"/>
      <c r="AP35" s="259"/>
      <c r="AQ35" s="259"/>
      <c r="AR35" s="265">
        <f t="shared" si="2"/>
        <v>30.067999999999998</v>
      </c>
      <c r="AS35" s="259">
        <f t="shared" si="3"/>
        <v>3.5</v>
      </c>
      <c r="AT35" s="266">
        <f t="shared" si="4"/>
        <v>13.166666666666668</v>
      </c>
      <c r="AU35" s="259">
        <f t="shared" si="5"/>
        <v>2</v>
      </c>
      <c r="AV35" s="259">
        <f t="shared" si="6"/>
        <v>3</v>
      </c>
      <c r="AW35" s="266">
        <f t="shared" si="7"/>
        <v>13.166666666666668</v>
      </c>
      <c r="AX35" s="259">
        <f t="shared" si="8"/>
        <v>0</v>
      </c>
      <c r="AY35" s="258"/>
      <c r="AZ35" s="238"/>
      <c r="BA35" s="238"/>
      <c r="BB35" s="238"/>
      <c r="BC35" s="238"/>
      <c r="BD35" s="238"/>
      <c r="BE35" s="239" t="s">
        <v>644</v>
      </c>
      <c r="BF35" s="239">
        <v>0.17519999999999999</v>
      </c>
      <c r="BG35" s="239">
        <v>1.9E-3</v>
      </c>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row>
    <row r="36" spans="1:94" s="240" customFormat="1" ht="14.25" customHeight="1">
      <c r="A36" s="267" t="s">
        <v>418</v>
      </c>
      <c r="B36" s="268"/>
      <c r="C36" s="268"/>
      <c r="D36" s="268"/>
      <c r="E36" s="269"/>
      <c r="F36" s="1377">
        <v>0</v>
      </c>
      <c r="G36" s="1443"/>
      <c r="H36" s="1299">
        <f t="shared" si="0"/>
        <v>0</v>
      </c>
      <c r="I36" s="1301"/>
      <c r="J36" s="1300"/>
      <c r="K36" s="1300"/>
      <c r="L36" s="1299"/>
      <c r="M36" s="1300"/>
      <c r="N36" s="1299">
        <f t="shared" si="1"/>
        <v>0</v>
      </c>
      <c r="O36" s="1301"/>
      <c r="P36" s="1299"/>
      <c r="Q36" s="1301"/>
      <c r="R36" s="1300"/>
      <c r="S36" s="1300"/>
      <c r="T36" s="1299"/>
      <c r="U36" s="1301"/>
      <c r="V36" s="263"/>
      <c r="W36" s="263"/>
      <c r="X36" s="272">
        <f>X34*X35</f>
        <v>11689173.666666666</v>
      </c>
      <c r="Y36" s="31" t="s">
        <v>626</v>
      </c>
      <c r="Z36" s="270"/>
      <c r="AA36" s="263"/>
      <c r="AB36" s="263"/>
      <c r="AC36" s="263"/>
      <c r="AD36" s="263"/>
      <c r="AE36" s="263"/>
      <c r="AF36" s="263"/>
      <c r="AG36" s="263"/>
      <c r="AH36" s="263"/>
      <c r="AI36" s="263"/>
      <c r="AJ36" s="263"/>
      <c r="AK36" s="264"/>
      <c r="AL36" s="258"/>
      <c r="AM36" s="259">
        <v>3</v>
      </c>
      <c r="AN36" s="259">
        <v>6</v>
      </c>
      <c r="AO36" s="259"/>
      <c r="AP36" s="259"/>
      <c r="AQ36" s="259"/>
      <c r="AR36" s="265">
        <f t="shared" si="2"/>
        <v>42.078000000000003</v>
      </c>
      <c r="AS36" s="259">
        <f t="shared" si="3"/>
        <v>4.5</v>
      </c>
      <c r="AT36" s="266">
        <f t="shared" si="4"/>
        <v>16.928571428571431</v>
      </c>
      <c r="AU36" s="259">
        <f t="shared" si="5"/>
        <v>3</v>
      </c>
      <c r="AV36" s="259">
        <f t="shared" si="6"/>
        <v>3</v>
      </c>
      <c r="AW36" s="266">
        <f t="shared" si="7"/>
        <v>16.928571428571431</v>
      </c>
      <c r="AX36" s="259">
        <f t="shared" si="8"/>
        <v>0</v>
      </c>
      <c r="AY36" s="258"/>
      <c r="AZ36" s="238"/>
      <c r="BA36" s="238"/>
      <c r="BB36" s="238"/>
      <c r="BC36" s="238"/>
      <c r="BD36" s="238"/>
      <c r="BE36" s="239" t="s">
        <v>645</v>
      </c>
      <c r="BF36" s="239">
        <v>0.1139</v>
      </c>
      <c r="BG36" s="239">
        <v>3.5999999999999999E-3</v>
      </c>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row>
    <row r="37" spans="1:94" s="240" customFormat="1" ht="14.25" customHeight="1">
      <c r="A37" s="267" t="s">
        <v>419</v>
      </c>
      <c r="B37" s="268"/>
      <c r="C37" s="268"/>
      <c r="D37" s="268"/>
      <c r="E37" s="269"/>
      <c r="F37" s="1377">
        <v>2.0000000000000001E-4</v>
      </c>
      <c r="G37" s="1443"/>
      <c r="H37" s="1299">
        <f t="shared" si="0"/>
        <v>1.1972704714640199</v>
      </c>
      <c r="I37" s="1301"/>
      <c r="J37" s="1300"/>
      <c r="K37" s="1300"/>
      <c r="L37" s="1299"/>
      <c r="M37" s="1300"/>
      <c r="N37" s="1299">
        <f t="shared" si="1"/>
        <v>52.792444168734491</v>
      </c>
      <c r="O37" s="1301"/>
      <c r="P37" s="1299">
        <f>R37/$R$53</f>
        <v>0</v>
      </c>
      <c r="Q37" s="1301"/>
      <c r="R37" s="1300">
        <f>T37/$AR37</f>
        <v>0</v>
      </c>
      <c r="S37" s="1300"/>
      <c r="T37" s="1299">
        <f>$Q$22*N37</f>
        <v>0</v>
      </c>
      <c r="U37" s="1301"/>
      <c r="V37" s="263"/>
      <c r="W37" s="263"/>
      <c r="X37" s="272">
        <f>X36*3600/1000</f>
        <v>42081025.200000003</v>
      </c>
      <c r="Y37" s="31" t="s">
        <v>632</v>
      </c>
      <c r="Z37" s="270"/>
      <c r="AA37" s="263"/>
      <c r="AB37" s="263"/>
      <c r="AC37" s="263"/>
      <c r="AD37" s="263"/>
      <c r="AE37" s="263"/>
      <c r="AF37" s="263"/>
      <c r="AG37" s="263"/>
      <c r="AH37" s="263"/>
      <c r="AI37" s="263"/>
      <c r="AJ37" s="263"/>
      <c r="AK37" s="264"/>
      <c r="AL37" s="258"/>
      <c r="AM37" s="259">
        <v>3</v>
      </c>
      <c r="AN37" s="259">
        <v>8</v>
      </c>
      <c r="AO37" s="259"/>
      <c r="AP37" s="259"/>
      <c r="AQ37" s="259"/>
      <c r="AR37" s="265">
        <f t="shared" si="2"/>
        <v>44.094000000000001</v>
      </c>
      <c r="AS37" s="259">
        <f t="shared" si="3"/>
        <v>5</v>
      </c>
      <c r="AT37" s="266">
        <f t="shared" si="4"/>
        <v>18.80952380952381</v>
      </c>
      <c r="AU37" s="259">
        <f t="shared" si="5"/>
        <v>3</v>
      </c>
      <c r="AV37" s="259">
        <f t="shared" si="6"/>
        <v>4</v>
      </c>
      <c r="AW37" s="266">
        <f t="shared" si="7"/>
        <v>18.80952380952381</v>
      </c>
      <c r="AX37" s="259">
        <f t="shared" si="8"/>
        <v>0</v>
      </c>
      <c r="AY37" s="258"/>
      <c r="AZ37" s="238"/>
      <c r="BA37" s="238"/>
      <c r="BB37" s="238"/>
      <c r="BC37" s="238"/>
      <c r="BD37" s="238"/>
      <c r="BE37" s="239" t="s">
        <v>646</v>
      </c>
      <c r="BF37" s="239">
        <v>1.7100000000000001E-2</v>
      </c>
      <c r="BG37" s="239">
        <v>1E-3</v>
      </c>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row>
    <row r="38" spans="1:94" s="240" customFormat="1" ht="14.25" customHeight="1">
      <c r="A38" s="267" t="s">
        <v>420</v>
      </c>
      <c r="B38" s="268"/>
      <c r="C38" s="268"/>
      <c r="D38" s="268"/>
      <c r="E38" s="269"/>
      <c r="F38" s="1377">
        <v>0</v>
      </c>
      <c r="G38" s="1443"/>
      <c r="H38" s="1299">
        <f t="shared" si="0"/>
        <v>0</v>
      </c>
      <c r="I38" s="1301"/>
      <c r="J38" s="1300"/>
      <c r="K38" s="1300"/>
      <c r="L38" s="1299"/>
      <c r="M38" s="1300"/>
      <c r="N38" s="1299">
        <f t="shared" si="1"/>
        <v>0</v>
      </c>
      <c r="O38" s="1301"/>
      <c r="P38" s="1299"/>
      <c r="Q38" s="1301"/>
      <c r="R38" s="1300"/>
      <c r="S38" s="1300"/>
      <c r="T38" s="1299"/>
      <c r="U38" s="1301"/>
      <c r="V38" s="263"/>
      <c r="W38" s="263"/>
      <c r="X38" s="263"/>
      <c r="Y38" s="263"/>
      <c r="Z38" s="263"/>
      <c r="AA38" s="263"/>
      <c r="AB38" s="263"/>
      <c r="AC38" s="263"/>
      <c r="AD38" s="263"/>
      <c r="AE38" s="263"/>
      <c r="AF38" s="263"/>
      <c r="AG38" s="263"/>
      <c r="AH38" s="263"/>
      <c r="AI38" s="263"/>
      <c r="AJ38" s="263"/>
      <c r="AK38" s="264"/>
      <c r="AL38" s="258"/>
      <c r="AM38" s="259">
        <v>4</v>
      </c>
      <c r="AN38" s="259">
        <v>8</v>
      </c>
      <c r="AO38" s="259"/>
      <c r="AP38" s="259"/>
      <c r="AQ38" s="259"/>
      <c r="AR38" s="265">
        <f t="shared" si="2"/>
        <v>56.103999999999999</v>
      </c>
      <c r="AS38" s="259">
        <f t="shared" si="3"/>
        <v>6</v>
      </c>
      <c r="AT38" s="266">
        <f t="shared" si="4"/>
        <v>22.571428571428573</v>
      </c>
      <c r="AU38" s="259">
        <f t="shared" si="5"/>
        <v>4</v>
      </c>
      <c r="AV38" s="259">
        <f t="shared" si="6"/>
        <v>4</v>
      </c>
      <c r="AW38" s="266">
        <f t="shared" si="7"/>
        <v>22.571428571428573</v>
      </c>
      <c r="AX38" s="259">
        <f t="shared" si="8"/>
        <v>0</v>
      </c>
      <c r="AY38" s="258"/>
      <c r="AZ38" s="238"/>
      <c r="BA38" s="238"/>
      <c r="BB38" s="238"/>
      <c r="BC38" s="238"/>
      <c r="BD38" s="238"/>
      <c r="BE38" s="239" t="s">
        <v>647</v>
      </c>
      <c r="BF38" s="239">
        <v>4.5900000000000003E-2</v>
      </c>
      <c r="BG38" s="239">
        <v>2.3999999999999998E-3</v>
      </c>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row>
    <row r="39" spans="1:94" s="240" customFormat="1" ht="14.25" customHeight="1">
      <c r="A39" s="267" t="s">
        <v>421</v>
      </c>
      <c r="B39" s="268"/>
      <c r="C39" s="268"/>
      <c r="D39" s="268"/>
      <c r="E39" s="269"/>
      <c r="F39" s="1377">
        <v>1E-4</v>
      </c>
      <c r="G39" s="1443"/>
      <c r="H39" s="1299">
        <f t="shared" si="0"/>
        <v>0.59863523573200994</v>
      </c>
      <c r="I39" s="1301"/>
      <c r="J39" s="1300"/>
      <c r="K39" s="1300"/>
      <c r="L39" s="1299"/>
      <c r="M39" s="1300"/>
      <c r="N39" s="1299">
        <f t="shared" si="1"/>
        <v>34.792679900744417</v>
      </c>
      <c r="O39" s="1301"/>
      <c r="P39" s="1299">
        <f>R39/$R$53</f>
        <v>0</v>
      </c>
      <c r="Q39" s="1301"/>
      <c r="R39" s="1300">
        <f>T39/$AR39</f>
        <v>0</v>
      </c>
      <c r="S39" s="1300"/>
      <c r="T39" s="1299">
        <f>$Q$22*N39</f>
        <v>0</v>
      </c>
      <c r="U39" s="1301"/>
      <c r="V39" s="263"/>
      <c r="W39" s="263"/>
      <c r="X39" s="263"/>
      <c r="Y39" s="263"/>
      <c r="Z39" s="263"/>
      <c r="AA39" s="263"/>
      <c r="AB39" s="263"/>
      <c r="AC39" s="263"/>
      <c r="AD39" s="263"/>
      <c r="AE39" s="263"/>
      <c r="AF39" s="263"/>
      <c r="AG39" s="263"/>
      <c r="AH39" s="263"/>
      <c r="AI39" s="263"/>
      <c r="AJ39" s="263"/>
      <c r="AK39" s="264"/>
      <c r="AL39" s="258"/>
      <c r="AM39" s="259">
        <v>4</v>
      </c>
      <c r="AN39" s="259">
        <v>10</v>
      </c>
      <c r="AO39" s="259"/>
      <c r="AP39" s="259"/>
      <c r="AQ39" s="259"/>
      <c r="AR39" s="265">
        <f>AM39*12.01+AN39*1.008+AO39*16+AP39*14+AQ39*32</f>
        <v>58.12</v>
      </c>
      <c r="AS39" s="259">
        <f t="shared" si="3"/>
        <v>6.5</v>
      </c>
      <c r="AT39" s="266">
        <f t="shared" si="4"/>
        <v>24.452380952380956</v>
      </c>
      <c r="AU39" s="259">
        <f t="shared" si="5"/>
        <v>4</v>
      </c>
      <c r="AV39" s="259">
        <f t="shared" si="6"/>
        <v>5</v>
      </c>
      <c r="AW39" s="266">
        <f t="shared" si="7"/>
        <v>24.452380952380956</v>
      </c>
      <c r="AX39" s="259">
        <f t="shared" si="8"/>
        <v>0</v>
      </c>
      <c r="AY39" s="258"/>
      <c r="AZ39" s="238"/>
      <c r="BA39" s="238"/>
      <c r="BB39" s="238"/>
      <c r="BC39" s="238"/>
      <c r="BD39" s="238"/>
      <c r="BE39" s="239" t="s">
        <v>648</v>
      </c>
      <c r="BF39" s="239">
        <v>8.2000000000000007E-3</v>
      </c>
      <c r="BG39" s="239">
        <v>1.6000000000000001E-3</v>
      </c>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38"/>
      <c r="CN39" s="238"/>
      <c r="CO39" s="238"/>
      <c r="CP39" s="238"/>
    </row>
    <row r="40" spans="1:94" s="240" customFormat="1" ht="14.25" customHeight="1">
      <c r="A40" s="267" t="s">
        <v>422</v>
      </c>
      <c r="B40" s="268"/>
      <c r="C40" s="268"/>
      <c r="D40" s="268"/>
      <c r="E40" s="269"/>
      <c r="F40" s="1377">
        <v>0</v>
      </c>
      <c r="G40" s="1443"/>
      <c r="H40" s="1299">
        <f t="shared" si="0"/>
        <v>0</v>
      </c>
      <c r="I40" s="1301"/>
      <c r="J40" s="1300"/>
      <c r="K40" s="1300"/>
      <c r="L40" s="1299"/>
      <c r="M40" s="1300"/>
      <c r="N40" s="1299">
        <f t="shared" si="1"/>
        <v>0</v>
      </c>
      <c r="O40" s="1301"/>
      <c r="P40" s="1299">
        <f>R40/$R$53</f>
        <v>0</v>
      </c>
      <c r="Q40" s="1301"/>
      <c r="R40" s="1300">
        <f>T40/$AR40</f>
        <v>0</v>
      </c>
      <c r="S40" s="1300"/>
      <c r="T40" s="1299">
        <f>$Q$22*N40</f>
        <v>0</v>
      </c>
      <c r="U40" s="1301"/>
      <c r="V40" s="263"/>
      <c r="W40" s="263"/>
      <c r="X40" s="263" t="s">
        <v>761</v>
      </c>
      <c r="Y40" s="263"/>
      <c r="Z40" s="263"/>
      <c r="AA40" s="263"/>
      <c r="AB40" s="263"/>
      <c r="AC40" s="263"/>
      <c r="AD40" s="263"/>
      <c r="AE40" s="263"/>
      <c r="AF40" s="263"/>
      <c r="AG40" s="263"/>
      <c r="AH40" s="263"/>
      <c r="AI40" s="263"/>
      <c r="AJ40" s="263"/>
      <c r="AK40" s="264"/>
      <c r="AL40" s="258"/>
      <c r="AM40" s="259">
        <v>4</v>
      </c>
      <c r="AN40" s="259">
        <v>10</v>
      </c>
      <c r="AO40" s="259"/>
      <c r="AP40" s="259"/>
      <c r="AQ40" s="259"/>
      <c r="AR40" s="265">
        <f t="shared" si="2"/>
        <v>58.12</v>
      </c>
      <c r="AS40" s="259">
        <f t="shared" si="3"/>
        <v>6.5</v>
      </c>
      <c r="AT40" s="266">
        <f t="shared" si="4"/>
        <v>24.452380952380956</v>
      </c>
      <c r="AU40" s="259">
        <f t="shared" si="5"/>
        <v>4</v>
      </c>
      <c r="AV40" s="259">
        <f t="shared" si="6"/>
        <v>5</v>
      </c>
      <c r="AW40" s="266">
        <f t="shared" si="7"/>
        <v>24.452380952380956</v>
      </c>
      <c r="AX40" s="259">
        <f t="shared" si="8"/>
        <v>0</v>
      </c>
      <c r="AY40" s="258"/>
      <c r="AZ40" s="238"/>
      <c r="BA40" s="238"/>
      <c r="BB40" s="238"/>
      <c r="BC40" s="238"/>
      <c r="BD40" s="238"/>
      <c r="BE40" s="239" t="s">
        <v>649</v>
      </c>
      <c r="BF40" s="239">
        <v>2.0000000000000001E-4</v>
      </c>
      <c r="BG40" s="239">
        <v>0</v>
      </c>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row>
    <row r="41" spans="1:94" s="240" customFormat="1" ht="14.25" customHeight="1">
      <c r="A41" s="267" t="s">
        <v>423</v>
      </c>
      <c r="B41" s="268"/>
      <c r="C41" s="268"/>
      <c r="D41" s="268"/>
      <c r="E41" s="269"/>
      <c r="F41" s="1377">
        <v>1E-4</v>
      </c>
      <c r="G41" s="1443"/>
      <c r="H41" s="1299">
        <f t="shared" si="0"/>
        <v>0.59863523573200994</v>
      </c>
      <c r="I41" s="1301"/>
      <c r="J41" s="1300"/>
      <c r="K41" s="1300"/>
      <c r="L41" s="1299"/>
      <c r="M41" s="1300"/>
      <c r="N41" s="1299">
        <f t="shared" si="1"/>
        <v>43.189137717121589</v>
      </c>
      <c r="O41" s="1301"/>
      <c r="P41" s="1299">
        <f>R41/$R$53</f>
        <v>0</v>
      </c>
      <c r="Q41" s="1301"/>
      <c r="R41" s="1300">
        <f>T41/$AR41</f>
        <v>0</v>
      </c>
      <c r="S41" s="1300"/>
      <c r="T41" s="1299">
        <f>$Q$22*N41</f>
        <v>0</v>
      </c>
      <c r="U41" s="1301"/>
      <c r="V41" s="263"/>
      <c r="W41" s="263"/>
      <c r="X41" s="263"/>
      <c r="Y41" s="263"/>
      <c r="Z41" s="263"/>
      <c r="AA41" s="263"/>
      <c r="AB41" s="263"/>
      <c r="AC41" s="263"/>
      <c r="AD41" s="263"/>
      <c r="AE41" s="263"/>
      <c r="AF41" s="263"/>
      <c r="AG41" s="263"/>
      <c r="AH41" s="263"/>
      <c r="AI41" s="263"/>
      <c r="AJ41" s="263"/>
      <c r="AK41" s="264"/>
      <c r="AL41" s="258"/>
      <c r="AM41" s="259">
        <v>5</v>
      </c>
      <c r="AN41" s="259">
        <v>12</v>
      </c>
      <c r="AO41" s="259"/>
      <c r="AP41" s="259"/>
      <c r="AQ41" s="259"/>
      <c r="AR41" s="265">
        <f t="shared" si="2"/>
        <v>72.146000000000001</v>
      </c>
      <c r="AS41" s="259">
        <f t="shared" si="3"/>
        <v>8</v>
      </c>
      <c r="AT41" s="266">
        <f t="shared" si="4"/>
        <v>30.095238095238098</v>
      </c>
      <c r="AU41" s="259">
        <f t="shared" si="5"/>
        <v>5</v>
      </c>
      <c r="AV41" s="259">
        <f t="shared" si="6"/>
        <v>6</v>
      </c>
      <c r="AW41" s="266">
        <f t="shared" si="7"/>
        <v>30.095238095238098</v>
      </c>
      <c r="AX41" s="259">
        <f t="shared" si="8"/>
        <v>0</v>
      </c>
      <c r="AY41" s="258"/>
      <c r="AZ41" s="238"/>
      <c r="BA41" s="238"/>
      <c r="BB41" s="238"/>
      <c r="BC41" s="238"/>
      <c r="BD41" s="238"/>
      <c r="BE41" s="239" t="s">
        <v>650</v>
      </c>
      <c r="BF41" s="239">
        <v>8.8999999999999999E-3</v>
      </c>
      <c r="BG41" s="239">
        <v>1.9E-3</v>
      </c>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row>
    <row r="42" spans="1:94" s="240" customFormat="1" ht="14.25" customHeight="1">
      <c r="A42" s="267" t="s">
        <v>424</v>
      </c>
      <c r="B42" s="268"/>
      <c r="C42" s="268"/>
      <c r="D42" s="268"/>
      <c r="E42" s="269"/>
      <c r="F42" s="1377">
        <v>1E-4</v>
      </c>
      <c r="G42" s="1443"/>
      <c r="H42" s="1299">
        <f t="shared" si="0"/>
        <v>0.59863523573200994</v>
      </c>
      <c r="I42" s="1301"/>
      <c r="J42" s="1300"/>
      <c r="K42" s="1300"/>
      <c r="L42" s="1299"/>
      <c r="M42" s="1300"/>
      <c r="N42" s="1299">
        <f t="shared" si="1"/>
        <v>43.189137717121589</v>
      </c>
      <c r="O42" s="1301"/>
      <c r="P42" s="1299">
        <f>R42/$R$53</f>
        <v>0</v>
      </c>
      <c r="Q42" s="1301"/>
      <c r="R42" s="1300">
        <f>T42/$AR42</f>
        <v>0</v>
      </c>
      <c r="S42" s="1300"/>
      <c r="T42" s="1299">
        <f>$Q$22*N42</f>
        <v>0</v>
      </c>
      <c r="U42" s="1301"/>
      <c r="V42" s="263"/>
      <c r="W42" s="263"/>
      <c r="X42" s="599">
        <v>0.72</v>
      </c>
      <c r="Y42" s="589" t="s">
        <v>744</v>
      </c>
      <c r="Z42" s="263"/>
      <c r="AA42" s="263"/>
      <c r="AB42" s="263"/>
      <c r="AC42" s="263"/>
      <c r="AD42" s="263"/>
      <c r="AE42" s="263"/>
      <c r="AF42" s="263"/>
      <c r="AG42" s="263"/>
      <c r="AH42" s="263"/>
      <c r="AI42" s="263"/>
      <c r="AJ42" s="263"/>
      <c r="AK42" s="264"/>
      <c r="AL42" s="258"/>
      <c r="AM42" s="259">
        <v>5</v>
      </c>
      <c r="AN42" s="259">
        <v>12</v>
      </c>
      <c r="AO42" s="259"/>
      <c r="AP42" s="259"/>
      <c r="AQ42" s="259"/>
      <c r="AR42" s="265">
        <f t="shared" si="2"/>
        <v>72.146000000000001</v>
      </c>
      <c r="AS42" s="259">
        <f t="shared" si="3"/>
        <v>8</v>
      </c>
      <c r="AT42" s="266">
        <f t="shared" si="4"/>
        <v>30.095238095238098</v>
      </c>
      <c r="AU42" s="259">
        <f t="shared" si="5"/>
        <v>5</v>
      </c>
      <c r="AV42" s="259">
        <f t="shared" si="6"/>
        <v>6</v>
      </c>
      <c r="AW42" s="266">
        <f t="shared" si="7"/>
        <v>30.095238095238098</v>
      </c>
      <c r="AX42" s="259">
        <f t="shared" si="8"/>
        <v>0</v>
      </c>
      <c r="AY42" s="258"/>
      <c r="AZ42" s="238"/>
      <c r="BA42" s="238"/>
      <c r="BB42" s="238"/>
      <c r="BC42" s="238"/>
      <c r="BD42" s="238"/>
      <c r="BE42" s="239" t="s">
        <v>651</v>
      </c>
      <c r="BF42" s="239">
        <v>2.0000000000000001E-4</v>
      </c>
      <c r="BG42" s="239">
        <v>2.9999999999999997E-4</v>
      </c>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row>
    <row r="43" spans="1:94" s="240" customFormat="1" ht="14.25" customHeight="1">
      <c r="A43" s="267" t="s">
        <v>721</v>
      </c>
      <c r="B43" s="268"/>
      <c r="C43" s="268"/>
      <c r="D43" s="268"/>
      <c r="E43" s="269"/>
      <c r="F43" s="1377">
        <v>2.00000000000089E-4</v>
      </c>
      <c r="G43" s="1443"/>
      <c r="H43" s="1299">
        <f t="shared" si="0"/>
        <v>1.1972704714645526</v>
      </c>
      <c r="I43" s="1301"/>
      <c r="J43" s="1300"/>
      <c r="K43" s="1300"/>
      <c r="L43" s="1299"/>
      <c r="M43" s="1300"/>
      <c r="N43" s="1299">
        <f t="shared" si="1"/>
        <v>103.17119106704342</v>
      </c>
      <c r="O43" s="1301"/>
      <c r="P43" s="1299">
        <f>R43/$R$53</f>
        <v>0</v>
      </c>
      <c r="Q43" s="1301"/>
      <c r="R43" s="1300">
        <f>T43/$AR43</f>
        <v>0</v>
      </c>
      <c r="S43" s="1300"/>
      <c r="T43" s="1299">
        <f>$Q$22*N43</f>
        <v>0</v>
      </c>
      <c r="U43" s="1301"/>
      <c r="V43" s="263"/>
      <c r="W43" s="263"/>
      <c r="X43" s="611">
        <v>27</v>
      </c>
      <c r="Y43" s="589" t="s">
        <v>762</v>
      </c>
      <c r="Z43" s="263"/>
      <c r="AA43" s="263"/>
      <c r="AB43" s="263"/>
      <c r="AC43" s="263"/>
      <c r="AD43" s="263"/>
      <c r="AE43" s="263"/>
      <c r="AF43" s="263"/>
      <c r="AG43" s="263"/>
      <c r="AH43" s="263"/>
      <c r="AI43" s="263"/>
      <c r="AJ43" s="263"/>
      <c r="AK43" s="264"/>
      <c r="AL43" s="258"/>
      <c r="AM43" s="259">
        <v>6</v>
      </c>
      <c r="AN43" s="259">
        <v>14</v>
      </c>
      <c r="AO43" s="259"/>
      <c r="AP43" s="259"/>
      <c r="AQ43" s="259"/>
      <c r="AR43" s="265">
        <f t="shared" si="2"/>
        <v>86.171999999999997</v>
      </c>
      <c r="AS43" s="259">
        <f t="shared" si="3"/>
        <v>9.5</v>
      </c>
      <c r="AT43" s="266">
        <f t="shared" si="4"/>
        <v>35.738095238095241</v>
      </c>
      <c r="AU43" s="259">
        <f t="shared" si="5"/>
        <v>6</v>
      </c>
      <c r="AV43" s="259">
        <f t="shared" si="6"/>
        <v>7</v>
      </c>
      <c r="AW43" s="266">
        <f t="shared" si="7"/>
        <v>35.738095238095241</v>
      </c>
      <c r="AX43" s="259">
        <f t="shared" si="8"/>
        <v>0</v>
      </c>
      <c r="AY43" s="258"/>
      <c r="AZ43" s="238"/>
      <c r="BA43" s="238"/>
      <c r="BB43" s="238"/>
      <c r="BC43" s="238"/>
      <c r="BD43" s="238"/>
      <c r="BE43" s="239" t="s">
        <v>652</v>
      </c>
      <c r="BF43" s="239">
        <v>0</v>
      </c>
      <c r="BG43" s="239">
        <v>5.0000000000000001E-4</v>
      </c>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38"/>
      <c r="CN43" s="238"/>
      <c r="CO43" s="238"/>
      <c r="CP43" s="238"/>
    </row>
    <row r="44" spans="1:94" s="240" customFormat="1" ht="14.25" customHeight="1">
      <c r="A44" s="267" t="s">
        <v>426</v>
      </c>
      <c r="B44" s="268"/>
      <c r="C44" s="268"/>
      <c r="D44" s="268"/>
      <c r="E44" s="269"/>
      <c r="F44" s="1377">
        <v>0</v>
      </c>
      <c r="G44" s="1443"/>
      <c r="H44" s="1299">
        <f>F44*$AC$25</f>
        <v>0</v>
      </c>
      <c r="I44" s="1301"/>
      <c r="J44" s="1300"/>
      <c r="K44" s="1300"/>
      <c r="L44" s="1299"/>
      <c r="M44" s="1300"/>
      <c r="N44" s="1299">
        <f t="shared" si="1"/>
        <v>0</v>
      </c>
      <c r="O44" s="1301"/>
      <c r="P44" s="1299"/>
      <c r="Q44" s="1301"/>
      <c r="R44" s="1300"/>
      <c r="S44" s="1300"/>
      <c r="T44" s="1299"/>
      <c r="U44" s="1301"/>
      <c r="V44" s="263"/>
      <c r="W44" s="263"/>
      <c r="X44" s="590">
        <f>X43/3600</f>
        <v>7.4999999999999997E-3</v>
      </c>
      <c r="Y44" s="589" t="s">
        <v>763</v>
      </c>
      <c r="Z44" s="263"/>
      <c r="AA44" s="263"/>
      <c r="AB44" s="263"/>
      <c r="AC44" s="263"/>
      <c r="AD44" s="263"/>
      <c r="AE44" s="263"/>
      <c r="AF44" s="263"/>
      <c r="AG44" s="263"/>
      <c r="AH44" s="263"/>
      <c r="AI44" s="263"/>
      <c r="AJ44" s="263"/>
      <c r="AK44" s="264"/>
      <c r="AL44" s="258"/>
      <c r="AM44" s="259"/>
      <c r="AN44" s="259"/>
      <c r="AO44" s="259"/>
      <c r="AP44" s="259"/>
      <c r="AQ44" s="259"/>
      <c r="AR44" s="265">
        <v>4.0030000000000001</v>
      </c>
      <c r="AS44" s="259"/>
      <c r="AT44" s="266"/>
      <c r="AU44" s="259"/>
      <c r="AV44" s="259"/>
      <c r="AW44" s="266"/>
      <c r="AX44" s="259"/>
      <c r="AY44" s="258"/>
      <c r="AZ44" s="238"/>
      <c r="BA44" s="238"/>
      <c r="BB44" s="238"/>
      <c r="BC44" s="238"/>
      <c r="BD44" s="238"/>
      <c r="BE44" s="239" t="s">
        <v>653</v>
      </c>
      <c r="BF44" s="239">
        <v>0</v>
      </c>
      <c r="BG44" s="239">
        <v>1E-4</v>
      </c>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row>
    <row r="45" spans="1:94" s="240" customFormat="1" ht="14.25" customHeight="1">
      <c r="A45" s="267" t="s">
        <v>427</v>
      </c>
      <c r="B45" s="268"/>
      <c r="C45" s="268"/>
      <c r="D45" s="268"/>
      <c r="E45" s="269"/>
      <c r="F45" s="1377">
        <v>0</v>
      </c>
      <c r="G45" s="1443"/>
      <c r="H45" s="1299">
        <f t="shared" si="0"/>
        <v>0</v>
      </c>
      <c r="I45" s="1301"/>
      <c r="J45" s="1300"/>
      <c r="K45" s="1300"/>
      <c r="L45" s="1299"/>
      <c r="M45" s="1300"/>
      <c r="N45" s="1299">
        <f t="shared" si="1"/>
        <v>0</v>
      </c>
      <c r="O45" s="1301"/>
      <c r="P45" s="1299"/>
      <c r="Q45" s="1301"/>
      <c r="R45" s="1299"/>
      <c r="S45" s="1301"/>
      <c r="T45" s="1299"/>
      <c r="U45" s="1301"/>
      <c r="V45" s="263"/>
      <c r="W45" s="263"/>
      <c r="X45" s="589">
        <v>96500</v>
      </c>
      <c r="Y45" s="589" t="s">
        <v>617</v>
      </c>
      <c r="Z45" s="263" t="s">
        <v>764</v>
      </c>
      <c r="AA45" s="263"/>
      <c r="AB45" s="263"/>
      <c r="AC45" s="263"/>
      <c r="AD45" s="263"/>
      <c r="AE45" s="263"/>
      <c r="AF45" s="263"/>
      <c r="AG45" s="263"/>
      <c r="AH45" s="263"/>
      <c r="AI45" s="263"/>
      <c r="AJ45" s="263"/>
      <c r="AK45" s="264"/>
      <c r="AL45" s="258"/>
      <c r="AM45" s="259"/>
      <c r="AN45" s="259">
        <v>2</v>
      </c>
      <c r="AO45" s="259"/>
      <c r="AP45" s="259"/>
      <c r="AQ45" s="259">
        <v>1</v>
      </c>
      <c r="AR45" s="265">
        <f t="shared" si="2"/>
        <v>34.015999999999998</v>
      </c>
      <c r="AS45" s="259">
        <f t="shared" si="3"/>
        <v>1.5</v>
      </c>
      <c r="AT45" s="266">
        <f t="shared" si="4"/>
        <v>5.6428571428571432</v>
      </c>
      <c r="AU45" s="259">
        <f t="shared" si="5"/>
        <v>0</v>
      </c>
      <c r="AV45" s="259">
        <f t="shared" si="6"/>
        <v>1</v>
      </c>
      <c r="AW45" s="266">
        <f t="shared" si="7"/>
        <v>5.6428571428571432</v>
      </c>
      <c r="AX45" s="259">
        <f t="shared" si="8"/>
        <v>1</v>
      </c>
      <c r="AY45" s="258"/>
      <c r="AZ45" s="238"/>
      <c r="BA45" s="238"/>
      <c r="BB45" s="238"/>
      <c r="BC45" s="238"/>
      <c r="BD45" s="238"/>
      <c r="BE45" s="239" t="s">
        <v>654</v>
      </c>
      <c r="BF45" s="239">
        <v>0</v>
      </c>
      <c r="BG45" s="239">
        <v>4.0000000000000002E-4</v>
      </c>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row>
    <row r="46" spans="1:94" s="240" customFormat="1" ht="14.25" customHeight="1">
      <c r="A46" s="267" t="s">
        <v>428</v>
      </c>
      <c r="B46" s="268"/>
      <c r="C46" s="268"/>
      <c r="D46" s="268"/>
      <c r="E46" s="269"/>
      <c r="F46" s="1377">
        <v>0</v>
      </c>
      <c r="G46" s="1443"/>
      <c r="H46" s="1299">
        <f t="shared" si="0"/>
        <v>0</v>
      </c>
      <c r="I46" s="1301"/>
      <c r="J46" s="1300">
        <f>SUMPRODUCT(H32:H52,AS32:AS52)-H46</f>
        <v>11973.901985111666</v>
      </c>
      <c r="K46" s="1300"/>
      <c r="L46" s="1299">
        <v>0</v>
      </c>
      <c r="M46" s="1300"/>
      <c r="N46" s="1299">
        <f t="shared" si="1"/>
        <v>383164.86352357332</v>
      </c>
      <c r="O46" s="1301"/>
      <c r="P46" s="1299">
        <f t="shared" ref="P46:P52" si="9">R46/$R$53</f>
        <v>6.5640308933690545E-4</v>
      </c>
      <c r="Q46" s="1301"/>
      <c r="R46" s="1300">
        <f>L46+SUMPRODUCT(R33:R45,$AS33:$AS45)</f>
        <v>41.364069739544078</v>
      </c>
      <c r="S46" s="1300"/>
      <c r="T46" s="1299">
        <f>R46*$AR46</f>
        <v>1323.6502316654105</v>
      </c>
      <c r="U46" s="1301"/>
      <c r="V46" s="263"/>
      <c r="W46" s="263"/>
      <c r="X46" s="263"/>
      <c r="Y46" s="263"/>
      <c r="Z46" s="263"/>
      <c r="AA46" s="263"/>
      <c r="AB46" s="263"/>
      <c r="AC46" s="263"/>
      <c r="AD46" s="263"/>
      <c r="AE46" s="263"/>
      <c r="AF46" s="263"/>
      <c r="AG46" s="263"/>
      <c r="AH46" s="263"/>
      <c r="AI46" s="263"/>
      <c r="AJ46" s="263"/>
      <c r="AK46" s="264"/>
      <c r="AL46" s="258"/>
      <c r="AM46" s="259"/>
      <c r="AN46" s="259"/>
      <c r="AO46" s="259">
        <v>2</v>
      </c>
      <c r="AP46" s="259"/>
      <c r="AQ46" s="259"/>
      <c r="AR46" s="265">
        <f t="shared" si="2"/>
        <v>32</v>
      </c>
      <c r="AS46" s="259">
        <f t="shared" si="3"/>
        <v>0</v>
      </c>
      <c r="AT46" s="266">
        <f t="shared" si="4"/>
        <v>0</v>
      </c>
      <c r="AU46" s="259">
        <f t="shared" si="5"/>
        <v>0</v>
      </c>
      <c r="AV46" s="259">
        <f t="shared" si="6"/>
        <v>0</v>
      </c>
      <c r="AW46" s="266">
        <f t="shared" si="7"/>
        <v>0</v>
      </c>
      <c r="AX46" s="259">
        <f t="shared" si="8"/>
        <v>0</v>
      </c>
      <c r="AY46" s="258"/>
      <c r="AZ46" s="238"/>
      <c r="BA46" s="238"/>
      <c r="BB46" s="238"/>
      <c r="BC46" s="238"/>
      <c r="BD46" s="238"/>
      <c r="BE46" s="239" t="s">
        <v>655</v>
      </c>
      <c r="BF46" s="239">
        <v>0</v>
      </c>
      <c r="BG46" s="239">
        <v>2.0000000000000001E-4</v>
      </c>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row>
    <row r="47" spans="1:94" s="240" customFormat="1" ht="14.25" customHeight="1">
      <c r="A47" s="267" t="s">
        <v>429</v>
      </c>
      <c r="B47" s="268"/>
      <c r="C47" s="268"/>
      <c r="D47" s="268"/>
      <c r="E47" s="269"/>
      <c r="F47" s="1377">
        <v>1.5E-3</v>
      </c>
      <c r="G47" s="1443"/>
      <c r="H47" s="1299">
        <f t="shared" si="0"/>
        <v>8.9795285359801493</v>
      </c>
      <c r="I47" s="1301"/>
      <c r="J47" s="1300">
        <f>0.79/0.21*J46</f>
        <v>45044.678896372461</v>
      </c>
      <c r="K47" s="1301"/>
      <c r="L47" s="1299">
        <f>0.71/0.29*L46</f>
        <v>0</v>
      </c>
      <c r="M47" s="1300"/>
      <c r="N47" s="1299">
        <f t="shared" si="1"/>
        <v>1261502.4358974365</v>
      </c>
      <c r="O47" s="1301"/>
      <c r="P47" s="1299">
        <f t="shared" si="9"/>
        <v>0.71492507822389051</v>
      </c>
      <c r="Q47" s="1301"/>
      <c r="R47" s="1299">
        <f>$H47+J47+L47-R50/2</f>
        <v>45051.906785014813</v>
      </c>
      <c r="S47" s="1301"/>
      <c r="T47" s="1340">
        <f>R47*$AR47</f>
        <v>1261453.3899804149</v>
      </c>
      <c r="U47" s="1342"/>
      <c r="V47" s="263"/>
      <c r="W47" s="263"/>
      <c r="X47" s="263"/>
      <c r="Y47" s="263"/>
      <c r="Z47" s="263"/>
      <c r="AA47" s="263"/>
      <c r="AB47" s="263"/>
      <c r="AC47" s="263"/>
      <c r="AD47" s="263"/>
      <c r="AE47" s="263"/>
      <c r="AF47" s="263"/>
      <c r="AG47" s="263"/>
      <c r="AH47" s="263"/>
      <c r="AI47" s="263"/>
      <c r="AJ47" s="263"/>
      <c r="AK47" s="264"/>
      <c r="AL47" s="258"/>
      <c r="AM47" s="259"/>
      <c r="AN47" s="259"/>
      <c r="AO47" s="259"/>
      <c r="AP47" s="259">
        <v>2</v>
      </c>
      <c r="AQ47" s="259"/>
      <c r="AR47" s="265">
        <f t="shared" si="2"/>
        <v>28</v>
      </c>
      <c r="AS47" s="259">
        <f t="shared" si="3"/>
        <v>0</v>
      </c>
      <c r="AT47" s="266">
        <f t="shared" si="4"/>
        <v>0</v>
      </c>
      <c r="AU47" s="259">
        <f t="shared" si="5"/>
        <v>0</v>
      </c>
      <c r="AV47" s="259">
        <f t="shared" si="6"/>
        <v>0</v>
      </c>
      <c r="AW47" s="266">
        <f t="shared" si="7"/>
        <v>1</v>
      </c>
      <c r="AX47" s="259">
        <f t="shared" si="8"/>
        <v>0</v>
      </c>
      <c r="AY47" s="258"/>
      <c r="AZ47" s="238"/>
      <c r="BA47" s="238"/>
      <c r="BB47" s="238"/>
      <c r="BC47" s="238"/>
      <c r="BD47" s="238"/>
      <c r="BE47" s="239" t="s">
        <v>656</v>
      </c>
      <c r="BF47" s="239">
        <v>1.5E-3</v>
      </c>
      <c r="BG47" s="239">
        <v>0</v>
      </c>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row>
    <row r="48" spans="1:94" s="240" customFormat="1" ht="14.25" customHeight="1">
      <c r="A48" s="267" t="s">
        <v>115</v>
      </c>
      <c r="B48" s="268"/>
      <c r="C48" s="268"/>
      <c r="D48" s="268"/>
      <c r="E48" s="269"/>
      <c r="F48" s="1377">
        <v>0</v>
      </c>
      <c r="G48" s="1443"/>
      <c r="H48" s="1299">
        <f t="shared" si="0"/>
        <v>0</v>
      </c>
      <c r="I48" s="1301"/>
      <c r="J48" s="1300"/>
      <c r="K48" s="1300"/>
      <c r="L48" s="1299"/>
      <c r="M48" s="1300"/>
      <c r="N48" s="1299">
        <f t="shared" si="1"/>
        <v>0</v>
      </c>
      <c r="O48" s="1301"/>
      <c r="P48" s="1299">
        <f t="shared" si="9"/>
        <v>4.9677497741658274E-4</v>
      </c>
      <c r="Q48" s="1301"/>
      <c r="R48" s="1300">
        <f>T48/$AR$48</f>
        <v>31.304902649800251</v>
      </c>
      <c r="S48" s="1300"/>
      <c r="T48" s="1299">
        <f>$AC17*$X25</f>
        <v>876.85032322090501</v>
      </c>
      <c r="U48" s="1301"/>
      <c r="V48" s="263"/>
      <c r="W48" s="263"/>
      <c r="X48" s="263"/>
      <c r="Y48" s="263"/>
      <c r="Z48" s="263"/>
      <c r="AA48" s="263"/>
      <c r="AB48" s="263"/>
      <c r="AC48" s="263"/>
      <c r="AD48" s="263"/>
      <c r="AE48" s="263"/>
      <c r="AF48" s="263"/>
      <c r="AG48" s="263"/>
      <c r="AH48" s="263"/>
      <c r="AI48" s="263"/>
      <c r="AJ48" s="263"/>
      <c r="AK48" s="264"/>
      <c r="AL48" s="258"/>
      <c r="AM48" s="258">
        <v>1</v>
      </c>
      <c r="AN48" s="258"/>
      <c r="AO48" s="258">
        <v>1</v>
      </c>
      <c r="AP48" s="258"/>
      <c r="AQ48" s="258"/>
      <c r="AR48" s="265">
        <f t="shared" si="2"/>
        <v>28.009999999999998</v>
      </c>
      <c r="AS48" s="259"/>
      <c r="AT48" s="258"/>
      <c r="AU48" s="258"/>
      <c r="AV48" s="258"/>
      <c r="AW48" s="258"/>
      <c r="AX48" s="258"/>
      <c r="AY48" s="258"/>
      <c r="AZ48" s="238"/>
      <c r="BA48" s="238"/>
      <c r="BB48" s="238"/>
      <c r="BC48" s="238"/>
      <c r="BD48" s="238"/>
      <c r="BE48" s="239" t="s">
        <v>657</v>
      </c>
      <c r="BF48" s="239">
        <v>1E-4</v>
      </c>
      <c r="BG48" s="239">
        <v>0</v>
      </c>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38"/>
      <c r="CN48" s="238"/>
      <c r="CO48" s="238"/>
      <c r="CP48" s="238"/>
    </row>
    <row r="49" spans="1:94" s="240" customFormat="1" ht="14.25" customHeight="1">
      <c r="A49" s="267" t="s">
        <v>126</v>
      </c>
      <c r="B49" s="268"/>
      <c r="C49" s="268"/>
      <c r="D49" s="268"/>
      <c r="E49" s="269"/>
      <c r="F49" s="1377">
        <v>8.0000000000000004E-4</v>
      </c>
      <c r="G49" s="1443"/>
      <c r="H49" s="1299">
        <f t="shared" si="0"/>
        <v>4.7890818858560795</v>
      </c>
      <c r="I49" s="1301"/>
      <c r="J49" s="1300"/>
      <c r="K49" s="1300"/>
      <c r="L49" s="1299"/>
      <c r="M49" s="1300"/>
      <c r="N49" s="1299">
        <f t="shared" si="1"/>
        <v>210.76749379652605</v>
      </c>
      <c r="O49" s="1301"/>
      <c r="P49" s="1299">
        <f t="shared" si="9"/>
        <v>9.4333461424103718E-2</v>
      </c>
      <c r="Q49" s="1301"/>
      <c r="R49" s="1300">
        <f>SUMPRODUCT($H32:$H52,$AU32:$AU52)+$H49-R48-SUMPRODUCT(R33:R43,$AU33:$AU43)</f>
        <v>5944.5422188079747</v>
      </c>
      <c r="S49" s="1300"/>
      <c r="T49" s="1299">
        <f>R49*$AR49</f>
        <v>261619.30304973896</v>
      </c>
      <c r="U49" s="1301"/>
      <c r="V49" s="263"/>
      <c r="W49" s="263"/>
      <c r="X49" s="263"/>
      <c r="Y49" s="263"/>
      <c r="Z49" s="263"/>
      <c r="AA49" s="263"/>
      <c r="AB49" s="263"/>
      <c r="AC49" s="263"/>
      <c r="AD49" s="263"/>
      <c r="AE49" s="263"/>
      <c r="AF49" s="263"/>
      <c r="AG49" s="263"/>
      <c r="AH49" s="263"/>
      <c r="AI49" s="263"/>
      <c r="AJ49" s="263"/>
      <c r="AK49" s="264"/>
      <c r="AL49" s="258"/>
      <c r="AM49" s="259">
        <v>1</v>
      </c>
      <c r="AN49" s="259"/>
      <c r="AO49" s="259">
        <v>2</v>
      </c>
      <c r="AP49" s="259"/>
      <c r="AQ49" s="259"/>
      <c r="AR49" s="265">
        <f>AM49*12.01+AN49*1.008+AO49*16+AP49*14+AQ49*32</f>
        <v>44.01</v>
      </c>
      <c r="AS49" s="259"/>
      <c r="AT49" s="259"/>
      <c r="AU49" s="259"/>
      <c r="AV49" s="259"/>
      <c r="AW49" s="259"/>
      <c r="AX49" s="259"/>
      <c r="AY49" s="258"/>
      <c r="AZ49" s="238"/>
      <c r="BA49" s="238"/>
      <c r="BB49" s="238"/>
      <c r="BC49" s="238"/>
      <c r="BD49" s="238"/>
      <c r="BE49" s="239" t="s">
        <v>658</v>
      </c>
      <c r="BF49" s="239">
        <v>0</v>
      </c>
      <c r="BG49" s="239">
        <v>0</v>
      </c>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row>
    <row r="50" spans="1:94" s="240" customFormat="1" ht="14.25" customHeight="1">
      <c r="A50" s="267" t="s">
        <v>430</v>
      </c>
      <c r="B50" s="268"/>
      <c r="C50" s="268"/>
      <c r="D50" s="268"/>
      <c r="E50" s="269"/>
      <c r="F50" s="1377">
        <v>0</v>
      </c>
      <c r="G50" s="1443"/>
      <c r="H50" s="1299">
        <f t="shared" si="0"/>
        <v>0</v>
      </c>
      <c r="I50" s="1301"/>
      <c r="J50" s="1300"/>
      <c r="K50" s="1300"/>
      <c r="L50" s="1299"/>
      <c r="M50" s="1300"/>
      <c r="N50" s="1299">
        <f t="shared" si="1"/>
        <v>0</v>
      </c>
      <c r="O50" s="1301"/>
      <c r="P50" s="1299">
        <f t="shared" si="9"/>
        <v>5.5593264629013921E-5</v>
      </c>
      <c r="Q50" s="1301"/>
      <c r="R50" s="1300">
        <f>T50/$AR50</f>
        <v>3.50327978725156</v>
      </c>
      <c r="S50" s="1300"/>
      <c r="T50" s="1299">
        <f>$W17*$X25</f>
        <v>161.15087021357175</v>
      </c>
      <c r="U50" s="1301"/>
      <c r="V50" s="263"/>
      <c r="W50" s="263"/>
      <c r="X50" s="263"/>
      <c r="Y50" s="263"/>
      <c r="Z50" s="263"/>
      <c r="AA50" s="263"/>
      <c r="AB50" s="263"/>
      <c r="AC50" s="263"/>
      <c r="AD50" s="263"/>
      <c r="AE50" s="263"/>
      <c r="AF50" s="263"/>
      <c r="AG50" s="263"/>
      <c r="AH50" s="263"/>
      <c r="AI50" s="263"/>
      <c r="AJ50" s="263"/>
      <c r="AK50" s="264"/>
      <c r="AL50" s="258"/>
      <c r="AM50" s="258"/>
      <c r="AN50" s="258"/>
      <c r="AO50" s="258">
        <v>2</v>
      </c>
      <c r="AP50" s="258">
        <v>1</v>
      </c>
      <c r="AQ50" s="258"/>
      <c r="AR50" s="265">
        <f>AM50*12.01+AN50*1.008+AO50*16+AP50*14+AQ50*32</f>
        <v>46</v>
      </c>
      <c r="AS50" s="259"/>
      <c r="AT50" s="258"/>
      <c r="AU50" s="258"/>
      <c r="AV50" s="258"/>
      <c r="AW50" s="258"/>
      <c r="AX50" s="258"/>
      <c r="AY50" s="258"/>
      <c r="AZ50" s="238"/>
      <c r="BA50" s="238"/>
      <c r="BB50" s="238"/>
      <c r="BC50" s="238"/>
      <c r="BD50" s="238"/>
      <c r="BE50" s="239" t="s">
        <v>659</v>
      </c>
      <c r="BF50" s="239">
        <v>0</v>
      </c>
      <c r="BG50" s="239">
        <v>0</v>
      </c>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38"/>
      <c r="CN50" s="238"/>
      <c r="CO50" s="238"/>
      <c r="CP50" s="238"/>
    </row>
    <row r="51" spans="1:94" s="240" customFormat="1" ht="14.25" customHeight="1">
      <c r="A51" s="267" t="s">
        <v>124</v>
      </c>
      <c r="B51" s="268"/>
      <c r="C51" s="268"/>
      <c r="D51" s="268"/>
      <c r="E51" s="269"/>
      <c r="F51" s="1377">
        <v>0</v>
      </c>
      <c r="G51" s="1443"/>
      <c r="H51" s="1299">
        <f t="shared" si="0"/>
        <v>0</v>
      </c>
      <c r="I51" s="1301"/>
      <c r="J51" s="1300"/>
      <c r="K51" s="1300"/>
      <c r="L51" s="1299"/>
      <c r="M51" s="1300"/>
      <c r="N51" s="1299">
        <f t="shared" si="1"/>
        <v>0</v>
      </c>
      <c r="O51" s="1301"/>
      <c r="P51" s="1299">
        <f t="shared" si="9"/>
        <v>0</v>
      </c>
      <c r="Q51" s="1301"/>
      <c r="R51" s="1299">
        <f>SUMPRODUCT(H32:H52,$AX32:$AX52)+H51</f>
        <v>0</v>
      </c>
      <c r="S51" s="1300"/>
      <c r="T51" s="1299">
        <f>R51*$AR51</f>
        <v>0</v>
      </c>
      <c r="U51" s="1301"/>
      <c r="V51" s="263"/>
      <c r="W51" s="263"/>
      <c r="X51" s="263"/>
      <c r="Y51" s="263"/>
      <c r="Z51" s="263"/>
      <c r="AA51" s="263"/>
      <c r="AB51" s="263"/>
      <c r="AC51" s="263"/>
      <c r="AD51" s="263"/>
      <c r="AE51" s="263"/>
      <c r="AF51" s="263"/>
      <c r="AG51" s="263"/>
      <c r="AH51" s="263"/>
      <c r="AI51" s="263"/>
      <c r="AJ51" s="263"/>
      <c r="AK51" s="264"/>
      <c r="AL51" s="258"/>
      <c r="AM51" s="258"/>
      <c r="AN51" s="258"/>
      <c r="AO51" s="258">
        <v>2</v>
      </c>
      <c r="AP51" s="258"/>
      <c r="AQ51" s="258">
        <v>1</v>
      </c>
      <c r="AR51" s="265">
        <f>AM51*12.01+AN51*1.008+AO51*16+AP51*14+AQ51*32</f>
        <v>64</v>
      </c>
      <c r="AS51" s="259"/>
      <c r="AT51" s="258"/>
      <c r="AU51" s="258"/>
      <c r="AV51" s="258"/>
      <c r="AW51" s="258"/>
      <c r="AX51" s="258"/>
      <c r="AY51" s="258"/>
      <c r="AZ51" s="238"/>
      <c r="BA51" s="238"/>
      <c r="BB51" s="238"/>
      <c r="BC51" s="238"/>
      <c r="BD51" s="238"/>
      <c r="BE51" s="239" t="s">
        <v>660</v>
      </c>
      <c r="BF51" s="239">
        <v>0</v>
      </c>
      <c r="BG51" s="239">
        <v>0</v>
      </c>
      <c r="BH51" s="238"/>
      <c r="BI51" s="238"/>
      <c r="BJ51" s="238"/>
      <c r="BK51" s="238"/>
      <c r="BL51" s="238"/>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38"/>
      <c r="CN51" s="238"/>
      <c r="CO51" s="238"/>
      <c r="CP51" s="238"/>
    </row>
    <row r="52" spans="1:94" s="240" customFormat="1" ht="14.25" customHeight="1">
      <c r="A52" s="273" t="s">
        <v>431</v>
      </c>
      <c r="B52" s="274"/>
      <c r="C52" s="274"/>
      <c r="D52" s="274"/>
      <c r="E52" s="274"/>
      <c r="F52" s="1444">
        <v>0</v>
      </c>
      <c r="G52" s="1445"/>
      <c r="H52" s="1299">
        <f t="shared" si="0"/>
        <v>0</v>
      </c>
      <c r="I52" s="1301"/>
      <c r="J52" s="1384"/>
      <c r="K52" s="1384"/>
      <c r="L52" s="1382"/>
      <c r="M52" s="1384"/>
      <c r="N52" s="1299">
        <f t="shared" si="1"/>
        <v>0</v>
      </c>
      <c r="O52" s="1301"/>
      <c r="P52" s="1343">
        <f t="shared" si="9"/>
        <v>0.18920448747595484</v>
      </c>
      <c r="Q52" s="1345"/>
      <c r="R52" s="1300">
        <f>SUMPRODUCT(H32:H52,$AV32:$AV52)+H52-SUMPRODUCT(R33:R43,$AV33:$AV43)</f>
        <v>11922.959751600407</v>
      </c>
      <c r="S52" s="1300"/>
      <c r="T52" s="1382">
        <f>R52*$AR52</f>
        <v>214804.04288483292</v>
      </c>
      <c r="U52" s="1383"/>
      <c r="V52" s="263"/>
      <c r="W52" s="263"/>
      <c r="X52" s="263"/>
      <c r="Y52" s="263"/>
      <c r="Z52" s="263"/>
      <c r="AA52" s="263"/>
      <c r="AB52" s="263"/>
      <c r="AC52" s="263"/>
      <c r="AD52" s="263"/>
      <c r="AE52" s="263"/>
      <c r="AF52" s="263"/>
      <c r="AG52" s="263"/>
      <c r="AH52" s="263"/>
      <c r="AI52" s="263"/>
      <c r="AJ52" s="263"/>
      <c r="AK52" s="264"/>
      <c r="AL52" s="258"/>
      <c r="AM52" s="258"/>
      <c r="AN52" s="258">
        <v>2</v>
      </c>
      <c r="AO52" s="258">
        <v>1</v>
      </c>
      <c r="AP52" s="258"/>
      <c r="AQ52" s="258"/>
      <c r="AR52" s="265">
        <f>AM52*12.01+AN52*1.008+AO52*16+AP52*14+AQ52*32</f>
        <v>18.015999999999998</v>
      </c>
      <c r="AS52" s="259"/>
      <c r="AT52" s="258"/>
      <c r="AU52" s="258"/>
      <c r="AV52" s="258"/>
      <c r="AW52" s="258"/>
      <c r="AX52" s="258"/>
      <c r="AY52" s="258"/>
      <c r="AZ52" s="238"/>
      <c r="BA52" s="238"/>
      <c r="BB52" s="238"/>
      <c r="BC52" s="238"/>
      <c r="BD52" s="238"/>
      <c r="BE52" s="239" t="s">
        <v>661</v>
      </c>
      <c r="BF52" s="239">
        <v>0</v>
      </c>
      <c r="BG52" s="239">
        <v>0</v>
      </c>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row>
    <row r="53" spans="1:94" s="240" customFormat="1" ht="14.25" customHeight="1">
      <c r="A53" s="1391" t="s">
        <v>663</v>
      </c>
      <c r="B53" s="1392"/>
      <c r="C53" s="1392"/>
      <c r="D53" s="1392"/>
      <c r="E53" s="1393"/>
      <c r="F53" s="1394">
        <f>SUM(F32:F52)</f>
        <v>1</v>
      </c>
      <c r="G53" s="1395"/>
      <c r="H53" s="1371">
        <f>SUM(H32:H52)</f>
        <v>5986.3523573201001</v>
      </c>
      <c r="I53" s="1373"/>
      <c r="J53" s="1396">
        <f>SUM(J32:J52)</f>
        <v>57018.580881484129</v>
      </c>
      <c r="K53" s="1396"/>
      <c r="L53" s="1371">
        <f>SUM(L32:L52)</f>
        <v>0</v>
      </c>
      <c r="M53" s="1372"/>
      <c r="N53" s="1385">
        <f>SUM(N32:N52)</f>
        <v>1740958.9420326725</v>
      </c>
      <c r="O53" s="1386"/>
      <c r="P53" s="1385">
        <f>SUM(P32:P52)</f>
        <v>1</v>
      </c>
      <c r="Q53" s="1386"/>
      <c r="R53" s="1371">
        <f>SUM(R32:R52)</f>
        <v>63016.26304246956</v>
      </c>
      <c r="S53" s="1373"/>
      <c r="T53" s="1387">
        <f>SUM(T32:T52)</f>
        <v>1740570.1685434675</v>
      </c>
      <c r="U53" s="1388"/>
      <c r="V53" s="275"/>
      <c r="W53" s="275"/>
      <c r="X53" s="30"/>
      <c r="Y53" s="30"/>
      <c r="Z53" s="276"/>
      <c r="AA53" s="276"/>
      <c r="AB53" s="30"/>
      <c r="AC53" s="30"/>
      <c r="AD53" s="277"/>
      <c r="AE53" s="277"/>
      <c r="AF53" s="263"/>
      <c r="AG53" s="263"/>
      <c r="AH53" s="30"/>
      <c r="AI53" s="30"/>
      <c r="AJ53" s="277"/>
      <c r="AK53" s="278"/>
      <c r="AL53" s="238"/>
      <c r="AM53" s="238"/>
      <c r="AN53" s="238"/>
      <c r="AO53" s="238"/>
      <c r="AP53" s="238"/>
      <c r="AQ53" s="238"/>
      <c r="AR53" s="238"/>
      <c r="AS53" s="238"/>
      <c r="AT53" s="238"/>
      <c r="AU53" s="238"/>
      <c r="AV53" s="238"/>
      <c r="AW53" s="238"/>
      <c r="AX53" s="238"/>
      <c r="AY53" s="238"/>
      <c r="AZ53" s="238"/>
      <c r="BA53" s="238"/>
      <c r="BB53" s="238"/>
      <c r="BC53" s="238"/>
      <c r="BD53" s="238"/>
      <c r="BE53" s="239" t="s">
        <v>662</v>
      </c>
      <c r="BF53" s="239">
        <v>0</v>
      </c>
      <c r="BG53" s="239">
        <v>0</v>
      </c>
      <c r="BH53" s="238"/>
      <c r="BI53" s="238"/>
      <c r="BJ53" s="238"/>
      <c r="BK53" s="238"/>
      <c r="BL53" s="238"/>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38"/>
      <c r="CN53" s="238"/>
      <c r="CO53" s="238"/>
      <c r="CP53" s="238"/>
    </row>
    <row r="54" spans="1:94" s="240" customFormat="1" ht="14.25" customHeight="1">
      <c r="A54" s="475" t="s">
        <v>665</v>
      </c>
      <c r="B54" s="476"/>
      <c r="C54" s="476"/>
      <c r="D54" s="476"/>
      <c r="E54" s="435"/>
      <c r="F54" s="435"/>
      <c r="G54" s="435"/>
      <c r="H54" s="435"/>
      <c r="I54" s="435"/>
      <c r="J54" s="435"/>
      <c r="K54" s="435"/>
      <c r="L54" s="1189" t="s">
        <v>666</v>
      </c>
      <c r="M54" s="1190"/>
      <c r="N54" s="477"/>
      <c r="O54" s="30" t="s">
        <v>617</v>
      </c>
      <c r="P54" s="1446" t="s">
        <v>332</v>
      </c>
      <c r="Q54" s="1446"/>
      <c r="T54" s="478"/>
      <c r="U54" s="478"/>
      <c r="V54" s="478"/>
      <c r="W54" s="478"/>
      <c r="X54" s="478"/>
      <c r="Y54" s="478"/>
      <c r="Z54" s="478"/>
      <c r="AA54" s="478"/>
      <c r="AB54" s="478"/>
      <c r="AC54" s="478"/>
      <c r="AD54" s="478"/>
      <c r="AE54" s="478"/>
      <c r="AF54" s="478"/>
      <c r="AG54" s="478"/>
      <c r="AH54" s="478"/>
      <c r="AI54" s="479"/>
      <c r="AJ54" s="479"/>
      <c r="AK54" s="480"/>
      <c r="AL54" s="481"/>
      <c r="AM54" s="238"/>
      <c r="AN54" s="238"/>
      <c r="AO54" s="238"/>
      <c r="AP54" s="238"/>
      <c r="AQ54" s="238"/>
      <c r="AR54" s="238"/>
      <c r="AS54" s="238"/>
      <c r="AT54" s="238"/>
      <c r="AU54" s="238"/>
      <c r="AV54" s="238"/>
      <c r="AW54" s="238"/>
      <c r="AX54" s="238"/>
      <c r="AY54" s="238"/>
      <c r="AZ54" s="238"/>
      <c r="BA54" s="238"/>
      <c r="BB54" s="238"/>
      <c r="BC54" s="238"/>
      <c r="BD54" s="238"/>
      <c r="BE54" s="239" t="s">
        <v>664</v>
      </c>
      <c r="BF54" s="239">
        <v>0</v>
      </c>
      <c r="BG54" s="239">
        <v>0</v>
      </c>
      <c r="BH54" s="238"/>
      <c r="BI54" s="238"/>
      <c r="BJ54" s="238"/>
      <c r="BK54" s="238"/>
      <c r="BL54" s="238"/>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38"/>
      <c r="CN54" s="238"/>
      <c r="CO54" s="238"/>
      <c r="CP54" s="238"/>
    </row>
    <row r="55" spans="1:94" s="240" customFormat="1" ht="14.25" customHeight="1">
      <c r="A55" s="273" t="s">
        <v>668</v>
      </c>
      <c r="B55" s="30"/>
      <c r="C55" s="30"/>
      <c r="D55" s="30"/>
      <c r="E55" s="30"/>
      <c r="F55" s="30"/>
      <c r="G55" s="30"/>
      <c r="H55" s="30"/>
      <c r="I55" s="30"/>
      <c r="J55" s="30"/>
      <c r="K55" s="30"/>
      <c r="L55" s="1185">
        <f>N55*1000/3600</f>
        <v>44.764130614881047</v>
      </c>
      <c r="M55" s="1186"/>
      <c r="N55" s="1439">
        <f>W17*$X$25</f>
        <v>161.15087021357175</v>
      </c>
      <c r="O55" s="1439"/>
      <c r="P55" s="1403">
        <f>N55*$X$44/1000</f>
        <v>1.2086315266017882E-3</v>
      </c>
      <c r="Q55" s="1403"/>
      <c r="T55" s="478"/>
      <c r="U55" s="478"/>
      <c r="V55" s="478"/>
      <c r="W55" s="478"/>
      <c r="X55" s="478"/>
      <c r="Y55" s="478"/>
      <c r="Z55" s="478"/>
      <c r="AA55" s="478"/>
      <c r="AB55" s="478"/>
      <c r="AC55" s="478"/>
      <c r="AD55" s="478"/>
      <c r="AE55" s="478"/>
      <c r="AF55" s="478"/>
      <c r="AG55" s="478"/>
      <c r="AH55" s="478"/>
      <c r="AI55" s="30"/>
      <c r="AJ55" s="30"/>
      <c r="AK55" s="253"/>
      <c r="AL55" s="238"/>
      <c r="AM55" s="238"/>
      <c r="AN55" s="238"/>
      <c r="AO55" s="482"/>
      <c r="AP55" s="238"/>
      <c r="AQ55" s="238"/>
      <c r="AR55" s="238"/>
      <c r="AS55" s="238"/>
      <c r="AT55" s="238"/>
      <c r="AU55" s="238"/>
      <c r="AV55" s="238"/>
      <c r="AW55" s="238"/>
      <c r="AX55" s="238"/>
      <c r="AY55" s="238"/>
      <c r="AZ55" s="238"/>
      <c r="BA55" s="238"/>
      <c r="BB55" s="238"/>
      <c r="BC55" s="238"/>
      <c r="BD55" s="238"/>
      <c r="BE55" s="239" t="s">
        <v>669</v>
      </c>
      <c r="BF55" s="239">
        <v>0</v>
      </c>
      <c r="BG55" s="239">
        <v>1.5800000000000002E-2</v>
      </c>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38"/>
      <c r="CN55" s="238"/>
      <c r="CO55" s="238"/>
      <c r="CP55" s="238"/>
    </row>
    <row r="56" spans="1:94" s="240" customFormat="1" ht="14.25" customHeight="1">
      <c r="A56" s="273" t="s">
        <v>670</v>
      </c>
      <c r="B56" s="30"/>
      <c r="C56" s="30"/>
      <c r="D56" s="30"/>
      <c r="E56" s="30"/>
      <c r="F56" s="30"/>
      <c r="G56" s="30"/>
      <c r="H56" s="30"/>
      <c r="I56" s="30"/>
      <c r="J56" s="30"/>
      <c r="K56" s="30"/>
      <c r="L56" s="1185">
        <f>N56*1000/3600</f>
        <v>243.56953422802917</v>
      </c>
      <c r="M56" s="1186"/>
      <c r="N56" s="1439">
        <f>AC17*$X$25</f>
        <v>876.85032322090501</v>
      </c>
      <c r="O56" s="1439"/>
      <c r="P56" s="1403">
        <f t="shared" ref="P56:P62" si="10">N56*$X$44/1000</f>
        <v>6.5763774241567865E-3</v>
      </c>
      <c r="Q56" s="1403"/>
      <c r="T56" s="478"/>
      <c r="U56" s="478"/>
      <c r="V56" s="478"/>
      <c r="W56" s="478"/>
      <c r="X56" s="478"/>
      <c r="Y56" s="478"/>
      <c r="Z56" s="478"/>
      <c r="AA56" s="478"/>
      <c r="AB56" s="478"/>
      <c r="AC56" s="478"/>
      <c r="AD56" s="478"/>
      <c r="AE56" s="478"/>
      <c r="AF56" s="478"/>
      <c r="AG56" s="478"/>
      <c r="AH56" s="478"/>
      <c r="AI56" s="30"/>
      <c r="AJ56" s="30"/>
      <c r="AK56" s="253"/>
      <c r="AL56" s="238"/>
      <c r="AM56" s="238"/>
      <c r="AN56" s="238"/>
      <c r="AO56" s="482"/>
      <c r="AP56" s="238"/>
      <c r="AQ56" s="238"/>
      <c r="AR56" s="238"/>
      <c r="AS56" s="238"/>
      <c r="AT56" s="238"/>
      <c r="AU56" s="238"/>
      <c r="AV56" s="238"/>
      <c r="AW56" s="238"/>
      <c r="AX56" s="238"/>
      <c r="AY56" s="238"/>
      <c r="AZ56" s="238"/>
      <c r="BA56" s="238"/>
      <c r="BB56" s="238"/>
      <c r="BC56" s="238"/>
      <c r="BD56" s="238"/>
      <c r="BE56" s="239"/>
      <c r="BF56" s="239"/>
      <c r="BG56" s="239"/>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38"/>
      <c r="CN56" s="238"/>
      <c r="CO56" s="238"/>
      <c r="CP56" s="238"/>
    </row>
    <row r="57" spans="1:94" s="240" customFormat="1" ht="14.25" customHeight="1">
      <c r="A57" s="483" t="s">
        <v>748</v>
      </c>
      <c r="B57" s="484"/>
      <c r="C57" s="484"/>
      <c r="D57" s="484"/>
      <c r="E57" s="484"/>
      <c r="F57" s="484"/>
      <c r="G57" s="484"/>
      <c r="H57" s="484"/>
      <c r="I57" s="484"/>
      <c r="J57" s="484"/>
      <c r="K57" s="484"/>
      <c r="L57" s="1185">
        <f>N57*1000/3600</f>
        <v>1.5264085502449944</v>
      </c>
      <c r="M57" s="1186"/>
      <c r="N57" s="1389">
        <f>AI17*X25</f>
        <v>5.4950707808819796</v>
      </c>
      <c r="O57" s="1389"/>
      <c r="P57" s="1403">
        <f t="shared" si="10"/>
        <v>4.1213030856614844E-5</v>
      </c>
      <c r="Q57" s="1403"/>
      <c r="T57" s="478"/>
      <c r="U57" s="478"/>
      <c r="V57" s="478"/>
      <c r="W57" s="478"/>
      <c r="X57" s="478"/>
      <c r="Y57" s="478"/>
      <c r="Z57" s="478"/>
      <c r="AA57" s="478"/>
      <c r="AB57" s="478"/>
      <c r="AC57" s="478"/>
      <c r="AD57" s="478"/>
      <c r="AE57" s="478"/>
      <c r="AF57" s="478"/>
      <c r="AG57" s="478"/>
      <c r="AH57" s="478"/>
      <c r="AI57" s="484"/>
      <c r="AJ57" s="485"/>
      <c r="AK57" s="486"/>
      <c r="AL57" s="238"/>
      <c r="AM57" s="238"/>
      <c r="AN57" s="281"/>
      <c r="AO57" s="238"/>
      <c r="AP57" s="238"/>
      <c r="AQ57" s="238"/>
      <c r="AR57" s="238"/>
      <c r="AS57" s="238"/>
      <c r="AT57" s="238"/>
      <c r="AU57" s="238"/>
      <c r="AV57" s="238"/>
      <c r="AW57" s="238"/>
      <c r="AX57" s="238"/>
      <c r="AY57" s="238"/>
      <c r="AZ57" s="238"/>
      <c r="BA57" s="238"/>
      <c r="BB57" s="238"/>
      <c r="BC57" s="238"/>
      <c r="BD57" s="238"/>
      <c r="BE57" s="239" t="s">
        <v>667</v>
      </c>
      <c r="BF57" s="239">
        <v>0</v>
      </c>
      <c r="BG57" s="239">
        <v>4.4999999999999997E-3</v>
      </c>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38"/>
      <c r="CN57" s="238"/>
      <c r="CO57" s="238"/>
      <c r="CP57" s="238"/>
    </row>
    <row r="58" spans="1:94" s="240" customFormat="1" ht="14.25" customHeight="1">
      <c r="A58" s="273" t="s">
        <v>672</v>
      </c>
      <c r="B58" s="30"/>
      <c r="C58" s="30"/>
      <c r="D58" s="30"/>
      <c r="E58" s="30"/>
      <c r="F58" s="30"/>
      <c r="G58" s="30"/>
      <c r="H58" s="30"/>
      <c r="I58" s="30"/>
      <c r="J58" s="30"/>
      <c r="K58" s="30"/>
      <c r="L58" s="1185">
        <f>N58*1000/3600</f>
        <v>92.161445383578638</v>
      </c>
      <c r="M58" s="1186"/>
      <c r="N58" s="1449">
        <f>K22*$X$25</f>
        <v>331.78120338088308</v>
      </c>
      <c r="O58" s="1449"/>
      <c r="P58" s="1403">
        <f t="shared" si="10"/>
        <v>2.4883590253566229E-3</v>
      </c>
      <c r="Q58" s="1403"/>
      <c r="T58" s="478"/>
      <c r="U58" s="478"/>
      <c r="V58" s="478"/>
      <c r="W58" s="478"/>
      <c r="X58" s="478"/>
      <c r="Y58" s="478"/>
      <c r="Z58" s="478"/>
      <c r="AA58" s="478"/>
      <c r="AB58" s="478"/>
      <c r="AC58" s="478"/>
      <c r="AD58" s="478"/>
      <c r="AE58" s="478"/>
      <c r="AF58" s="478"/>
      <c r="AG58" s="478"/>
      <c r="AH58" s="478"/>
      <c r="AI58" s="30"/>
      <c r="AJ58" s="30"/>
      <c r="AK58" s="253"/>
      <c r="AL58" s="238"/>
      <c r="AM58" s="238"/>
      <c r="AN58" s="238"/>
      <c r="AO58" s="482"/>
      <c r="AP58" s="238"/>
      <c r="AQ58" s="238"/>
      <c r="AR58" s="238"/>
      <c r="AS58" s="238"/>
      <c r="AT58" s="238"/>
      <c r="AU58" s="238"/>
      <c r="AV58" s="238"/>
      <c r="AW58" s="238"/>
      <c r="AX58" s="238"/>
      <c r="AY58" s="238"/>
      <c r="AZ58" s="238"/>
      <c r="BA58" s="238"/>
      <c r="BB58" s="238"/>
      <c r="BC58" s="238"/>
      <c r="BD58" s="238"/>
      <c r="BE58" s="239"/>
      <c r="BF58" s="239"/>
      <c r="BG58" s="239"/>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row>
    <row r="59" spans="1:94" s="240" customFormat="1" ht="14.25" customHeight="1">
      <c r="A59" s="273" t="s">
        <v>673</v>
      </c>
      <c r="B59" s="30"/>
      <c r="C59" s="30"/>
      <c r="D59" s="30"/>
      <c r="E59" s="30"/>
      <c r="F59" s="30"/>
      <c r="G59" s="30"/>
      <c r="H59" s="30"/>
      <c r="I59" s="30"/>
      <c r="J59" s="30"/>
      <c r="K59" s="30"/>
      <c r="L59" s="1187">
        <f>N59*1000/3600</f>
        <v>0</v>
      </c>
      <c r="M59" s="1408"/>
      <c r="N59" s="1409">
        <f>W22*$X$25</f>
        <v>0</v>
      </c>
      <c r="O59" s="1409"/>
      <c r="P59" s="1403">
        <f t="shared" si="10"/>
        <v>0</v>
      </c>
      <c r="Q59" s="1403"/>
      <c r="T59" s="478"/>
      <c r="U59" s="478"/>
      <c r="V59" s="478"/>
      <c r="W59" s="478"/>
      <c r="X59" s="478"/>
      <c r="Y59" s="478"/>
      <c r="Z59" s="478"/>
      <c r="AA59" s="478"/>
      <c r="AB59" s="478"/>
      <c r="AC59" s="478"/>
      <c r="AD59" s="478"/>
      <c r="AE59" s="478"/>
      <c r="AF59" s="478"/>
      <c r="AG59" s="478"/>
      <c r="AH59" s="478"/>
      <c r="AI59" s="30"/>
      <c r="AJ59" s="30"/>
      <c r="AK59" s="253"/>
      <c r="AL59" s="238"/>
      <c r="AM59" s="238"/>
      <c r="AN59" s="238"/>
      <c r="AO59" s="482"/>
      <c r="AP59" s="238"/>
      <c r="AQ59" s="238"/>
      <c r="AR59" s="238"/>
      <c r="AS59" s="238"/>
      <c r="AT59" s="238"/>
      <c r="AU59" s="238"/>
      <c r="AV59" s="238"/>
      <c r="AW59" s="238"/>
      <c r="AX59" s="238"/>
      <c r="AY59" s="238"/>
      <c r="AZ59" s="238"/>
      <c r="BA59" s="238"/>
      <c r="BB59" s="238"/>
      <c r="BC59" s="238"/>
      <c r="BD59" s="238"/>
      <c r="BE59" s="239"/>
      <c r="BF59" s="239"/>
      <c r="BG59" s="239"/>
      <c r="BH59" s="238"/>
      <c r="BI59" s="238"/>
      <c r="BJ59" s="238"/>
      <c r="BK59" s="238"/>
      <c r="BL59" s="238"/>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38"/>
      <c r="CN59" s="238"/>
      <c r="CO59" s="238"/>
      <c r="CP59" s="238"/>
    </row>
    <row r="60" spans="1:94" s="240" customFormat="1" ht="14.25" customHeight="1">
      <c r="A60" s="273" t="s">
        <v>675</v>
      </c>
      <c r="B60" s="30"/>
      <c r="C60" s="30"/>
      <c r="D60" s="30"/>
      <c r="E60" s="30"/>
      <c r="F60" s="30"/>
      <c r="G60" s="30"/>
      <c r="H60" s="30"/>
      <c r="I60" s="30"/>
      <c r="J60" s="30"/>
      <c r="K60" s="30"/>
      <c r="L60" s="1185">
        <f t="shared" ref="L60:L61" si="11">N60*1000/3600</f>
        <v>0</v>
      </c>
      <c r="M60" s="1186"/>
      <c r="N60" s="1185"/>
      <c r="O60" s="1186"/>
      <c r="P60" s="1403">
        <f t="shared" si="10"/>
        <v>0</v>
      </c>
      <c r="Q60" s="1403"/>
      <c r="T60" s="478"/>
      <c r="U60" s="478"/>
      <c r="V60" s="478"/>
      <c r="W60" s="478"/>
      <c r="X60" s="478"/>
      <c r="Y60" s="478"/>
      <c r="Z60" s="478"/>
      <c r="AA60" s="478"/>
      <c r="AB60" s="478"/>
      <c r="AC60" s="478"/>
      <c r="AD60" s="478"/>
      <c r="AE60" s="478"/>
      <c r="AF60" s="478"/>
      <c r="AG60" s="478"/>
      <c r="AH60" s="478"/>
      <c r="AI60" s="30"/>
      <c r="AJ60" s="30"/>
      <c r="AK60" s="253"/>
      <c r="AL60" s="238"/>
      <c r="AM60" s="238"/>
      <c r="AN60" s="238"/>
      <c r="AO60" s="482"/>
      <c r="AP60" s="238"/>
      <c r="AQ60" s="238"/>
      <c r="AR60" s="238"/>
      <c r="AS60" s="238"/>
      <c r="AT60" s="238"/>
      <c r="AU60" s="238"/>
      <c r="AV60" s="238"/>
      <c r="AW60" s="238"/>
      <c r="AX60" s="238"/>
      <c r="AY60" s="238"/>
      <c r="AZ60" s="238"/>
      <c r="BA60" s="238"/>
      <c r="BB60" s="238"/>
      <c r="BC60" s="238"/>
      <c r="BD60" s="238"/>
      <c r="BE60" s="239"/>
      <c r="BF60" s="239"/>
      <c r="BG60" s="239"/>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row>
    <row r="61" spans="1:94" s="240" customFormat="1" ht="14.25" customHeight="1">
      <c r="A61" s="273" t="s">
        <v>676</v>
      </c>
      <c r="B61" s="30"/>
      <c r="C61" s="30"/>
      <c r="D61" s="30"/>
      <c r="E61" s="30"/>
      <c r="F61" s="30"/>
      <c r="G61" s="30"/>
      <c r="H61" s="30"/>
      <c r="I61" s="30"/>
      <c r="J61" s="30"/>
      <c r="K61" s="30"/>
      <c r="L61" s="1185">
        <f t="shared" si="11"/>
        <v>0</v>
      </c>
      <c r="M61" s="1186"/>
      <c r="N61" s="1185"/>
      <c r="O61" s="1186"/>
      <c r="P61" s="1403">
        <f t="shared" si="10"/>
        <v>0</v>
      </c>
      <c r="Q61" s="1403"/>
      <c r="T61" s="478"/>
      <c r="U61" s="478"/>
      <c r="V61" s="478"/>
      <c r="W61" s="478"/>
      <c r="X61" s="478"/>
      <c r="Y61" s="478"/>
      <c r="Z61" s="478"/>
      <c r="AA61" s="478"/>
      <c r="AB61" s="478"/>
      <c r="AC61" s="478"/>
      <c r="AD61" s="478"/>
      <c r="AE61" s="478"/>
      <c r="AF61" s="478"/>
      <c r="AG61" s="478"/>
      <c r="AH61" s="478"/>
      <c r="AI61" s="30"/>
      <c r="AJ61" s="30"/>
      <c r="AK61" s="253"/>
      <c r="AL61" s="238"/>
      <c r="AM61" s="238"/>
      <c r="AN61" s="238"/>
      <c r="AO61" s="281"/>
      <c r="AP61" s="238"/>
      <c r="AQ61" s="238"/>
      <c r="AR61" s="238"/>
      <c r="AS61" s="238"/>
      <c r="AT61" s="238"/>
      <c r="AU61" s="238"/>
      <c r="AV61" s="238"/>
      <c r="AW61" s="238"/>
      <c r="AX61" s="238"/>
      <c r="AY61" s="238"/>
      <c r="AZ61" s="238"/>
      <c r="BA61" s="238"/>
      <c r="BB61" s="238"/>
      <c r="BC61" s="238"/>
      <c r="BD61" s="238"/>
      <c r="BE61" s="239"/>
      <c r="BF61" s="239"/>
      <c r="BG61" s="239"/>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row>
    <row r="62" spans="1:94" s="240" customFormat="1" ht="14.25" customHeight="1">
      <c r="A62" s="273" t="s">
        <v>677</v>
      </c>
      <c r="B62" s="30"/>
      <c r="C62" s="30"/>
      <c r="D62" s="30"/>
      <c r="E62" s="30"/>
      <c r="F62" s="30"/>
      <c r="G62" s="30"/>
      <c r="H62" s="30"/>
      <c r="I62" s="30"/>
      <c r="J62" s="30"/>
      <c r="K62" s="30"/>
      <c r="L62" s="1436">
        <f>N62*1000/3600</f>
        <v>73255.459749677655</v>
      </c>
      <c r="M62" s="1437"/>
      <c r="N62" s="1447">
        <f>X25*CO2eEF!I28</f>
        <v>263719.65509883955</v>
      </c>
      <c r="O62" s="1448"/>
      <c r="P62" s="1403">
        <f t="shared" si="10"/>
        <v>1.9778974132412965</v>
      </c>
      <c r="Q62" s="1403"/>
      <c r="T62" s="478"/>
      <c r="U62" s="478"/>
      <c r="V62" s="478"/>
      <c r="W62" s="478"/>
      <c r="X62" s="478"/>
      <c r="Y62" s="478"/>
      <c r="Z62" s="478"/>
      <c r="AA62" s="478"/>
      <c r="AB62" s="478"/>
      <c r="AC62" s="478"/>
      <c r="AD62" s="478"/>
      <c r="AE62" s="478"/>
      <c r="AF62" s="478"/>
      <c r="AG62" s="478"/>
      <c r="AH62" s="478"/>
      <c r="AI62" s="30"/>
      <c r="AJ62" s="30"/>
      <c r="AK62" s="253"/>
      <c r="AL62" s="238"/>
      <c r="AM62" s="238"/>
      <c r="AN62" s="238"/>
      <c r="AO62" s="281"/>
      <c r="AP62" s="238"/>
      <c r="AQ62" s="238"/>
      <c r="AR62" s="238"/>
      <c r="AS62" s="238"/>
      <c r="AT62" s="238"/>
      <c r="AU62" s="238"/>
      <c r="AV62" s="238"/>
      <c r="AW62" s="238"/>
      <c r="AX62" s="238"/>
      <c r="AY62" s="238"/>
      <c r="AZ62" s="238"/>
      <c r="BA62" s="238"/>
      <c r="BB62" s="238"/>
      <c r="BC62" s="238"/>
      <c r="BD62" s="238"/>
      <c r="BE62" s="239"/>
      <c r="BF62" s="239"/>
      <c r="BG62" s="239"/>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row>
    <row r="63" spans="1:94" s="240" customFormat="1" ht="14.25" customHeight="1">
      <c r="A63" s="279" t="s">
        <v>749</v>
      </c>
      <c r="B63" s="132"/>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c r="AJ63" s="132"/>
      <c r="AK63" s="280"/>
      <c r="AL63" s="238"/>
      <c r="AM63" s="238"/>
      <c r="AN63" s="238"/>
      <c r="AO63" s="281"/>
      <c r="AP63" s="238"/>
      <c r="AQ63" s="238"/>
      <c r="AR63" s="238"/>
      <c r="AS63" s="238"/>
      <c r="AT63" s="238"/>
      <c r="AU63" s="238"/>
      <c r="AV63" s="238"/>
      <c r="AW63" s="238"/>
      <c r="AX63" s="238"/>
      <c r="AY63" s="238"/>
      <c r="AZ63" s="238"/>
      <c r="BA63" s="238"/>
      <c r="BB63" s="238"/>
      <c r="BC63" s="238"/>
      <c r="BD63" s="238"/>
      <c r="BE63" s="239"/>
      <c r="BF63" s="239"/>
      <c r="BG63" s="239"/>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row>
    <row r="64" spans="1:94" s="240" customFormat="1" ht="14.25" customHeight="1">
      <c r="A64" s="282" t="s">
        <v>31</v>
      </c>
      <c r="B64" s="30" t="s">
        <v>750</v>
      </c>
      <c r="C64" s="30"/>
      <c r="D64" s="30"/>
      <c r="E64" s="30"/>
      <c r="F64" s="30"/>
      <c r="G64" s="30"/>
      <c r="H64" s="30"/>
      <c r="I64" s="30"/>
      <c r="J64" s="30"/>
      <c r="K64" s="30"/>
      <c r="L64" s="30"/>
      <c r="M64" s="30"/>
      <c r="N64" s="283"/>
      <c r="O64" s="283"/>
      <c r="P64" s="283"/>
      <c r="Q64" s="30"/>
      <c r="R64" s="30"/>
      <c r="S64" s="30"/>
      <c r="T64" s="30"/>
      <c r="U64" s="30"/>
      <c r="V64" s="30"/>
      <c r="W64" s="30"/>
      <c r="X64" s="30"/>
      <c r="Y64" s="30"/>
      <c r="Z64" s="30"/>
      <c r="AA64" s="30"/>
      <c r="AB64" s="30"/>
      <c r="AC64" s="30"/>
      <c r="AD64" s="30"/>
      <c r="AE64" s="30"/>
      <c r="AF64" s="30"/>
      <c r="AG64" s="30"/>
      <c r="AH64" s="30"/>
      <c r="AI64" s="30"/>
      <c r="AJ64" s="30"/>
      <c r="AK64" s="253"/>
      <c r="AL64" s="238"/>
      <c r="AM64" s="238"/>
      <c r="AN64" s="238"/>
      <c r="AO64" s="238"/>
      <c r="AP64" s="238"/>
      <c r="AQ64" s="238"/>
      <c r="AR64" s="238"/>
      <c r="AS64" s="238"/>
      <c r="AT64" s="238"/>
      <c r="AU64" s="238"/>
      <c r="AV64" s="238"/>
      <c r="AW64" s="238"/>
      <c r="AX64" s="238"/>
      <c r="AY64" s="238"/>
      <c r="AZ64" s="238"/>
      <c r="BA64" s="238"/>
      <c r="BB64" s="238"/>
      <c r="BC64" s="238"/>
      <c r="BD64" s="238"/>
      <c r="BE64" s="239" t="s">
        <v>679</v>
      </c>
      <c r="BF64" s="239">
        <v>0</v>
      </c>
      <c r="BG64" s="239">
        <v>0</v>
      </c>
      <c r="BH64" s="238"/>
      <c r="BI64" s="238"/>
      <c r="BJ64" s="238"/>
      <c r="BK64" s="238"/>
      <c r="BL64" s="238"/>
      <c r="BM64" s="238"/>
      <c r="BN64" s="238"/>
      <c r="BO64" s="238"/>
      <c r="BP64" s="238"/>
      <c r="BQ64" s="238"/>
      <c r="BR64" s="238"/>
      <c r="BS64" s="238"/>
      <c r="BT64" s="238"/>
      <c r="BU64" s="238"/>
      <c r="BV64" s="238"/>
      <c r="BW64" s="238"/>
      <c r="BX64" s="238"/>
      <c r="BY64" s="238"/>
      <c r="BZ64" s="238"/>
      <c r="CA64" s="238"/>
      <c r="CB64" s="238"/>
      <c r="CC64" s="238"/>
      <c r="CD64" s="238"/>
      <c r="CE64" s="238"/>
      <c r="CF64" s="238"/>
      <c r="CG64" s="238"/>
      <c r="CH64" s="238"/>
      <c r="CI64" s="238"/>
      <c r="CJ64" s="238"/>
      <c r="CK64" s="238"/>
      <c r="CL64" s="238"/>
      <c r="CM64" s="238"/>
      <c r="CN64" s="238"/>
      <c r="CO64" s="238"/>
      <c r="CP64" s="238"/>
    </row>
    <row r="65" spans="1:94" ht="14.25" customHeight="1">
      <c r="A65" s="282" t="s">
        <v>33</v>
      </c>
      <c r="B65" s="31" t="s">
        <v>751</v>
      </c>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6"/>
      <c r="AL65" s="243"/>
      <c r="AM65" s="243"/>
      <c r="AN65" s="243"/>
      <c r="AO65" s="243"/>
      <c r="AP65" s="243"/>
      <c r="AQ65" s="243"/>
      <c r="AR65" s="243"/>
      <c r="AS65" s="243"/>
      <c r="AT65" s="243"/>
      <c r="AU65" s="243"/>
      <c r="AV65" s="243"/>
      <c r="AW65" s="243"/>
      <c r="AX65" s="243"/>
      <c r="AY65" s="243"/>
      <c r="AZ65" s="243"/>
      <c r="BA65" s="243"/>
      <c r="BB65" s="243"/>
      <c r="BC65" s="243"/>
      <c r="BD65" s="243"/>
      <c r="BE65" s="246" t="s">
        <v>681</v>
      </c>
      <c r="BF65" s="246">
        <v>0</v>
      </c>
      <c r="BG65" s="246">
        <v>0</v>
      </c>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c r="CM65" s="243"/>
      <c r="CN65" s="243"/>
      <c r="CO65" s="243"/>
      <c r="CP65" s="243"/>
    </row>
    <row r="66" spans="1:94" ht="14.25" customHeight="1">
      <c r="A66" s="282" t="s">
        <v>752</v>
      </c>
      <c r="B66" s="30" t="s">
        <v>753</v>
      </c>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6"/>
      <c r="AL66" s="243"/>
      <c r="AM66" s="243"/>
      <c r="AN66" s="243"/>
      <c r="AO66" s="243"/>
      <c r="AP66" s="243"/>
      <c r="AQ66" s="243"/>
      <c r="AR66" s="243"/>
      <c r="AS66" s="243"/>
      <c r="AT66" s="243"/>
      <c r="AU66" s="243"/>
      <c r="AV66" s="243"/>
      <c r="AW66" s="243"/>
      <c r="AX66" s="243"/>
      <c r="AY66" s="243"/>
      <c r="AZ66" s="243"/>
      <c r="BA66" s="243"/>
      <c r="BB66" s="243"/>
      <c r="BC66" s="243"/>
      <c r="BD66" s="243"/>
      <c r="BE66" s="246" t="s">
        <v>684</v>
      </c>
      <c r="BF66" s="246">
        <v>0</v>
      </c>
      <c r="BG66" s="246">
        <v>0</v>
      </c>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row>
    <row r="67" spans="1:94" ht="14.25" customHeight="1">
      <c r="A67" s="282" t="s">
        <v>38</v>
      </c>
      <c r="B67" s="31" t="s">
        <v>725</v>
      </c>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6"/>
      <c r="AL67" s="243"/>
      <c r="AM67" s="243"/>
      <c r="AN67" s="243"/>
      <c r="AO67" s="243"/>
      <c r="AP67" s="243"/>
      <c r="AQ67" s="243"/>
      <c r="AR67" s="243"/>
      <c r="AS67" s="243"/>
      <c r="AT67" s="243"/>
      <c r="AU67" s="243"/>
      <c r="AV67" s="243"/>
      <c r="AW67" s="243"/>
      <c r="AX67" s="243"/>
      <c r="AY67" s="243"/>
      <c r="AZ67" s="243"/>
      <c r="BA67" s="243"/>
      <c r="BB67" s="243"/>
      <c r="BC67" s="243"/>
      <c r="BD67" s="243"/>
      <c r="BE67" s="246"/>
      <c r="BF67" s="246"/>
      <c r="BG67" s="246"/>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c r="CM67" s="243"/>
      <c r="CN67" s="243"/>
      <c r="CO67" s="243"/>
      <c r="CP67" s="243"/>
    </row>
    <row r="68" spans="1:94" ht="13.15" customHeight="1">
      <c r="A68" s="282" t="s">
        <v>41</v>
      </c>
      <c r="B68" s="284" t="s">
        <v>726</v>
      </c>
      <c r="C68" s="487"/>
      <c r="D68" s="487"/>
      <c r="E68" s="487"/>
      <c r="F68" s="487"/>
      <c r="G68" s="487"/>
      <c r="H68" s="487"/>
      <c r="I68" s="487"/>
      <c r="J68" s="487"/>
      <c r="K68" s="487"/>
      <c r="L68" s="487"/>
      <c r="M68" s="487"/>
      <c r="N68" s="487"/>
      <c r="O68" s="487"/>
      <c r="P68" s="487"/>
      <c r="Q68" s="487"/>
      <c r="R68" s="487"/>
      <c r="S68" s="487"/>
      <c r="T68" s="487"/>
      <c r="U68" s="487"/>
      <c r="V68" s="487"/>
      <c r="W68" s="487"/>
      <c r="X68" s="487"/>
      <c r="Y68" s="487"/>
      <c r="Z68" s="487"/>
      <c r="AA68" s="487"/>
      <c r="AB68" s="487"/>
      <c r="AC68" s="487"/>
      <c r="AD68" s="487"/>
      <c r="AE68" s="487"/>
      <c r="AF68" s="487"/>
      <c r="AG68" s="487"/>
      <c r="AH68" s="487"/>
      <c r="AI68" s="487"/>
      <c r="AJ68" s="487"/>
      <c r="AK68" s="488"/>
      <c r="AL68" s="243"/>
      <c r="AM68" s="243"/>
      <c r="AN68" s="243"/>
      <c r="AO68" s="243"/>
      <c r="AP68" s="243"/>
      <c r="AQ68" s="243"/>
      <c r="AR68" s="243"/>
      <c r="AS68" s="243"/>
      <c r="AT68" s="243"/>
      <c r="AU68" s="243"/>
      <c r="AV68" s="243"/>
      <c r="AW68" s="243"/>
      <c r="AX68" s="243"/>
      <c r="AY68" s="243"/>
      <c r="AZ68" s="243"/>
      <c r="BA68" s="243"/>
      <c r="BB68" s="243"/>
      <c r="BC68" s="243"/>
      <c r="BD68" s="243"/>
      <c r="BE68" s="246" t="s">
        <v>686</v>
      </c>
      <c r="BF68" s="246">
        <v>0</v>
      </c>
      <c r="BG68" s="246">
        <v>0</v>
      </c>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c r="CM68" s="243"/>
      <c r="CN68" s="243"/>
      <c r="CO68" s="243"/>
      <c r="CP68" s="243"/>
    </row>
    <row r="69" spans="1:94">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9"/>
      <c r="AL69" s="289"/>
      <c r="AM69" s="289"/>
      <c r="AN69" s="289"/>
      <c r="AO69" s="289"/>
      <c r="AP69" s="289"/>
      <c r="AQ69" s="289"/>
      <c r="AR69" s="243"/>
      <c r="AS69" s="243"/>
      <c r="AT69" s="243"/>
      <c r="AU69" s="243"/>
      <c r="AV69" s="243"/>
      <c r="AW69" s="243"/>
      <c r="AX69" s="243"/>
      <c r="AY69" s="243"/>
      <c r="AZ69" s="243"/>
      <c r="BA69" s="243"/>
      <c r="BB69" s="243"/>
      <c r="BC69" s="243"/>
      <c r="BD69" s="243"/>
      <c r="BE69" s="246" t="s">
        <v>690</v>
      </c>
      <c r="BF69" s="246">
        <v>2.9999999999999997E-4</v>
      </c>
      <c r="BG69" s="246">
        <v>0</v>
      </c>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row>
    <row r="70" spans="1:94">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9"/>
      <c r="AL70" s="289"/>
      <c r="AM70" s="289"/>
      <c r="AN70" s="289"/>
      <c r="AO70" s="289"/>
      <c r="AP70" s="289"/>
      <c r="AQ70" s="289"/>
      <c r="AR70" s="243"/>
      <c r="AS70" s="243"/>
      <c r="AT70" s="243"/>
      <c r="AU70" s="243"/>
      <c r="AV70" s="243"/>
      <c r="AW70" s="243"/>
      <c r="AX70" s="243"/>
      <c r="AY70" s="243"/>
      <c r="AZ70" s="243"/>
      <c r="BA70" s="243"/>
      <c r="BB70" s="243"/>
      <c r="BC70" s="243"/>
      <c r="BD70" s="243"/>
      <c r="BE70" s="246" t="s">
        <v>691</v>
      </c>
      <c r="BF70" s="246">
        <v>0</v>
      </c>
      <c r="BG70" s="246">
        <v>0</v>
      </c>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row>
    <row r="71" spans="1:94">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9"/>
      <c r="AL71" s="289"/>
      <c r="AM71" s="289"/>
      <c r="AN71" s="289"/>
      <c r="AO71" s="289"/>
      <c r="AP71" s="289"/>
      <c r="AQ71" s="289"/>
      <c r="AR71" s="243"/>
      <c r="AS71" s="243"/>
      <c r="AT71" s="243"/>
      <c r="AU71" s="243"/>
      <c r="AV71" s="243"/>
      <c r="AW71" s="243"/>
      <c r="AX71" s="243"/>
      <c r="AY71" s="243"/>
      <c r="AZ71" s="243"/>
      <c r="BA71" s="243"/>
      <c r="BB71" s="243"/>
      <c r="BC71" s="243"/>
      <c r="BD71" s="243"/>
      <c r="BE71" s="246" t="s">
        <v>692</v>
      </c>
      <c r="BF71" s="246">
        <v>0</v>
      </c>
      <c r="BG71" s="246">
        <v>0</v>
      </c>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row>
    <row r="72" spans="1:94">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9"/>
      <c r="AL72" s="289"/>
      <c r="AM72" s="289"/>
      <c r="AN72" s="289"/>
      <c r="AO72" s="289"/>
      <c r="AP72" s="289"/>
      <c r="AQ72" s="289"/>
      <c r="AR72" s="243"/>
      <c r="AS72" s="243"/>
      <c r="AT72" s="243"/>
      <c r="AU72" s="243"/>
      <c r="AV72" s="243"/>
      <c r="AW72" s="243"/>
      <c r="AX72" s="243"/>
      <c r="AY72" s="243"/>
      <c r="AZ72" s="243"/>
      <c r="BA72" s="243"/>
      <c r="BB72" s="243"/>
      <c r="BC72" s="243"/>
      <c r="BD72" s="243"/>
      <c r="BE72" s="246" t="s">
        <v>693</v>
      </c>
      <c r="BF72" s="246">
        <v>0</v>
      </c>
      <c r="BG72" s="246">
        <v>0</v>
      </c>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row>
    <row r="73" spans="1:94">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9"/>
      <c r="AL73" s="289"/>
      <c r="AM73" s="289"/>
      <c r="AN73" s="289"/>
      <c r="AO73" s="289"/>
      <c r="AP73" s="289"/>
      <c r="AQ73" s="289"/>
      <c r="AR73" s="243"/>
      <c r="AS73" s="243"/>
      <c r="AT73" s="243"/>
      <c r="AU73" s="243"/>
      <c r="AV73" s="243"/>
      <c r="AW73" s="243"/>
      <c r="AX73" s="243"/>
      <c r="AY73" s="243"/>
      <c r="AZ73" s="243"/>
      <c r="BA73" s="243"/>
      <c r="BB73" s="243"/>
      <c r="BC73" s="243"/>
      <c r="BD73" s="243"/>
      <c r="BE73" s="246" t="s">
        <v>694</v>
      </c>
      <c r="BF73" s="246">
        <v>0</v>
      </c>
      <c r="BG73" s="246">
        <v>0</v>
      </c>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243"/>
      <c r="CO73" s="243"/>
      <c r="CP73" s="243"/>
    </row>
    <row r="74" spans="1:94">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9"/>
      <c r="AL74" s="289"/>
      <c r="AM74" s="289"/>
      <c r="AN74" s="289"/>
      <c r="AO74" s="289"/>
      <c r="AP74" s="289"/>
      <c r="AQ74" s="289"/>
      <c r="AR74" s="243"/>
      <c r="AS74" s="243"/>
      <c r="AT74" s="243"/>
      <c r="AU74" s="243"/>
      <c r="AV74" s="243"/>
      <c r="AW74" s="243"/>
      <c r="AX74" s="243"/>
      <c r="AY74" s="243"/>
      <c r="AZ74" s="243"/>
      <c r="BA74" s="243"/>
      <c r="BB74" s="243"/>
      <c r="BC74" s="243"/>
      <c r="BD74" s="243"/>
      <c r="BE74" s="246" t="s">
        <v>695</v>
      </c>
      <c r="BF74" s="246">
        <v>0</v>
      </c>
      <c r="BG74" s="246">
        <v>0</v>
      </c>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row>
    <row r="75" spans="1:94">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9"/>
      <c r="AL75" s="289"/>
      <c r="AM75" s="289"/>
      <c r="AN75" s="289"/>
      <c r="AO75" s="289"/>
      <c r="AP75" s="289"/>
      <c r="AQ75" s="289"/>
      <c r="AR75" s="243"/>
      <c r="AS75" s="243"/>
      <c r="AT75" s="243"/>
      <c r="AU75" s="243"/>
      <c r="AV75" s="243"/>
      <c r="AW75" s="243"/>
      <c r="AX75" s="243"/>
      <c r="AY75" s="243"/>
      <c r="AZ75" s="243"/>
      <c r="BA75" s="243"/>
      <c r="BB75" s="243"/>
      <c r="BC75" s="243"/>
      <c r="BD75" s="243"/>
      <c r="BE75" s="246" t="s">
        <v>696</v>
      </c>
      <c r="BF75" s="246">
        <v>0</v>
      </c>
      <c r="BG75" s="246">
        <v>0</v>
      </c>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row>
    <row r="76" spans="1:94">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8"/>
      <c r="AH76" s="288"/>
      <c r="AI76" s="288"/>
      <c r="AJ76" s="288"/>
      <c r="AK76" s="289"/>
      <c r="AL76" s="289"/>
      <c r="AM76" s="289"/>
      <c r="AN76" s="289"/>
      <c r="AO76" s="289"/>
      <c r="AP76" s="289"/>
      <c r="AQ76" s="289"/>
      <c r="AR76" s="243"/>
      <c r="AS76" s="243"/>
      <c r="AT76" s="243"/>
      <c r="AU76" s="243"/>
      <c r="AV76" s="243"/>
      <c r="AW76" s="243"/>
      <c r="AX76" s="243"/>
      <c r="AY76" s="243"/>
      <c r="AZ76" s="243"/>
      <c r="BA76" s="243"/>
      <c r="BB76" s="243"/>
      <c r="BC76" s="243"/>
      <c r="BD76" s="243"/>
      <c r="BE76" s="246" t="s">
        <v>697</v>
      </c>
      <c r="BF76" s="246">
        <v>0</v>
      </c>
      <c r="BG76" s="246">
        <v>0</v>
      </c>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c r="CM76" s="243"/>
      <c r="CN76" s="243"/>
      <c r="CO76" s="243"/>
      <c r="CP76" s="243"/>
    </row>
    <row r="77" spans="1:94" s="290" customForma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9"/>
      <c r="AL77" s="289"/>
      <c r="AM77" s="289"/>
      <c r="AN77" s="289"/>
      <c r="AO77" s="289"/>
      <c r="AP77" s="289"/>
      <c r="AQ77" s="289"/>
      <c r="AR77" s="243"/>
      <c r="AS77" s="243"/>
      <c r="AT77" s="243"/>
      <c r="AU77" s="243"/>
      <c r="AV77" s="243"/>
      <c r="AW77" s="243"/>
      <c r="AX77" s="243"/>
      <c r="AY77" s="243"/>
      <c r="AZ77" s="243"/>
      <c r="BA77" s="243"/>
      <c r="BB77" s="243"/>
      <c r="BC77" s="243"/>
      <c r="BD77" s="243"/>
      <c r="BE77" s="246" t="s">
        <v>431</v>
      </c>
      <c r="BF77" s="246">
        <v>1E-4</v>
      </c>
      <c r="BG77" s="246">
        <v>0.17530000000000001</v>
      </c>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c r="CM77" s="243"/>
      <c r="CN77" s="243"/>
      <c r="CO77" s="243"/>
      <c r="CP77" s="243"/>
    </row>
    <row r="78" spans="1:94" s="290" customForma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9"/>
      <c r="AL78" s="289"/>
      <c r="AM78" s="289"/>
      <c r="AN78" s="289"/>
      <c r="AO78" s="289"/>
      <c r="AP78" s="289"/>
      <c r="AQ78" s="289"/>
      <c r="AR78" s="243"/>
      <c r="AS78" s="243"/>
      <c r="AT78" s="243"/>
      <c r="AU78" s="243"/>
      <c r="AV78" s="243"/>
      <c r="AW78" s="243"/>
      <c r="AX78" s="243"/>
      <c r="AY78" s="243"/>
      <c r="AZ78" s="243"/>
      <c r="BA78" s="243"/>
      <c r="BB78" s="243"/>
      <c r="BC78" s="243"/>
      <c r="BD78" s="243"/>
      <c r="BE78" s="243"/>
      <c r="BF78" s="246"/>
      <c r="BG78" s="246"/>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c r="CM78" s="243"/>
      <c r="CN78" s="243"/>
      <c r="CO78" s="243"/>
      <c r="CP78" s="243"/>
    </row>
    <row r="79" spans="1:94" s="290" customForma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9"/>
      <c r="AL79" s="289"/>
      <c r="AM79" s="289"/>
      <c r="AN79" s="289"/>
      <c r="AO79" s="289"/>
      <c r="AP79" s="289"/>
      <c r="AQ79" s="289"/>
      <c r="AR79" s="243"/>
      <c r="AS79" s="243"/>
      <c r="AT79" s="243"/>
      <c r="AU79" s="243"/>
      <c r="AV79" s="243"/>
      <c r="AW79" s="243"/>
      <c r="AX79" s="243"/>
      <c r="AY79" s="243"/>
      <c r="AZ79" s="243"/>
      <c r="BA79" s="243"/>
      <c r="BB79" s="243"/>
      <c r="BC79" s="243"/>
      <c r="BD79" s="243"/>
      <c r="BE79" s="243"/>
      <c r="BF79" s="246"/>
      <c r="BG79" s="246"/>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c r="CM79" s="243"/>
      <c r="CN79" s="243"/>
      <c r="CO79" s="243"/>
      <c r="CP79" s="243"/>
    </row>
    <row r="80" spans="1:94" s="290" customForma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9"/>
      <c r="AL80" s="289"/>
      <c r="AM80" s="289"/>
      <c r="AN80" s="289"/>
      <c r="AO80" s="289"/>
      <c r="AP80" s="289"/>
      <c r="AQ80" s="289"/>
      <c r="AR80" s="243"/>
      <c r="AS80" s="243"/>
      <c r="AT80" s="243"/>
      <c r="AU80" s="243"/>
      <c r="AV80" s="243"/>
      <c r="AW80" s="243"/>
      <c r="AX80" s="243"/>
      <c r="AY80" s="243"/>
      <c r="AZ80" s="243"/>
      <c r="BA80" s="243"/>
      <c r="BB80" s="243"/>
      <c r="BC80" s="243"/>
      <c r="BD80" s="243"/>
      <c r="BE80" s="243"/>
      <c r="BF80" s="246"/>
      <c r="BG80" s="246"/>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c r="CM80" s="243"/>
      <c r="CN80" s="243"/>
      <c r="CO80" s="243"/>
      <c r="CP80" s="243"/>
    </row>
    <row r="81" spans="1:94" s="290" customForma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9"/>
      <c r="AL81" s="289"/>
      <c r="AM81" s="289"/>
      <c r="AN81" s="289"/>
      <c r="AO81" s="289"/>
      <c r="AP81" s="289"/>
      <c r="AQ81" s="289"/>
      <c r="AR81" s="243"/>
      <c r="AS81" s="243"/>
      <c r="AT81" s="243"/>
      <c r="AU81" s="243"/>
      <c r="AV81" s="243"/>
      <c r="AW81" s="243"/>
      <c r="AX81" s="243"/>
      <c r="AY81" s="243"/>
      <c r="AZ81" s="243"/>
      <c r="BA81" s="243"/>
      <c r="BB81" s="243"/>
      <c r="BC81" s="243"/>
      <c r="BD81" s="243"/>
      <c r="BE81" s="243"/>
      <c r="BF81" s="246"/>
      <c r="BG81" s="246"/>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c r="CM81" s="243"/>
      <c r="CN81" s="243"/>
      <c r="CO81" s="243"/>
      <c r="CP81" s="243"/>
    </row>
    <row r="82" spans="1:94" s="290" customForma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9"/>
      <c r="AL82" s="289"/>
      <c r="AM82" s="289"/>
      <c r="AN82" s="289"/>
      <c r="AO82" s="289"/>
      <c r="AP82" s="289"/>
      <c r="AQ82" s="289"/>
      <c r="AR82" s="243"/>
      <c r="AS82" s="243"/>
      <c r="AT82" s="243"/>
      <c r="AU82" s="243"/>
      <c r="AV82" s="243"/>
      <c r="AW82" s="243"/>
      <c r="AX82" s="243"/>
      <c r="AY82" s="243"/>
      <c r="AZ82" s="243"/>
      <c r="BA82" s="243"/>
      <c r="BB82" s="243"/>
      <c r="BC82" s="243"/>
      <c r="BD82" s="243"/>
      <c r="BE82" s="243"/>
      <c r="BF82" s="246"/>
      <c r="BG82" s="246"/>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c r="CM82" s="243"/>
      <c r="CN82" s="243"/>
      <c r="CO82" s="243"/>
      <c r="CP82" s="243"/>
    </row>
    <row r="83" spans="1:94" s="290" customForma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9"/>
      <c r="AL83" s="289"/>
      <c r="AM83" s="289"/>
      <c r="AN83" s="289"/>
      <c r="AO83" s="289"/>
      <c r="AP83" s="289"/>
      <c r="AQ83" s="289"/>
      <c r="AR83" s="243"/>
      <c r="AS83" s="243"/>
      <c r="AT83" s="243"/>
      <c r="AU83" s="243"/>
      <c r="AV83" s="243"/>
      <c r="AW83" s="243"/>
      <c r="AX83" s="243"/>
      <c r="AY83" s="243"/>
      <c r="AZ83" s="243"/>
      <c r="BA83" s="243"/>
      <c r="BB83" s="243"/>
      <c r="BC83" s="243"/>
      <c r="BD83" s="243"/>
      <c r="BE83" s="243"/>
      <c r="BF83" s="246"/>
      <c r="BG83" s="246"/>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c r="CM83" s="243"/>
      <c r="CN83" s="243"/>
      <c r="CO83" s="243"/>
      <c r="CP83" s="243"/>
    </row>
    <row r="84" spans="1:94" s="290" customForma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9"/>
      <c r="AL84" s="289"/>
      <c r="AM84" s="289"/>
      <c r="AN84" s="289"/>
      <c r="AO84" s="289"/>
      <c r="AP84" s="289"/>
      <c r="AQ84" s="289"/>
      <c r="AR84" s="243"/>
      <c r="AS84" s="243"/>
      <c r="AT84" s="243"/>
      <c r="AU84" s="243"/>
      <c r="AV84" s="243"/>
      <c r="AW84" s="243"/>
      <c r="AX84" s="243"/>
      <c r="AY84" s="243"/>
      <c r="AZ84" s="243"/>
      <c r="BA84" s="243"/>
      <c r="BB84" s="243"/>
      <c r="BC84" s="243"/>
      <c r="BD84" s="243"/>
      <c r="BE84" s="243"/>
      <c r="BF84" s="246"/>
      <c r="BG84" s="246"/>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c r="CM84" s="243"/>
      <c r="CN84" s="243"/>
      <c r="CO84" s="243"/>
      <c r="CP84" s="243"/>
    </row>
    <row r="85" spans="1:94" s="290" customForma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9"/>
      <c r="AL85" s="289"/>
      <c r="AM85" s="289"/>
      <c r="AN85" s="289"/>
      <c r="AO85" s="289"/>
      <c r="AP85" s="289"/>
      <c r="AQ85" s="289"/>
      <c r="AR85" s="243"/>
      <c r="AS85" s="243"/>
      <c r="AT85" s="243"/>
      <c r="AU85" s="243"/>
      <c r="AV85" s="243"/>
      <c r="AW85" s="243"/>
      <c r="AX85" s="243"/>
      <c r="AY85" s="243"/>
      <c r="AZ85" s="243"/>
      <c r="BA85" s="243"/>
      <c r="BB85" s="243"/>
      <c r="BC85" s="243"/>
      <c r="BD85" s="243"/>
      <c r="BE85" s="243"/>
      <c r="BF85" s="246"/>
      <c r="BG85" s="246"/>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c r="CM85" s="243"/>
      <c r="CN85" s="243"/>
      <c r="CO85" s="243"/>
      <c r="CP85" s="243"/>
    </row>
    <row r="86" spans="1:94" s="290" customForma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9"/>
      <c r="AL86" s="289"/>
      <c r="AM86" s="289"/>
      <c r="AN86" s="289"/>
      <c r="AO86" s="289"/>
      <c r="AP86" s="289"/>
      <c r="AQ86" s="289"/>
      <c r="AR86" s="243"/>
      <c r="AS86" s="243"/>
      <c r="AT86" s="243"/>
      <c r="AU86" s="243"/>
      <c r="AV86" s="243"/>
      <c r="AW86" s="243"/>
      <c r="AX86" s="243"/>
      <c r="AY86" s="243"/>
      <c r="AZ86" s="243"/>
      <c r="BA86" s="243"/>
      <c r="BB86" s="243"/>
      <c r="BC86" s="243"/>
      <c r="BD86" s="243"/>
      <c r="BE86" s="243"/>
      <c r="BF86" s="246"/>
      <c r="BG86" s="246"/>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row>
    <row r="87" spans="1:94" s="290" customForma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9"/>
      <c r="AL87" s="289"/>
      <c r="AM87" s="289"/>
      <c r="AN87" s="289"/>
      <c r="AO87" s="289"/>
      <c r="AP87" s="289"/>
      <c r="AQ87" s="289"/>
      <c r="AR87" s="243"/>
      <c r="AS87" s="243"/>
      <c r="AT87" s="243"/>
      <c r="AU87" s="243"/>
      <c r="AV87" s="243"/>
      <c r="AW87" s="243"/>
      <c r="AX87" s="243"/>
      <c r="AY87" s="243"/>
      <c r="AZ87" s="243"/>
      <c r="BA87" s="243"/>
      <c r="BB87" s="243"/>
      <c r="BC87" s="243"/>
      <c r="BD87" s="243"/>
      <c r="BE87" s="243"/>
      <c r="BF87" s="246"/>
      <c r="BG87" s="246"/>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c r="CM87" s="243"/>
      <c r="CN87" s="243"/>
      <c r="CO87" s="243"/>
      <c r="CP87" s="243"/>
    </row>
    <row r="88" spans="1:94" s="290" customForma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9"/>
      <c r="AL88" s="289"/>
      <c r="AM88" s="289"/>
      <c r="AN88" s="289"/>
      <c r="AO88" s="289"/>
      <c r="AP88" s="289"/>
      <c r="AQ88" s="289"/>
      <c r="AR88" s="243"/>
      <c r="AS88" s="243"/>
      <c r="AT88" s="243"/>
      <c r="AU88" s="243"/>
      <c r="AV88" s="243"/>
      <c r="AW88" s="243"/>
      <c r="AX88" s="243"/>
      <c r="AY88" s="243"/>
      <c r="AZ88" s="243"/>
      <c r="BA88" s="243"/>
      <c r="BB88" s="243"/>
      <c r="BC88" s="243"/>
      <c r="BD88" s="243"/>
      <c r="BE88" s="243"/>
      <c r="BF88" s="246"/>
      <c r="BG88" s="246"/>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c r="CM88" s="243"/>
      <c r="CN88" s="243"/>
      <c r="CO88" s="243"/>
      <c r="CP88" s="243"/>
    </row>
    <row r="89" spans="1:94" s="290" customForma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9"/>
      <c r="AL89" s="289"/>
      <c r="AM89" s="289"/>
      <c r="AN89" s="289"/>
      <c r="AO89" s="289"/>
      <c r="AP89" s="289"/>
      <c r="AQ89" s="289"/>
      <c r="AR89" s="243"/>
      <c r="AS89" s="243"/>
      <c r="AT89" s="243"/>
      <c r="AU89" s="243"/>
      <c r="AV89" s="243"/>
      <c r="AW89" s="243"/>
      <c r="AX89" s="243"/>
      <c r="AY89" s="243"/>
      <c r="AZ89" s="243"/>
      <c r="BA89" s="243"/>
      <c r="BB89" s="243"/>
      <c r="BC89" s="243"/>
      <c r="BD89" s="243"/>
      <c r="BE89" s="243"/>
      <c r="BF89" s="246"/>
      <c r="BG89" s="246"/>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row>
    <row r="90" spans="1:94" s="290" customForma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9"/>
      <c r="AL90" s="289"/>
      <c r="AM90" s="289"/>
      <c r="AN90" s="289"/>
      <c r="AO90" s="289"/>
      <c r="AP90" s="289"/>
      <c r="AQ90" s="289"/>
      <c r="AR90" s="243"/>
      <c r="AS90" s="243"/>
      <c r="AT90" s="243"/>
      <c r="AU90" s="243"/>
      <c r="AV90" s="243"/>
      <c r="AW90" s="243"/>
      <c r="AX90" s="243"/>
      <c r="AY90" s="243"/>
      <c r="AZ90" s="243"/>
      <c r="BA90" s="243"/>
      <c r="BB90" s="243"/>
      <c r="BC90" s="243"/>
      <c r="BD90" s="243"/>
      <c r="BE90" s="243"/>
      <c r="BF90" s="246"/>
      <c r="BG90" s="246"/>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row>
    <row r="91" spans="1:94" s="290" customFormat="1">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9"/>
      <c r="AL91" s="289"/>
      <c r="AM91" s="289"/>
      <c r="AN91" s="289"/>
      <c r="AO91" s="289"/>
      <c r="AP91" s="289"/>
      <c r="AQ91" s="289"/>
      <c r="AR91" s="243"/>
      <c r="AS91" s="243"/>
      <c r="AT91" s="243"/>
      <c r="AU91" s="243"/>
      <c r="AV91" s="243"/>
      <c r="AW91" s="243"/>
      <c r="AX91" s="243"/>
      <c r="AY91" s="243"/>
      <c r="AZ91" s="243"/>
      <c r="BA91" s="243"/>
      <c r="BB91" s="243"/>
      <c r="BC91" s="243"/>
      <c r="BD91" s="243"/>
      <c r="BE91" s="243"/>
      <c r="BF91" s="246"/>
      <c r="BG91" s="246"/>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row>
    <row r="92" spans="1:94" s="290" customFormat="1">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9"/>
      <c r="AL92" s="289"/>
      <c r="AM92" s="289"/>
      <c r="AN92" s="289"/>
      <c r="AO92" s="289"/>
      <c r="AP92" s="289"/>
      <c r="AQ92" s="289"/>
      <c r="AR92" s="243"/>
      <c r="AS92" s="243"/>
      <c r="AT92" s="243"/>
      <c r="AU92" s="243"/>
      <c r="AV92" s="243"/>
      <c r="AW92" s="243"/>
      <c r="AX92" s="243"/>
      <c r="AY92" s="243"/>
      <c r="AZ92" s="243"/>
      <c r="BA92" s="243"/>
      <c r="BB92" s="243"/>
      <c r="BC92" s="243"/>
      <c r="BD92" s="243"/>
      <c r="BE92" s="243"/>
      <c r="BF92" s="246"/>
      <c r="BG92" s="246"/>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row>
    <row r="93" spans="1:94">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9"/>
      <c r="AL93" s="289"/>
      <c r="AM93" s="289"/>
      <c r="AN93" s="289"/>
      <c r="AO93" s="289"/>
      <c r="AP93" s="289"/>
      <c r="AQ93" s="289"/>
      <c r="AR93" s="243"/>
      <c r="AS93" s="243"/>
      <c r="AT93" s="243"/>
      <c r="AU93" s="243"/>
      <c r="AV93" s="243"/>
      <c r="AW93" s="243"/>
      <c r="AX93" s="243"/>
      <c r="AY93" s="243"/>
      <c r="AZ93" s="243"/>
      <c r="BA93" s="243"/>
      <c r="BB93" s="243"/>
      <c r="BC93" s="243"/>
      <c r="BD93" s="243"/>
      <c r="BE93" s="243"/>
      <c r="BF93" s="246"/>
      <c r="BG93" s="246"/>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row>
    <row r="94" spans="1:94">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9"/>
      <c r="AL94" s="289"/>
      <c r="AM94" s="289"/>
      <c r="AN94" s="289"/>
      <c r="AO94" s="289"/>
      <c r="AP94" s="289"/>
      <c r="AQ94" s="289"/>
      <c r="AR94" s="243"/>
      <c r="AS94" s="243"/>
      <c r="AT94" s="243"/>
      <c r="AU94" s="243"/>
      <c r="AV94" s="243"/>
      <c r="AW94" s="243"/>
      <c r="AX94" s="243"/>
      <c r="AY94" s="243"/>
      <c r="AZ94" s="243"/>
      <c r="BA94" s="243"/>
      <c r="BB94" s="243"/>
      <c r="BC94" s="243"/>
      <c r="BD94" s="243"/>
      <c r="BE94" s="243"/>
      <c r="BF94" s="246"/>
      <c r="BG94" s="246"/>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row>
    <row r="95" spans="1:94">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9"/>
      <c r="AL95" s="289"/>
      <c r="AM95" s="289"/>
      <c r="AN95" s="289"/>
      <c r="AO95" s="289"/>
      <c r="AP95" s="289"/>
      <c r="AQ95" s="289"/>
      <c r="AR95" s="243"/>
      <c r="AS95" s="243"/>
      <c r="AT95" s="243"/>
      <c r="AU95" s="243"/>
      <c r="AV95" s="243"/>
      <c r="AW95" s="243"/>
      <c r="AX95" s="243"/>
      <c r="AY95" s="243"/>
      <c r="AZ95" s="243"/>
      <c r="BA95" s="243"/>
      <c r="BB95" s="243"/>
      <c r="BC95" s="243"/>
      <c r="BD95" s="243"/>
      <c r="BE95" s="243"/>
      <c r="BF95" s="246"/>
      <c r="BG95" s="246"/>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row>
    <row r="96" spans="1:94">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9"/>
      <c r="AL96" s="289"/>
      <c r="AM96" s="289"/>
      <c r="AN96" s="289"/>
      <c r="AO96" s="289"/>
      <c r="AP96" s="289"/>
      <c r="AQ96" s="289"/>
      <c r="AR96" s="243"/>
      <c r="AS96" s="243"/>
      <c r="AT96" s="243"/>
      <c r="AU96" s="243"/>
      <c r="AV96" s="243"/>
      <c r="AW96" s="243"/>
      <c r="AX96" s="243"/>
      <c r="AY96" s="243"/>
      <c r="AZ96" s="243"/>
      <c r="BA96" s="243"/>
      <c r="BB96" s="243"/>
      <c r="BC96" s="243"/>
      <c r="BD96" s="243"/>
      <c r="BE96" s="243"/>
      <c r="BF96" s="246"/>
      <c r="BG96" s="246"/>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row>
    <row r="97" spans="1:94">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9"/>
      <c r="AL97" s="289"/>
      <c r="AM97" s="289"/>
      <c r="AN97" s="289"/>
      <c r="AO97" s="289"/>
      <c r="AP97" s="289"/>
      <c r="AQ97" s="289"/>
      <c r="AR97" s="243"/>
      <c r="AS97" s="243"/>
      <c r="AT97" s="243"/>
      <c r="AU97" s="243"/>
      <c r="AV97" s="243"/>
      <c r="AW97" s="243"/>
      <c r="AX97" s="243"/>
      <c r="AY97" s="243"/>
      <c r="AZ97" s="243"/>
      <c r="BA97" s="243"/>
      <c r="BB97" s="243"/>
      <c r="BC97" s="243"/>
      <c r="BD97" s="243"/>
      <c r="BE97" s="243"/>
      <c r="BF97" s="246"/>
      <c r="BG97" s="246"/>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c r="CM97" s="243"/>
      <c r="CN97" s="243"/>
      <c r="CO97" s="243"/>
      <c r="CP97" s="243"/>
    </row>
    <row r="98" spans="1:94">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9"/>
      <c r="AL98" s="289"/>
      <c r="AM98" s="289"/>
      <c r="AN98" s="289"/>
      <c r="AO98" s="289"/>
      <c r="AP98" s="289"/>
      <c r="AQ98" s="289"/>
      <c r="AR98" s="243"/>
      <c r="AS98" s="243"/>
      <c r="AT98" s="243"/>
      <c r="AU98" s="243"/>
      <c r="AV98" s="243"/>
      <c r="AW98" s="243"/>
      <c r="AX98" s="243"/>
      <c r="AY98" s="243"/>
      <c r="AZ98" s="243"/>
      <c r="BA98" s="243"/>
      <c r="BB98" s="243"/>
      <c r="BC98" s="243"/>
      <c r="BD98" s="243"/>
      <c r="BE98" s="243"/>
      <c r="BF98" s="246"/>
      <c r="BG98" s="246"/>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c r="CM98" s="243"/>
      <c r="CN98" s="243"/>
      <c r="CO98" s="243"/>
      <c r="CP98" s="243"/>
    </row>
    <row r="99" spans="1:94">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9"/>
      <c r="AL99" s="289"/>
      <c r="AM99" s="289"/>
      <c r="AN99" s="289"/>
      <c r="AO99" s="289"/>
      <c r="AP99" s="289"/>
      <c r="AQ99" s="289"/>
      <c r="AR99" s="243"/>
      <c r="AS99" s="243"/>
      <c r="AT99" s="243"/>
      <c r="AU99" s="243"/>
      <c r="AV99" s="243"/>
      <c r="AW99" s="243"/>
      <c r="AX99" s="243"/>
      <c r="AY99" s="243"/>
      <c r="AZ99" s="243"/>
      <c r="BA99" s="243"/>
      <c r="BB99" s="243"/>
      <c r="BC99" s="243"/>
      <c r="BD99" s="243"/>
      <c r="BE99" s="243"/>
      <c r="BF99" s="246"/>
      <c r="BG99" s="246"/>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c r="CM99" s="243"/>
      <c r="CN99" s="243"/>
      <c r="CO99" s="243"/>
      <c r="CP99" s="243"/>
    </row>
    <row r="100" spans="1:94">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9"/>
      <c r="AL100" s="289"/>
      <c r="AM100" s="289"/>
      <c r="AN100" s="289"/>
      <c r="AO100" s="289"/>
      <c r="AP100" s="289"/>
      <c r="AQ100" s="289"/>
      <c r="AR100" s="243"/>
      <c r="AS100" s="243"/>
      <c r="AT100" s="243"/>
      <c r="AU100" s="243"/>
      <c r="AV100" s="243"/>
      <c r="AW100" s="243"/>
      <c r="AX100" s="243"/>
      <c r="AY100" s="243"/>
      <c r="AZ100" s="243"/>
      <c r="BA100" s="243"/>
      <c r="BB100" s="243"/>
      <c r="BC100" s="243"/>
      <c r="BD100" s="243"/>
      <c r="BE100" s="243"/>
      <c r="BF100" s="246"/>
      <c r="BG100" s="246"/>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c r="CM100" s="243"/>
      <c r="CN100" s="243"/>
      <c r="CO100" s="243"/>
      <c r="CP100" s="243"/>
    </row>
    <row r="101" spans="1:94">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9"/>
      <c r="AL101" s="289"/>
      <c r="AM101" s="289"/>
      <c r="AN101" s="289"/>
      <c r="AO101" s="289"/>
      <c r="AP101" s="289"/>
      <c r="AQ101" s="289"/>
      <c r="AR101" s="243"/>
      <c r="AS101" s="243"/>
      <c r="AT101" s="243"/>
      <c r="AU101" s="243"/>
      <c r="AV101" s="243"/>
      <c r="AW101" s="243"/>
      <c r="AX101" s="243"/>
      <c r="AY101" s="243"/>
      <c r="AZ101" s="243"/>
      <c r="BA101" s="243"/>
      <c r="BB101" s="243"/>
      <c r="BC101" s="243"/>
      <c r="BD101" s="243"/>
      <c r="BE101" s="243"/>
      <c r="BF101" s="246"/>
      <c r="BG101" s="246"/>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c r="CM101" s="243"/>
      <c r="CN101" s="243"/>
      <c r="CO101" s="243"/>
      <c r="CP101" s="243"/>
    </row>
    <row r="102" spans="1:94">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9"/>
      <c r="AL102" s="289"/>
      <c r="AM102" s="289"/>
      <c r="AN102" s="289"/>
      <c r="AO102" s="289"/>
      <c r="AP102" s="289"/>
      <c r="AQ102" s="289"/>
      <c r="AR102" s="243"/>
      <c r="AS102" s="243"/>
      <c r="AT102" s="243"/>
      <c r="AU102" s="243"/>
      <c r="AV102" s="243"/>
      <c r="AW102" s="243"/>
      <c r="AX102" s="243"/>
      <c r="AY102" s="243"/>
      <c r="AZ102" s="243"/>
      <c r="BA102" s="243"/>
      <c r="BB102" s="243"/>
      <c r="BC102" s="243"/>
      <c r="BD102" s="243"/>
      <c r="BE102" s="243"/>
      <c r="BF102" s="246"/>
      <c r="BG102" s="246"/>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row>
    <row r="103" spans="1:94">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9"/>
      <c r="AL103" s="289"/>
      <c r="AM103" s="289"/>
      <c r="AN103" s="289"/>
      <c r="AO103" s="289"/>
      <c r="AP103" s="289"/>
      <c r="AQ103" s="289"/>
      <c r="AR103" s="243"/>
      <c r="AS103" s="243"/>
      <c r="AT103" s="243"/>
      <c r="AU103" s="243"/>
      <c r="AV103" s="243"/>
      <c r="AW103" s="243"/>
      <c r="AX103" s="243"/>
      <c r="AY103" s="243"/>
      <c r="AZ103" s="243"/>
      <c r="BA103" s="243"/>
      <c r="BB103" s="243"/>
      <c r="BC103" s="243"/>
      <c r="BD103" s="243"/>
      <c r="BE103" s="243"/>
      <c r="BF103" s="246"/>
      <c r="BG103" s="246"/>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row>
    <row r="104" spans="1:94">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9"/>
      <c r="AL104" s="289"/>
      <c r="AM104" s="289"/>
      <c r="AN104" s="289"/>
      <c r="AO104" s="289"/>
      <c r="AP104" s="289"/>
      <c r="AQ104" s="289"/>
      <c r="AR104" s="243"/>
      <c r="AS104" s="243"/>
      <c r="AT104" s="243"/>
      <c r="AU104" s="243"/>
      <c r="AV104" s="243"/>
      <c r="AW104" s="243"/>
      <c r="AX104" s="243"/>
      <c r="AY104" s="243"/>
      <c r="AZ104" s="243"/>
      <c r="BA104" s="243"/>
      <c r="BB104" s="243"/>
      <c r="BC104" s="243"/>
      <c r="BD104" s="243"/>
      <c r="BE104" s="243"/>
      <c r="BF104" s="246"/>
      <c r="BG104" s="246"/>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row>
    <row r="105" spans="1:94">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9"/>
      <c r="AL105" s="289"/>
      <c r="AM105" s="289"/>
      <c r="AN105" s="289"/>
      <c r="AO105" s="289"/>
      <c r="AP105" s="289"/>
      <c r="AQ105" s="289"/>
      <c r="AR105" s="243"/>
      <c r="AS105" s="243"/>
      <c r="AT105" s="243"/>
      <c r="AU105" s="243"/>
      <c r="AV105" s="243"/>
      <c r="AW105" s="243"/>
      <c r="AX105" s="243"/>
      <c r="AY105" s="243"/>
      <c r="AZ105" s="243"/>
      <c r="BA105" s="243"/>
      <c r="BB105" s="243"/>
      <c r="BC105" s="243"/>
      <c r="BD105" s="243"/>
      <c r="BE105" s="243"/>
      <c r="BF105" s="246"/>
      <c r="BG105" s="246"/>
      <c r="BH105" s="243"/>
      <c r="BI105" s="243"/>
      <c r="BJ105" s="243"/>
      <c r="BK105" s="243"/>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row>
    <row r="106" spans="1:94">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9"/>
      <c r="AL106" s="289"/>
      <c r="AM106" s="289"/>
      <c r="AN106" s="289"/>
      <c r="AO106" s="289"/>
      <c r="AP106" s="289"/>
      <c r="AQ106" s="289"/>
      <c r="AR106" s="243"/>
      <c r="AS106" s="243"/>
      <c r="AT106" s="243"/>
      <c r="AU106" s="243"/>
      <c r="AV106" s="243"/>
      <c r="AW106" s="243"/>
      <c r="AX106" s="243"/>
      <c r="AY106" s="243"/>
      <c r="AZ106" s="243"/>
      <c r="BA106" s="243"/>
      <c r="BB106" s="243"/>
      <c r="BC106" s="243"/>
      <c r="BD106" s="243"/>
      <c r="BE106" s="243"/>
      <c r="BF106" s="246"/>
      <c r="BG106" s="246"/>
      <c r="BH106" s="243"/>
      <c r="BI106" s="243"/>
      <c r="BJ106" s="243"/>
      <c r="BK106" s="243"/>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row>
    <row r="107" spans="1:94">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9"/>
      <c r="AL107" s="289"/>
      <c r="AM107" s="289"/>
      <c r="AN107" s="289"/>
      <c r="AO107" s="289"/>
      <c r="AP107" s="289"/>
      <c r="AQ107" s="289"/>
      <c r="AR107" s="243"/>
      <c r="AS107" s="243"/>
      <c r="AT107" s="243"/>
      <c r="AU107" s="243"/>
      <c r="AV107" s="243"/>
      <c r="AW107" s="243"/>
      <c r="AX107" s="243"/>
      <c r="AY107" s="243"/>
      <c r="AZ107" s="243"/>
      <c r="BA107" s="243"/>
      <c r="BB107" s="243"/>
      <c r="BC107" s="243"/>
      <c r="BD107" s="243"/>
      <c r="BE107" s="243"/>
      <c r="BF107" s="246"/>
      <c r="BG107" s="246"/>
      <c r="BH107" s="243"/>
      <c r="BI107" s="243"/>
      <c r="BJ107" s="243"/>
      <c r="BK107" s="243"/>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row>
    <row r="108" spans="1:94">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9"/>
      <c r="AL108" s="289"/>
      <c r="AM108" s="289"/>
      <c r="AN108" s="289"/>
      <c r="AO108" s="289"/>
      <c r="AP108" s="289"/>
      <c r="AQ108" s="289"/>
      <c r="AR108" s="243"/>
      <c r="AS108" s="243"/>
      <c r="AT108" s="243"/>
      <c r="AU108" s="243"/>
      <c r="AV108" s="243"/>
      <c r="AW108" s="243"/>
      <c r="AX108" s="243"/>
      <c r="AY108" s="243"/>
      <c r="AZ108" s="243"/>
      <c r="BA108" s="243"/>
      <c r="BB108" s="243"/>
      <c r="BC108" s="243"/>
      <c r="BD108" s="243"/>
      <c r="BE108" s="243"/>
      <c r="BF108" s="246"/>
      <c r="BG108" s="246"/>
      <c r="BH108" s="243"/>
      <c r="BI108" s="243"/>
      <c r="BJ108" s="243"/>
      <c r="BK108" s="243"/>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row>
    <row r="109" spans="1:94">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9"/>
      <c r="AL109" s="289"/>
      <c r="AM109" s="289"/>
      <c r="AN109" s="289"/>
      <c r="AO109" s="289"/>
      <c r="AP109" s="289"/>
      <c r="AQ109" s="289"/>
      <c r="AR109" s="243"/>
      <c r="AS109" s="243"/>
      <c r="AT109" s="243"/>
      <c r="AU109" s="243"/>
      <c r="AV109" s="243"/>
      <c r="AW109" s="243"/>
      <c r="AX109" s="243"/>
      <c r="AY109" s="243"/>
      <c r="AZ109" s="243"/>
      <c r="BA109" s="243"/>
      <c r="BB109" s="243"/>
      <c r="BC109" s="243"/>
      <c r="BD109" s="243"/>
      <c r="BE109" s="243"/>
      <c r="BF109" s="246"/>
      <c r="BG109" s="246"/>
      <c r="BH109" s="243"/>
      <c r="BI109" s="243"/>
      <c r="BJ109" s="243"/>
      <c r="BK109" s="243"/>
      <c r="BL109" s="243"/>
      <c r="BM109" s="243"/>
      <c r="BN109" s="243"/>
      <c r="BO109" s="243"/>
      <c r="BP109" s="243"/>
      <c r="BQ109" s="243"/>
      <c r="BR109" s="243"/>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c r="CM109" s="243"/>
      <c r="CN109" s="243"/>
      <c r="CO109" s="243"/>
      <c r="CP109" s="243"/>
    </row>
    <row r="110" spans="1:94">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9"/>
      <c r="AL110" s="289"/>
      <c r="AM110" s="289"/>
      <c r="AN110" s="289"/>
      <c r="AO110" s="289"/>
      <c r="AP110" s="289"/>
      <c r="AQ110" s="289"/>
      <c r="AR110" s="243"/>
      <c r="AS110" s="243"/>
      <c r="AT110" s="243"/>
      <c r="AU110" s="243"/>
      <c r="AV110" s="243"/>
      <c r="AW110" s="243"/>
      <c r="AX110" s="243"/>
      <c r="AY110" s="243"/>
      <c r="AZ110" s="243"/>
      <c r="BA110" s="243"/>
      <c r="BB110" s="243"/>
      <c r="BC110" s="243"/>
      <c r="BD110" s="243"/>
      <c r="BE110" s="243"/>
      <c r="BF110" s="246"/>
      <c r="BG110" s="246"/>
      <c r="BH110" s="243"/>
      <c r="BI110" s="243"/>
      <c r="BJ110" s="243"/>
      <c r="BK110" s="243"/>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row>
    <row r="111" spans="1:94">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9"/>
      <c r="AL111" s="289"/>
      <c r="AM111" s="289"/>
      <c r="AN111" s="289"/>
      <c r="AO111" s="289"/>
      <c r="AP111" s="289"/>
      <c r="AQ111" s="289"/>
      <c r="AR111" s="243"/>
      <c r="AS111" s="243"/>
      <c r="AT111" s="243"/>
      <c r="AU111" s="243"/>
      <c r="AV111" s="243"/>
      <c r="AW111" s="243"/>
      <c r="AX111" s="243"/>
      <c r="AY111" s="243"/>
      <c r="AZ111" s="243"/>
      <c r="BA111" s="243"/>
      <c r="BB111" s="243"/>
      <c r="BC111" s="243"/>
      <c r="BD111" s="243"/>
      <c r="BE111" s="243"/>
      <c r="BF111" s="246"/>
      <c r="BG111" s="246"/>
      <c r="BH111" s="243"/>
      <c r="BI111" s="243"/>
      <c r="BJ111" s="243"/>
      <c r="BK111" s="243"/>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row>
    <row r="112" spans="1:94">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9"/>
      <c r="AL112" s="289"/>
      <c r="AM112" s="289"/>
      <c r="AN112" s="289"/>
      <c r="AO112" s="289"/>
      <c r="AP112" s="289"/>
      <c r="AQ112" s="289"/>
      <c r="AR112" s="243"/>
      <c r="AS112" s="243"/>
      <c r="AT112" s="243"/>
      <c r="AU112" s="243"/>
      <c r="AV112" s="243"/>
      <c r="AW112" s="243"/>
      <c r="AX112" s="243"/>
      <c r="AY112" s="243"/>
      <c r="AZ112" s="243"/>
      <c r="BA112" s="243"/>
      <c r="BB112" s="243"/>
      <c r="BC112" s="243"/>
      <c r="BD112" s="243"/>
      <c r="BE112" s="243"/>
      <c r="BF112" s="246"/>
      <c r="BG112" s="246"/>
      <c r="BH112" s="243"/>
      <c r="BI112" s="243"/>
      <c r="BJ112" s="243"/>
      <c r="BK112" s="243"/>
      <c r="BL112" s="243"/>
      <c r="BM112" s="243"/>
      <c r="BN112" s="243"/>
      <c r="BO112" s="243"/>
      <c r="BP112" s="243"/>
      <c r="BQ112" s="243"/>
      <c r="BR112" s="243"/>
      <c r="BS112" s="243"/>
      <c r="BT112" s="243"/>
      <c r="BU112" s="243"/>
      <c r="BV112" s="243"/>
      <c r="BW112" s="243"/>
      <c r="BX112" s="243"/>
      <c r="BY112" s="243"/>
      <c r="BZ112" s="243"/>
      <c r="CA112" s="243"/>
      <c r="CB112" s="243"/>
      <c r="CC112" s="243"/>
      <c r="CD112" s="243"/>
      <c r="CE112" s="243"/>
      <c r="CF112" s="243"/>
      <c r="CG112" s="243"/>
      <c r="CH112" s="243"/>
      <c r="CI112" s="243"/>
      <c r="CJ112" s="243"/>
      <c r="CK112" s="243"/>
      <c r="CL112" s="243"/>
      <c r="CM112" s="243"/>
      <c r="CN112" s="243"/>
      <c r="CO112" s="243"/>
      <c r="CP112" s="243"/>
    </row>
    <row r="113" spans="1:94">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9"/>
      <c r="AL113" s="289"/>
      <c r="AM113" s="289"/>
      <c r="AN113" s="289"/>
      <c r="AO113" s="289"/>
      <c r="AP113" s="289"/>
      <c r="AQ113" s="289"/>
      <c r="AR113" s="243"/>
      <c r="AS113" s="243"/>
      <c r="AT113" s="243"/>
      <c r="AU113" s="243"/>
      <c r="AV113" s="243"/>
      <c r="AW113" s="243"/>
      <c r="AX113" s="243"/>
      <c r="AY113" s="243"/>
      <c r="AZ113" s="243"/>
      <c r="BA113" s="243"/>
      <c r="BB113" s="243"/>
      <c r="BC113" s="243"/>
      <c r="BD113" s="243"/>
      <c r="BE113" s="243"/>
      <c r="BF113" s="246"/>
      <c r="BG113" s="246"/>
      <c r="BH113" s="243"/>
      <c r="BI113" s="243"/>
      <c r="BJ113" s="243"/>
      <c r="BK113" s="243"/>
      <c r="BL113" s="243"/>
      <c r="BM113" s="243"/>
      <c r="BN113" s="243"/>
      <c r="BO113" s="243"/>
      <c r="BP113" s="243"/>
      <c r="BQ113" s="243"/>
      <c r="BR113" s="243"/>
      <c r="BS113" s="243"/>
      <c r="BT113" s="243"/>
      <c r="BU113" s="243"/>
      <c r="BV113" s="243"/>
      <c r="BW113" s="243"/>
      <c r="BX113" s="243"/>
      <c r="BY113" s="243"/>
      <c r="BZ113" s="243"/>
      <c r="CA113" s="243"/>
      <c r="CB113" s="243"/>
      <c r="CC113" s="243"/>
      <c r="CD113" s="243"/>
      <c r="CE113" s="243"/>
      <c r="CF113" s="243"/>
      <c r="CG113" s="243"/>
      <c r="CH113" s="243"/>
      <c r="CI113" s="243"/>
      <c r="CJ113" s="243"/>
      <c r="CK113" s="243"/>
      <c r="CL113" s="243"/>
      <c r="CM113" s="243"/>
      <c r="CN113" s="243"/>
      <c r="CO113" s="243"/>
      <c r="CP113" s="243"/>
    </row>
    <row r="114" spans="1:94">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9"/>
      <c r="AL114" s="289"/>
      <c r="AM114" s="289"/>
      <c r="AN114" s="289"/>
      <c r="AO114" s="289"/>
      <c r="AP114" s="289"/>
      <c r="AQ114" s="289"/>
      <c r="AR114" s="243"/>
      <c r="AS114" s="243"/>
      <c r="AT114" s="243"/>
      <c r="AU114" s="243"/>
      <c r="AV114" s="243"/>
      <c r="AW114" s="243"/>
      <c r="AX114" s="243"/>
      <c r="AY114" s="243"/>
      <c r="AZ114" s="243"/>
      <c r="BA114" s="243"/>
      <c r="BB114" s="243"/>
      <c r="BC114" s="243"/>
      <c r="BD114" s="243"/>
      <c r="BE114" s="243"/>
      <c r="BF114" s="246"/>
      <c r="BG114" s="246"/>
      <c r="BH114" s="243"/>
      <c r="BI114" s="243"/>
      <c r="BJ114" s="243"/>
      <c r="BK114" s="243"/>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row>
    <row r="115" spans="1:94">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9"/>
      <c r="AL115" s="289"/>
      <c r="AM115" s="289"/>
      <c r="AN115" s="289"/>
      <c r="AO115" s="289"/>
      <c r="AP115" s="289"/>
      <c r="AQ115" s="289"/>
      <c r="AR115" s="243"/>
      <c r="AS115" s="243"/>
      <c r="AT115" s="243"/>
      <c r="AU115" s="243"/>
      <c r="AV115" s="243"/>
      <c r="AW115" s="243"/>
      <c r="AX115" s="243"/>
      <c r="AY115" s="243"/>
      <c r="AZ115" s="243"/>
      <c r="BA115" s="243"/>
      <c r="BB115" s="243"/>
      <c r="BC115" s="243"/>
      <c r="BD115" s="243"/>
      <c r="BE115" s="243"/>
      <c r="BF115" s="246"/>
      <c r="BG115" s="246"/>
      <c r="BH115" s="243"/>
      <c r="BI115" s="243"/>
      <c r="BJ115" s="243"/>
      <c r="BK115" s="243"/>
      <c r="BL115" s="243"/>
      <c r="BM115" s="243"/>
      <c r="BN115" s="243"/>
      <c r="BO115" s="243"/>
      <c r="BP115" s="243"/>
      <c r="BQ115" s="243"/>
      <c r="BR115" s="243"/>
      <c r="BS115" s="243"/>
      <c r="BT115" s="243"/>
      <c r="BU115" s="243"/>
      <c r="BV115" s="243"/>
      <c r="BW115" s="243"/>
      <c r="BX115" s="243"/>
      <c r="BY115" s="243"/>
      <c r="BZ115" s="243"/>
      <c r="CA115" s="243"/>
      <c r="CB115" s="243"/>
      <c r="CC115" s="243"/>
      <c r="CD115" s="243"/>
      <c r="CE115" s="243"/>
      <c r="CF115" s="243"/>
      <c r="CG115" s="243"/>
      <c r="CH115" s="243"/>
      <c r="CI115" s="243"/>
      <c r="CJ115" s="243"/>
      <c r="CK115" s="243"/>
      <c r="CL115" s="243"/>
      <c r="CM115" s="243"/>
      <c r="CN115" s="243"/>
      <c r="CO115" s="243"/>
      <c r="CP115" s="243"/>
    </row>
    <row r="116" spans="1:94">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9"/>
      <c r="AL116" s="289"/>
      <c r="AM116" s="289"/>
      <c r="AN116" s="289"/>
      <c r="AO116" s="289"/>
      <c r="AP116" s="289"/>
      <c r="AQ116" s="289"/>
      <c r="AR116" s="243"/>
      <c r="AS116" s="243"/>
      <c r="AT116" s="243"/>
      <c r="AU116" s="243"/>
      <c r="AV116" s="243"/>
      <c r="AW116" s="243"/>
      <c r="AX116" s="243"/>
      <c r="AY116" s="243"/>
      <c r="AZ116" s="243"/>
      <c r="BA116" s="243"/>
      <c r="BB116" s="243"/>
      <c r="BC116" s="243"/>
      <c r="BD116" s="243"/>
      <c r="BE116" s="243"/>
      <c r="BF116" s="246"/>
      <c r="BG116" s="246"/>
      <c r="BH116" s="243"/>
      <c r="BI116" s="243"/>
      <c r="BJ116" s="243"/>
      <c r="BK116" s="243"/>
      <c r="BL116" s="243"/>
      <c r="BM116" s="243"/>
      <c r="BN116" s="243"/>
      <c r="BO116" s="243"/>
      <c r="BP116" s="243"/>
      <c r="BQ116" s="243"/>
      <c r="BR116" s="243"/>
      <c r="BS116" s="243"/>
      <c r="BT116" s="243"/>
      <c r="BU116" s="243"/>
      <c r="BV116" s="243"/>
      <c r="BW116" s="243"/>
      <c r="BX116" s="243"/>
      <c r="BY116" s="243"/>
      <c r="BZ116" s="243"/>
      <c r="CA116" s="243"/>
      <c r="CB116" s="243"/>
      <c r="CC116" s="243"/>
      <c r="CD116" s="243"/>
      <c r="CE116" s="243"/>
      <c r="CF116" s="243"/>
      <c r="CG116" s="243"/>
      <c r="CH116" s="243"/>
      <c r="CI116" s="243"/>
      <c r="CJ116" s="243"/>
      <c r="CK116" s="243"/>
      <c r="CL116" s="243"/>
      <c r="CM116" s="243"/>
      <c r="CN116" s="243"/>
      <c r="CO116" s="243"/>
      <c r="CP116" s="243"/>
    </row>
    <row r="117" spans="1:94">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9"/>
      <c r="AL117" s="289"/>
      <c r="AM117" s="289"/>
      <c r="AN117" s="289"/>
      <c r="AO117" s="289"/>
      <c r="AP117" s="289"/>
      <c r="AQ117" s="289"/>
      <c r="AR117" s="243"/>
      <c r="AS117" s="243"/>
      <c r="AT117" s="243"/>
      <c r="AU117" s="243"/>
      <c r="AV117" s="243"/>
      <c r="AW117" s="243"/>
      <c r="AX117" s="243"/>
      <c r="AY117" s="243"/>
      <c r="AZ117" s="243"/>
      <c r="BA117" s="243"/>
      <c r="BB117" s="243"/>
      <c r="BC117" s="243"/>
      <c r="BD117" s="243"/>
      <c r="BE117" s="243"/>
      <c r="BF117" s="246"/>
      <c r="BG117" s="246"/>
      <c r="BH117" s="243"/>
      <c r="BI117" s="243"/>
      <c r="BJ117" s="243"/>
      <c r="BK117" s="243"/>
      <c r="BL117" s="243"/>
      <c r="BM117" s="243"/>
      <c r="BN117" s="243"/>
      <c r="BO117" s="243"/>
      <c r="BP117" s="243"/>
      <c r="BQ117" s="243"/>
      <c r="BR117" s="243"/>
      <c r="BS117" s="243"/>
      <c r="BT117" s="243"/>
      <c r="BU117" s="243"/>
      <c r="BV117" s="243"/>
      <c r="BW117" s="243"/>
      <c r="BX117" s="243"/>
      <c r="BY117" s="243"/>
      <c r="BZ117" s="243"/>
      <c r="CA117" s="243"/>
      <c r="CB117" s="243"/>
      <c r="CC117" s="243"/>
      <c r="CD117" s="243"/>
      <c r="CE117" s="243"/>
      <c r="CF117" s="243"/>
      <c r="CG117" s="243"/>
      <c r="CH117" s="243"/>
      <c r="CI117" s="243"/>
      <c r="CJ117" s="243"/>
      <c r="CK117" s="243"/>
      <c r="CL117" s="243"/>
      <c r="CM117" s="243"/>
      <c r="CN117" s="243"/>
      <c r="CO117" s="243"/>
      <c r="CP117" s="243"/>
    </row>
    <row r="118" spans="1:94">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9"/>
      <c r="AL118" s="289"/>
      <c r="AM118" s="289"/>
      <c r="AN118" s="289"/>
      <c r="AO118" s="289"/>
      <c r="AP118" s="289"/>
      <c r="AQ118" s="289"/>
      <c r="AR118" s="243"/>
      <c r="AS118" s="243"/>
      <c r="AT118" s="243"/>
      <c r="AU118" s="243"/>
      <c r="AV118" s="243"/>
      <c r="AW118" s="243"/>
      <c r="AX118" s="243"/>
      <c r="AY118" s="243"/>
      <c r="AZ118" s="243"/>
      <c r="BA118" s="243"/>
      <c r="BB118" s="243"/>
      <c r="BC118" s="243"/>
      <c r="BD118" s="243"/>
      <c r="BE118" s="243"/>
      <c r="BF118" s="246"/>
      <c r="BG118" s="246"/>
      <c r="BH118" s="243"/>
      <c r="BI118" s="243"/>
      <c r="BJ118" s="243"/>
      <c r="BK118" s="243"/>
      <c r="BL118" s="243"/>
      <c r="BM118" s="243"/>
      <c r="BN118" s="243"/>
      <c r="BO118" s="243"/>
      <c r="BP118" s="243"/>
      <c r="BQ118" s="243"/>
      <c r="BR118" s="243"/>
      <c r="BS118" s="243"/>
      <c r="BT118" s="243"/>
      <c r="BU118" s="243"/>
      <c r="BV118" s="243"/>
      <c r="BW118" s="243"/>
      <c r="BX118" s="243"/>
      <c r="BY118" s="243"/>
      <c r="BZ118" s="243"/>
      <c r="CA118" s="243"/>
      <c r="CB118" s="243"/>
      <c r="CC118" s="243"/>
      <c r="CD118" s="243"/>
      <c r="CE118" s="243"/>
      <c r="CF118" s="243"/>
      <c r="CG118" s="243"/>
      <c r="CH118" s="243"/>
      <c r="CI118" s="243"/>
      <c r="CJ118" s="243"/>
      <c r="CK118" s="243"/>
      <c r="CL118" s="243"/>
      <c r="CM118" s="243"/>
      <c r="CN118" s="243"/>
      <c r="CO118" s="243"/>
      <c r="CP118" s="243"/>
    </row>
    <row r="119" spans="1:94">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9"/>
      <c r="AL119" s="289"/>
      <c r="AM119" s="289"/>
      <c r="AN119" s="289"/>
      <c r="AO119" s="289"/>
      <c r="AP119" s="289"/>
      <c r="AQ119" s="289"/>
      <c r="AR119" s="243"/>
      <c r="AS119" s="243"/>
      <c r="AT119" s="243"/>
      <c r="AU119" s="243"/>
      <c r="AV119" s="243"/>
      <c r="AW119" s="243"/>
      <c r="AX119" s="243"/>
      <c r="AY119" s="243"/>
      <c r="AZ119" s="243"/>
      <c r="BA119" s="243"/>
      <c r="BB119" s="243"/>
      <c r="BC119" s="243"/>
      <c r="BD119" s="243"/>
      <c r="BE119" s="243"/>
      <c r="BF119" s="246"/>
      <c r="BG119" s="246"/>
      <c r="BH119" s="243"/>
      <c r="BI119" s="243"/>
      <c r="BJ119" s="243"/>
      <c r="BK119" s="243"/>
      <c r="BL119" s="243"/>
      <c r="BM119" s="243"/>
      <c r="BN119" s="243"/>
      <c r="BO119" s="243"/>
      <c r="BP119" s="243"/>
      <c r="BQ119" s="243"/>
      <c r="BR119" s="243"/>
      <c r="BS119" s="243"/>
      <c r="BT119" s="243"/>
      <c r="BU119" s="243"/>
      <c r="BV119" s="243"/>
      <c r="BW119" s="243"/>
      <c r="BX119" s="243"/>
      <c r="BY119" s="243"/>
      <c r="BZ119" s="243"/>
      <c r="CA119" s="243"/>
      <c r="CB119" s="243"/>
      <c r="CC119" s="243"/>
      <c r="CD119" s="243"/>
      <c r="CE119" s="243"/>
      <c r="CF119" s="243"/>
      <c r="CG119" s="243"/>
      <c r="CH119" s="243"/>
      <c r="CI119" s="243"/>
      <c r="CJ119" s="243"/>
      <c r="CK119" s="243"/>
      <c r="CL119" s="243"/>
      <c r="CM119" s="243"/>
      <c r="CN119" s="243"/>
      <c r="CO119" s="243"/>
      <c r="CP119" s="243"/>
    </row>
    <row r="120" spans="1:94">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9"/>
      <c r="AL120" s="289"/>
      <c r="AM120" s="289"/>
      <c r="AN120" s="289"/>
      <c r="AO120" s="289"/>
      <c r="AP120" s="289"/>
      <c r="AQ120" s="289"/>
      <c r="AR120" s="243"/>
      <c r="AS120" s="243"/>
      <c r="AT120" s="243"/>
      <c r="AU120" s="243"/>
      <c r="AV120" s="243"/>
      <c r="AW120" s="243"/>
      <c r="AX120" s="243"/>
      <c r="AY120" s="243"/>
      <c r="AZ120" s="243"/>
      <c r="BA120" s="243"/>
      <c r="BB120" s="243"/>
      <c r="BC120" s="243"/>
      <c r="BD120" s="243"/>
      <c r="BE120" s="243"/>
      <c r="BF120" s="246"/>
      <c r="BG120" s="246"/>
      <c r="BH120" s="243"/>
      <c r="BI120" s="243"/>
      <c r="BJ120" s="243"/>
      <c r="BK120" s="243"/>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row>
    <row r="121" spans="1:94">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9"/>
      <c r="AL121" s="289"/>
      <c r="AM121" s="289"/>
      <c r="AN121" s="289"/>
      <c r="AO121" s="289"/>
      <c r="AP121" s="289"/>
      <c r="AQ121" s="289"/>
      <c r="AR121" s="243"/>
      <c r="AS121" s="243"/>
      <c r="AT121" s="243"/>
      <c r="AU121" s="243"/>
      <c r="AV121" s="243"/>
      <c r="AW121" s="243"/>
      <c r="AX121" s="243"/>
      <c r="AY121" s="243"/>
      <c r="AZ121" s="243"/>
      <c r="BA121" s="243"/>
      <c r="BB121" s="243"/>
      <c r="BC121" s="243"/>
      <c r="BD121" s="243"/>
      <c r="BE121" s="243"/>
      <c r="BF121" s="246"/>
      <c r="BG121" s="246"/>
      <c r="BH121" s="243"/>
      <c r="BI121" s="243"/>
      <c r="BJ121" s="243"/>
      <c r="BK121" s="243"/>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row>
    <row r="122" spans="1:94">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9"/>
      <c r="AL122" s="289"/>
      <c r="AM122" s="289"/>
      <c r="AN122" s="289"/>
      <c r="AO122" s="289"/>
      <c r="AP122" s="289"/>
      <c r="AQ122" s="289"/>
      <c r="AR122" s="243"/>
      <c r="AS122" s="243"/>
      <c r="AT122" s="243"/>
      <c r="AU122" s="243"/>
      <c r="AV122" s="243"/>
      <c r="AW122" s="243"/>
      <c r="AX122" s="243"/>
      <c r="AY122" s="243"/>
      <c r="AZ122" s="243"/>
      <c r="BA122" s="243"/>
      <c r="BB122" s="243"/>
      <c r="BC122" s="243"/>
      <c r="BD122" s="243"/>
      <c r="BE122" s="243"/>
      <c r="BF122" s="246"/>
      <c r="BG122" s="246"/>
      <c r="BH122" s="243"/>
      <c r="BI122" s="243"/>
      <c r="BJ122" s="243"/>
      <c r="BK122" s="243"/>
      <c r="BL122" s="243"/>
      <c r="BM122" s="243"/>
      <c r="BN122" s="243"/>
      <c r="BO122" s="243"/>
      <c r="BP122" s="243"/>
      <c r="BQ122" s="243"/>
      <c r="BR122" s="243"/>
      <c r="BS122" s="243"/>
      <c r="BT122" s="243"/>
      <c r="BU122" s="243"/>
      <c r="BV122" s="243"/>
      <c r="BW122" s="243"/>
      <c r="BX122" s="243"/>
      <c r="BY122" s="243"/>
      <c r="BZ122" s="243"/>
      <c r="CA122" s="243"/>
      <c r="CB122" s="243"/>
      <c r="CC122" s="243"/>
      <c r="CD122" s="243"/>
      <c r="CE122" s="243"/>
      <c r="CF122" s="243"/>
      <c r="CG122" s="243"/>
      <c r="CH122" s="243"/>
      <c r="CI122" s="243"/>
      <c r="CJ122" s="243"/>
      <c r="CK122" s="243"/>
      <c r="CL122" s="243"/>
      <c r="CM122" s="243"/>
      <c r="CN122" s="243"/>
      <c r="CO122" s="243"/>
      <c r="CP122" s="243"/>
    </row>
    <row r="123" spans="1:94">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9"/>
      <c r="AL123" s="289"/>
      <c r="AM123" s="289"/>
      <c r="AN123" s="289"/>
      <c r="AO123" s="289"/>
      <c r="AP123" s="289"/>
      <c r="AQ123" s="289"/>
      <c r="AR123" s="243"/>
      <c r="AS123" s="243"/>
      <c r="AT123" s="243"/>
      <c r="AU123" s="243"/>
      <c r="AV123" s="243"/>
      <c r="AW123" s="243"/>
      <c r="AX123" s="243"/>
      <c r="AY123" s="243"/>
      <c r="AZ123" s="243"/>
      <c r="BA123" s="243"/>
      <c r="BB123" s="243"/>
      <c r="BC123" s="243"/>
      <c r="BD123" s="243"/>
      <c r="BE123" s="243"/>
      <c r="BF123" s="246"/>
      <c r="BG123" s="246"/>
      <c r="BH123" s="243"/>
      <c r="BI123" s="243"/>
      <c r="BJ123" s="243"/>
      <c r="BK123" s="243"/>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row>
    <row r="124" spans="1:94">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9"/>
      <c r="AL124" s="289"/>
      <c r="AM124" s="289"/>
      <c r="AN124" s="289"/>
      <c r="AO124" s="289"/>
      <c r="AP124" s="289"/>
      <c r="AQ124" s="289"/>
      <c r="AR124" s="243"/>
      <c r="AS124" s="243"/>
      <c r="AT124" s="243"/>
      <c r="AU124" s="243"/>
      <c r="AV124" s="243"/>
      <c r="AW124" s="243"/>
      <c r="AX124" s="243"/>
      <c r="AY124" s="243"/>
      <c r="AZ124" s="243"/>
      <c r="BA124" s="243"/>
      <c r="BB124" s="243"/>
      <c r="BC124" s="243"/>
      <c r="BD124" s="243"/>
      <c r="BE124" s="243"/>
      <c r="BF124" s="246"/>
      <c r="BG124" s="246"/>
      <c r="BH124" s="243"/>
      <c r="BI124" s="243"/>
      <c r="BJ124" s="243"/>
      <c r="BK124" s="243"/>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row>
    <row r="125" spans="1:94">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c r="AD125" s="288"/>
      <c r="AE125" s="288"/>
      <c r="AF125" s="288"/>
      <c r="AG125" s="288"/>
      <c r="AH125" s="288"/>
      <c r="AI125" s="288"/>
      <c r="AJ125" s="288"/>
      <c r="AK125" s="289"/>
      <c r="AL125" s="289"/>
      <c r="AM125" s="289"/>
      <c r="AN125" s="289"/>
      <c r="AO125" s="289"/>
      <c r="AP125" s="289"/>
      <c r="AQ125" s="289"/>
      <c r="AR125" s="243"/>
      <c r="AS125" s="243"/>
      <c r="AT125" s="243"/>
      <c r="AU125" s="243"/>
      <c r="AV125" s="243"/>
      <c r="AW125" s="243"/>
      <c r="AX125" s="243"/>
      <c r="AY125" s="243"/>
      <c r="AZ125" s="243"/>
      <c r="BA125" s="243"/>
      <c r="BB125" s="243"/>
      <c r="BC125" s="243"/>
      <c r="BD125" s="243"/>
      <c r="BE125" s="243"/>
      <c r="BF125" s="246"/>
      <c r="BG125" s="246"/>
      <c r="BH125" s="243"/>
      <c r="BI125" s="243"/>
      <c r="BJ125" s="243"/>
      <c r="BK125" s="243"/>
      <c r="BL125" s="243"/>
      <c r="BM125" s="243"/>
      <c r="BN125" s="243"/>
      <c r="BO125" s="243"/>
      <c r="BP125" s="243"/>
      <c r="BQ125" s="243"/>
      <c r="BR125" s="243"/>
      <c r="BS125" s="243"/>
      <c r="BT125" s="243"/>
      <c r="BU125" s="243"/>
      <c r="BV125" s="243"/>
      <c r="BW125" s="243"/>
      <c r="BX125" s="243"/>
      <c r="BY125" s="243"/>
      <c r="BZ125" s="243"/>
      <c r="CA125" s="243"/>
      <c r="CB125" s="243"/>
      <c r="CC125" s="243"/>
      <c r="CD125" s="243"/>
      <c r="CE125" s="243"/>
      <c r="CF125" s="243"/>
      <c r="CG125" s="243"/>
      <c r="CH125" s="243"/>
      <c r="CI125" s="243"/>
      <c r="CJ125" s="243"/>
      <c r="CK125" s="243"/>
      <c r="CL125" s="243"/>
      <c r="CM125" s="243"/>
      <c r="CN125" s="243"/>
      <c r="CO125" s="243"/>
      <c r="CP125" s="243"/>
    </row>
  </sheetData>
  <sheetProtection algorithmName="SHA-512" hashValue="K9GpGrtrCpM1YzNWZwvsv49Fd/Uix/LIVfnExH55tjUI3IWOTtVkDMpH3kTAIr6G1ueF0DqKQwwajLxaHomb0w==" saltValue="GUvl/24OcuErM6YojY+0Kg==" spinCount="100000" sheet="1" objects="1" scenarios="1" selectLockedCells="1" selectUnlockedCells="1"/>
  <mergeCells count="343">
    <mergeCell ref="L60:M60"/>
    <mergeCell ref="N60:O60"/>
    <mergeCell ref="P55:Q55"/>
    <mergeCell ref="P56:Q56"/>
    <mergeCell ref="P57:Q57"/>
    <mergeCell ref="P58:Q58"/>
    <mergeCell ref="P59:Q59"/>
    <mergeCell ref="P60:Q60"/>
    <mergeCell ref="L62:M62"/>
    <mergeCell ref="N62:O62"/>
    <mergeCell ref="L61:M61"/>
    <mergeCell ref="N61:O61"/>
    <mergeCell ref="P61:Q61"/>
    <mergeCell ref="P62:Q62"/>
    <mergeCell ref="L58:M58"/>
    <mergeCell ref="N58:O58"/>
    <mergeCell ref="L56:M56"/>
    <mergeCell ref="N56:O56"/>
    <mergeCell ref="L59:M59"/>
    <mergeCell ref="N59:O59"/>
    <mergeCell ref="L55:M55"/>
    <mergeCell ref="N55:O55"/>
    <mergeCell ref="P54:Q54"/>
    <mergeCell ref="T53:U53"/>
    <mergeCell ref="L54:M54"/>
    <mergeCell ref="L57:M57"/>
    <mergeCell ref="N57:O57"/>
    <mergeCell ref="A53:E53"/>
    <mergeCell ref="F53:G53"/>
    <mergeCell ref="H53:I53"/>
    <mergeCell ref="J53:K53"/>
    <mergeCell ref="L53:M53"/>
    <mergeCell ref="N53:O53"/>
    <mergeCell ref="P53:Q53"/>
    <mergeCell ref="R53:S53"/>
    <mergeCell ref="R51:S51"/>
    <mergeCell ref="T51:U51"/>
    <mergeCell ref="F52:G52"/>
    <mergeCell ref="H52:I52"/>
    <mergeCell ref="J52:K52"/>
    <mergeCell ref="L52:M52"/>
    <mergeCell ref="N52:O52"/>
    <mergeCell ref="P52:Q52"/>
    <mergeCell ref="R52:S52"/>
    <mergeCell ref="T52:U52"/>
    <mergeCell ref="F51:G51"/>
    <mergeCell ref="H51:I51"/>
    <mergeCell ref="J51:K51"/>
    <mergeCell ref="L51:M51"/>
    <mergeCell ref="N51:O51"/>
    <mergeCell ref="P51:Q51"/>
    <mergeCell ref="R49:S49"/>
    <mergeCell ref="T49:U49"/>
    <mergeCell ref="F50:G50"/>
    <mergeCell ref="H50:I50"/>
    <mergeCell ref="J50:K50"/>
    <mergeCell ref="L50:M50"/>
    <mergeCell ref="N50:O50"/>
    <mergeCell ref="P50:Q50"/>
    <mergeCell ref="R50:S50"/>
    <mergeCell ref="T50:U50"/>
    <mergeCell ref="F49:G49"/>
    <mergeCell ref="H49:I49"/>
    <mergeCell ref="J49:K49"/>
    <mergeCell ref="L49:M49"/>
    <mergeCell ref="N49:O49"/>
    <mergeCell ref="P49:Q49"/>
    <mergeCell ref="R47:S47"/>
    <mergeCell ref="T47:U47"/>
    <mergeCell ref="F48:G48"/>
    <mergeCell ref="H48:I48"/>
    <mergeCell ref="J48:K48"/>
    <mergeCell ref="L48:M48"/>
    <mergeCell ref="N48:O48"/>
    <mergeCell ref="P48:Q48"/>
    <mergeCell ref="R48:S48"/>
    <mergeCell ref="T48:U48"/>
    <mergeCell ref="F47:G47"/>
    <mergeCell ref="H47:I47"/>
    <mergeCell ref="J47:K47"/>
    <mergeCell ref="L47:M47"/>
    <mergeCell ref="N47:O47"/>
    <mergeCell ref="P47:Q47"/>
    <mergeCell ref="R45:S45"/>
    <mergeCell ref="T45:U45"/>
    <mergeCell ref="F46:G46"/>
    <mergeCell ref="H46:I46"/>
    <mergeCell ref="J46:K46"/>
    <mergeCell ref="L46:M46"/>
    <mergeCell ref="N46:O46"/>
    <mergeCell ref="P46:Q46"/>
    <mergeCell ref="R46:S46"/>
    <mergeCell ref="T46:U46"/>
    <mergeCell ref="F45:G45"/>
    <mergeCell ref="H45:I45"/>
    <mergeCell ref="J45:K45"/>
    <mergeCell ref="L45:M45"/>
    <mergeCell ref="N45:O45"/>
    <mergeCell ref="P45:Q45"/>
    <mergeCell ref="R43:S43"/>
    <mergeCell ref="T43:U43"/>
    <mergeCell ref="F44:G44"/>
    <mergeCell ref="H44:I44"/>
    <mergeCell ref="J44:K44"/>
    <mergeCell ref="L44:M44"/>
    <mergeCell ref="N44:O44"/>
    <mergeCell ref="P44:Q44"/>
    <mergeCell ref="R44:S44"/>
    <mergeCell ref="T44:U44"/>
    <mergeCell ref="F43:G43"/>
    <mergeCell ref="H43:I43"/>
    <mergeCell ref="J43:K43"/>
    <mergeCell ref="L43:M43"/>
    <mergeCell ref="N43:O43"/>
    <mergeCell ref="P43:Q43"/>
    <mergeCell ref="R41:S41"/>
    <mergeCell ref="T41:U41"/>
    <mergeCell ref="F42:G42"/>
    <mergeCell ref="H42:I42"/>
    <mergeCell ref="J42:K42"/>
    <mergeCell ref="L42:M42"/>
    <mergeCell ref="N42:O42"/>
    <mergeCell ref="P42:Q42"/>
    <mergeCell ref="R42:S42"/>
    <mergeCell ref="T42:U42"/>
    <mergeCell ref="F41:G41"/>
    <mergeCell ref="H41:I41"/>
    <mergeCell ref="J41:K41"/>
    <mergeCell ref="L41:M41"/>
    <mergeCell ref="N41:O41"/>
    <mergeCell ref="P41:Q41"/>
    <mergeCell ref="R39:S39"/>
    <mergeCell ref="T39:U39"/>
    <mergeCell ref="F40:G40"/>
    <mergeCell ref="H40:I40"/>
    <mergeCell ref="J40:K40"/>
    <mergeCell ref="L40:M40"/>
    <mergeCell ref="N40:O40"/>
    <mergeCell ref="P40:Q40"/>
    <mergeCell ref="R40:S40"/>
    <mergeCell ref="T40:U40"/>
    <mergeCell ref="F39:G39"/>
    <mergeCell ref="H39:I39"/>
    <mergeCell ref="J39:K39"/>
    <mergeCell ref="L39:M39"/>
    <mergeCell ref="N39:O39"/>
    <mergeCell ref="P39:Q39"/>
    <mergeCell ref="R37:S37"/>
    <mergeCell ref="T37:U37"/>
    <mergeCell ref="F38:G38"/>
    <mergeCell ref="H38:I38"/>
    <mergeCell ref="J38:K38"/>
    <mergeCell ref="L38:M38"/>
    <mergeCell ref="N38:O38"/>
    <mergeCell ref="P38:Q38"/>
    <mergeCell ref="R38:S38"/>
    <mergeCell ref="T38:U38"/>
    <mergeCell ref="F37:G37"/>
    <mergeCell ref="H37:I37"/>
    <mergeCell ref="J37:K37"/>
    <mergeCell ref="L37:M37"/>
    <mergeCell ref="N37:O37"/>
    <mergeCell ref="P37:Q37"/>
    <mergeCell ref="R35:S35"/>
    <mergeCell ref="T35:U35"/>
    <mergeCell ref="F36:G36"/>
    <mergeCell ref="H36:I36"/>
    <mergeCell ref="J36:K36"/>
    <mergeCell ref="L36:M36"/>
    <mergeCell ref="N36:O36"/>
    <mergeCell ref="P36:Q36"/>
    <mergeCell ref="R36:S36"/>
    <mergeCell ref="T36:U36"/>
    <mergeCell ref="F35:G35"/>
    <mergeCell ref="H35:I35"/>
    <mergeCell ref="J35:K35"/>
    <mergeCell ref="L35:M35"/>
    <mergeCell ref="N35:O35"/>
    <mergeCell ref="P35:Q35"/>
    <mergeCell ref="R33:S33"/>
    <mergeCell ref="T33:U33"/>
    <mergeCell ref="F34:G34"/>
    <mergeCell ref="H34:I34"/>
    <mergeCell ref="J34:K34"/>
    <mergeCell ref="L34:M34"/>
    <mergeCell ref="N34:O34"/>
    <mergeCell ref="P34:Q34"/>
    <mergeCell ref="R34:S34"/>
    <mergeCell ref="T34:U34"/>
    <mergeCell ref="F33:G33"/>
    <mergeCell ref="H33:I33"/>
    <mergeCell ref="J33:K33"/>
    <mergeCell ref="L33:M33"/>
    <mergeCell ref="N33:O33"/>
    <mergeCell ref="P33:Q33"/>
    <mergeCell ref="F32:G32"/>
    <mergeCell ref="H32:I32"/>
    <mergeCell ref="J32:K32"/>
    <mergeCell ref="L32:M32"/>
    <mergeCell ref="N32:O32"/>
    <mergeCell ref="P32:Q32"/>
    <mergeCell ref="R32:S32"/>
    <mergeCell ref="T32:U32"/>
    <mergeCell ref="F31:G31"/>
    <mergeCell ref="H31:I31"/>
    <mergeCell ref="J31:K31"/>
    <mergeCell ref="L31:M31"/>
    <mergeCell ref="N31:O31"/>
    <mergeCell ref="P31:Q31"/>
    <mergeCell ref="A28:E28"/>
    <mergeCell ref="F28:U28"/>
    <mergeCell ref="W28:AJ31"/>
    <mergeCell ref="F29:I30"/>
    <mergeCell ref="J29:M29"/>
    <mergeCell ref="N29:O30"/>
    <mergeCell ref="P29:U30"/>
    <mergeCell ref="J30:K30"/>
    <mergeCell ref="L30:M30"/>
    <mergeCell ref="A31:E31"/>
    <mergeCell ref="R31:S31"/>
    <mergeCell ref="T31:U31"/>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F53:M53 P53:S53">
    <cfRule type="expression" dxfId="277" priority="7" stopIfTrue="1">
      <formula>F53=0</formula>
    </cfRule>
  </conditionalFormatting>
  <conditionalFormatting sqref="H32:AK33 H34:W37 AA34:AK37">
    <cfRule type="expression" dxfId="276" priority="6">
      <formula>H32=0</formula>
    </cfRule>
  </conditionalFormatting>
  <conditionalFormatting sqref="H38:AK52">
    <cfRule type="expression" dxfId="275" priority="1">
      <formula>H38=0</formula>
    </cfRule>
  </conditionalFormatting>
  <conditionalFormatting sqref="V53:AC53">
    <cfRule type="expression" dxfId="274" priority="8" stopIfTrue="1">
      <formula>V53=0</formula>
    </cfRule>
  </conditionalFormatting>
  <conditionalFormatting sqref="Z34:Z37">
    <cfRule type="expression" dxfId="273" priority="4">
      <formula>(Z34&lt;&gt;0)</formula>
    </cfRule>
    <cfRule type="expression" dxfId="272" priority="5">
      <formula>(Z34=0)</formula>
    </cfRule>
  </conditionalFormatting>
  <conditionalFormatting sqref="AF53:AI53 N57 N59">
    <cfRule type="expression" dxfId="271" priority="9" stopIfTrue="1">
      <formula>N53=0</formula>
    </cfRule>
  </conditionalFormatting>
  <pageMargins left="0.74803149606299213" right="0.19685039370078741" top="0.39370078740157483" bottom="0.39370078740157483" header="0.19685039370078741" footer="0.19685039370078741"/>
  <pageSetup paperSize="9" scale="59"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F69AD-776F-4E95-A862-0A5DB70A56C0}">
  <sheetPr>
    <tabColor rgb="FF92D050"/>
    <pageSetUpPr fitToPage="1"/>
  </sheetPr>
  <dimension ref="A1:CP125"/>
  <sheetViews>
    <sheetView showGridLines="0" view="pageBreakPreview" zoomScaleNormal="100" zoomScaleSheetLayoutView="100" workbookViewId="0">
      <selection sqref="A1:AK4"/>
    </sheetView>
  </sheetViews>
  <sheetFormatPr defaultColWidth="3.7109375" defaultRowHeight="15"/>
  <cols>
    <col min="1" max="6" width="3.7109375" style="290"/>
    <col min="7" max="7" width="4.42578125" style="290" customWidth="1"/>
    <col min="8" max="11" width="3.7109375" style="290"/>
    <col min="12" max="17" width="5.28515625" style="290" customWidth="1"/>
    <col min="18" max="18" width="3.7109375" style="290"/>
    <col min="19" max="19" width="5.42578125" style="290" customWidth="1"/>
    <col min="20" max="23" width="3.7109375" style="290"/>
    <col min="24" max="24" width="8.42578125" style="290" customWidth="1"/>
    <col min="25" max="37" width="3.7109375" style="290"/>
    <col min="38" max="38" width="3.7109375" style="247"/>
    <col min="39" max="50" width="8.7109375" style="247" customWidth="1"/>
    <col min="51" max="57" width="3.7109375" style="247"/>
    <col min="58" max="59" width="3.7109375" style="285"/>
    <col min="60" max="16384" width="3.7109375" style="247"/>
  </cols>
  <sheetData>
    <row r="1" spans="1:94"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8"/>
      <c r="AL1" s="238"/>
      <c r="AM1" s="238"/>
      <c r="AN1" s="238"/>
      <c r="AO1" s="238"/>
      <c r="AP1" s="238"/>
      <c r="AQ1" s="238"/>
      <c r="AR1" s="238"/>
      <c r="AS1" s="238"/>
      <c r="AT1" s="238"/>
      <c r="AU1" s="238"/>
      <c r="AV1" s="238"/>
      <c r="AW1" s="238"/>
      <c r="AX1" s="238"/>
      <c r="AY1" s="238"/>
      <c r="AZ1" s="238"/>
      <c r="BA1" s="238"/>
      <c r="BB1" s="238"/>
      <c r="BC1" s="238"/>
      <c r="BD1" s="238"/>
      <c r="BE1" s="238"/>
      <c r="BF1" s="239"/>
      <c r="BG1" s="239"/>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c r="CM1" s="238"/>
      <c r="CN1" s="238"/>
      <c r="CO1" s="238"/>
      <c r="CP1" s="238"/>
    </row>
    <row r="2" spans="1:94"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1"/>
      <c r="AL2" s="238"/>
      <c r="AM2" s="238"/>
      <c r="AN2" s="238"/>
      <c r="AO2" s="238"/>
      <c r="AP2" s="238"/>
      <c r="AQ2" s="238"/>
      <c r="AR2" s="238"/>
      <c r="AS2" s="238"/>
      <c r="AT2" s="238"/>
      <c r="AU2" s="238"/>
      <c r="AV2" s="238"/>
      <c r="AW2" s="238"/>
      <c r="AX2" s="238"/>
      <c r="AY2" s="238"/>
      <c r="AZ2" s="238"/>
      <c r="BA2" s="238"/>
      <c r="BB2" s="238"/>
      <c r="BC2" s="238"/>
      <c r="BD2" s="238"/>
      <c r="BE2" s="238"/>
      <c r="BF2" s="239"/>
      <c r="BG2" s="239"/>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row>
    <row r="3" spans="1:94"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1"/>
      <c r="AL3" s="238"/>
      <c r="AM3" s="238"/>
      <c r="AN3" s="238"/>
      <c r="AO3" s="238"/>
      <c r="AP3" s="238"/>
      <c r="AQ3" s="238"/>
      <c r="AR3" s="238"/>
      <c r="AS3" s="238"/>
      <c r="AT3" s="238"/>
      <c r="AU3" s="238"/>
      <c r="AV3" s="238"/>
      <c r="AW3" s="238"/>
      <c r="AX3" s="238"/>
      <c r="AY3" s="238"/>
      <c r="AZ3" s="238"/>
      <c r="BA3" s="238"/>
      <c r="BB3" s="238"/>
      <c r="BC3" s="238"/>
      <c r="BD3" s="238"/>
      <c r="BE3" s="238"/>
      <c r="BF3" s="239"/>
      <c r="BG3" s="239"/>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row>
    <row r="4" spans="1:94"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4"/>
      <c r="AL4" s="238"/>
      <c r="AM4" s="241"/>
      <c r="AN4" s="241"/>
      <c r="AO4" s="241"/>
      <c r="AP4" s="242" t="s">
        <v>576</v>
      </c>
      <c r="AQ4" s="242" t="s">
        <v>577</v>
      </c>
      <c r="AR4" s="242" t="s">
        <v>578</v>
      </c>
      <c r="AS4" s="241"/>
      <c r="AT4" s="241"/>
      <c r="AU4" s="241"/>
      <c r="AV4" s="241"/>
      <c r="AW4" s="241"/>
      <c r="AX4" s="238"/>
      <c r="AY4" s="238"/>
      <c r="AZ4" s="238"/>
      <c r="BA4" s="238"/>
      <c r="BB4" s="238"/>
      <c r="BC4" s="238"/>
      <c r="BD4" s="238"/>
      <c r="BE4" s="238"/>
      <c r="BF4" s="239"/>
      <c r="BG4" s="239"/>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row>
    <row r="5" spans="1:94" ht="15" customHeight="1">
      <c r="A5" s="875" t="s">
        <v>22</v>
      </c>
      <c r="B5" s="876"/>
      <c r="C5" s="876"/>
      <c r="D5" s="876"/>
      <c r="E5" s="876"/>
      <c r="F5" s="876"/>
      <c r="G5" s="876"/>
      <c r="H5" s="27" t="str">
        <f>'Emiss. Ops'!$C$2</f>
        <v>OMVP</v>
      </c>
      <c r="I5" s="27"/>
      <c r="J5" s="27"/>
      <c r="K5" s="27"/>
      <c r="L5" s="27"/>
      <c r="M5" s="27"/>
      <c r="N5" s="27"/>
      <c r="O5" s="27"/>
      <c r="P5" s="27"/>
      <c r="Q5" s="27"/>
      <c r="R5" s="27"/>
      <c r="S5" s="27"/>
      <c r="T5" s="27"/>
      <c r="U5" s="27"/>
      <c r="V5" s="27"/>
      <c r="W5" s="27"/>
      <c r="X5" s="27"/>
      <c r="Y5" s="876" t="s">
        <v>23</v>
      </c>
      <c r="Z5" s="876"/>
      <c r="AA5" s="876"/>
      <c r="AB5" s="876"/>
      <c r="AC5" s="877" t="str">
        <f>Effluents!$K$2</f>
        <v>PRJ-001030</v>
      </c>
      <c r="AD5" s="877"/>
      <c r="AE5" s="877"/>
      <c r="AF5" s="877"/>
      <c r="AG5" s="877"/>
      <c r="AH5" s="877"/>
      <c r="AI5" s="877"/>
      <c r="AJ5" s="877"/>
      <c r="AK5" s="878"/>
      <c r="AL5" s="243"/>
      <c r="AM5" s="244"/>
      <c r="AN5" s="244"/>
      <c r="AO5" s="244"/>
      <c r="AP5" s="245" t="s">
        <v>386</v>
      </c>
      <c r="AQ5" s="245" t="s">
        <v>729</v>
      </c>
      <c r="AR5" s="242">
        <v>1020</v>
      </c>
      <c r="AS5" s="244"/>
      <c r="AT5" s="244"/>
      <c r="AU5" s="244"/>
      <c r="AV5" s="244"/>
      <c r="AW5" s="244"/>
      <c r="AX5" s="238"/>
      <c r="AY5" s="238"/>
      <c r="AZ5" s="238"/>
      <c r="BA5" s="243"/>
      <c r="BB5" s="243"/>
      <c r="BC5" s="243"/>
      <c r="BD5" s="243"/>
      <c r="BE5" s="243"/>
      <c r="BF5" s="246"/>
      <c r="BG5" s="246"/>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row>
    <row r="6" spans="1:94" ht="15" customHeight="1">
      <c r="A6" s="862" t="s">
        <v>24</v>
      </c>
      <c r="B6" s="863"/>
      <c r="C6" s="863"/>
      <c r="D6" s="863"/>
      <c r="E6" s="863"/>
      <c r="F6" s="863"/>
      <c r="G6" s="863"/>
      <c r="H6" s="30" t="str">
        <f>'Emiss. Ops'!$C$3</f>
        <v>OMV Neptun BAT Study &amp; ESIA</v>
      </c>
      <c r="I6" s="30"/>
      <c r="J6" s="30"/>
      <c r="K6" s="30"/>
      <c r="L6" s="30"/>
      <c r="M6" s="30"/>
      <c r="N6" s="30"/>
      <c r="O6" s="30"/>
      <c r="P6" s="30"/>
      <c r="Q6" s="30"/>
      <c r="R6" s="30"/>
      <c r="S6" s="30"/>
      <c r="T6" s="30"/>
      <c r="U6" s="30"/>
      <c r="V6" s="30"/>
      <c r="W6" s="30"/>
      <c r="X6" s="30"/>
      <c r="Y6" s="863" t="s">
        <v>25</v>
      </c>
      <c r="Z6" s="863"/>
      <c r="AA6" s="863"/>
      <c r="AB6" s="863"/>
      <c r="AC6" s="860"/>
      <c r="AD6" s="860"/>
      <c r="AE6" s="860"/>
      <c r="AF6" s="860"/>
      <c r="AG6" s="860"/>
      <c r="AH6" s="860"/>
      <c r="AI6" s="860"/>
      <c r="AJ6" s="860"/>
      <c r="AK6" s="861"/>
      <c r="AL6" s="243"/>
      <c r="AM6" s="244"/>
      <c r="AN6" s="244"/>
      <c r="AO6" s="242"/>
      <c r="AP6" s="245" t="s">
        <v>406</v>
      </c>
      <c r="AQ6" s="245" t="s">
        <v>339</v>
      </c>
      <c r="AR6" s="245">
        <v>0.45400000000000001</v>
      </c>
      <c r="AS6" s="242"/>
      <c r="AT6" s="244"/>
      <c r="AU6" s="244"/>
      <c r="AV6" s="244"/>
      <c r="AW6" s="244"/>
      <c r="AX6" s="238"/>
      <c r="AY6" s="238"/>
      <c r="AZ6" s="238"/>
      <c r="BA6" s="243"/>
      <c r="BB6" s="243"/>
      <c r="BC6" s="243"/>
      <c r="BD6" s="243"/>
      <c r="BE6" s="243"/>
      <c r="BF6" s="246"/>
      <c r="BG6" s="246"/>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row>
    <row r="7" spans="1:94" ht="15" customHeight="1">
      <c r="A7" s="862" t="s">
        <v>26</v>
      </c>
      <c r="B7" s="863"/>
      <c r="C7" s="863"/>
      <c r="D7" s="863"/>
      <c r="E7" s="863"/>
      <c r="F7" s="863"/>
      <c r="G7" s="863"/>
      <c r="H7" s="30" t="str">
        <f>'Emiss. Ops'!$C$4</f>
        <v>Emissions Inventory</v>
      </c>
      <c r="I7" s="30"/>
      <c r="J7" s="30"/>
      <c r="K7" s="30"/>
      <c r="L7" s="30"/>
      <c r="M7" s="30"/>
      <c r="N7" s="30"/>
      <c r="O7" s="30"/>
      <c r="P7" s="30"/>
      <c r="Q7" s="30"/>
      <c r="R7" s="30"/>
      <c r="S7" s="30"/>
      <c r="T7" s="30"/>
      <c r="U7" s="30"/>
      <c r="V7" s="30"/>
      <c r="W7" s="30"/>
      <c r="X7" s="30"/>
      <c r="Y7" s="863" t="s">
        <v>27</v>
      </c>
      <c r="Z7" s="863"/>
      <c r="AA7" s="863"/>
      <c r="AB7" s="863"/>
      <c r="AC7" s="30" t="str">
        <f>'Emiss. Ops'!$I$4</f>
        <v>Normal Operations</v>
      </c>
      <c r="AD7" s="31"/>
      <c r="AE7" s="31"/>
      <c r="AF7" s="31"/>
      <c r="AG7" s="31"/>
      <c r="AH7" s="31"/>
      <c r="AI7" s="31"/>
      <c r="AJ7" s="31"/>
      <c r="AK7" s="32"/>
      <c r="AL7" s="243"/>
      <c r="AM7" s="244"/>
      <c r="AN7" s="244"/>
      <c r="AO7" s="242"/>
      <c r="AP7" s="245" t="s">
        <v>407</v>
      </c>
      <c r="AQ7" s="245" t="s">
        <v>730</v>
      </c>
      <c r="AR7" s="248">
        <f>0.305^3</f>
        <v>2.8372624999999999E-2</v>
      </c>
      <c r="AS7" s="242"/>
      <c r="AT7" s="244"/>
      <c r="AU7" s="244"/>
      <c r="AV7" s="244"/>
      <c r="AW7" s="244"/>
      <c r="AX7" s="238"/>
      <c r="AY7" s="238"/>
      <c r="AZ7" s="238"/>
      <c r="BA7" s="243"/>
      <c r="BB7" s="243"/>
      <c r="BC7" s="243"/>
      <c r="BD7" s="243"/>
      <c r="BE7" s="243"/>
      <c r="BF7" s="246"/>
      <c r="BG7" s="246"/>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row>
    <row r="8" spans="1:94"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8"/>
      <c r="AH8" s="1288"/>
      <c r="AI8" s="1288"/>
      <c r="AJ8" s="1288"/>
      <c r="AK8" s="1289"/>
      <c r="AL8" s="243"/>
      <c r="AM8" s="244"/>
      <c r="AN8" s="244"/>
      <c r="AO8" s="242"/>
      <c r="AP8" s="245" t="s">
        <v>729</v>
      </c>
      <c r="AQ8" s="245" t="s">
        <v>731</v>
      </c>
      <c r="AR8" s="249">
        <f>AR6/AR7 * ((AN18+273.15)/(AN20+273.15))</f>
        <v>16.912595854908194</v>
      </c>
      <c r="AS8" s="242"/>
      <c r="AT8" s="244"/>
      <c r="AU8" s="244"/>
      <c r="AV8" s="244"/>
      <c r="AW8" s="244"/>
      <c r="AX8" s="238"/>
      <c r="AY8" s="238"/>
      <c r="AZ8" s="238"/>
      <c r="BA8" s="243"/>
      <c r="BB8" s="243"/>
      <c r="BC8" s="243"/>
      <c r="BD8" s="243"/>
      <c r="BE8" s="243"/>
      <c r="BF8" s="246"/>
      <c r="BG8" s="246"/>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row>
    <row r="9" spans="1:94"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8"/>
      <c r="AH9" s="1288"/>
      <c r="AI9" s="1288"/>
      <c r="AJ9" s="1288"/>
      <c r="AK9" s="1289"/>
      <c r="AL9" s="243"/>
      <c r="AM9" s="244"/>
      <c r="AN9" s="244"/>
      <c r="AO9" s="242"/>
      <c r="AP9" s="242" t="s">
        <v>409</v>
      </c>
      <c r="AQ9" s="242" t="s">
        <v>410</v>
      </c>
      <c r="AR9" s="242">
        <v>947</v>
      </c>
      <c r="AS9" s="242"/>
      <c r="AT9" s="244"/>
      <c r="AU9" s="244"/>
      <c r="AV9" s="244"/>
      <c r="AW9" s="244"/>
      <c r="AX9" s="238"/>
      <c r="AY9" s="238"/>
      <c r="AZ9" s="238"/>
      <c r="BA9" s="243"/>
      <c r="BB9" s="243"/>
      <c r="BC9" s="243"/>
      <c r="BD9" s="243"/>
      <c r="BE9" s="243"/>
      <c r="BF9" s="246"/>
      <c r="BG9" s="246"/>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row>
    <row r="10" spans="1:94"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1283"/>
      <c r="V10" s="1283"/>
      <c r="W10" s="1283"/>
      <c r="X10" s="1283"/>
      <c r="Y10" s="859" t="s">
        <v>28</v>
      </c>
      <c r="Z10" s="859"/>
      <c r="AA10" s="859"/>
      <c r="AB10" s="859"/>
      <c r="AC10" s="1284"/>
      <c r="AD10" s="1284"/>
      <c r="AE10" s="1284"/>
      <c r="AF10" s="1285"/>
      <c r="AG10" s="1285"/>
      <c r="AH10" s="1285"/>
      <c r="AI10" s="1286"/>
      <c r="AJ10" s="1286"/>
      <c r="AK10" s="1287"/>
      <c r="AL10" s="238"/>
      <c r="AM10" s="241"/>
      <c r="AN10" s="241"/>
      <c r="AO10" s="245"/>
      <c r="AP10" s="245" t="s">
        <v>710</v>
      </c>
      <c r="AQ10" s="245" t="s">
        <v>709</v>
      </c>
      <c r="AR10" s="245">
        <v>1E-3</v>
      </c>
      <c r="AS10" s="245"/>
      <c r="AT10" s="241"/>
      <c r="AU10" s="241"/>
      <c r="AV10" s="241"/>
      <c r="AW10" s="241"/>
      <c r="AX10" s="238"/>
      <c r="AY10" s="238"/>
      <c r="AZ10" s="238"/>
      <c r="BA10" s="238"/>
      <c r="BB10" s="238"/>
      <c r="BC10" s="238"/>
      <c r="BD10" s="238"/>
      <c r="BE10" s="238"/>
      <c r="BF10" s="239"/>
      <c r="BG10" s="239"/>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row>
    <row r="11" spans="1:94" s="240" customFormat="1" ht="14.25" customHeight="1">
      <c r="A11" s="1271" t="s">
        <v>357</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3"/>
      <c r="AL11" s="238"/>
      <c r="AM11" s="241"/>
      <c r="AN11" s="241"/>
      <c r="AO11" s="245"/>
      <c r="AP11" s="245" t="s">
        <v>732</v>
      </c>
      <c r="AQ11" s="245" t="s">
        <v>409</v>
      </c>
      <c r="AR11" s="245">
        <f>1/(AR9/1000000)</f>
        <v>1055.9662090813094</v>
      </c>
      <c r="AS11" s="245"/>
      <c r="AT11" s="241"/>
      <c r="AU11" s="241"/>
      <c r="AV11" s="241"/>
      <c r="AW11" s="241"/>
      <c r="AX11" s="238"/>
      <c r="AY11" s="238"/>
      <c r="AZ11" s="238"/>
      <c r="BA11" s="238"/>
      <c r="BB11" s="238"/>
      <c r="BC11" s="238"/>
      <c r="BD11" s="238"/>
      <c r="BE11" s="238"/>
      <c r="BF11" s="239"/>
      <c r="BG11" s="239"/>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row>
    <row r="12" spans="1:94" s="240" customFormat="1" ht="14.25" customHeight="1">
      <c r="A12" s="1274"/>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5"/>
      <c r="AH12" s="1275"/>
      <c r="AI12" s="1275"/>
      <c r="AJ12" s="1275"/>
      <c r="AK12" s="1276"/>
      <c r="AL12" s="238"/>
      <c r="AM12" s="241"/>
      <c r="AN12" s="241"/>
      <c r="AO12" s="245"/>
      <c r="AP12" s="245"/>
      <c r="AQ12" s="245"/>
      <c r="AR12" s="245"/>
      <c r="AS12" s="245"/>
      <c r="AT12" s="241"/>
      <c r="AU12" s="241"/>
      <c r="AV12" s="241"/>
      <c r="AW12" s="241"/>
      <c r="AX12" s="238"/>
      <c r="AY12" s="238"/>
      <c r="AZ12" s="238"/>
      <c r="BA12" s="238"/>
      <c r="BB12" s="238"/>
      <c r="BC12" s="238"/>
      <c r="BD12" s="238"/>
      <c r="BE12" s="238"/>
      <c r="BF12" s="239"/>
      <c r="BG12" s="239"/>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row>
    <row r="13" spans="1:94" s="240" customFormat="1" ht="14.25" customHeight="1">
      <c r="A13" s="1277" t="s">
        <v>587</v>
      </c>
      <c r="B13" s="1278"/>
      <c r="C13" s="1278"/>
      <c r="D13" s="1278"/>
      <c r="E13" s="1278"/>
      <c r="F13" s="1278"/>
      <c r="G13" s="1279"/>
      <c r="H13" s="1280" t="s">
        <v>733</v>
      </c>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2"/>
      <c r="AL13" s="238"/>
      <c r="AM13" s="241"/>
      <c r="AN13" s="241"/>
      <c r="AO13" s="241"/>
      <c r="AP13" s="241"/>
      <c r="AQ13" s="241"/>
      <c r="AR13" s="241"/>
      <c r="AS13" s="241"/>
      <c r="AT13" s="241"/>
      <c r="AU13" s="241"/>
      <c r="AV13" s="241"/>
      <c r="AW13" s="241"/>
      <c r="AX13" s="241"/>
      <c r="AY13" s="241"/>
      <c r="AZ13" s="241"/>
      <c r="BA13" s="238"/>
      <c r="BB13" s="238"/>
      <c r="BC13" s="238"/>
      <c r="BD13" s="238"/>
      <c r="BE13" s="238"/>
      <c r="BF13" s="239"/>
      <c r="BG13" s="239"/>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row>
    <row r="14" spans="1:94" s="240" customFormat="1" ht="14.25" customHeight="1">
      <c r="A14" s="279" t="s">
        <v>589</v>
      </c>
      <c r="B14" s="429"/>
      <c r="C14" s="429"/>
      <c r="D14" s="429"/>
      <c r="E14" s="429"/>
      <c r="F14" s="429"/>
      <c r="G14" s="429"/>
      <c r="H14" s="1271" t="s">
        <v>590</v>
      </c>
      <c r="I14" s="1272"/>
      <c r="J14" s="1273"/>
      <c r="K14" s="1271" t="s">
        <v>591</v>
      </c>
      <c r="L14" s="1272"/>
      <c r="M14" s="1273"/>
      <c r="N14" s="1271" t="s">
        <v>592</v>
      </c>
      <c r="O14" s="1272"/>
      <c r="P14" s="1273"/>
      <c r="Q14" s="1271" t="s">
        <v>400</v>
      </c>
      <c r="R14" s="1272"/>
      <c r="S14" s="1273"/>
      <c r="T14" s="1271" t="s">
        <v>593</v>
      </c>
      <c r="U14" s="1272"/>
      <c r="V14" s="1273"/>
      <c r="W14" s="1271" t="s">
        <v>593</v>
      </c>
      <c r="X14" s="1272"/>
      <c r="Y14" s="1273"/>
      <c r="Z14" s="1271" t="s">
        <v>115</v>
      </c>
      <c r="AA14" s="1272"/>
      <c r="AB14" s="1273"/>
      <c r="AC14" s="1271" t="s">
        <v>115</v>
      </c>
      <c r="AD14" s="1272"/>
      <c r="AE14" s="1273"/>
      <c r="AF14" s="1271" t="s">
        <v>116</v>
      </c>
      <c r="AG14" s="1272"/>
      <c r="AH14" s="1273"/>
      <c r="AI14" s="1271" t="s">
        <v>116</v>
      </c>
      <c r="AJ14" s="1272"/>
      <c r="AK14" s="1273"/>
      <c r="AL14" s="238"/>
      <c r="AM14" s="241"/>
      <c r="AN14" s="241"/>
      <c r="AO14" s="241"/>
      <c r="AP14" s="241"/>
      <c r="AQ14" s="430"/>
      <c r="AR14" s="241"/>
      <c r="AS14" s="241"/>
      <c r="AT14" s="241"/>
      <c r="AU14" s="241"/>
      <c r="AV14" s="241"/>
      <c r="AW14" s="241"/>
      <c r="AX14" s="238"/>
      <c r="AY14" s="238"/>
      <c r="AZ14" s="238"/>
      <c r="BA14" s="238"/>
      <c r="BB14" s="238"/>
      <c r="BC14" s="238"/>
      <c r="BD14" s="238"/>
      <c r="BE14" s="238"/>
      <c r="BF14" s="239"/>
      <c r="BG14" s="239"/>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row>
    <row r="15" spans="1:94" s="240" customFormat="1" ht="14.25" customHeight="1">
      <c r="A15" s="250"/>
      <c r="B15" s="251"/>
      <c r="C15" s="251"/>
      <c r="D15" s="251"/>
      <c r="E15" s="251"/>
      <c r="F15" s="251"/>
      <c r="G15" s="251"/>
      <c r="H15" s="1302" t="s">
        <v>594</v>
      </c>
      <c r="I15" s="1283"/>
      <c r="J15" s="1303"/>
      <c r="K15" s="1302" t="s">
        <v>595</v>
      </c>
      <c r="L15" s="1283"/>
      <c r="M15" s="1303"/>
      <c r="N15" s="1302" t="s">
        <v>596</v>
      </c>
      <c r="O15" s="1283"/>
      <c r="P15" s="1303"/>
      <c r="Q15" s="1302" t="s">
        <v>597</v>
      </c>
      <c r="R15" s="1283"/>
      <c r="S15" s="1303"/>
      <c r="T15" s="1302" t="s">
        <v>734</v>
      </c>
      <c r="U15" s="1283"/>
      <c r="V15" s="1303"/>
      <c r="W15" s="1302" t="s">
        <v>599</v>
      </c>
      <c r="X15" s="1283"/>
      <c r="Y15" s="1303"/>
      <c r="Z15" s="1302" t="s">
        <v>734</v>
      </c>
      <c r="AA15" s="1283"/>
      <c r="AB15" s="1303"/>
      <c r="AC15" s="1302" t="s">
        <v>599</v>
      </c>
      <c r="AD15" s="1283"/>
      <c r="AE15" s="1303"/>
      <c r="AF15" s="1302" t="s">
        <v>734</v>
      </c>
      <c r="AG15" s="1283"/>
      <c r="AH15" s="1303"/>
      <c r="AI15" s="1302" t="s">
        <v>599</v>
      </c>
      <c r="AJ15" s="1283"/>
      <c r="AK15" s="1303"/>
      <c r="AL15" s="238"/>
      <c r="AM15" s="241"/>
      <c r="AN15" s="241"/>
      <c r="AO15" s="241"/>
      <c r="AP15" s="431" t="s">
        <v>393</v>
      </c>
      <c r="AQ15" s="432"/>
      <c r="AR15" s="433"/>
      <c r="AS15" s="431" t="s">
        <v>115</v>
      </c>
      <c r="AT15" s="432"/>
      <c r="AU15" s="433"/>
      <c r="AY15" s="238"/>
      <c r="AZ15" s="238"/>
      <c r="BA15" s="238"/>
      <c r="BB15" s="238"/>
      <c r="BC15" s="238"/>
      <c r="BD15" s="238"/>
      <c r="BE15" s="238"/>
      <c r="BF15" s="239"/>
      <c r="BG15" s="239"/>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row>
    <row r="16" spans="1:94" s="240" customFormat="1" ht="14.25" customHeight="1">
      <c r="A16" s="596" t="s">
        <v>735</v>
      </c>
      <c r="B16" s="597"/>
      <c r="C16" s="597"/>
      <c r="D16" s="597"/>
      <c r="E16" s="597"/>
      <c r="F16" s="597"/>
      <c r="G16" s="598"/>
      <c r="H16" s="1316"/>
      <c r="I16" s="1317"/>
      <c r="J16" s="1318"/>
      <c r="K16" s="1404"/>
      <c r="L16" s="1405"/>
      <c r="M16" s="1406"/>
      <c r="N16" s="1316"/>
      <c r="O16" s="1317"/>
      <c r="P16" s="1318"/>
      <c r="Q16" s="1310">
        <f>GTGs!Q15</f>
        <v>37.956295834166582</v>
      </c>
      <c r="R16" s="1311"/>
      <c r="S16" s="1312"/>
      <c r="T16" s="1313">
        <f>AR17</f>
        <v>1173.0576484964322</v>
      </c>
      <c r="U16" s="1314"/>
      <c r="V16" s="1315"/>
      <c r="W16" s="1316"/>
      <c r="X16" s="1317"/>
      <c r="Y16" s="1318"/>
      <c r="Z16" s="1313">
        <f>AU17</f>
        <v>6382.8136756423519</v>
      </c>
      <c r="AA16" s="1314"/>
      <c r="AB16" s="1315"/>
      <c r="AC16" s="1316"/>
      <c r="AD16" s="1317"/>
      <c r="AE16" s="1318"/>
      <c r="AF16" s="1319">
        <f>AR21</f>
        <v>40</v>
      </c>
      <c r="AG16" s="1320"/>
      <c r="AH16" s="1321"/>
      <c r="AI16" s="1316" t="s">
        <v>604</v>
      </c>
      <c r="AJ16" s="1317"/>
      <c r="AK16" s="1318"/>
      <c r="AL16" s="238"/>
      <c r="AM16" s="241" t="s">
        <v>605</v>
      </c>
      <c r="AN16" s="241"/>
      <c r="AO16" s="241"/>
      <c r="AP16" s="437" t="s">
        <v>386</v>
      </c>
      <c r="AQ16" s="437" t="s">
        <v>714</v>
      </c>
      <c r="AR16" s="437" t="s">
        <v>715</v>
      </c>
      <c r="AS16" s="437" t="s">
        <v>386</v>
      </c>
      <c r="AT16" s="437" t="s">
        <v>714</v>
      </c>
      <c r="AU16" s="437" t="s">
        <v>715</v>
      </c>
      <c r="AY16" s="238"/>
      <c r="AZ16" s="238"/>
      <c r="BA16" s="238"/>
      <c r="BB16" s="238"/>
      <c r="BC16" s="238"/>
      <c r="BD16" s="238"/>
      <c r="BE16" s="238"/>
      <c r="BF16" s="239"/>
      <c r="BG16" s="239"/>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row>
    <row r="17" spans="1:94" s="240" customFormat="1" ht="14.25" customHeight="1">
      <c r="A17" s="438" t="s">
        <v>736</v>
      </c>
      <c r="B17" s="439"/>
      <c r="C17" s="439"/>
      <c r="D17" s="439"/>
      <c r="E17" s="439"/>
      <c r="F17" s="439"/>
      <c r="G17" s="440"/>
      <c r="H17" s="1421">
        <f>CO2eEF!P16</f>
        <v>16.12</v>
      </c>
      <c r="I17" s="1422"/>
      <c r="J17" s="1423"/>
      <c r="K17" s="1424">
        <f>CO2eEF!P12</f>
        <v>0.69899999999999995</v>
      </c>
      <c r="L17" s="1425"/>
      <c r="M17" s="1426"/>
      <c r="N17" s="1421">
        <f>CO2eEF!P19</f>
        <v>49.78</v>
      </c>
      <c r="O17" s="1427"/>
      <c r="P17" s="1428"/>
      <c r="Q17" s="1421">
        <f>CO2eEF!P21</f>
        <v>37.770000000000003</v>
      </c>
      <c r="R17" s="1427"/>
      <c r="S17" s="1428"/>
      <c r="T17" s="1340">
        <f>Q17/Q16*T16</f>
        <v>1167.3000857957165</v>
      </c>
      <c r="U17" s="1341"/>
      <c r="V17" s="1342"/>
      <c r="W17" s="1322">
        <f>T17/1000000/K17</f>
        <v>1.6699572042857176E-3</v>
      </c>
      <c r="X17" s="1323"/>
      <c r="Y17" s="1324"/>
      <c r="Z17" s="1340">
        <f>Q17/Q16*Z16</f>
        <v>6351.4857609472811</v>
      </c>
      <c r="AA17" s="1341"/>
      <c r="AB17" s="1342"/>
      <c r="AC17" s="1322">
        <f>Z17/$K17/1000000</f>
        <v>9.0865318468487562E-3</v>
      </c>
      <c r="AD17" s="1323"/>
      <c r="AE17" s="1324"/>
      <c r="AF17" s="1299">
        <f>Q17/Q16*AF16</f>
        <v>39.80367332473061</v>
      </c>
      <c r="AG17" s="1300"/>
      <c r="AH17" s="1301"/>
      <c r="AI17" s="1322">
        <f>AF17/$K17/1000000</f>
        <v>5.6943738661989431E-5</v>
      </c>
      <c r="AJ17" s="1323"/>
      <c r="AK17" s="1324"/>
      <c r="AL17" s="238"/>
      <c r="AM17" s="441" t="s">
        <v>606</v>
      </c>
      <c r="AN17" s="241">
        <v>60</v>
      </c>
      <c r="AO17" s="241" t="s">
        <v>607</v>
      </c>
      <c r="AP17" s="442">
        <v>6.8000000000000005E-2</v>
      </c>
      <c r="AQ17" s="443">
        <f>AR5*$AP$17</f>
        <v>69.36</v>
      </c>
      <c r="AR17" s="443">
        <f>$AR$8*AQ17</f>
        <v>1173.0576484964322</v>
      </c>
      <c r="AS17" s="444">
        <v>0.37</v>
      </c>
      <c r="AT17" s="445">
        <f>AS17*AR5</f>
        <v>377.4</v>
      </c>
      <c r="AU17" s="446">
        <f>AT17*AR8</f>
        <v>6382.8136756423519</v>
      </c>
      <c r="AY17" s="238"/>
      <c r="AZ17" s="238"/>
      <c r="BA17" s="238"/>
      <c r="BB17" s="238"/>
      <c r="BC17" s="238"/>
      <c r="BD17" s="238"/>
      <c r="BE17" s="238"/>
      <c r="BF17" s="239"/>
      <c r="BG17" s="239"/>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row>
    <row r="18" spans="1:94" s="240" customFormat="1" ht="14.25" customHeight="1">
      <c r="A18" s="133"/>
      <c r="B18" s="251"/>
      <c r="C18" s="251"/>
      <c r="D18" s="251"/>
      <c r="E18" s="251"/>
      <c r="F18" s="251"/>
      <c r="G18" s="251"/>
      <c r="H18" s="1325"/>
      <c r="I18" s="1326"/>
      <c r="J18" s="1327"/>
      <c r="K18" s="1328"/>
      <c r="L18" s="1329"/>
      <c r="M18" s="1330"/>
      <c r="N18" s="1331"/>
      <c r="O18" s="1332"/>
      <c r="P18" s="1333"/>
      <c r="Q18" s="1334"/>
      <c r="R18" s="1335"/>
      <c r="S18" s="1336"/>
      <c r="T18" s="1337"/>
      <c r="U18" s="1338"/>
      <c r="V18" s="1339"/>
      <c r="W18" s="1302"/>
      <c r="X18" s="1283"/>
      <c r="Y18" s="1303"/>
      <c r="Z18" s="1337"/>
      <c r="AA18" s="1338"/>
      <c r="AB18" s="1339"/>
      <c r="AC18" s="1302"/>
      <c r="AD18" s="1283"/>
      <c r="AE18" s="1303"/>
      <c r="AF18" s="1343"/>
      <c r="AG18" s="1344"/>
      <c r="AH18" s="1345"/>
      <c r="AI18" s="1302"/>
      <c r="AJ18" s="1283"/>
      <c r="AK18" s="1303"/>
      <c r="AL18" s="238"/>
      <c r="AM18" s="441" t="s">
        <v>608</v>
      </c>
      <c r="AN18" s="447">
        <f>(AN17 - 32) * 5/9</f>
        <v>15.555555555555555</v>
      </c>
      <c r="AO18" s="241" t="s">
        <v>609</v>
      </c>
      <c r="AP18" s="444"/>
      <c r="AQ18" s="448"/>
      <c r="AR18" s="446"/>
      <c r="AS18" s="444"/>
      <c r="AT18" s="445"/>
      <c r="AU18" s="446"/>
      <c r="AY18" s="238"/>
      <c r="AZ18" s="238"/>
      <c r="BA18" s="238"/>
      <c r="BB18" s="238"/>
      <c r="BC18" s="238"/>
      <c r="BD18" s="238"/>
      <c r="BE18" s="238"/>
      <c r="BF18" s="239"/>
      <c r="BG18" s="239"/>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row>
    <row r="19" spans="1:94" s="240" customFormat="1" ht="14.25" customHeight="1">
      <c r="A19" s="279" t="s">
        <v>589</v>
      </c>
      <c r="B19" s="429"/>
      <c r="C19" s="429"/>
      <c r="D19" s="429"/>
      <c r="E19" s="429"/>
      <c r="F19" s="429"/>
      <c r="G19" s="449"/>
      <c r="H19" s="1271" t="s">
        <v>122</v>
      </c>
      <c r="I19" s="1272"/>
      <c r="J19" s="1273"/>
      <c r="K19" s="1271" t="s">
        <v>122</v>
      </c>
      <c r="L19" s="1272"/>
      <c r="M19" s="1273"/>
      <c r="N19" s="1271" t="s">
        <v>124</v>
      </c>
      <c r="O19" s="1272"/>
      <c r="P19" s="1273"/>
      <c r="Q19" s="1271" t="s">
        <v>124</v>
      </c>
      <c r="R19" s="1272"/>
      <c r="S19" s="1273"/>
      <c r="T19" s="1117" t="s">
        <v>123</v>
      </c>
      <c r="U19" s="1118"/>
      <c r="V19" s="1119"/>
      <c r="W19" s="1117" t="s">
        <v>123</v>
      </c>
      <c r="X19" s="1118"/>
      <c r="Y19" s="1119"/>
      <c r="Z19" s="1117" t="s">
        <v>716</v>
      </c>
      <c r="AA19" s="1118"/>
      <c r="AB19" s="1119"/>
      <c r="AC19" s="1117" t="s">
        <v>125</v>
      </c>
      <c r="AD19" s="1118"/>
      <c r="AE19" s="1119"/>
      <c r="AF19" s="30"/>
      <c r="AG19" s="30"/>
      <c r="AH19" s="30"/>
      <c r="AI19" s="30"/>
      <c r="AJ19" s="30"/>
      <c r="AK19" s="280"/>
      <c r="AL19" s="238"/>
      <c r="AM19" s="241"/>
      <c r="AN19" s="241"/>
      <c r="AO19" s="241"/>
      <c r="AP19" s="431" t="s">
        <v>116</v>
      </c>
      <c r="AQ19" s="432"/>
      <c r="AR19" s="433"/>
      <c r="AS19" s="431" t="s">
        <v>122</v>
      </c>
      <c r="AT19" s="432"/>
      <c r="AU19" s="433"/>
      <c r="AV19" s="238"/>
      <c r="AW19" s="238"/>
      <c r="AX19" s="238"/>
      <c r="AY19" s="238"/>
      <c r="AZ19" s="238"/>
      <c r="BA19" s="238"/>
      <c r="BB19" s="238"/>
      <c r="BC19" s="238"/>
      <c r="BD19" s="238"/>
      <c r="BE19" s="238"/>
      <c r="BF19" s="239"/>
      <c r="BG19" s="239"/>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row>
    <row r="20" spans="1:94" s="240" customFormat="1" ht="14.25" customHeight="1">
      <c r="A20" s="250"/>
      <c r="B20" s="251"/>
      <c r="C20" s="251"/>
      <c r="D20" s="251"/>
      <c r="E20" s="251"/>
      <c r="F20" s="251"/>
      <c r="G20" s="450"/>
      <c r="H20" s="1302" t="s">
        <v>734</v>
      </c>
      <c r="I20" s="1283"/>
      <c r="J20" s="1303"/>
      <c r="K20" s="1302" t="s">
        <v>599</v>
      </c>
      <c r="L20" s="1283"/>
      <c r="M20" s="1303"/>
      <c r="N20" s="1302" t="s">
        <v>734</v>
      </c>
      <c r="O20" s="1283"/>
      <c r="P20" s="1303"/>
      <c r="Q20" s="1302" t="s">
        <v>599</v>
      </c>
      <c r="R20" s="1283"/>
      <c r="S20" s="1303"/>
      <c r="T20" s="1089" t="s">
        <v>598</v>
      </c>
      <c r="U20" s="1090"/>
      <c r="V20" s="1091"/>
      <c r="W20" s="1089" t="s">
        <v>599</v>
      </c>
      <c r="X20" s="1090"/>
      <c r="Y20" s="1091"/>
      <c r="Z20" s="1089" t="s">
        <v>598</v>
      </c>
      <c r="AA20" s="1090"/>
      <c r="AB20" s="1091"/>
      <c r="AC20" s="1089" t="s">
        <v>599</v>
      </c>
      <c r="AD20" s="1090"/>
      <c r="AE20" s="1091"/>
      <c r="AF20" s="30"/>
      <c r="AG20" s="30"/>
      <c r="AH20" s="30"/>
      <c r="AI20" s="30"/>
      <c r="AJ20" s="30"/>
      <c r="AK20" s="253"/>
      <c r="AL20" s="238"/>
      <c r="AM20" s="441"/>
      <c r="AN20" s="241"/>
      <c r="AO20" s="241"/>
      <c r="AP20" s="437" t="s">
        <v>737</v>
      </c>
      <c r="AQ20" s="451" t="s">
        <v>738</v>
      </c>
      <c r="AR20" s="451" t="s">
        <v>731</v>
      </c>
      <c r="AS20" s="437" t="s">
        <v>386</v>
      </c>
      <c r="AT20" s="437" t="s">
        <v>714</v>
      </c>
      <c r="AU20" s="437" t="s">
        <v>715</v>
      </c>
      <c r="AV20" s="238"/>
      <c r="AW20" s="238"/>
      <c r="AX20" s="238"/>
      <c r="AY20" s="238"/>
      <c r="AZ20" s="238"/>
      <c r="BA20" s="238"/>
      <c r="BB20" s="238"/>
      <c r="BC20" s="238"/>
      <c r="BD20" s="238"/>
      <c r="BE20" s="238"/>
      <c r="BF20" s="239"/>
      <c r="BG20" s="239"/>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row>
    <row r="21" spans="1:94" s="240" customFormat="1" ht="14.25" customHeight="1">
      <c r="A21" s="596" t="s">
        <v>735</v>
      </c>
      <c r="B21" s="597"/>
      <c r="C21" s="597"/>
      <c r="D21" s="597"/>
      <c r="E21" s="597"/>
      <c r="F21" s="597"/>
      <c r="G21" s="598"/>
      <c r="H21" s="1313">
        <f>AU21</f>
        <v>2415.11868808089</v>
      </c>
      <c r="I21" s="1314"/>
      <c r="J21" s="1315"/>
      <c r="K21" s="1316"/>
      <c r="L21" s="1317"/>
      <c r="M21" s="1318"/>
      <c r="N21" s="1456"/>
      <c r="O21" s="1457"/>
      <c r="P21" s="1458"/>
      <c r="Q21" s="1459"/>
      <c r="R21" s="1460"/>
      <c r="S21" s="1461"/>
      <c r="T21" s="1450"/>
      <c r="U21" s="1451"/>
      <c r="V21" s="1452"/>
      <c r="W21" s="1462"/>
      <c r="X21" s="1463"/>
      <c r="Y21" s="1464"/>
      <c r="Z21" s="1450"/>
      <c r="AA21" s="1451"/>
      <c r="AB21" s="1452"/>
      <c r="AC21" s="1453"/>
      <c r="AD21" s="1454"/>
      <c r="AE21" s="1455"/>
      <c r="AF21" s="30"/>
      <c r="AG21" s="30"/>
      <c r="AH21" s="30"/>
      <c r="AI21" s="30"/>
      <c r="AJ21" s="30"/>
      <c r="AK21" s="253"/>
      <c r="AL21" s="238"/>
      <c r="AM21" s="241"/>
      <c r="AN21" s="241"/>
      <c r="AO21" s="241"/>
      <c r="AP21" s="444">
        <v>40</v>
      </c>
      <c r="AQ21" s="452">
        <f>AP21/1000000/1000/AR10</f>
        <v>4.0000000000000003E-5</v>
      </c>
      <c r="AR21" s="446">
        <f>AQ21*1000000</f>
        <v>40</v>
      </c>
      <c r="AS21" s="444">
        <v>0.14000000000000001</v>
      </c>
      <c r="AT21" s="443">
        <f>AS21*$AR$5</f>
        <v>142.80000000000001</v>
      </c>
      <c r="AU21" s="443">
        <f>$AR$8*AT21</f>
        <v>2415.11868808089</v>
      </c>
      <c r="AV21" s="238"/>
      <c r="AW21" s="238"/>
      <c r="AX21" s="238"/>
      <c r="AY21" s="238"/>
      <c r="AZ21" s="238"/>
      <c r="BA21" s="238"/>
      <c r="BB21" s="238"/>
      <c r="BC21" s="238"/>
      <c r="BD21" s="238"/>
      <c r="BE21" s="238"/>
      <c r="BF21" s="239"/>
      <c r="BG21" s="239"/>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row>
    <row r="22" spans="1:94" s="240" customFormat="1" ht="14.25" customHeight="1">
      <c r="A22" s="438" t="str">
        <f>A17</f>
        <v>Flare - Fuel Gas</v>
      </c>
      <c r="B22" s="439"/>
      <c r="C22" s="439"/>
      <c r="D22" s="439"/>
      <c r="E22" s="439"/>
      <c r="F22" s="439"/>
      <c r="G22" s="440"/>
      <c r="H22" s="1340">
        <f>Q17/Q16*H21</f>
        <v>2403.2648825205929</v>
      </c>
      <c r="I22" s="1341"/>
      <c r="J22" s="1342"/>
      <c r="K22" s="1322">
        <f>H22/1000000/$K17</f>
        <v>3.438147185294125E-3</v>
      </c>
      <c r="L22" s="1323"/>
      <c r="M22" s="1324"/>
      <c r="N22" s="1346"/>
      <c r="O22" s="1347"/>
      <c r="P22" s="1348"/>
      <c r="Q22" s="1349"/>
      <c r="R22" s="1350"/>
      <c r="S22" s="1351"/>
      <c r="T22" s="1256"/>
      <c r="U22" s="1257"/>
      <c r="V22" s="1258"/>
      <c r="W22" s="1253"/>
      <c r="X22" s="1254"/>
      <c r="Y22" s="1255"/>
      <c r="Z22" s="1250"/>
      <c r="AA22" s="1251"/>
      <c r="AB22" s="1252"/>
      <c r="AC22" s="1253"/>
      <c r="AD22" s="1254"/>
      <c r="AE22" s="1255"/>
      <c r="AF22" s="30"/>
      <c r="AG22" s="30"/>
      <c r="AH22" s="30"/>
      <c r="AI22" s="30"/>
      <c r="AJ22" s="30"/>
      <c r="AK22" s="253"/>
      <c r="AL22" s="238"/>
      <c r="AM22" s="241"/>
      <c r="AN22" s="241"/>
      <c r="AO22" s="241"/>
      <c r="AP22" s="444"/>
      <c r="AQ22" s="452"/>
      <c r="AR22" s="446"/>
      <c r="AS22" s="444"/>
      <c r="AT22" s="445"/>
      <c r="AU22" s="446"/>
      <c r="AV22" s="238"/>
      <c r="AW22" s="238"/>
      <c r="AX22" s="238"/>
      <c r="AY22" s="238"/>
      <c r="AZ22" s="238"/>
      <c r="BA22" s="238"/>
      <c r="BB22" s="238"/>
      <c r="BC22" s="238"/>
      <c r="BD22" s="238"/>
      <c r="BE22" s="238"/>
      <c r="BF22" s="239"/>
      <c r="BG22" s="239"/>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row>
    <row r="23" spans="1:94" s="240" customFormat="1" ht="14.25" customHeight="1">
      <c r="A23" s="133"/>
      <c r="B23" s="30"/>
      <c r="C23" s="30"/>
      <c r="D23" s="30"/>
      <c r="E23" s="30"/>
      <c r="F23" s="30"/>
      <c r="G23" s="253"/>
      <c r="H23" s="1352"/>
      <c r="I23" s="1353"/>
      <c r="J23" s="1354"/>
      <c r="K23" s="1355"/>
      <c r="L23" s="1356"/>
      <c r="M23" s="1357"/>
      <c r="N23" s="1358"/>
      <c r="O23" s="1359"/>
      <c r="P23" s="1360"/>
      <c r="Q23" s="1361"/>
      <c r="R23" s="1362"/>
      <c r="S23" s="1363"/>
      <c r="T23" s="1256"/>
      <c r="U23" s="1257"/>
      <c r="V23" s="1258"/>
      <c r="W23" s="1259"/>
      <c r="X23" s="1260"/>
      <c r="Y23" s="1261"/>
      <c r="Z23" s="1259"/>
      <c r="AA23" s="1260"/>
      <c r="AB23" s="1261"/>
      <c r="AC23" s="1259"/>
      <c r="AD23" s="1260"/>
      <c r="AE23" s="1261"/>
      <c r="AF23" s="30"/>
      <c r="AG23" s="30"/>
      <c r="AH23" s="30"/>
      <c r="AI23" s="30"/>
      <c r="AJ23" s="30"/>
      <c r="AK23" s="253"/>
      <c r="AL23" s="238"/>
      <c r="AM23" s="453">
        <f>X25/K17</f>
        <v>0.47328131155717057</v>
      </c>
      <c r="AN23" s="241"/>
      <c r="AO23" s="241"/>
      <c r="AS23" s="245"/>
      <c r="AT23" s="454"/>
      <c r="AU23" s="455"/>
      <c r="AV23" s="238"/>
      <c r="AW23" s="238"/>
      <c r="AX23" s="238"/>
      <c r="AY23" s="238"/>
      <c r="AZ23" s="238"/>
      <c r="BA23" s="238"/>
      <c r="BB23" s="238"/>
      <c r="BC23" s="238"/>
      <c r="BD23" s="238"/>
      <c r="BE23" s="238"/>
      <c r="BF23" s="239"/>
      <c r="BG23" s="239"/>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row>
    <row r="24" spans="1:94" s="240" customFormat="1" ht="14.25" customHeight="1">
      <c r="A24" s="456" t="s">
        <v>612</v>
      </c>
      <c r="B24" s="457"/>
      <c r="C24" s="457"/>
      <c r="D24" s="457"/>
      <c r="E24" s="457"/>
      <c r="F24" s="457"/>
      <c r="G24" s="457"/>
      <c r="H24" s="457"/>
      <c r="I24" s="457"/>
      <c r="J24" s="457"/>
      <c r="K24" s="457"/>
      <c r="L24" s="457"/>
      <c r="M24" s="457"/>
      <c r="N24" s="457"/>
      <c r="O24" s="457"/>
      <c r="P24" s="457"/>
      <c r="Q24" s="457"/>
      <c r="R24" s="457"/>
      <c r="S24" s="458"/>
      <c r="T24" s="459" t="s">
        <v>613</v>
      </c>
      <c r="U24" s="460"/>
      <c r="V24" s="460"/>
      <c r="W24" s="460"/>
      <c r="X24" s="460"/>
      <c r="Y24" s="460"/>
      <c r="Z24" s="460"/>
      <c r="AA24" s="460"/>
      <c r="AB24" s="460"/>
      <c r="AC24" s="460"/>
      <c r="AD24" s="460"/>
      <c r="AE24" s="460"/>
      <c r="AF24" s="460"/>
      <c r="AG24" s="460"/>
      <c r="AH24" s="460"/>
      <c r="AI24" s="460"/>
      <c r="AJ24" s="460"/>
      <c r="AK24" s="461"/>
      <c r="AL24" s="238"/>
      <c r="AM24" s="241"/>
      <c r="AN24" s="241"/>
      <c r="AO24" s="241"/>
      <c r="AP24" s="241"/>
      <c r="AQ24" s="241"/>
      <c r="AR24" s="241"/>
      <c r="AS24" s="241"/>
      <c r="AT24" s="241"/>
      <c r="AU24" s="241"/>
      <c r="AV24" s="241"/>
      <c r="AW24" s="241"/>
      <c r="AX24" s="238"/>
      <c r="AY24" s="238"/>
      <c r="AZ24" s="238"/>
      <c r="BA24" s="238"/>
      <c r="BB24" s="238"/>
      <c r="BC24" s="238"/>
      <c r="BD24" s="238"/>
      <c r="BE24" s="238"/>
      <c r="BF24" s="239"/>
      <c r="BG24" s="239"/>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row>
    <row r="25" spans="1:94" s="240" customFormat="1" ht="14.25" customHeight="1">
      <c r="A25" s="462" t="s">
        <v>614</v>
      </c>
      <c r="B25" s="463"/>
      <c r="C25" s="463"/>
      <c r="D25" s="463"/>
      <c r="E25" s="463"/>
      <c r="F25" s="463"/>
      <c r="G25" s="463"/>
      <c r="H25" s="464"/>
      <c r="I25" s="463" t="s">
        <v>590</v>
      </c>
      <c r="J25" s="463"/>
      <c r="K25" s="463"/>
      <c r="L25" s="463" t="s">
        <v>615</v>
      </c>
      <c r="M25" s="463"/>
      <c r="N25" s="463"/>
      <c r="O25" s="463"/>
      <c r="P25" s="463"/>
      <c r="Q25" s="463"/>
      <c r="R25" s="463"/>
      <c r="S25" s="465" t="s">
        <v>616</v>
      </c>
      <c r="T25" s="1433" t="s">
        <v>757</v>
      </c>
      <c r="U25" s="1434"/>
      <c r="V25" s="1434"/>
      <c r="W25" s="1434"/>
      <c r="X25" s="1465">
        <f>2.9*1000/365.25/24</f>
        <v>0.33082363677846222</v>
      </c>
      <c r="Y25" s="1465"/>
      <c r="Z25" s="1465"/>
      <c r="AA25" s="1434" t="s">
        <v>617</v>
      </c>
      <c r="AB25" s="1434"/>
      <c r="AC25" s="1435">
        <f>X25/H17</f>
        <v>2.0522558112807829E-2</v>
      </c>
      <c r="AD25" s="1435"/>
      <c r="AE25" s="1434" t="s">
        <v>618</v>
      </c>
      <c r="AF25" s="1434"/>
      <c r="AG25" s="1434"/>
      <c r="AH25" s="1429">
        <f>X25*N17/3600</f>
        <v>4.5745557330088464E-3</v>
      </c>
      <c r="AI25" s="1429"/>
      <c r="AJ25" s="466" t="s">
        <v>590</v>
      </c>
      <c r="AK25" s="467"/>
      <c r="AL25" s="238"/>
      <c r="AM25" s="254">
        <f>X25*W22</f>
        <v>0</v>
      </c>
      <c r="AN25" s="241"/>
      <c r="AO25" s="241"/>
      <c r="AP25" s="241"/>
      <c r="AQ25" s="241"/>
      <c r="AR25" s="241"/>
      <c r="AS25" s="241"/>
      <c r="AT25" s="241"/>
      <c r="AU25" s="241"/>
      <c r="AV25" s="241"/>
      <c r="AW25" s="241"/>
      <c r="AX25" s="238"/>
      <c r="AY25" s="238"/>
      <c r="AZ25" s="238"/>
      <c r="BA25" s="238"/>
      <c r="BB25" s="238"/>
      <c r="BC25" s="238"/>
      <c r="BD25" s="238"/>
      <c r="BE25" s="238"/>
      <c r="BF25" s="239"/>
      <c r="BG25" s="239"/>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row>
    <row r="26" spans="1:94" s="240" customFormat="1" ht="14.25" customHeight="1">
      <c r="A26" s="468" t="s">
        <v>619</v>
      </c>
      <c r="B26" s="469"/>
      <c r="C26" s="469"/>
      <c r="D26" s="469"/>
      <c r="E26" s="469"/>
      <c r="F26" s="469"/>
      <c r="G26" s="469"/>
      <c r="H26" s="470"/>
      <c r="I26" s="469" t="s">
        <v>590</v>
      </c>
      <c r="J26" s="469"/>
      <c r="K26" s="469"/>
      <c r="L26" s="469"/>
      <c r="M26" s="469"/>
      <c r="N26" s="469"/>
      <c r="O26" s="469"/>
      <c r="P26" s="469"/>
      <c r="Q26" s="469"/>
      <c r="R26" s="469"/>
      <c r="S26" s="471"/>
      <c r="T26" s="1430"/>
      <c r="U26" s="1431"/>
      <c r="V26" s="1431"/>
      <c r="W26" s="1431"/>
      <c r="X26" s="1432"/>
      <c r="Y26" s="1432"/>
      <c r="Z26" s="1432"/>
      <c r="AA26" s="1431"/>
      <c r="AB26" s="1431"/>
      <c r="AC26" s="1432"/>
      <c r="AD26" s="1432"/>
      <c r="AE26" s="1431"/>
      <c r="AF26" s="1431"/>
      <c r="AG26" s="1431"/>
      <c r="AH26" s="1432"/>
      <c r="AI26" s="1432"/>
      <c r="AJ26" s="469"/>
      <c r="AK26" s="471"/>
      <c r="AL26" s="238"/>
      <c r="AM26" s="254">
        <f>W22*SUM(N34:O43)</f>
        <v>0</v>
      </c>
      <c r="AN26" s="241"/>
      <c r="AO26" s="241"/>
      <c r="AP26" s="241"/>
      <c r="AQ26" s="241"/>
      <c r="AR26" s="241"/>
      <c r="AS26" s="241"/>
      <c r="AT26" s="241"/>
      <c r="AU26" s="241"/>
      <c r="AV26" s="241"/>
      <c r="AW26" s="241"/>
      <c r="AX26" s="238"/>
      <c r="AY26" s="238"/>
      <c r="AZ26" s="238"/>
      <c r="BA26" s="238"/>
      <c r="BB26" s="238"/>
      <c r="BC26" s="238"/>
      <c r="BD26" s="238"/>
      <c r="BE26" s="238"/>
      <c r="BF26" s="239"/>
      <c r="BG26" s="239"/>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row>
    <row r="27" spans="1:94" s="240" customFormat="1" ht="14.25" customHeight="1">
      <c r="A27" s="250"/>
      <c r="B27" s="251"/>
      <c r="C27" s="251"/>
      <c r="D27" s="251"/>
      <c r="E27" s="251"/>
      <c r="F27" s="251"/>
      <c r="G27" s="251"/>
      <c r="H27" s="252"/>
      <c r="I27" s="251"/>
      <c r="J27" s="251"/>
      <c r="K27" s="251"/>
      <c r="L27" s="251"/>
      <c r="M27" s="251"/>
      <c r="N27" s="251"/>
      <c r="O27" s="251"/>
      <c r="P27" s="251"/>
      <c r="Q27" s="251"/>
      <c r="R27" s="251"/>
      <c r="S27" s="251"/>
      <c r="T27" s="472"/>
      <c r="U27" s="472"/>
      <c r="V27" s="473"/>
      <c r="W27" s="473"/>
      <c r="X27" s="474"/>
      <c r="Y27" s="474"/>
      <c r="Z27" s="474"/>
      <c r="AA27" s="473"/>
      <c r="AB27" s="473"/>
      <c r="AC27" s="474"/>
      <c r="AD27" s="474"/>
      <c r="AE27" s="473"/>
      <c r="AF27" s="473"/>
      <c r="AG27" s="473"/>
      <c r="AH27" s="474"/>
      <c r="AI27" s="474"/>
      <c r="AJ27" s="30"/>
      <c r="AK27" s="253"/>
      <c r="AL27" s="238"/>
      <c r="AM27" s="254"/>
      <c r="AN27" s="241"/>
      <c r="AO27" s="241"/>
      <c r="AP27" s="241"/>
      <c r="AQ27" s="241"/>
      <c r="AR27" s="241"/>
      <c r="AS27" s="241"/>
      <c r="AT27" s="241"/>
      <c r="AU27" s="241"/>
      <c r="AV27" s="241"/>
      <c r="AW27" s="241"/>
      <c r="AX27" s="238"/>
      <c r="AY27" s="238"/>
      <c r="AZ27" s="238"/>
      <c r="BA27" s="238"/>
      <c r="BB27" s="238"/>
      <c r="BC27" s="238"/>
      <c r="BD27" s="238"/>
      <c r="BE27" s="238"/>
      <c r="BF27" s="239"/>
      <c r="BG27" s="239"/>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row>
    <row r="28" spans="1:94" s="240" customFormat="1" ht="14.25" customHeight="1">
      <c r="A28" s="1370" t="s">
        <v>718</v>
      </c>
      <c r="B28" s="1370"/>
      <c r="C28" s="1370"/>
      <c r="D28" s="1370"/>
      <c r="E28" s="1370"/>
      <c r="F28" s="1371" t="str">
        <f>A17</f>
        <v>Flare - Fuel Gas</v>
      </c>
      <c r="G28" s="1372"/>
      <c r="H28" s="1372"/>
      <c r="I28" s="1372"/>
      <c r="J28" s="1372"/>
      <c r="K28" s="1372"/>
      <c r="L28" s="1372"/>
      <c r="M28" s="1372"/>
      <c r="N28" s="1372"/>
      <c r="O28" s="1372"/>
      <c r="P28" s="1372"/>
      <c r="Q28" s="1372"/>
      <c r="R28" s="1372"/>
      <c r="S28" s="1372"/>
      <c r="T28" s="1372"/>
      <c r="U28" s="1373"/>
      <c r="V28" s="30"/>
      <c r="W28" s="1402" t="s">
        <v>765</v>
      </c>
      <c r="X28" s="1184"/>
      <c r="Y28" s="1184"/>
      <c r="Z28" s="1184"/>
      <c r="AA28" s="1184"/>
      <c r="AB28" s="1184"/>
      <c r="AC28" s="1184"/>
      <c r="AD28" s="1184"/>
      <c r="AE28" s="1184"/>
      <c r="AF28" s="1184"/>
      <c r="AG28" s="1184"/>
      <c r="AH28" s="1184"/>
      <c r="AI28" s="1184"/>
      <c r="AJ28" s="1184"/>
      <c r="AK28" s="253"/>
      <c r="AL28" s="255"/>
      <c r="AM28" s="241"/>
      <c r="AN28" s="241"/>
      <c r="AO28" s="241"/>
      <c r="AP28" s="241"/>
      <c r="AQ28" s="241"/>
      <c r="AR28" s="241"/>
      <c r="AS28" s="241"/>
      <c r="AT28" s="241"/>
      <c r="AU28" s="241"/>
      <c r="AV28" s="241"/>
      <c r="AW28" s="241"/>
      <c r="AX28" s="241"/>
      <c r="AY28" s="241"/>
      <c r="AZ28" s="238"/>
      <c r="BA28" s="238"/>
      <c r="BB28" s="238"/>
      <c r="BC28" s="238"/>
      <c r="BD28" s="238"/>
      <c r="BE28" s="238"/>
      <c r="BF28" s="239"/>
      <c r="BG28" s="239"/>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38"/>
      <c r="CN28" s="238"/>
      <c r="CO28" s="238"/>
      <c r="CP28" s="238"/>
    </row>
    <row r="29" spans="1:94" s="240" customFormat="1" ht="14.25" customHeight="1">
      <c r="A29" s="256" t="s">
        <v>620</v>
      </c>
      <c r="B29" s="30"/>
      <c r="C29" s="30"/>
      <c r="D29" s="30"/>
      <c r="E29" s="30"/>
      <c r="F29" s="1374"/>
      <c r="G29" s="1374"/>
      <c r="H29" s="1374"/>
      <c r="I29" s="1374"/>
      <c r="J29" s="1375" t="s">
        <v>120</v>
      </c>
      <c r="K29" s="1375"/>
      <c r="L29" s="1375"/>
      <c r="M29" s="1375"/>
      <c r="N29" s="1374" t="s">
        <v>621</v>
      </c>
      <c r="O29" s="1374"/>
      <c r="P29" s="1375" t="s">
        <v>622</v>
      </c>
      <c r="Q29" s="1375"/>
      <c r="R29" s="1375"/>
      <c r="S29" s="1375"/>
      <c r="T29" s="1375"/>
      <c r="U29" s="1375"/>
      <c r="V29" s="257"/>
      <c r="W29" s="1184"/>
      <c r="X29" s="1184"/>
      <c r="Y29" s="1184"/>
      <c r="Z29" s="1184"/>
      <c r="AA29" s="1184"/>
      <c r="AB29" s="1184"/>
      <c r="AC29" s="1184"/>
      <c r="AD29" s="1184"/>
      <c r="AE29" s="1184"/>
      <c r="AF29" s="1184"/>
      <c r="AG29" s="1184"/>
      <c r="AH29" s="1184"/>
      <c r="AI29" s="1184"/>
      <c r="AJ29" s="1184"/>
      <c r="AK29" s="253"/>
      <c r="AL29" s="255"/>
      <c r="AM29" s="241"/>
      <c r="AN29" s="241"/>
      <c r="AO29" s="241"/>
      <c r="AP29" s="241"/>
      <c r="AQ29" s="241"/>
      <c r="AR29" s="241"/>
      <c r="AS29" s="241"/>
      <c r="AT29" s="241"/>
      <c r="AU29" s="241"/>
      <c r="AV29" s="241"/>
      <c r="AW29" s="241"/>
      <c r="AX29" s="241"/>
      <c r="AY29" s="241"/>
      <c r="AZ29" s="238"/>
      <c r="BA29" s="238"/>
      <c r="BB29" s="238"/>
      <c r="BC29" s="238"/>
      <c r="BD29" s="238"/>
      <c r="BE29" s="238"/>
      <c r="BF29" s="239"/>
      <c r="BG29" s="239"/>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row>
    <row r="30" spans="1:94" s="240" customFormat="1" ht="14.25" customHeight="1">
      <c r="A30" s="133"/>
      <c r="B30" s="30"/>
      <c r="C30" s="30"/>
      <c r="D30" s="30"/>
      <c r="E30" s="30"/>
      <c r="F30" s="1374"/>
      <c r="G30" s="1374"/>
      <c r="H30" s="1374"/>
      <c r="I30" s="1374"/>
      <c r="J30" s="1375" t="s">
        <v>624</v>
      </c>
      <c r="K30" s="1375"/>
      <c r="L30" s="1375" t="s">
        <v>625</v>
      </c>
      <c r="M30" s="1375"/>
      <c r="N30" s="1374"/>
      <c r="O30" s="1374"/>
      <c r="P30" s="1375"/>
      <c r="Q30" s="1375"/>
      <c r="R30" s="1375"/>
      <c r="S30" s="1375"/>
      <c r="T30" s="1375"/>
      <c r="U30" s="1375"/>
      <c r="V30" s="257"/>
      <c r="W30" s="1184"/>
      <c r="X30" s="1184"/>
      <c r="Y30" s="1184"/>
      <c r="Z30" s="1184"/>
      <c r="AA30" s="1184"/>
      <c r="AB30" s="1184"/>
      <c r="AC30" s="1184"/>
      <c r="AD30" s="1184"/>
      <c r="AE30" s="1184"/>
      <c r="AF30" s="1184"/>
      <c r="AG30" s="1184"/>
      <c r="AH30" s="1184"/>
      <c r="AI30" s="1184"/>
      <c r="AJ30" s="1184"/>
      <c r="AK30" s="253"/>
      <c r="AL30" s="258"/>
      <c r="AM30" s="259" t="s">
        <v>740</v>
      </c>
      <c r="AN30" s="259"/>
      <c r="AO30" s="259"/>
      <c r="AP30" s="259"/>
      <c r="AQ30" s="259"/>
      <c r="AR30" s="259"/>
      <c r="AS30" s="259" t="s">
        <v>741</v>
      </c>
      <c r="AT30" s="259"/>
      <c r="AU30" s="259" t="s">
        <v>742</v>
      </c>
      <c r="AV30" s="259"/>
      <c r="AW30" s="259"/>
      <c r="AX30" s="259"/>
      <c r="AY30" s="258"/>
      <c r="AZ30" s="238"/>
      <c r="BA30" s="238"/>
      <c r="BB30" s="238"/>
      <c r="BC30" s="238"/>
      <c r="BD30" s="238"/>
      <c r="BE30" s="238"/>
      <c r="BF30" s="239"/>
      <c r="BG30" s="239"/>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row>
    <row r="31" spans="1:94" s="240" customFormat="1" ht="14.25" customHeight="1">
      <c r="A31" s="1376" t="s">
        <v>630</v>
      </c>
      <c r="B31" s="1376"/>
      <c r="C31" s="1376"/>
      <c r="D31" s="1376"/>
      <c r="E31" s="1376"/>
      <c r="F31" s="1375" t="s">
        <v>631</v>
      </c>
      <c r="G31" s="1375"/>
      <c r="H31" s="1375" t="s">
        <v>618</v>
      </c>
      <c r="I31" s="1375"/>
      <c r="J31" s="1373" t="s">
        <v>618</v>
      </c>
      <c r="K31" s="1375"/>
      <c r="L31" s="1375" t="s">
        <v>618</v>
      </c>
      <c r="M31" s="1375"/>
      <c r="N31" s="1375" t="s">
        <v>617</v>
      </c>
      <c r="O31" s="1375"/>
      <c r="P31" s="1375" t="s">
        <v>631</v>
      </c>
      <c r="Q31" s="1375"/>
      <c r="R31" s="1371" t="s">
        <v>618</v>
      </c>
      <c r="S31" s="1373"/>
      <c r="T31" s="1371" t="s">
        <v>617</v>
      </c>
      <c r="U31" s="1373"/>
      <c r="V31" s="30"/>
      <c r="W31" s="1184"/>
      <c r="X31" s="1184"/>
      <c r="Y31" s="1184"/>
      <c r="Z31" s="1184"/>
      <c r="AA31" s="1184"/>
      <c r="AB31" s="1184"/>
      <c r="AC31" s="1184"/>
      <c r="AD31" s="1184"/>
      <c r="AE31" s="1184"/>
      <c r="AF31" s="1184"/>
      <c r="AG31" s="1184"/>
      <c r="AH31" s="1184"/>
      <c r="AI31" s="1184"/>
      <c r="AJ31" s="1184"/>
      <c r="AK31" s="253"/>
      <c r="AL31" s="258"/>
      <c r="AM31" s="259" t="s">
        <v>633</v>
      </c>
      <c r="AN31" s="259" t="s">
        <v>634</v>
      </c>
      <c r="AO31" s="259" t="s">
        <v>635</v>
      </c>
      <c r="AP31" s="259" t="s">
        <v>636</v>
      </c>
      <c r="AQ31" s="259" t="s">
        <v>637</v>
      </c>
      <c r="AR31" s="259" t="s">
        <v>590</v>
      </c>
      <c r="AS31" s="259" t="s">
        <v>428</v>
      </c>
      <c r="AT31" s="259" t="s">
        <v>429</v>
      </c>
      <c r="AU31" s="259" t="s">
        <v>126</v>
      </c>
      <c r="AV31" s="259" t="s">
        <v>431</v>
      </c>
      <c r="AW31" s="259" t="s">
        <v>429</v>
      </c>
      <c r="AX31" s="259" t="s">
        <v>124</v>
      </c>
      <c r="AY31" s="258"/>
      <c r="AZ31" s="238"/>
      <c r="BA31" s="238"/>
      <c r="BB31" s="238"/>
      <c r="BC31" s="238"/>
      <c r="BD31" s="238"/>
      <c r="BE31" s="238"/>
      <c r="BF31" s="239" t="s">
        <v>128</v>
      </c>
      <c r="BG31" s="239" t="s">
        <v>743</v>
      </c>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row>
    <row r="32" spans="1:94" s="240" customFormat="1" ht="14.25" customHeight="1">
      <c r="A32" s="260" t="s">
        <v>638</v>
      </c>
      <c r="B32" s="261"/>
      <c r="C32" s="261"/>
      <c r="D32" s="261"/>
      <c r="E32" s="262"/>
      <c r="F32" s="1377">
        <v>0</v>
      </c>
      <c r="G32" s="1378"/>
      <c r="H32" s="1379">
        <f t="shared" ref="H32:H52" si="0">F32*$AC$25</f>
        <v>0</v>
      </c>
      <c r="I32" s="1381"/>
      <c r="J32" s="1380"/>
      <c r="K32" s="1380"/>
      <c r="L32" s="1379"/>
      <c r="M32" s="1380"/>
      <c r="N32" s="1379">
        <f t="shared" ref="N32:N52" si="1">SUM(H32,J32,L32)*AR32</f>
        <v>0</v>
      </c>
      <c r="O32" s="1380"/>
      <c r="P32" s="1379"/>
      <c r="Q32" s="1381"/>
      <c r="R32" s="1379"/>
      <c r="S32" s="1380"/>
      <c r="T32" s="1379"/>
      <c r="U32" s="1381"/>
      <c r="V32" s="263"/>
      <c r="W32" s="263"/>
      <c r="X32" s="263"/>
      <c r="Y32" s="263"/>
      <c r="Z32" s="263"/>
      <c r="AA32" s="263"/>
      <c r="AB32" s="263"/>
      <c r="AC32" s="263"/>
      <c r="AD32" s="263"/>
      <c r="AE32" s="263"/>
      <c r="AF32" s="263"/>
      <c r="AG32" s="263"/>
      <c r="AH32" s="263"/>
      <c r="AI32" s="263"/>
      <c r="AJ32" s="263"/>
      <c r="AK32" s="264"/>
      <c r="AL32" s="258"/>
      <c r="AM32" s="259"/>
      <c r="AN32" s="259">
        <v>2</v>
      </c>
      <c r="AO32" s="259"/>
      <c r="AP32" s="259"/>
      <c r="AQ32" s="259"/>
      <c r="AR32" s="265">
        <f>AM32*12.01+AN32*1.008+AO32*16+AP32*14+AQ32*32</f>
        <v>2.016</v>
      </c>
      <c r="AS32" s="259">
        <f>AM32*1+AN32*0.25+AQ32*1</f>
        <v>0.5</v>
      </c>
      <c r="AT32" s="266">
        <f>0.79/0.21*AS32</f>
        <v>1.8809523809523812</v>
      </c>
      <c r="AU32" s="259">
        <f>1*AM32</f>
        <v>0</v>
      </c>
      <c r="AV32" s="259">
        <f>AN32/2</f>
        <v>1</v>
      </c>
      <c r="AW32" s="266">
        <f>AP32*0.5+AT32</f>
        <v>1.8809523809523812</v>
      </c>
      <c r="AX32" s="259">
        <f>AQ32*1</f>
        <v>0</v>
      </c>
      <c r="AY32" s="258"/>
      <c r="AZ32" s="238"/>
      <c r="BA32" s="238"/>
      <c r="BB32" s="238"/>
      <c r="BC32" s="238"/>
      <c r="BD32" s="238"/>
      <c r="BE32" s="239" t="s">
        <v>639</v>
      </c>
      <c r="BF32" s="239">
        <v>1.4200000000000001E-2</v>
      </c>
      <c r="BG32" s="239">
        <v>2.9999999999999997E-4</v>
      </c>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row>
    <row r="33" spans="1:94" s="240" customFormat="1" ht="14.25" customHeight="1">
      <c r="A33" s="267" t="s">
        <v>122</v>
      </c>
      <c r="B33" s="268"/>
      <c r="C33" s="268"/>
      <c r="D33" s="268"/>
      <c r="E33" s="269"/>
      <c r="F33" s="1377">
        <f>CO2eEF!P26</f>
        <v>0.99629999999999996</v>
      </c>
      <c r="G33" s="1378"/>
      <c r="H33" s="1299">
        <f>F33*$AC$25</f>
        <v>2.0446624647790439E-2</v>
      </c>
      <c r="I33" s="1301"/>
      <c r="J33" s="1300"/>
      <c r="K33" s="1300"/>
      <c r="L33" s="1299"/>
      <c r="M33" s="1300"/>
      <c r="N33" s="1299">
        <f t="shared" si="1"/>
        <v>0.32800475259985429</v>
      </c>
      <c r="O33" s="1301"/>
      <c r="P33" s="1299">
        <f>R33/$R$53</f>
        <v>3.2820154466845256E-4</v>
      </c>
      <c r="Q33" s="1301"/>
      <c r="R33" s="1299">
        <f>T33/$AR33</f>
        <v>7.0902652762662736E-5</v>
      </c>
      <c r="S33" s="1300"/>
      <c r="T33" s="1299">
        <f>$K22*$X25</f>
        <v>1.1374203556186358E-3</v>
      </c>
      <c r="U33" s="1301"/>
      <c r="V33" s="263"/>
      <c r="W33" s="263"/>
      <c r="X33" s="263"/>
      <c r="Y33" s="263"/>
      <c r="Z33" s="263"/>
      <c r="AA33" s="263"/>
      <c r="AB33" s="263"/>
      <c r="AC33" s="263"/>
      <c r="AD33" s="263"/>
      <c r="AE33" s="263"/>
      <c r="AF33" s="263"/>
      <c r="AG33" s="263"/>
      <c r="AH33" s="263"/>
      <c r="AI33" s="263"/>
      <c r="AJ33" s="263"/>
      <c r="AK33" s="264"/>
      <c r="AL33" s="258"/>
      <c r="AM33" s="259">
        <v>1</v>
      </c>
      <c r="AN33" s="259">
        <v>4</v>
      </c>
      <c r="AO33" s="259"/>
      <c r="AP33" s="259"/>
      <c r="AQ33" s="259"/>
      <c r="AR33" s="265">
        <f t="shared" ref="AR33:AR48" si="2">AM33*12.01+AN33*1.008+AO33*16+AP33*14+AQ33*32</f>
        <v>16.042000000000002</v>
      </c>
      <c r="AS33" s="259">
        <f t="shared" ref="AS33:AS47" si="3">AM33*1+AN33*0.25+AQ33*1</f>
        <v>2</v>
      </c>
      <c r="AT33" s="266">
        <f t="shared" ref="AT33:AT47" si="4">0.79/0.21*AS33</f>
        <v>7.5238095238095246</v>
      </c>
      <c r="AU33" s="259">
        <f t="shared" ref="AU33:AU47" si="5">1*AM33</f>
        <v>1</v>
      </c>
      <c r="AV33" s="259">
        <f t="shared" ref="AV33:AV47" si="6">AN33/2</f>
        <v>2</v>
      </c>
      <c r="AW33" s="266">
        <f t="shared" ref="AW33:AW47" si="7">AP33*0.5+AT33</f>
        <v>7.5238095238095246</v>
      </c>
      <c r="AX33" s="259">
        <f t="shared" ref="AX33:AX47" si="8">AQ33*1</f>
        <v>0</v>
      </c>
      <c r="AY33" s="258"/>
      <c r="AZ33" s="238"/>
      <c r="BA33" s="238"/>
      <c r="BB33" s="238"/>
      <c r="BC33" s="238"/>
      <c r="BD33" s="238"/>
      <c r="BE33" s="239" t="s">
        <v>126</v>
      </c>
      <c r="BF33" s="239">
        <v>9.5999999999999992E-3</v>
      </c>
      <c r="BG33" s="239">
        <v>0.77539999999999998</v>
      </c>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row>
    <row r="34" spans="1:94" s="240" customFormat="1" ht="14.25" customHeight="1">
      <c r="A34" s="267" t="s">
        <v>641</v>
      </c>
      <c r="B34" s="268"/>
      <c r="C34" s="268"/>
      <c r="D34" s="268"/>
      <c r="E34" s="269"/>
      <c r="F34" s="1377">
        <v>0</v>
      </c>
      <c r="G34" s="1378"/>
      <c r="H34" s="1299">
        <f t="shared" si="0"/>
        <v>0</v>
      </c>
      <c r="I34" s="1301"/>
      <c r="J34" s="1300"/>
      <c r="K34" s="1300"/>
      <c r="L34" s="1299"/>
      <c r="M34" s="1300"/>
      <c r="N34" s="1299">
        <f t="shared" si="1"/>
        <v>0</v>
      </c>
      <c r="O34" s="1301"/>
      <c r="P34" s="1299"/>
      <c r="Q34" s="1301"/>
      <c r="R34" s="1300"/>
      <c r="S34" s="1300"/>
      <c r="T34" s="1299"/>
      <c r="U34" s="1301"/>
      <c r="V34" s="263"/>
      <c r="W34" s="263"/>
      <c r="X34" s="270">
        <f>AH25</f>
        <v>4.5745557330088464E-3</v>
      </c>
      <c r="Y34" s="31" t="s">
        <v>590</v>
      </c>
      <c r="Z34" s="270"/>
      <c r="AA34" s="263"/>
      <c r="AB34" s="263"/>
      <c r="AC34" s="263"/>
      <c r="AD34" s="263"/>
      <c r="AE34" s="263"/>
      <c r="AF34" s="263"/>
      <c r="AG34" s="263"/>
      <c r="AH34" s="263"/>
      <c r="AI34" s="263"/>
      <c r="AJ34" s="263"/>
      <c r="AK34" s="264"/>
      <c r="AL34" s="258"/>
      <c r="AM34" s="259">
        <v>2</v>
      </c>
      <c r="AN34" s="259">
        <v>4</v>
      </c>
      <c r="AO34" s="259"/>
      <c r="AP34" s="259"/>
      <c r="AQ34" s="259"/>
      <c r="AR34" s="265">
        <f t="shared" si="2"/>
        <v>28.052</v>
      </c>
      <c r="AS34" s="259">
        <f t="shared" si="3"/>
        <v>3</v>
      </c>
      <c r="AT34" s="266">
        <f t="shared" si="4"/>
        <v>11.285714285714286</v>
      </c>
      <c r="AU34" s="259">
        <f t="shared" si="5"/>
        <v>2</v>
      </c>
      <c r="AV34" s="259">
        <f t="shared" si="6"/>
        <v>2</v>
      </c>
      <c r="AW34" s="266">
        <f t="shared" si="7"/>
        <v>11.285714285714286</v>
      </c>
      <c r="AX34" s="259">
        <f t="shared" si="8"/>
        <v>0</v>
      </c>
      <c r="AY34" s="258"/>
      <c r="AZ34" s="238"/>
      <c r="BA34" s="238"/>
      <c r="BB34" s="238"/>
      <c r="BC34" s="238"/>
      <c r="BD34" s="238"/>
      <c r="BE34" s="239" t="s">
        <v>642</v>
      </c>
      <c r="BF34" s="239">
        <v>0.60499999999999998</v>
      </c>
      <c r="BG34" s="239">
        <v>1.43E-2</v>
      </c>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38"/>
      <c r="CN34" s="238"/>
      <c r="CO34" s="238"/>
      <c r="CP34" s="238"/>
    </row>
    <row r="35" spans="1:94" s="240" customFormat="1" ht="14.25" customHeight="1">
      <c r="A35" s="267" t="s">
        <v>643</v>
      </c>
      <c r="B35" s="268"/>
      <c r="C35" s="268"/>
      <c r="D35" s="268"/>
      <c r="E35" s="269"/>
      <c r="F35" s="1377">
        <f>CO2eEF!P27</f>
        <v>7.000000000000001E-4</v>
      </c>
      <c r="G35" s="1378"/>
      <c r="H35" s="1299">
        <f t="shared" si="0"/>
        <v>1.4365790678965483E-5</v>
      </c>
      <c r="I35" s="1301"/>
      <c r="J35" s="1300"/>
      <c r="K35" s="1300"/>
      <c r="L35" s="1299"/>
      <c r="M35" s="1300"/>
      <c r="N35" s="1299">
        <f t="shared" si="1"/>
        <v>4.3195059413513411E-4</v>
      </c>
      <c r="O35" s="1301"/>
      <c r="P35" s="1299">
        <f>R35/$R$53</f>
        <v>0</v>
      </c>
      <c r="Q35" s="1301"/>
      <c r="R35" s="1300">
        <f>T35/$AR35</f>
        <v>0</v>
      </c>
      <c r="S35" s="1300"/>
      <c r="T35" s="1299">
        <f>$Q$22*N35</f>
        <v>0</v>
      </c>
      <c r="U35" s="1301"/>
      <c r="V35" s="263"/>
      <c r="W35" s="263"/>
      <c r="X35" s="31">
        <f>365*24</f>
        <v>8760</v>
      </c>
      <c r="Y35" s="31" t="s">
        <v>623</v>
      </c>
      <c r="Z35" s="270"/>
      <c r="AA35" s="263"/>
      <c r="AB35" s="263"/>
      <c r="AC35" s="263"/>
      <c r="AD35" s="263"/>
      <c r="AE35" s="263"/>
      <c r="AF35" s="263"/>
      <c r="AG35" s="263"/>
      <c r="AH35" s="263"/>
      <c r="AI35" s="263"/>
      <c r="AJ35" s="263"/>
      <c r="AK35" s="264"/>
      <c r="AL35" s="258"/>
      <c r="AM35" s="259">
        <v>2</v>
      </c>
      <c r="AN35" s="259">
        <v>6</v>
      </c>
      <c r="AO35" s="259"/>
      <c r="AP35" s="259"/>
      <c r="AQ35" s="259"/>
      <c r="AR35" s="265">
        <f t="shared" si="2"/>
        <v>30.067999999999998</v>
      </c>
      <c r="AS35" s="259">
        <f t="shared" si="3"/>
        <v>3.5</v>
      </c>
      <c r="AT35" s="266">
        <f t="shared" si="4"/>
        <v>13.166666666666668</v>
      </c>
      <c r="AU35" s="259">
        <f t="shared" si="5"/>
        <v>2</v>
      </c>
      <c r="AV35" s="259">
        <f t="shared" si="6"/>
        <v>3</v>
      </c>
      <c r="AW35" s="266">
        <f t="shared" si="7"/>
        <v>13.166666666666668</v>
      </c>
      <c r="AX35" s="259">
        <f t="shared" si="8"/>
        <v>0</v>
      </c>
      <c r="AY35" s="258"/>
      <c r="AZ35" s="238"/>
      <c r="BA35" s="238"/>
      <c r="BB35" s="238"/>
      <c r="BC35" s="238"/>
      <c r="BD35" s="238"/>
      <c r="BE35" s="239" t="s">
        <v>644</v>
      </c>
      <c r="BF35" s="239">
        <v>0.17519999999999999</v>
      </c>
      <c r="BG35" s="239">
        <v>1.9E-3</v>
      </c>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row>
    <row r="36" spans="1:94" s="240" customFormat="1" ht="14.25" customHeight="1">
      <c r="A36" s="267" t="s">
        <v>418</v>
      </c>
      <c r="B36" s="268"/>
      <c r="C36" s="268"/>
      <c r="D36" s="268"/>
      <c r="E36" s="269"/>
      <c r="F36" s="1377">
        <v>0</v>
      </c>
      <c r="G36" s="1378"/>
      <c r="H36" s="1299">
        <f t="shared" si="0"/>
        <v>0</v>
      </c>
      <c r="I36" s="1301"/>
      <c r="J36" s="1300"/>
      <c r="K36" s="1300"/>
      <c r="L36" s="1299"/>
      <c r="M36" s="1300"/>
      <c r="N36" s="1299">
        <f t="shared" si="1"/>
        <v>0</v>
      </c>
      <c r="O36" s="1301"/>
      <c r="P36" s="1299"/>
      <c r="Q36" s="1301"/>
      <c r="R36" s="1300"/>
      <c r="S36" s="1300"/>
      <c r="T36" s="1299"/>
      <c r="U36" s="1301"/>
      <c r="V36" s="263"/>
      <c r="W36" s="263"/>
      <c r="X36" s="272">
        <f>X34*X35</f>
        <v>40.073108221157497</v>
      </c>
      <c r="Y36" s="31" t="s">
        <v>626</v>
      </c>
      <c r="Z36" s="270"/>
      <c r="AA36" s="263"/>
      <c r="AB36" s="263"/>
      <c r="AC36" s="263"/>
      <c r="AD36" s="263"/>
      <c r="AE36" s="263"/>
      <c r="AF36" s="263"/>
      <c r="AG36" s="263"/>
      <c r="AH36" s="263"/>
      <c r="AI36" s="263"/>
      <c r="AJ36" s="263"/>
      <c r="AK36" s="264"/>
      <c r="AL36" s="258"/>
      <c r="AM36" s="259">
        <v>3</v>
      </c>
      <c r="AN36" s="259">
        <v>6</v>
      </c>
      <c r="AO36" s="259"/>
      <c r="AP36" s="259"/>
      <c r="AQ36" s="259"/>
      <c r="AR36" s="265">
        <f t="shared" si="2"/>
        <v>42.078000000000003</v>
      </c>
      <c r="AS36" s="259">
        <f t="shared" si="3"/>
        <v>4.5</v>
      </c>
      <c r="AT36" s="266">
        <f t="shared" si="4"/>
        <v>16.928571428571431</v>
      </c>
      <c r="AU36" s="259">
        <f t="shared" si="5"/>
        <v>3</v>
      </c>
      <c r="AV36" s="259">
        <f t="shared" si="6"/>
        <v>3</v>
      </c>
      <c r="AW36" s="266">
        <f t="shared" si="7"/>
        <v>16.928571428571431</v>
      </c>
      <c r="AX36" s="259">
        <f t="shared" si="8"/>
        <v>0</v>
      </c>
      <c r="AY36" s="258"/>
      <c r="AZ36" s="238"/>
      <c r="BA36" s="238"/>
      <c r="BB36" s="238"/>
      <c r="BC36" s="238"/>
      <c r="BD36" s="238"/>
      <c r="BE36" s="239" t="s">
        <v>645</v>
      </c>
      <c r="BF36" s="239">
        <v>0.1139</v>
      </c>
      <c r="BG36" s="239">
        <v>3.5999999999999999E-3</v>
      </c>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row>
    <row r="37" spans="1:94" s="240" customFormat="1" ht="14.25" customHeight="1">
      <c r="A37" s="267" t="s">
        <v>419</v>
      </c>
      <c r="B37" s="268"/>
      <c r="C37" s="268"/>
      <c r="D37" s="268"/>
      <c r="E37" s="269"/>
      <c r="F37" s="1377">
        <f>CO2eEF!P28</f>
        <v>2.0000000000000001E-4</v>
      </c>
      <c r="G37" s="1378"/>
      <c r="H37" s="1299">
        <f t="shared" si="0"/>
        <v>4.1045116225615662E-6</v>
      </c>
      <c r="I37" s="1301"/>
      <c r="J37" s="1300"/>
      <c r="K37" s="1300"/>
      <c r="L37" s="1299"/>
      <c r="M37" s="1300"/>
      <c r="N37" s="1299">
        <f t="shared" si="1"/>
        <v>1.8098433548522971E-4</v>
      </c>
      <c r="O37" s="1301"/>
      <c r="P37" s="1299">
        <f>R37/$R$53</f>
        <v>0</v>
      </c>
      <c r="Q37" s="1301"/>
      <c r="R37" s="1300">
        <f>T37/$AR37</f>
        <v>0</v>
      </c>
      <c r="S37" s="1300"/>
      <c r="T37" s="1299">
        <f>$Q$22*N37</f>
        <v>0</v>
      </c>
      <c r="U37" s="1301"/>
      <c r="V37" s="263"/>
      <c r="W37" s="263"/>
      <c r="X37" s="272">
        <f>X36*3600/1000</f>
        <v>144.26318959616697</v>
      </c>
      <c r="Y37" s="31" t="s">
        <v>632</v>
      </c>
      <c r="Z37" s="270"/>
      <c r="AA37" s="263"/>
      <c r="AB37" s="263"/>
      <c r="AC37" s="263"/>
      <c r="AD37" s="263"/>
      <c r="AE37" s="263"/>
      <c r="AF37" s="263"/>
      <c r="AG37" s="263"/>
      <c r="AH37" s="263"/>
      <c r="AI37" s="263"/>
      <c r="AJ37" s="263"/>
      <c r="AK37" s="264"/>
      <c r="AL37" s="258"/>
      <c r="AM37" s="259">
        <v>3</v>
      </c>
      <c r="AN37" s="259">
        <v>8</v>
      </c>
      <c r="AO37" s="259"/>
      <c r="AP37" s="259"/>
      <c r="AQ37" s="259"/>
      <c r="AR37" s="265">
        <f t="shared" si="2"/>
        <v>44.094000000000001</v>
      </c>
      <c r="AS37" s="259">
        <f t="shared" si="3"/>
        <v>5</v>
      </c>
      <c r="AT37" s="266">
        <f t="shared" si="4"/>
        <v>18.80952380952381</v>
      </c>
      <c r="AU37" s="259">
        <f t="shared" si="5"/>
        <v>3</v>
      </c>
      <c r="AV37" s="259">
        <f t="shared" si="6"/>
        <v>4</v>
      </c>
      <c r="AW37" s="266">
        <f t="shared" si="7"/>
        <v>18.80952380952381</v>
      </c>
      <c r="AX37" s="259">
        <f t="shared" si="8"/>
        <v>0</v>
      </c>
      <c r="AY37" s="258"/>
      <c r="AZ37" s="238"/>
      <c r="BA37" s="238"/>
      <c r="BB37" s="238"/>
      <c r="BC37" s="238"/>
      <c r="BD37" s="238"/>
      <c r="BE37" s="239" t="s">
        <v>646</v>
      </c>
      <c r="BF37" s="239">
        <v>1.7100000000000001E-2</v>
      </c>
      <c r="BG37" s="239">
        <v>1E-3</v>
      </c>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row>
    <row r="38" spans="1:94" s="240" customFormat="1" ht="14.25" customHeight="1">
      <c r="A38" s="267" t="s">
        <v>420</v>
      </c>
      <c r="B38" s="268"/>
      <c r="C38" s="268"/>
      <c r="D38" s="268"/>
      <c r="E38" s="269"/>
      <c r="F38" s="1377">
        <v>0</v>
      </c>
      <c r="G38" s="1378"/>
      <c r="H38" s="1299">
        <f t="shared" si="0"/>
        <v>0</v>
      </c>
      <c r="I38" s="1301"/>
      <c r="J38" s="1300"/>
      <c r="K38" s="1300"/>
      <c r="L38" s="1299"/>
      <c r="M38" s="1300"/>
      <c r="N38" s="1299">
        <f t="shared" si="1"/>
        <v>0</v>
      </c>
      <c r="O38" s="1301"/>
      <c r="P38" s="1299"/>
      <c r="Q38" s="1301"/>
      <c r="R38" s="1300"/>
      <c r="S38" s="1300"/>
      <c r="T38" s="1299"/>
      <c r="U38" s="1301"/>
      <c r="V38" s="263"/>
      <c r="W38" s="263"/>
      <c r="X38" s="263"/>
      <c r="Y38" s="263"/>
      <c r="Z38" s="263"/>
      <c r="AA38" s="263"/>
      <c r="AB38" s="263"/>
      <c r="AC38" s="263"/>
      <c r="AD38" s="263"/>
      <c r="AE38" s="263"/>
      <c r="AF38" s="263"/>
      <c r="AG38" s="263"/>
      <c r="AH38" s="263"/>
      <c r="AI38" s="263"/>
      <c r="AJ38" s="263"/>
      <c r="AK38" s="264"/>
      <c r="AL38" s="258"/>
      <c r="AM38" s="259">
        <v>4</v>
      </c>
      <c r="AN38" s="259">
        <v>8</v>
      </c>
      <c r="AO38" s="259"/>
      <c r="AP38" s="259"/>
      <c r="AQ38" s="259"/>
      <c r="AR38" s="265">
        <f t="shared" si="2"/>
        <v>56.103999999999999</v>
      </c>
      <c r="AS38" s="259">
        <f t="shared" si="3"/>
        <v>6</v>
      </c>
      <c r="AT38" s="266">
        <f t="shared" si="4"/>
        <v>22.571428571428573</v>
      </c>
      <c r="AU38" s="259">
        <f t="shared" si="5"/>
        <v>4</v>
      </c>
      <c r="AV38" s="259">
        <f t="shared" si="6"/>
        <v>4</v>
      </c>
      <c r="AW38" s="266">
        <f t="shared" si="7"/>
        <v>22.571428571428573</v>
      </c>
      <c r="AX38" s="259">
        <f t="shared" si="8"/>
        <v>0</v>
      </c>
      <c r="AY38" s="258"/>
      <c r="AZ38" s="238"/>
      <c r="BA38" s="238"/>
      <c r="BB38" s="238"/>
      <c r="BC38" s="238"/>
      <c r="BD38" s="238"/>
      <c r="BE38" s="239" t="s">
        <v>647</v>
      </c>
      <c r="BF38" s="239">
        <v>4.5900000000000003E-2</v>
      </c>
      <c r="BG38" s="239">
        <v>2.3999999999999998E-3</v>
      </c>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row>
    <row r="39" spans="1:94" s="240" customFormat="1" ht="14.25" customHeight="1">
      <c r="A39" s="267" t="s">
        <v>421</v>
      </c>
      <c r="B39" s="268"/>
      <c r="C39" s="268"/>
      <c r="D39" s="268"/>
      <c r="E39" s="269"/>
      <c r="F39" s="1377">
        <f>CO2eEF!P29</f>
        <v>1E-4</v>
      </c>
      <c r="G39" s="1378"/>
      <c r="H39" s="1299">
        <f t="shared" si="0"/>
        <v>2.0522558112807831E-6</v>
      </c>
      <c r="I39" s="1301"/>
      <c r="J39" s="1300"/>
      <c r="K39" s="1300"/>
      <c r="L39" s="1299"/>
      <c r="M39" s="1300"/>
      <c r="N39" s="1299">
        <f t="shared" si="1"/>
        <v>1.192771077516391E-4</v>
      </c>
      <c r="O39" s="1301"/>
      <c r="P39" s="1299">
        <f>R39/$R$53</f>
        <v>0</v>
      </c>
      <c r="Q39" s="1301"/>
      <c r="R39" s="1300">
        <f>T39/$AR39</f>
        <v>0</v>
      </c>
      <c r="S39" s="1300"/>
      <c r="T39" s="1299">
        <f>$Q$22*N39</f>
        <v>0</v>
      </c>
      <c r="U39" s="1301"/>
      <c r="V39" s="263"/>
      <c r="W39" s="263"/>
      <c r="X39" s="263"/>
      <c r="Y39" s="263"/>
      <c r="Z39" s="263"/>
      <c r="AA39" s="263"/>
      <c r="AB39" s="263"/>
      <c r="AC39" s="263"/>
      <c r="AD39" s="263"/>
      <c r="AE39" s="263"/>
      <c r="AF39" s="263"/>
      <c r="AG39" s="263"/>
      <c r="AH39" s="263"/>
      <c r="AI39" s="263"/>
      <c r="AJ39" s="263"/>
      <c r="AK39" s="264"/>
      <c r="AL39" s="258"/>
      <c r="AM39" s="259">
        <v>4</v>
      </c>
      <c r="AN39" s="259">
        <v>10</v>
      </c>
      <c r="AO39" s="259"/>
      <c r="AP39" s="259"/>
      <c r="AQ39" s="259"/>
      <c r="AR39" s="265">
        <f>AM39*12.01+AN39*1.008+AO39*16+AP39*14+AQ39*32</f>
        <v>58.12</v>
      </c>
      <c r="AS39" s="259">
        <f t="shared" si="3"/>
        <v>6.5</v>
      </c>
      <c r="AT39" s="266">
        <f t="shared" si="4"/>
        <v>24.452380952380956</v>
      </c>
      <c r="AU39" s="259">
        <f t="shared" si="5"/>
        <v>4</v>
      </c>
      <c r="AV39" s="259">
        <f t="shared" si="6"/>
        <v>5</v>
      </c>
      <c r="AW39" s="266">
        <f t="shared" si="7"/>
        <v>24.452380952380956</v>
      </c>
      <c r="AX39" s="259">
        <f t="shared" si="8"/>
        <v>0</v>
      </c>
      <c r="AY39" s="258"/>
      <c r="AZ39" s="238"/>
      <c r="BA39" s="238"/>
      <c r="BB39" s="238"/>
      <c r="BC39" s="238"/>
      <c r="BD39" s="238"/>
      <c r="BE39" s="239" t="s">
        <v>648</v>
      </c>
      <c r="BF39" s="239">
        <v>8.2000000000000007E-3</v>
      </c>
      <c r="BG39" s="239">
        <v>1.6000000000000001E-3</v>
      </c>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38"/>
      <c r="CN39" s="238"/>
      <c r="CO39" s="238"/>
      <c r="CP39" s="238"/>
    </row>
    <row r="40" spans="1:94" s="240" customFormat="1" ht="14.25" customHeight="1">
      <c r="A40" s="267" t="s">
        <v>422</v>
      </c>
      <c r="B40" s="268"/>
      <c r="C40" s="268"/>
      <c r="D40" s="268"/>
      <c r="E40" s="269"/>
      <c r="F40" s="1377">
        <f>CO2eEF!P30</f>
        <v>0</v>
      </c>
      <c r="G40" s="1378"/>
      <c r="H40" s="1299">
        <f t="shared" si="0"/>
        <v>0</v>
      </c>
      <c r="I40" s="1301"/>
      <c r="J40" s="1300"/>
      <c r="K40" s="1300"/>
      <c r="L40" s="1299"/>
      <c r="M40" s="1300"/>
      <c r="N40" s="1299">
        <f t="shared" si="1"/>
        <v>0</v>
      </c>
      <c r="O40" s="1301"/>
      <c r="P40" s="1299">
        <f>R40/$R$53</f>
        <v>0</v>
      </c>
      <c r="Q40" s="1301"/>
      <c r="R40" s="1300">
        <f>T40/$AR40</f>
        <v>0</v>
      </c>
      <c r="S40" s="1300"/>
      <c r="T40" s="1299">
        <f>$Q$22*N40</f>
        <v>0</v>
      </c>
      <c r="U40" s="1301"/>
      <c r="V40" s="263"/>
      <c r="W40" s="263"/>
      <c r="X40" s="263" t="s">
        <v>720</v>
      </c>
      <c r="Y40" s="263"/>
      <c r="Z40" s="263"/>
      <c r="AA40" s="263"/>
      <c r="AB40" s="263"/>
      <c r="AC40" s="263"/>
      <c r="AD40" s="263"/>
      <c r="AE40" s="263"/>
      <c r="AF40" s="263"/>
      <c r="AG40" s="263"/>
      <c r="AH40" s="263"/>
      <c r="AI40" s="263"/>
      <c r="AJ40" s="263"/>
      <c r="AK40" s="264"/>
      <c r="AL40" s="258"/>
      <c r="AM40" s="259">
        <v>4</v>
      </c>
      <c r="AN40" s="259">
        <v>10</v>
      </c>
      <c r="AO40" s="259"/>
      <c r="AP40" s="259"/>
      <c r="AQ40" s="259"/>
      <c r="AR40" s="265">
        <f t="shared" si="2"/>
        <v>58.12</v>
      </c>
      <c r="AS40" s="259">
        <f t="shared" si="3"/>
        <v>6.5</v>
      </c>
      <c r="AT40" s="266">
        <f t="shared" si="4"/>
        <v>24.452380952380956</v>
      </c>
      <c r="AU40" s="259">
        <f t="shared" si="5"/>
        <v>4</v>
      </c>
      <c r="AV40" s="259">
        <f t="shared" si="6"/>
        <v>5</v>
      </c>
      <c r="AW40" s="266">
        <f t="shared" si="7"/>
        <v>24.452380952380956</v>
      </c>
      <c r="AX40" s="259">
        <f t="shared" si="8"/>
        <v>0</v>
      </c>
      <c r="AY40" s="258"/>
      <c r="AZ40" s="238"/>
      <c r="BA40" s="238"/>
      <c r="BB40" s="238"/>
      <c r="BC40" s="238"/>
      <c r="BD40" s="238"/>
      <c r="BE40" s="239" t="s">
        <v>649</v>
      </c>
      <c r="BF40" s="239">
        <v>2.0000000000000001E-4</v>
      </c>
      <c r="BG40" s="239">
        <v>0</v>
      </c>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row>
    <row r="41" spans="1:94" s="240" customFormat="1" ht="14.25" customHeight="1">
      <c r="A41" s="267" t="s">
        <v>423</v>
      </c>
      <c r="B41" s="268"/>
      <c r="C41" s="268"/>
      <c r="D41" s="268"/>
      <c r="E41" s="269"/>
      <c r="F41" s="1377">
        <f>CO2eEF!P31</f>
        <v>1E-4</v>
      </c>
      <c r="G41" s="1378"/>
      <c r="H41" s="1299">
        <f t="shared" si="0"/>
        <v>2.0522558112807831E-6</v>
      </c>
      <c r="I41" s="1301"/>
      <c r="J41" s="1300"/>
      <c r="K41" s="1300"/>
      <c r="L41" s="1299"/>
      <c r="M41" s="1300"/>
      <c r="N41" s="1299">
        <f t="shared" si="1"/>
        <v>1.4806204776066339E-4</v>
      </c>
      <c r="O41" s="1301"/>
      <c r="P41" s="1299">
        <f>R41/$R$53</f>
        <v>0</v>
      </c>
      <c r="Q41" s="1301"/>
      <c r="R41" s="1300">
        <f>T41/$AR41</f>
        <v>0</v>
      </c>
      <c r="S41" s="1300"/>
      <c r="T41" s="1299">
        <f>$Q$22*N41</f>
        <v>0</v>
      </c>
      <c r="U41" s="1301"/>
      <c r="V41" s="263"/>
      <c r="W41" s="263"/>
      <c r="X41" s="263"/>
      <c r="Y41" s="263"/>
      <c r="Z41" s="263"/>
      <c r="AA41" s="263"/>
      <c r="AB41" s="263"/>
      <c r="AC41" s="263"/>
      <c r="AD41" s="263"/>
      <c r="AE41" s="263"/>
      <c r="AF41" s="263"/>
      <c r="AG41" s="263"/>
      <c r="AH41" s="263"/>
      <c r="AI41" s="263"/>
      <c r="AJ41" s="263"/>
      <c r="AK41" s="264"/>
      <c r="AL41" s="258"/>
      <c r="AM41" s="259">
        <v>5</v>
      </c>
      <c r="AN41" s="259">
        <v>12</v>
      </c>
      <c r="AO41" s="259"/>
      <c r="AP41" s="259"/>
      <c r="AQ41" s="259"/>
      <c r="AR41" s="265">
        <f t="shared" si="2"/>
        <v>72.146000000000001</v>
      </c>
      <c r="AS41" s="259">
        <f t="shared" si="3"/>
        <v>8</v>
      </c>
      <c r="AT41" s="266">
        <f t="shared" si="4"/>
        <v>30.095238095238098</v>
      </c>
      <c r="AU41" s="259">
        <f t="shared" si="5"/>
        <v>5</v>
      </c>
      <c r="AV41" s="259">
        <f t="shared" si="6"/>
        <v>6</v>
      </c>
      <c r="AW41" s="266">
        <f t="shared" si="7"/>
        <v>30.095238095238098</v>
      </c>
      <c r="AX41" s="259">
        <f t="shared" si="8"/>
        <v>0</v>
      </c>
      <c r="AY41" s="258"/>
      <c r="AZ41" s="238"/>
      <c r="BA41" s="238"/>
      <c r="BB41" s="238"/>
      <c r="BC41" s="238"/>
      <c r="BD41" s="238"/>
      <c r="BE41" s="239" t="s">
        <v>650</v>
      </c>
      <c r="BF41" s="239">
        <v>8.8999999999999999E-3</v>
      </c>
      <c r="BG41" s="239">
        <v>1.9E-3</v>
      </c>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row>
    <row r="42" spans="1:94" s="240" customFormat="1" ht="14.25" customHeight="1">
      <c r="A42" s="267" t="s">
        <v>424</v>
      </c>
      <c r="B42" s="268"/>
      <c r="C42" s="268"/>
      <c r="D42" s="268"/>
      <c r="E42" s="269"/>
      <c r="F42" s="1377">
        <f>CO2eEF!P33</f>
        <v>1E-4</v>
      </c>
      <c r="G42" s="1378"/>
      <c r="H42" s="1299">
        <f t="shared" si="0"/>
        <v>2.0522558112807831E-6</v>
      </c>
      <c r="I42" s="1301"/>
      <c r="J42" s="1300"/>
      <c r="K42" s="1300"/>
      <c r="L42" s="1299"/>
      <c r="M42" s="1300"/>
      <c r="N42" s="1299">
        <f t="shared" si="1"/>
        <v>1.4806204776066339E-4</v>
      </c>
      <c r="O42" s="1301"/>
      <c r="P42" s="1299">
        <f>R42/$R$53</f>
        <v>0</v>
      </c>
      <c r="Q42" s="1301"/>
      <c r="R42" s="1300">
        <f>T42/$AR42</f>
        <v>0</v>
      </c>
      <c r="S42" s="1300"/>
      <c r="T42" s="1299">
        <f>$Q$22*N42</f>
        <v>0</v>
      </c>
      <c r="U42" s="1301"/>
      <c r="V42" s="263"/>
      <c r="W42" s="263"/>
      <c r="X42" s="263"/>
      <c r="Y42" s="263"/>
      <c r="Z42" s="263"/>
      <c r="AA42" s="263"/>
      <c r="AB42" s="263"/>
      <c r="AC42" s="263"/>
      <c r="AD42" s="263"/>
      <c r="AE42" s="263"/>
      <c r="AF42" s="263"/>
      <c r="AG42" s="263"/>
      <c r="AH42" s="263"/>
      <c r="AI42" s="263"/>
      <c r="AJ42" s="263"/>
      <c r="AK42" s="264"/>
      <c r="AL42" s="258"/>
      <c r="AM42" s="259">
        <v>5</v>
      </c>
      <c r="AN42" s="259">
        <v>12</v>
      </c>
      <c r="AO42" s="259"/>
      <c r="AP42" s="259"/>
      <c r="AQ42" s="259"/>
      <c r="AR42" s="265">
        <f t="shared" si="2"/>
        <v>72.146000000000001</v>
      </c>
      <c r="AS42" s="259">
        <f t="shared" si="3"/>
        <v>8</v>
      </c>
      <c r="AT42" s="266">
        <f t="shared" si="4"/>
        <v>30.095238095238098</v>
      </c>
      <c r="AU42" s="259">
        <f t="shared" si="5"/>
        <v>5</v>
      </c>
      <c r="AV42" s="259">
        <f t="shared" si="6"/>
        <v>6</v>
      </c>
      <c r="AW42" s="266">
        <f t="shared" si="7"/>
        <v>30.095238095238098</v>
      </c>
      <c r="AX42" s="259">
        <f t="shared" si="8"/>
        <v>0</v>
      </c>
      <c r="AY42" s="258"/>
      <c r="AZ42" s="238"/>
      <c r="BA42" s="238"/>
      <c r="BB42" s="238"/>
      <c r="BC42" s="238"/>
      <c r="BD42" s="238"/>
      <c r="BE42" s="239" t="s">
        <v>651</v>
      </c>
      <c r="BF42" s="239">
        <v>2.0000000000000001E-4</v>
      </c>
      <c r="BG42" s="239">
        <v>2.9999999999999997E-4</v>
      </c>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row>
    <row r="43" spans="1:94" s="240" customFormat="1" ht="14.25" customHeight="1">
      <c r="A43" s="267" t="s">
        <v>721</v>
      </c>
      <c r="B43" s="268"/>
      <c r="C43" s="268"/>
      <c r="D43" s="268"/>
      <c r="E43" s="269"/>
      <c r="F43" s="1377">
        <f>1-(SUM(F32:F42)+SUM(F44:G52))</f>
        <v>2.00000000000089E-4</v>
      </c>
      <c r="G43" s="1378"/>
      <c r="H43" s="1299">
        <f t="shared" si="0"/>
        <v>4.1045116225633924E-6</v>
      </c>
      <c r="I43" s="1301"/>
      <c r="J43" s="1300"/>
      <c r="K43" s="1300"/>
      <c r="L43" s="1299"/>
      <c r="M43" s="1300"/>
      <c r="N43" s="1299">
        <f t="shared" si="1"/>
        <v>3.5369397553953265E-4</v>
      </c>
      <c r="O43" s="1301"/>
      <c r="P43" s="1299">
        <f>R43/$R$53</f>
        <v>0</v>
      </c>
      <c r="Q43" s="1301"/>
      <c r="R43" s="1300">
        <f>T43/$AR43</f>
        <v>0</v>
      </c>
      <c r="S43" s="1300"/>
      <c r="T43" s="1299">
        <f>$Q$22*N43</f>
        <v>0</v>
      </c>
      <c r="U43" s="1301"/>
      <c r="V43" s="263"/>
      <c r="W43" s="263"/>
      <c r="X43" s="263"/>
      <c r="Y43" s="263"/>
      <c r="Z43" s="263"/>
      <c r="AA43" s="263"/>
      <c r="AB43" s="263"/>
      <c r="AC43" s="263"/>
      <c r="AD43" s="263"/>
      <c r="AE43" s="263"/>
      <c r="AF43" s="263"/>
      <c r="AG43" s="263"/>
      <c r="AH43" s="263"/>
      <c r="AI43" s="263"/>
      <c r="AJ43" s="263"/>
      <c r="AK43" s="264"/>
      <c r="AL43" s="258"/>
      <c r="AM43" s="259">
        <v>6</v>
      </c>
      <c r="AN43" s="259">
        <v>14</v>
      </c>
      <c r="AO43" s="259"/>
      <c r="AP43" s="259"/>
      <c r="AQ43" s="259"/>
      <c r="AR43" s="265">
        <f t="shared" si="2"/>
        <v>86.171999999999997</v>
      </c>
      <c r="AS43" s="259">
        <f t="shared" si="3"/>
        <v>9.5</v>
      </c>
      <c r="AT43" s="266">
        <f t="shared" si="4"/>
        <v>35.738095238095241</v>
      </c>
      <c r="AU43" s="259">
        <f t="shared" si="5"/>
        <v>6</v>
      </c>
      <c r="AV43" s="259">
        <f t="shared" si="6"/>
        <v>7</v>
      </c>
      <c r="AW43" s="266">
        <f t="shared" si="7"/>
        <v>35.738095238095241</v>
      </c>
      <c r="AX43" s="259">
        <f t="shared" si="8"/>
        <v>0</v>
      </c>
      <c r="AY43" s="258"/>
      <c r="AZ43" s="238"/>
      <c r="BA43" s="238"/>
      <c r="BB43" s="238"/>
      <c r="BC43" s="238"/>
      <c r="BD43" s="238"/>
      <c r="BE43" s="239" t="s">
        <v>652</v>
      </c>
      <c r="BF43" s="239">
        <v>0</v>
      </c>
      <c r="BG43" s="239">
        <v>5.0000000000000001E-4</v>
      </c>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38"/>
      <c r="CN43" s="238"/>
      <c r="CO43" s="238"/>
      <c r="CP43" s="238"/>
    </row>
    <row r="44" spans="1:94" s="240" customFormat="1" ht="14.25" customHeight="1">
      <c r="A44" s="267" t="s">
        <v>426</v>
      </c>
      <c r="B44" s="268"/>
      <c r="C44" s="268"/>
      <c r="D44" s="268"/>
      <c r="E44" s="269"/>
      <c r="F44" s="1377">
        <v>0</v>
      </c>
      <c r="G44" s="1378"/>
      <c r="H44" s="1299">
        <f>F44*$AC$25</f>
        <v>0</v>
      </c>
      <c r="I44" s="1301"/>
      <c r="J44" s="1300"/>
      <c r="K44" s="1300"/>
      <c r="L44" s="1299"/>
      <c r="M44" s="1300"/>
      <c r="N44" s="1299">
        <f t="shared" si="1"/>
        <v>0</v>
      </c>
      <c r="O44" s="1301"/>
      <c r="P44" s="1299"/>
      <c r="Q44" s="1301"/>
      <c r="R44" s="1300"/>
      <c r="S44" s="1300"/>
      <c r="T44" s="1299"/>
      <c r="U44" s="1301"/>
      <c r="V44" s="263"/>
      <c r="W44" s="263"/>
      <c r="X44" s="263"/>
      <c r="Y44" s="263"/>
      <c r="Z44" s="263"/>
      <c r="AA44" s="263"/>
      <c r="AB44" s="263"/>
      <c r="AC44" s="263"/>
      <c r="AD44" s="263"/>
      <c r="AE44" s="263"/>
      <c r="AF44" s="263"/>
      <c r="AG44" s="263"/>
      <c r="AH44" s="263"/>
      <c r="AI44" s="263"/>
      <c r="AJ44" s="263"/>
      <c r="AK44" s="264"/>
      <c r="AL44" s="258"/>
      <c r="AM44" s="259"/>
      <c r="AN44" s="259"/>
      <c r="AO44" s="259"/>
      <c r="AP44" s="259"/>
      <c r="AQ44" s="259"/>
      <c r="AR44" s="265">
        <v>4.0030000000000001</v>
      </c>
      <c r="AS44" s="259"/>
      <c r="AT44" s="266"/>
      <c r="AU44" s="259"/>
      <c r="AV44" s="259"/>
      <c r="AW44" s="266"/>
      <c r="AX44" s="259"/>
      <c r="AY44" s="258"/>
      <c r="AZ44" s="238"/>
      <c r="BA44" s="238"/>
      <c r="BB44" s="238"/>
      <c r="BC44" s="238"/>
      <c r="BD44" s="238"/>
      <c r="BE44" s="239" t="s">
        <v>653</v>
      </c>
      <c r="BF44" s="239">
        <v>0</v>
      </c>
      <c r="BG44" s="239">
        <v>1E-4</v>
      </c>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row>
    <row r="45" spans="1:94" s="240" customFormat="1" ht="14.25" customHeight="1">
      <c r="A45" s="267" t="s">
        <v>427</v>
      </c>
      <c r="B45" s="268"/>
      <c r="C45" s="268"/>
      <c r="D45" s="268"/>
      <c r="E45" s="269"/>
      <c r="F45" s="1377">
        <v>0</v>
      </c>
      <c r="G45" s="1378"/>
      <c r="H45" s="1299">
        <f t="shared" si="0"/>
        <v>0</v>
      </c>
      <c r="I45" s="1301"/>
      <c r="J45" s="1300"/>
      <c r="K45" s="1300"/>
      <c r="L45" s="1299"/>
      <c r="M45" s="1300"/>
      <c r="N45" s="1299">
        <f t="shared" si="1"/>
        <v>0</v>
      </c>
      <c r="O45" s="1301"/>
      <c r="P45" s="1299"/>
      <c r="Q45" s="1301"/>
      <c r="R45" s="1299"/>
      <c r="S45" s="1301"/>
      <c r="T45" s="1299"/>
      <c r="U45" s="1301"/>
      <c r="V45" s="263"/>
      <c r="W45" s="263"/>
      <c r="X45" s="263"/>
      <c r="Y45" s="263"/>
      <c r="Z45" s="263"/>
      <c r="AA45" s="263"/>
      <c r="AB45" s="263"/>
      <c r="AC45" s="263"/>
      <c r="AD45" s="263"/>
      <c r="AE45" s="263"/>
      <c r="AF45" s="263"/>
      <c r="AG45" s="263"/>
      <c r="AH45" s="263"/>
      <c r="AI45" s="263"/>
      <c r="AJ45" s="263"/>
      <c r="AK45" s="264"/>
      <c r="AL45" s="258"/>
      <c r="AM45" s="259"/>
      <c r="AN45" s="259">
        <v>2</v>
      </c>
      <c r="AO45" s="259"/>
      <c r="AP45" s="259"/>
      <c r="AQ45" s="259">
        <v>1</v>
      </c>
      <c r="AR45" s="265">
        <f t="shared" si="2"/>
        <v>34.015999999999998</v>
      </c>
      <c r="AS45" s="259">
        <f t="shared" si="3"/>
        <v>1.5</v>
      </c>
      <c r="AT45" s="266">
        <f t="shared" si="4"/>
        <v>5.6428571428571432</v>
      </c>
      <c r="AU45" s="259">
        <f t="shared" si="5"/>
        <v>0</v>
      </c>
      <c r="AV45" s="259">
        <f t="shared" si="6"/>
        <v>1</v>
      </c>
      <c r="AW45" s="266">
        <f t="shared" si="7"/>
        <v>5.6428571428571432</v>
      </c>
      <c r="AX45" s="259">
        <f t="shared" si="8"/>
        <v>1</v>
      </c>
      <c r="AY45" s="258"/>
      <c r="AZ45" s="238"/>
      <c r="BA45" s="238"/>
      <c r="BB45" s="238"/>
      <c r="BC45" s="238"/>
      <c r="BD45" s="238"/>
      <c r="BE45" s="239" t="s">
        <v>654</v>
      </c>
      <c r="BF45" s="239">
        <v>0</v>
      </c>
      <c r="BG45" s="239">
        <v>4.0000000000000002E-4</v>
      </c>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row>
    <row r="46" spans="1:94" s="240" customFormat="1" ht="14.25" customHeight="1">
      <c r="A46" s="267" t="s">
        <v>428</v>
      </c>
      <c r="B46" s="268"/>
      <c r="C46" s="268"/>
      <c r="D46" s="268"/>
      <c r="E46" s="269"/>
      <c r="F46" s="1377">
        <v>0</v>
      </c>
      <c r="G46" s="1378"/>
      <c r="H46" s="1299">
        <f t="shared" si="0"/>
        <v>0</v>
      </c>
      <c r="I46" s="1301"/>
      <c r="J46" s="1300">
        <f>SUMPRODUCT(H32:H52,AS32:AS52)-H46</f>
        <v>4.1049220737238233E-2</v>
      </c>
      <c r="K46" s="1300"/>
      <c r="L46" s="1299">
        <v>0</v>
      </c>
      <c r="M46" s="1300"/>
      <c r="N46" s="1299">
        <f t="shared" si="1"/>
        <v>1.3135750635916235</v>
      </c>
      <c r="O46" s="1301"/>
      <c r="P46" s="1299">
        <f t="shared" ref="P46:P52" si="9">R46/$R$53</f>
        <v>6.5640308933690513E-4</v>
      </c>
      <c r="Q46" s="1301"/>
      <c r="R46" s="1300">
        <f>L46+SUMPRODUCT(R33:R45,$AS33:$AS45)</f>
        <v>1.4180530552532547E-4</v>
      </c>
      <c r="S46" s="1300"/>
      <c r="T46" s="1299">
        <f>R46*$AR46</f>
        <v>4.5377697768104151E-3</v>
      </c>
      <c r="U46" s="1301"/>
      <c r="V46" s="263"/>
      <c r="W46" s="263"/>
      <c r="X46" s="263"/>
      <c r="Y46" s="263"/>
      <c r="Z46" s="263"/>
      <c r="AA46" s="263"/>
      <c r="AB46" s="263"/>
      <c r="AC46" s="263"/>
      <c r="AD46" s="263"/>
      <c r="AE46" s="263"/>
      <c r="AF46" s="263"/>
      <c r="AG46" s="263"/>
      <c r="AH46" s="263"/>
      <c r="AI46" s="263"/>
      <c r="AJ46" s="263"/>
      <c r="AK46" s="264"/>
      <c r="AL46" s="258"/>
      <c r="AM46" s="259"/>
      <c r="AN46" s="259"/>
      <c r="AO46" s="259">
        <v>2</v>
      </c>
      <c r="AP46" s="259"/>
      <c r="AQ46" s="259"/>
      <c r="AR46" s="265">
        <f t="shared" si="2"/>
        <v>32</v>
      </c>
      <c r="AS46" s="259">
        <f t="shared" si="3"/>
        <v>0</v>
      </c>
      <c r="AT46" s="266">
        <f t="shared" si="4"/>
        <v>0</v>
      </c>
      <c r="AU46" s="259">
        <f t="shared" si="5"/>
        <v>0</v>
      </c>
      <c r="AV46" s="259">
        <f t="shared" si="6"/>
        <v>0</v>
      </c>
      <c r="AW46" s="266">
        <f t="shared" si="7"/>
        <v>0</v>
      </c>
      <c r="AX46" s="259">
        <f t="shared" si="8"/>
        <v>0</v>
      </c>
      <c r="AY46" s="258"/>
      <c r="AZ46" s="238"/>
      <c r="BA46" s="238"/>
      <c r="BB46" s="238"/>
      <c r="BC46" s="238"/>
      <c r="BD46" s="238"/>
      <c r="BE46" s="239" t="s">
        <v>655</v>
      </c>
      <c r="BF46" s="239">
        <v>0</v>
      </c>
      <c r="BG46" s="239">
        <v>2.0000000000000001E-4</v>
      </c>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row>
    <row r="47" spans="1:94" s="240" customFormat="1" ht="14.25" customHeight="1">
      <c r="A47" s="267" t="s">
        <v>429</v>
      </c>
      <c r="B47" s="268"/>
      <c r="C47" s="268"/>
      <c r="D47" s="268"/>
      <c r="E47" s="269"/>
      <c r="F47" s="1377">
        <f>CO2eEF!P24</f>
        <v>1.5E-3</v>
      </c>
      <c r="G47" s="1378"/>
      <c r="H47" s="1299">
        <f t="shared" si="0"/>
        <v>3.0783837169211741E-5</v>
      </c>
      <c r="I47" s="1301"/>
      <c r="J47" s="1300">
        <f>0.79/0.21*J46</f>
        <v>0.15442325896389622</v>
      </c>
      <c r="K47" s="1301"/>
      <c r="L47" s="1299">
        <f>0.71/0.29*L46</f>
        <v>0</v>
      </c>
      <c r="M47" s="1300"/>
      <c r="N47" s="1299">
        <f t="shared" si="1"/>
        <v>4.3247131984298317</v>
      </c>
      <c r="O47" s="1301"/>
      <c r="P47" s="1299">
        <f t="shared" si="9"/>
        <v>0.7149250782238904</v>
      </c>
      <c r="Q47" s="1301"/>
      <c r="R47" s="1299">
        <f>$H47+J47+L47-R50/2</f>
        <v>0.15444803778676558</v>
      </c>
      <c r="S47" s="1301"/>
      <c r="T47" s="1340">
        <f>R47*$AR47</f>
        <v>4.324545058029436</v>
      </c>
      <c r="U47" s="1342"/>
      <c r="V47" s="263"/>
      <c r="W47" s="263"/>
      <c r="X47" s="263"/>
      <c r="Y47" s="263"/>
      <c r="Z47" s="263"/>
      <c r="AA47" s="263"/>
      <c r="AB47" s="263"/>
      <c r="AC47" s="263"/>
      <c r="AD47" s="263"/>
      <c r="AE47" s="263"/>
      <c r="AF47" s="263"/>
      <c r="AG47" s="263"/>
      <c r="AH47" s="263"/>
      <c r="AI47" s="263"/>
      <c r="AJ47" s="263"/>
      <c r="AK47" s="264"/>
      <c r="AL47" s="258"/>
      <c r="AM47" s="259"/>
      <c r="AN47" s="259"/>
      <c r="AO47" s="259"/>
      <c r="AP47" s="259">
        <v>2</v>
      </c>
      <c r="AQ47" s="259"/>
      <c r="AR47" s="265">
        <f t="shared" si="2"/>
        <v>28</v>
      </c>
      <c r="AS47" s="259">
        <f t="shared" si="3"/>
        <v>0</v>
      </c>
      <c r="AT47" s="266">
        <f t="shared" si="4"/>
        <v>0</v>
      </c>
      <c r="AU47" s="259">
        <f t="shared" si="5"/>
        <v>0</v>
      </c>
      <c r="AV47" s="259">
        <f t="shared" si="6"/>
        <v>0</v>
      </c>
      <c r="AW47" s="266">
        <f t="shared" si="7"/>
        <v>1</v>
      </c>
      <c r="AX47" s="259">
        <f t="shared" si="8"/>
        <v>0</v>
      </c>
      <c r="AY47" s="258"/>
      <c r="AZ47" s="238"/>
      <c r="BA47" s="238"/>
      <c r="BB47" s="238"/>
      <c r="BC47" s="238"/>
      <c r="BD47" s="238"/>
      <c r="BE47" s="239" t="s">
        <v>656</v>
      </c>
      <c r="BF47" s="239">
        <v>1.5E-3</v>
      </c>
      <c r="BG47" s="239">
        <v>0</v>
      </c>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row>
    <row r="48" spans="1:94" s="240" customFormat="1" ht="14.25" customHeight="1">
      <c r="A48" s="267" t="s">
        <v>115</v>
      </c>
      <c r="B48" s="268"/>
      <c r="C48" s="268"/>
      <c r="D48" s="268"/>
      <c r="E48" s="269"/>
      <c r="F48" s="1377">
        <v>0</v>
      </c>
      <c r="G48" s="1378"/>
      <c r="H48" s="1299">
        <f t="shared" si="0"/>
        <v>0</v>
      </c>
      <c r="I48" s="1301"/>
      <c r="J48" s="1300"/>
      <c r="K48" s="1300"/>
      <c r="L48" s="1299"/>
      <c r="M48" s="1300"/>
      <c r="N48" s="1299">
        <f t="shared" si="1"/>
        <v>0</v>
      </c>
      <c r="O48" s="1301"/>
      <c r="P48" s="1299">
        <f t="shared" si="9"/>
        <v>4.9677497741658263E-4</v>
      </c>
      <c r="Q48" s="1301"/>
      <c r="R48" s="1300">
        <f>T48/$AR$48</f>
        <v>1.0732022532230713E-4</v>
      </c>
      <c r="S48" s="1300"/>
      <c r="T48" s="1299">
        <f>$AC17*$X25</f>
        <v>3.0060395112778224E-3</v>
      </c>
      <c r="U48" s="1301"/>
      <c r="V48" s="263"/>
      <c r="W48" s="263"/>
      <c r="X48" s="263"/>
      <c r="Y48" s="263"/>
      <c r="Z48" s="263"/>
      <c r="AA48" s="263"/>
      <c r="AB48" s="263"/>
      <c r="AC48" s="263"/>
      <c r="AD48" s="263"/>
      <c r="AE48" s="263"/>
      <c r="AF48" s="263"/>
      <c r="AG48" s="263"/>
      <c r="AH48" s="263"/>
      <c r="AI48" s="263"/>
      <c r="AJ48" s="263"/>
      <c r="AK48" s="264"/>
      <c r="AL48" s="258"/>
      <c r="AM48" s="258">
        <v>1</v>
      </c>
      <c r="AN48" s="258"/>
      <c r="AO48" s="258">
        <v>1</v>
      </c>
      <c r="AP48" s="258"/>
      <c r="AQ48" s="258"/>
      <c r="AR48" s="265">
        <f t="shared" si="2"/>
        <v>28.009999999999998</v>
      </c>
      <c r="AS48" s="259"/>
      <c r="AT48" s="258"/>
      <c r="AU48" s="258"/>
      <c r="AV48" s="258"/>
      <c r="AW48" s="258"/>
      <c r="AX48" s="258"/>
      <c r="AY48" s="258"/>
      <c r="AZ48" s="238"/>
      <c r="BA48" s="238"/>
      <c r="BB48" s="238"/>
      <c r="BC48" s="238"/>
      <c r="BD48" s="238"/>
      <c r="BE48" s="239" t="s">
        <v>657</v>
      </c>
      <c r="BF48" s="239">
        <v>1E-4</v>
      </c>
      <c r="BG48" s="239">
        <v>0</v>
      </c>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38"/>
      <c r="CN48" s="238"/>
      <c r="CO48" s="238"/>
      <c r="CP48" s="238"/>
    </row>
    <row r="49" spans="1:94" s="240" customFormat="1" ht="14.25" customHeight="1">
      <c r="A49" s="267" t="s">
        <v>126</v>
      </c>
      <c r="B49" s="268"/>
      <c r="C49" s="268"/>
      <c r="D49" s="268"/>
      <c r="E49" s="269"/>
      <c r="F49" s="1377">
        <f>CO2eEF!P25</f>
        <v>8.0000000000000004E-4</v>
      </c>
      <c r="G49" s="1378"/>
      <c r="H49" s="1299">
        <f t="shared" si="0"/>
        <v>1.6418046490246265E-5</v>
      </c>
      <c r="I49" s="1301"/>
      <c r="J49" s="1300"/>
      <c r="K49" s="1300"/>
      <c r="L49" s="1299"/>
      <c r="M49" s="1300"/>
      <c r="N49" s="1299">
        <f t="shared" si="1"/>
        <v>7.2255822603573808E-4</v>
      </c>
      <c r="O49" s="1301"/>
      <c r="P49" s="1299">
        <f t="shared" si="9"/>
        <v>9.433346142410369E-2</v>
      </c>
      <c r="Q49" s="1301"/>
      <c r="R49" s="1300">
        <f>SUMPRODUCT($H32:$H52,$AU32:$AU52)+$H49-R48-SUMPRODUCT(R33:R43,$AU33:$AU43)</f>
        <v>2.0379223583514645E-2</v>
      </c>
      <c r="S49" s="1300"/>
      <c r="T49" s="1299">
        <f>R49*$AR49</f>
        <v>0.89688962991047949</v>
      </c>
      <c r="U49" s="1301"/>
      <c r="V49" s="263"/>
      <c r="W49" s="263"/>
      <c r="X49" s="263"/>
      <c r="Y49" s="263"/>
      <c r="Z49" s="263"/>
      <c r="AA49" s="263"/>
      <c r="AB49" s="263"/>
      <c r="AC49" s="263"/>
      <c r="AD49" s="263"/>
      <c r="AE49" s="263"/>
      <c r="AF49" s="263"/>
      <c r="AG49" s="263"/>
      <c r="AH49" s="263"/>
      <c r="AI49" s="263"/>
      <c r="AJ49" s="263"/>
      <c r="AK49" s="264"/>
      <c r="AL49" s="258"/>
      <c r="AM49" s="259">
        <v>1</v>
      </c>
      <c r="AN49" s="259"/>
      <c r="AO49" s="259">
        <v>2</v>
      </c>
      <c r="AP49" s="259"/>
      <c r="AQ49" s="259"/>
      <c r="AR49" s="265">
        <f>AM49*12.01+AN49*1.008+AO49*16+AP49*14+AQ49*32</f>
        <v>44.01</v>
      </c>
      <c r="AS49" s="259"/>
      <c r="AT49" s="259"/>
      <c r="AU49" s="259"/>
      <c r="AV49" s="259"/>
      <c r="AW49" s="259"/>
      <c r="AX49" s="259"/>
      <c r="AY49" s="258"/>
      <c r="AZ49" s="238"/>
      <c r="BA49" s="238"/>
      <c r="BB49" s="238"/>
      <c r="BC49" s="238"/>
      <c r="BD49" s="238"/>
      <c r="BE49" s="239" t="s">
        <v>658</v>
      </c>
      <c r="BF49" s="239">
        <v>0</v>
      </c>
      <c r="BG49" s="239">
        <v>0</v>
      </c>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row>
    <row r="50" spans="1:94" s="240" customFormat="1" ht="14.25" customHeight="1">
      <c r="A50" s="267" t="s">
        <v>430</v>
      </c>
      <c r="B50" s="268"/>
      <c r="C50" s="268"/>
      <c r="D50" s="268"/>
      <c r="E50" s="269"/>
      <c r="F50" s="1377">
        <v>0</v>
      </c>
      <c r="G50" s="1378"/>
      <c r="H50" s="1299">
        <f t="shared" si="0"/>
        <v>0</v>
      </c>
      <c r="I50" s="1301"/>
      <c r="J50" s="1300"/>
      <c r="K50" s="1300"/>
      <c r="L50" s="1299"/>
      <c r="M50" s="1300"/>
      <c r="N50" s="1299">
        <f t="shared" si="1"/>
        <v>0</v>
      </c>
      <c r="O50" s="1301"/>
      <c r="P50" s="1299">
        <f t="shared" si="9"/>
        <v>5.5593264629013907E-5</v>
      </c>
      <c r="Q50" s="1301"/>
      <c r="R50" s="1300">
        <f>T50/$AR50</f>
        <v>1.2010028599699881E-5</v>
      </c>
      <c r="S50" s="1300"/>
      <c r="T50" s="1299">
        <f>$W17*$X25</f>
        <v>5.5246131558619451E-4</v>
      </c>
      <c r="U50" s="1301"/>
      <c r="V50" s="263"/>
      <c r="W50" s="263"/>
      <c r="X50" s="263"/>
      <c r="Y50" s="263"/>
      <c r="Z50" s="263"/>
      <c r="AA50" s="263"/>
      <c r="AB50" s="263"/>
      <c r="AC50" s="263"/>
      <c r="AD50" s="263"/>
      <c r="AE50" s="263"/>
      <c r="AF50" s="263"/>
      <c r="AG50" s="263"/>
      <c r="AH50" s="263"/>
      <c r="AI50" s="263"/>
      <c r="AJ50" s="263"/>
      <c r="AK50" s="264"/>
      <c r="AL50" s="258"/>
      <c r="AM50" s="258"/>
      <c r="AN50" s="258"/>
      <c r="AO50" s="258">
        <v>2</v>
      </c>
      <c r="AP50" s="258">
        <v>1</v>
      </c>
      <c r="AQ50" s="258"/>
      <c r="AR50" s="265">
        <f>AM50*12.01+AN50*1.008+AO50*16+AP50*14+AQ50*32</f>
        <v>46</v>
      </c>
      <c r="AS50" s="259"/>
      <c r="AT50" s="258"/>
      <c r="AU50" s="258"/>
      <c r="AV50" s="258"/>
      <c r="AW50" s="258"/>
      <c r="AX50" s="258"/>
      <c r="AY50" s="258"/>
      <c r="AZ50" s="238"/>
      <c r="BA50" s="238"/>
      <c r="BB50" s="238"/>
      <c r="BC50" s="238"/>
      <c r="BD50" s="238"/>
      <c r="BE50" s="239" t="s">
        <v>659</v>
      </c>
      <c r="BF50" s="239">
        <v>0</v>
      </c>
      <c r="BG50" s="239">
        <v>0</v>
      </c>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38"/>
      <c r="CN50" s="238"/>
      <c r="CO50" s="238"/>
      <c r="CP50" s="238"/>
    </row>
    <row r="51" spans="1:94" s="240" customFormat="1" ht="14.25" customHeight="1">
      <c r="A51" s="267" t="s">
        <v>124</v>
      </c>
      <c r="B51" s="268"/>
      <c r="C51" s="268"/>
      <c r="D51" s="268"/>
      <c r="E51" s="269"/>
      <c r="F51" s="1377">
        <v>0</v>
      </c>
      <c r="G51" s="1378"/>
      <c r="H51" s="1299">
        <f t="shared" si="0"/>
        <v>0</v>
      </c>
      <c r="I51" s="1301"/>
      <c r="J51" s="1300"/>
      <c r="K51" s="1300"/>
      <c r="L51" s="1299"/>
      <c r="M51" s="1300"/>
      <c r="N51" s="1299">
        <f t="shared" si="1"/>
        <v>0</v>
      </c>
      <c r="O51" s="1301"/>
      <c r="P51" s="1299">
        <f t="shared" si="9"/>
        <v>0</v>
      </c>
      <c r="Q51" s="1301"/>
      <c r="R51" s="1299">
        <f>SUMPRODUCT(H32:H52,$AX32:$AX52)+H51</f>
        <v>0</v>
      </c>
      <c r="S51" s="1300"/>
      <c r="T51" s="1299">
        <f>R51*$AR51</f>
        <v>0</v>
      </c>
      <c r="U51" s="1301"/>
      <c r="V51" s="263"/>
      <c r="W51" s="263"/>
      <c r="X51" s="263"/>
      <c r="Y51" s="263"/>
      <c r="Z51" s="263"/>
      <c r="AA51" s="263"/>
      <c r="AB51" s="263"/>
      <c r="AC51" s="263"/>
      <c r="AD51" s="263"/>
      <c r="AE51" s="263"/>
      <c r="AF51" s="263"/>
      <c r="AG51" s="263"/>
      <c r="AH51" s="263"/>
      <c r="AI51" s="263"/>
      <c r="AJ51" s="263"/>
      <c r="AK51" s="264"/>
      <c r="AL51" s="258"/>
      <c r="AM51" s="258"/>
      <c r="AN51" s="258"/>
      <c r="AO51" s="258">
        <v>2</v>
      </c>
      <c r="AP51" s="258"/>
      <c r="AQ51" s="258">
        <v>1</v>
      </c>
      <c r="AR51" s="265">
        <f>AM51*12.01+AN51*1.008+AO51*16+AP51*14+AQ51*32</f>
        <v>64</v>
      </c>
      <c r="AS51" s="259"/>
      <c r="AT51" s="258"/>
      <c r="AU51" s="258"/>
      <c r="AV51" s="258"/>
      <c r="AW51" s="258"/>
      <c r="AX51" s="258"/>
      <c r="AY51" s="258"/>
      <c r="AZ51" s="238"/>
      <c r="BA51" s="238"/>
      <c r="BB51" s="238"/>
      <c r="BC51" s="238"/>
      <c r="BD51" s="238"/>
      <c r="BE51" s="239" t="s">
        <v>660</v>
      </c>
      <c r="BF51" s="239">
        <v>0</v>
      </c>
      <c r="BG51" s="239">
        <v>0</v>
      </c>
      <c r="BH51" s="238"/>
      <c r="BI51" s="238"/>
      <c r="BJ51" s="238"/>
      <c r="BK51" s="238"/>
      <c r="BL51" s="238"/>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38"/>
      <c r="CN51" s="238"/>
      <c r="CO51" s="238"/>
      <c r="CP51" s="238"/>
    </row>
    <row r="52" spans="1:94" s="240" customFormat="1" ht="14.25" customHeight="1">
      <c r="A52" s="273" t="s">
        <v>431</v>
      </c>
      <c r="B52" s="274"/>
      <c r="C52" s="274"/>
      <c r="D52" s="274"/>
      <c r="E52" s="274"/>
      <c r="F52" s="1377">
        <f>CO2eEF!P47</f>
        <v>0</v>
      </c>
      <c r="G52" s="1378"/>
      <c r="H52" s="1299">
        <f t="shared" si="0"/>
        <v>0</v>
      </c>
      <c r="I52" s="1301"/>
      <c r="J52" s="1384"/>
      <c r="K52" s="1384"/>
      <c r="L52" s="1382"/>
      <c r="M52" s="1384"/>
      <c r="N52" s="1299">
        <f t="shared" si="1"/>
        <v>0</v>
      </c>
      <c r="O52" s="1301"/>
      <c r="P52" s="1343">
        <f t="shared" si="9"/>
        <v>0.18920448747595481</v>
      </c>
      <c r="Q52" s="1345"/>
      <c r="R52" s="1300">
        <f>SUMPRODUCT(H32:H52,$AV32:$AV52)+H52-SUMPRODUCT(R33:R43,$AV33:$AV43)</f>
        <v>4.0874579338732411E-2</v>
      </c>
      <c r="S52" s="1300"/>
      <c r="T52" s="1382">
        <f>R52*$AR52</f>
        <v>0.7363964213666031</v>
      </c>
      <c r="U52" s="1383"/>
      <c r="V52" s="263"/>
      <c r="W52" s="263"/>
      <c r="X52" s="263"/>
      <c r="Y52" s="263"/>
      <c r="Z52" s="263"/>
      <c r="AA52" s="263"/>
      <c r="AB52" s="263"/>
      <c r="AC52" s="263"/>
      <c r="AD52" s="263"/>
      <c r="AE52" s="263"/>
      <c r="AF52" s="263"/>
      <c r="AG52" s="263"/>
      <c r="AH52" s="263"/>
      <c r="AI52" s="263"/>
      <c r="AJ52" s="263"/>
      <c r="AK52" s="264"/>
      <c r="AL52" s="258"/>
      <c r="AM52" s="258"/>
      <c r="AN52" s="258">
        <v>2</v>
      </c>
      <c r="AO52" s="258">
        <v>1</v>
      </c>
      <c r="AP52" s="258"/>
      <c r="AQ52" s="258"/>
      <c r="AR52" s="265">
        <f>AM52*12.01+AN52*1.008+AO52*16+AP52*14+AQ52*32</f>
        <v>18.015999999999998</v>
      </c>
      <c r="AS52" s="259"/>
      <c r="AT52" s="258"/>
      <c r="AU52" s="258"/>
      <c r="AV52" s="258"/>
      <c r="AW52" s="258"/>
      <c r="AX52" s="258"/>
      <c r="AY52" s="258"/>
      <c r="AZ52" s="238"/>
      <c r="BA52" s="238"/>
      <c r="BB52" s="238"/>
      <c r="BC52" s="238"/>
      <c r="BD52" s="238"/>
      <c r="BE52" s="239" t="s">
        <v>661</v>
      </c>
      <c r="BF52" s="239">
        <v>0</v>
      </c>
      <c r="BG52" s="239">
        <v>0</v>
      </c>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row>
    <row r="53" spans="1:94" s="240" customFormat="1" ht="14.25" customHeight="1">
      <c r="A53" s="1391" t="s">
        <v>663</v>
      </c>
      <c r="B53" s="1392"/>
      <c r="C53" s="1392"/>
      <c r="D53" s="1392"/>
      <c r="E53" s="1393"/>
      <c r="F53" s="1394">
        <f>SUM(F32:F52)</f>
        <v>1</v>
      </c>
      <c r="G53" s="1395"/>
      <c r="H53" s="1371">
        <f>SUM(H32:H52)</f>
        <v>2.0522558112807832E-2</v>
      </c>
      <c r="I53" s="1373"/>
      <c r="J53" s="1396">
        <f>SUM(J32:J52)</f>
        <v>0.19547247970113446</v>
      </c>
      <c r="K53" s="1396"/>
      <c r="L53" s="1371">
        <f>SUM(L32:L52)</f>
        <v>0</v>
      </c>
      <c r="M53" s="1372"/>
      <c r="N53" s="1385">
        <f>SUM(N32:N52)</f>
        <v>5.9683976029557781</v>
      </c>
      <c r="O53" s="1386"/>
      <c r="P53" s="1385">
        <f>SUM(P32:P52)</f>
        <v>1</v>
      </c>
      <c r="Q53" s="1386"/>
      <c r="R53" s="1371">
        <f>SUM(R32:R52)</f>
        <v>0.21603387892122267</v>
      </c>
      <c r="S53" s="1373"/>
      <c r="T53" s="1387">
        <f>SUM(T32:T52)</f>
        <v>5.9670648002658115</v>
      </c>
      <c r="U53" s="1388"/>
      <c r="V53" s="275"/>
      <c r="W53" s="275"/>
      <c r="X53" s="30"/>
      <c r="Y53" s="30"/>
      <c r="Z53" s="276"/>
      <c r="AA53" s="276"/>
      <c r="AB53" s="30"/>
      <c r="AC53" s="30"/>
      <c r="AD53" s="277"/>
      <c r="AE53" s="277"/>
      <c r="AF53" s="263"/>
      <c r="AG53" s="263"/>
      <c r="AH53" s="30"/>
      <c r="AI53" s="30"/>
      <c r="AJ53" s="277"/>
      <c r="AK53" s="278"/>
      <c r="AL53" s="238"/>
      <c r="AM53" s="238"/>
      <c r="AN53" s="238"/>
      <c r="AO53" s="238"/>
      <c r="AP53" s="238"/>
      <c r="AQ53" s="238"/>
      <c r="AR53" s="238"/>
      <c r="AS53" s="238"/>
      <c r="AT53" s="238"/>
      <c r="AU53" s="238"/>
      <c r="AV53" s="238"/>
      <c r="AW53" s="238"/>
      <c r="AX53" s="238"/>
      <c r="AY53" s="238"/>
      <c r="AZ53" s="238"/>
      <c r="BA53" s="238"/>
      <c r="BB53" s="238"/>
      <c r="BC53" s="238"/>
      <c r="BD53" s="238"/>
      <c r="BE53" s="239" t="s">
        <v>662</v>
      </c>
      <c r="BF53" s="239">
        <v>0</v>
      </c>
      <c r="BG53" s="239">
        <v>0</v>
      </c>
      <c r="BH53" s="238"/>
      <c r="BI53" s="238"/>
      <c r="BJ53" s="238"/>
      <c r="BK53" s="238"/>
      <c r="BL53" s="238"/>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38"/>
      <c r="CN53" s="238"/>
      <c r="CO53" s="238"/>
      <c r="CP53" s="238"/>
    </row>
    <row r="54" spans="1:94" s="240" customFormat="1" ht="14.25" customHeight="1">
      <c r="A54" s="475" t="s">
        <v>665</v>
      </c>
      <c r="B54" s="476"/>
      <c r="C54" s="476"/>
      <c r="D54" s="476"/>
      <c r="E54" s="435"/>
      <c r="F54" s="435"/>
      <c r="G54" s="435"/>
      <c r="H54" s="435"/>
      <c r="I54" s="435"/>
      <c r="J54" s="435"/>
      <c r="K54" s="435"/>
      <c r="L54" s="1189" t="s">
        <v>666</v>
      </c>
      <c r="M54" s="1190"/>
      <c r="N54" s="477"/>
      <c r="O54" s="30" t="s">
        <v>617</v>
      </c>
      <c r="P54" s="1403" t="s">
        <v>332</v>
      </c>
      <c r="Q54" s="1403"/>
      <c r="R54" s="477"/>
      <c r="S54" s="478"/>
      <c r="T54" s="478"/>
      <c r="U54" s="478"/>
      <c r="V54" s="478"/>
      <c r="W54" s="478"/>
      <c r="X54" s="478"/>
      <c r="Y54" s="478"/>
      <c r="Z54" s="478"/>
      <c r="AA54" s="478"/>
      <c r="AB54" s="478"/>
      <c r="AC54" s="478"/>
      <c r="AD54" s="478"/>
      <c r="AE54" s="478"/>
      <c r="AF54" s="478"/>
      <c r="AG54" s="478"/>
      <c r="AH54" s="478"/>
      <c r="AI54" s="478"/>
      <c r="AJ54" s="478"/>
      <c r="AK54" s="605"/>
      <c r="AL54" s="606"/>
      <c r="AM54" s="238"/>
      <c r="AN54" s="238"/>
      <c r="AO54" s="238"/>
      <c r="AP54" s="238"/>
      <c r="AQ54" s="238"/>
      <c r="AR54" s="238"/>
      <c r="AS54" s="238"/>
      <c r="AT54" s="238"/>
      <c r="AU54" s="238"/>
      <c r="AV54" s="238"/>
      <c r="AW54" s="238"/>
      <c r="AX54" s="238"/>
      <c r="AY54" s="238"/>
      <c r="AZ54" s="238"/>
      <c r="BA54" s="238"/>
      <c r="BB54" s="238"/>
      <c r="BC54" s="238"/>
      <c r="BD54" s="238"/>
      <c r="BE54" s="239" t="s">
        <v>664</v>
      </c>
      <c r="BF54" s="239">
        <v>0</v>
      </c>
      <c r="BG54" s="239">
        <v>0</v>
      </c>
      <c r="BH54" s="238"/>
      <c r="BI54" s="238"/>
      <c r="BJ54" s="238"/>
      <c r="BK54" s="238"/>
      <c r="BL54" s="238"/>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38"/>
      <c r="CN54" s="238"/>
      <c r="CO54" s="238"/>
      <c r="CP54" s="238"/>
    </row>
    <row r="55" spans="1:94" s="240" customFormat="1" ht="14.25" customHeight="1">
      <c r="A55" s="273" t="s">
        <v>668</v>
      </c>
      <c r="B55" s="30"/>
      <c r="C55" s="30"/>
      <c r="D55" s="30"/>
      <c r="E55" s="30"/>
      <c r="F55" s="30"/>
      <c r="G55" s="30"/>
      <c r="H55" s="30"/>
      <c r="I55" s="30"/>
      <c r="J55" s="30"/>
      <c r="K55" s="30"/>
      <c r="L55" s="1185">
        <f>N55*1000/3600</f>
        <v>1.5346147655172069E-4</v>
      </c>
      <c r="M55" s="1186"/>
      <c r="N55" s="1403">
        <f>W17*$X$25</f>
        <v>5.5246131558619451E-4</v>
      </c>
      <c r="O55" s="1403"/>
      <c r="P55" s="1403">
        <f>N55*365.25*24/1000</f>
        <v>4.8428758924285806E-3</v>
      </c>
      <c r="Q55" s="1403"/>
      <c r="S55" s="478"/>
      <c r="T55" s="478"/>
      <c r="U55" s="478"/>
      <c r="V55" s="478"/>
      <c r="W55" s="478"/>
      <c r="X55" s="478"/>
      <c r="Y55" s="478"/>
      <c r="Z55" s="478"/>
      <c r="AA55" s="478"/>
      <c r="AB55" s="478"/>
      <c r="AC55" s="478"/>
      <c r="AD55" s="478"/>
      <c r="AE55" s="478"/>
      <c r="AF55" s="478"/>
      <c r="AG55" s="478"/>
      <c r="AH55" s="478"/>
      <c r="AI55" s="478"/>
      <c r="AJ55" s="478"/>
      <c r="AK55" s="605"/>
      <c r="AL55" s="606"/>
      <c r="AM55" s="238"/>
      <c r="AN55" s="238"/>
      <c r="AO55" s="482"/>
      <c r="AP55" s="238"/>
      <c r="AQ55" s="238"/>
      <c r="AR55" s="238"/>
      <c r="AS55" s="238"/>
      <c r="AT55" s="238"/>
      <c r="AU55" s="238"/>
      <c r="AV55" s="238"/>
      <c r="AW55" s="238"/>
      <c r="AX55" s="238"/>
      <c r="AY55" s="238"/>
      <c r="AZ55" s="238"/>
      <c r="BA55" s="238"/>
      <c r="BB55" s="238"/>
      <c r="BC55" s="238"/>
      <c r="BD55" s="238"/>
      <c r="BE55" s="239" t="s">
        <v>669</v>
      </c>
      <c r="BF55" s="239">
        <v>0</v>
      </c>
      <c r="BG55" s="239">
        <v>1.5800000000000002E-2</v>
      </c>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38"/>
      <c r="CN55" s="238"/>
      <c r="CO55" s="238"/>
      <c r="CP55" s="238"/>
    </row>
    <row r="56" spans="1:94" s="240" customFormat="1" ht="14.25" customHeight="1">
      <c r="A56" s="273" t="s">
        <v>670</v>
      </c>
      <c r="B56" s="30"/>
      <c r="C56" s="30"/>
      <c r="D56" s="30"/>
      <c r="E56" s="30"/>
      <c r="F56" s="30"/>
      <c r="G56" s="30"/>
      <c r="H56" s="30"/>
      <c r="I56" s="30"/>
      <c r="J56" s="30"/>
      <c r="K56" s="30"/>
      <c r="L56" s="1185">
        <f>N56*1000/3600</f>
        <v>8.3501097535495074E-4</v>
      </c>
      <c r="M56" s="1186"/>
      <c r="N56" s="1403">
        <f>AC17*$X$25</f>
        <v>3.0060395112778224E-3</v>
      </c>
      <c r="O56" s="1403"/>
      <c r="P56" s="1403">
        <f t="shared" ref="P56:P62" si="10">N56*365.25*24/1000</f>
        <v>2.6350942355861391E-2</v>
      </c>
      <c r="Q56" s="1403"/>
      <c r="S56" s="478"/>
      <c r="T56" s="478"/>
      <c r="U56" s="478"/>
      <c r="V56" s="478"/>
      <c r="W56" s="478"/>
      <c r="X56" s="478"/>
      <c r="Y56" s="478"/>
      <c r="Z56" s="478"/>
      <c r="AA56" s="478"/>
      <c r="AB56" s="478"/>
      <c r="AC56" s="478"/>
      <c r="AD56" s="478"/>
      <c r="AE56" s="478"/>
      <c r="AF56" s="478"/>
      <c r="AG56" s="478"/>
      <c r="AH56" s="478"/>
      <c r="AI56" s="478"/>
      <c r="AJ56" s="478"/>
      <c r="AK56" s="605"/>
      <c r="AL56" s="606"/>
      <c r="AM56" s="238"/>
      <c r="AN56" s="238"/>
      <c r="AO56" s="482"/>
      <c r="AP56" s="238"/>
      <c r="AQ56" s="238"/>
      <c r="AR56" s="238"/>
      <c r="AS56" s="238"/>
      <c r="AT56" s="238"/>
      <c r="AU56" s="238"/>
      <c r="AV56" s="238"/>
      <c r="AW56" s="238"/>
      <c r="AX56" s="238"/>
      <c r="AY56" s="238"/>
      <c r="AZ56" s="238"/>
      <c r="BA56" s="238"/>
      <c r="BB56" s="238"/>
      <c r="BC56" s="238"/>
      <c r="BD56" s="238"/>
      <c r="BE56" s="239"/>
      <c r="BF56" s="239"/>
      <c r="BG56" s="239"/>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38"/>
      <c r="CN56" s="238"/>
      <c r="CO56" s="238"/>
      <c r="CP56" s="238"/>
    </row>
    <row r="57" spans="1:94" s="240" customFormat="1" ht="14.25" customHeight="1">
      <c r="A57" s="483" t="s">
        <v>748</v>
      </c>
      <c r="B57" s="484"/>
      <c r="C57" s="484"/>
      <c r="D57" s="484"/>
      <c r="E57" s="484"/>
      <c r="F57" s="484"/>
      <c r="G57" s="484"/>
      <c r="H57" s="484"/>
      <c r="I57" s="484"/>
      <c r="J57" s="484"/>
      <c r="K57" s="484"/>
      <c r="L57" s="1185">
        <f>N57*1000/3600</f>
        <v>5.2328707544226854E-6</v>
      </c>
      <c r="M57" s="1186"/>
      <c r="N57" s="1389">
        <f>AI17*X25</f>
        <v>1.8838334715921668E-5</v>
      </c>
      <c r="O57" s="1389"/>
      <c r="P57" s="1403">
        <f t="shared" si="10"/>
        <v>1.6513684211976934E-4</v>
      </c>
      <c r="Q57" s="1403"/>
      <c r="S57" s="478"/>
      <c r="T57" s="478"/>
      <c r="U57" s="478"/>
      <c r="V57" s="478"/>
      <c r="W57" s="478"/>
      <c r="X57" s="478"/>
      <c r="Y57" s="478"/>
      <c r="Z57" s="478"/>
      <c r="AA57" s="478"/>
      <c r="AB57" s="478"/>
      <c r="AC57" s="478"/>
      <c r="AD57" s="478"/>
      <c r="AE57" s="478"/>
      <c r="AF57" s="478"/>
      <c r="AG57" s="478"/>
      <c r="AH57" s="478"/>
      <c r="AI57" s="478"/>
      <c r="AJ57" s="478"/>
      <c r="AK57" s="605"/>
      <c r="AL57" s="606"/>
      <c r="AM57" s="238"/>
      <c r="AN57" s="281"/>
      <c r="AO57" s="238"/>
      <c r="AP57" s="238"/>
      <c r="AQ57" s="238"/>
      <c r="AR57" s="238"/>
      <c r="AS57" s="238"/>
      <c r="AT57" s="238"/>
      <c r="AU57" s="238"/>
      <c r="AV57" s="238"/>
      <c r="AW57" s="238"/>
      <c r="AX57" s="238"/>
      <c r="AY57" s="238"/>
      <c r="AZ57" s="238"/>
      <c r="BA57" s="238"/>
      <c r="BB57" s="238"/>
      <c r="BC57" s="238"/>
      <c r="BD57" s="238"/>
      <c r="BE57" s="239" t="s">
        <v>667</v>
      </c>
      <c r="BF57" s="239">
        <v>0</v>
      </c>
      <c r="BG57" s="239">
        <v>4.4999999999999997E-3</v>
      </c>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38"/>
      <c r="CN57" s="238"/>
      <c r="CO57" s="238"/>
      <c r="CP57" s="238"/>
    </row>
    <row r="58" spans="1:94" s="240" customFormat="1" ht="14.25" customHeight="1">
      <c r="A58" s="273" t="s">
        <v>672</v>
      </c>
      <c r="B58" s="30"/>
      <c r="C58" s="30"/>
      <c r="D58" s="30"/>
      <c r="E58" s="30"/>
      <c r="F58" s="30"/>
      <c r="G58" s="30"/>
      <c r="H58" s="30"/>
      <c r="I58" s="30"/>
      <c r="J58" s="30"/>
      <c r="K58" s="30"/>
      <c r="L58" s="1185">
        <f>N58*1000/3600</f>
        <v>3.1595009878295437E-4</v>
      </c>
      <c r="M58" s="1186"/>
      <c r="N58" s="1407">
        <f>K22*$X$25</f>
        <v>1.1374203556186358E-3</v>
      </c>
      <c r="O58" s="1407"/>
      <c r="P58" s="1403">
        <f t="shared" si="10"/>
        <v>9.9706268373529611E-3</v>
      </c>
      <c r="Q58" s="1403"/>
      <c r="S58" s="478"/>
      <c r="T58" s="478"/>
      <c r="U58" s="478"/>
      <c r="V58" s="478"/>
      <c r="W58" s="478"/>
      <c r="X58" s="478"/>
      <c r="Y58" s="478"/>
      <c r="Z58" s="478"/>
      <c r="AA58" s="478"/>
      <c r="AB58" s="478"/>
      <c r="AC58" s="478"/>
      <c r="AD58" s="478"/>
      <c r="AE58" s="478"/>
      <c r="AF58" s="478"/>
      <c r="AG58" s="478"/>
      <c r="AH58" s="478"/>
      <c r="AI58" s="478"/>
      <c r="AJ58" s="478"/>
      <c r="AK58" s="605"/>
      <c r="AL58" s="606"/>
      <c r="AM58" s="238"/>
      <c r="AN58" s="238"/>
      <c r="AO58" s="482"/>
      <c r="AP58" s="238"/>
      <c r="AQ58" s="238"/>
      <c r="AR58" s="238"/>
      <c r="AS58" s="238"/>
      <c r="AT58" s="238"/>
      <c r="AU58" s="238"/>
      <c r="AV58" s="238"/>
      <c r="AW58" s="238"/>
      <c r="AX58" s="238"/>
      <c r="AY58" s="238"/>
      <c r="AZ58" s="238"/>
      <c r="BA58" s="238"/>
      <c r="BB58" s="238"/>
      <c r="BC58" s="238"/>
      <c r="BD58" s="238"/>
      <c r="BE58" s="239"/>
      <c r="BF58" s="239"/>
      <c r="BG58" s="239"/>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row>
    <row r="59" spans="1:94" s="240" customFormat="1" ht="14.25" customHeight="1">
      <c r="A59" s="273" t="s">
        <v>673</v>
      </c>
      <c r="B59" s="30"/>
      <c r="C59" s="30"/>
      <c r="D59" s="30"/>
      <c r="E59" s="30"/>
      <c r="F59" s="30"/>
      <c r="G59" s="30"/>
      <c r="H59" s="30"/>
      <c r="I59" s="30"/>
      <c r="J59" s="30"/>
      <c r="K59" s="30"/>
      <c r="L59" s="1187">
        <f t="shared" ref="L59:L61" si="11">N59*1000/3600</f>
        <v>0</v>
      </c>
      <c r="M59" s="1408"/>
      <c r="N59" s="1409">
        <f>W22*$X$25</f>
        <v>0</v>
      </c>
      <c r="O59" s="1409"/>
      <c r="P59" s="1403">
        <f t="shared" si="10"/>
        <v>0</v>
      </c>
      <c r="Q59" s="1403"/>
      <c r="S59" s="478"/>
      <c r="T59" s="478"/>
      <c r="U59" s="478"/>
      <c r="V59" s="478"/>
      <c r="W59" s="478"/>
      <c r="X59" s="478"/>
      <c r="Y59" s="478"/>
      <c r="Z59" s="478"/>
      <c r="AA59" s="478"/>
      <c r="AB59" s="478"/>
      <c r="AC59" s="478"/>
      <c r="AD59" s="478"/>
      <c r="AE59" s="478"/>
      <c r="AF59" s="478"/>
      <c r="AG59" s="478"/>
      <c r="AH59" s="478"/>
      <c r="AI59" s="478"/>
      <c r="AJ59" s="478"/>
      <c r="AK59" s="605"/>
      <c r="AL59" s="606"/>
      <c r="AM59" s="238"/>
      <c r="AN59" s="238"/>
      <c r="AO59" s="482"/>
      <c r="AP59" s="238"/>
      <c r="AQ59" s="238"/>
      <c r="AR59" s="238"/>
      <c r="AS59" s="238"/>
      <c r="AT59" s="238"/>
      <c r="AU59" s="238"/>
      <c r="AV59" s="238"/>
      <c r="AW59" s="238"/>
      <c r="AX59" s="238"/>
      <c r="AY59" s="238"/>
      <c r="AZ59" s="238"/>
      <c r="BA59" s="238"/>
      <c r="BB59" s="238"/>
      <c r="BC59" s="238"/>
      <c r="BD59" s="238"/>
      <c r="BE59" s="239"/>
      <c r="BF59" s="239"/>
      <c r="BG59" s="239"/>
      <c r="BH59" s="238"/>
      <c r="BI59" s="238"/>
      <c r="BJ59" s="238"/>
      <c r="BK59" s="238"/>
      <c r="BL59" s="238"/>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38"/>
      <c r="CN59" s="238"/>
      <c r="CO59" s="238"/>
      <c r="CP59" s="238"/>
    </row>
    <row r="60" spans="1:94" s="240" customFormat="1" ht="14.25" customHeight="1">
      <c r="A60" s="273" t="s">
        <v>675</v>
      </c>
      <c r="B60" s="30"/>
      <c r="C60" s="30"/>
      <c r="D60" s="30"/>
      <c r="E60" s="30"/>
      <c r="F60" s="30"/>
      <c r="G60" s="30"/>
      <c r="H60" s="30"/>
      <c r="I60" s="30"/>
      <c r="J60" s="30"/>
      <c r="K60" s="30"/>
      <c r="L60" s="1187">
        <f t="shared" si="11"/>
        <v>0</v>
      </c>
      <c r="M60" s="1408"/>
      <c r="N60" s="1414"/>
      <c r="O60" s="1414"/>
      <c r="P60" s="1403">
        <f t="shared" si="10"/>
        <v>0</v>
      </c>
      <c r="Q60" s="1403"/>
      <c r="S60" s="478"/>
      <c r="T60" s="478"/>
      <c r="U60" s="478"/>
      <c r="V60" s="478"/>
      <c r="W60" s="478"/>
      <c r="X60" s="478"/>
      <c r="Y60" s="478"/>
      <c r="Z60" s="478"/>
      <c r="AA60" s="478"/>
      <c r="AB60" s="478"/>
      <c r="AC60" s="478"/>
      <c r="AD60" s="478"/>
      <c r="AE60" s="478"/>
      <c r="AF60" s="478"/>
      <c r="AG60" s="478"/>
      <c r="AH60" s="478"/>
      <c r="AI60" s="478"/>
      <c r="AJ60" s="478"/>
      <c r="AK60" s="605"/>
      <c r="AL60" s="606"/>
      <c r="AM60" s="238"/>
      <c r="AN60" s="238"/>
      <c r="AO60" s="482"/>
      <c r="AP60" s="238"/>
      <c r="AQ60" s="238"/>
      <c r="AR60" s="238"/>
      <c r="AS60" s="238"/>
      <c r="AT60" s="238"/>
      <c r="AU60" s="238"/>
      <c r="AV60" s="238"/>
      <c r="AW60" s="238"/>
      <c r="AX60" s="238"/>
      <c r="AY60" s="238"/>
      <c r="AZ60" s="238"/>
      <c r="BA60" s="238"/>
      <c r="BB60" s="238"/>
      <c r="BC60" s="238"/>
      <c r="BD60" s="238"/>
      <c r="BE60" s="239"/>
      <c r="BF60" s="239"/>
      <c r="BG60" s="239"/>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row>
    <row r="61" spans="1:94" s="240" customFormat="1" ht="14.25" customHeight="1">
      <c r="A61" s="273" t="s">
        <v>676</v>
      </c>
      <c r="B61" s="30"/>
      <c r="C61" s="30"/>
      <c r="D61" s="30"/>
      <c r="E61" s="30"/>
      <c r="F61" s="30"/>
      <c r="G61" s="30"/>
      <c r="H61" s="30"/>
      <c r="I61" s="30"/>
      <c r="J61" s="30"/>
      <c r="K61" s="30"/>
      <c r="L61" s="1187">
        <f t="shared" si="11"/>
        <v>0</v>
      </c>
      <c r="M61" s="1408"/>
      <c r="N61" s="1414"/>
      <c r="O61" s="1414"/>
      <c r="P61" s="1403">
        <f t="shared" si="10"/>
        <v>0</v>
      </c>
      <c r="Q61" s="1403"/>
      <c r="S61" s="478"/>
      <c r="T61" s="478"/>
      <c r="U61" s="478"/>
      <c r="V61" s="478"/>
      <c r="W61" s="478"/>
      <c r="X61" s="478"/>
      <c r="Y61" s="478"/>
      <c r="Z61" s="478"/>
      <c r="AA61" s="478"/>
      <c r="AB61" s="478"/>
      <c r="AC61" s="478"/>
      <c r="AD61" s="478"/>
      <c r="AE61" s="478"/>
      <c r="AF61" s="478"/>
      <c r="AG61" s="478"/>
      <c r="AH61" s="478"/>
      <c r="AI61" s="478"/>
      <c r="AJ61" s="478"/>
      <c r="AK61" s="605"/>
      <c r="AL61" s="606"/>
      <c r="AM61" s="238"/>
      <c r="AN61" s="238"/>
      <c r="AO61" s="281"/>
      <c r="AP61" s="238"/>
      <c r="AQ61" s="238"/>
      <c r="AR61" s="238"/>
      <c r="AS61" s="238"/>
      <c r="AT61" s="238"/>
      <c r="AU61" s="238"/>
      <c r="AV61" s="238"/>
      <c r="AW61" s="238"/>
      <c r="AX61" s="238"/>
      <c r="AY61" s="238"/>
      <c r="AZ61" s="238"/>
      <c r="BA61" s="238"/>
      <c r="BB61" s="238"/>
      <c r="BC61" s="238"/>
      <c r="BD61" s="238"/>
      <c r="BE61" s="239"/>
      <c r="BF61" s="239"/>
      <c r="BG61" s="239"/>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row>
    <row r="62" spans="1:94" s="240" customFormat="1" ht="14.25" customHeight="1">
      <c r="A62" s="607" t="s">
        <v>677</v>
      </c>
      <c r="B62" s="251"/>
      <c r="C62" s="251"/>
      <c r="D62" s="251"/>
      <c r="E62" s="251"/>
      <c r="F62" s="251"/>
      <c r="G62" s="251"/>
      <c r="H62" s="251"/>
      <c r="I62" s="251"/>
      <c r="J62" s="251"/>
      <c r="K62" s="251"/>
      <c r="L62" s="1466">
        <f>N62*1000/3600</f>
        <v>0.25113614101830695</v>
      </c>
      <c r="M62" s="1467"/>
      <c r="N62" s="1468">
        <f>X25*CO2eEF!I28</f>
        <v>0.90409010766590492</v>
      </c>
      <c r="O62" s="1468"/>
      <c r="P62" s="1403">
        <f t="shared" si="10"/>
        <v>7.9252538837993223</v>
      </c>
      <c r="Q62" s="1403"/>
      <c r="R62" s="608"/>
      <c r="S62" s="609"/>
      <c r="T62" s="609"/>
      <c r="U62" s="609"/>
      <c r="V62" s="609"/>
      <c r="W62" s="609"/>
      <c r="X62" s="609"/>
      <c r="Y62" s="609"/>
      <c r="Z62" s="609"/>
      <c r="AA62" s="609"/>
      <c r="AB62" s="609"/>
      <c r="AC62" s="609"/>
      <c r="AD62" s="609"/>
      <c r="AE62" s="609"/>
      <c r="AF62" s="609"/>
      <c r="AG62" s="609"/>
      <c r="AH62" s="609"/>
      <c r="AI62" s="609"/>
      <c r="AJ62" s="609"/>
      <c r="AK62" s="610"/>
      <c r="AL62" s="606"/>
      <c r="AM62" s="238"/>
      <c r="AN62" s="238"/>
      <c r="AO62" s="281"/>
      <c r="AP62" s="238"/>
      <c r="AQ62" s="238"/>
      <c r="AR62" s="238"/>
      <c r="AS62" s="238"/>
      <c r="AT62" s="238"/>
      <c r="AU62" s="238"/>
      <c r="AV62" s="238"/>
      <c r="AW62" s="238"/>
      <c r="AX62" s="238"/>
      <c r="AY62" s="238"/>
      <c r="AZ62" s="238"/>
      <c r="BA62" s="238"/>
      <c r="BB62" s="238"/>
      <c r="BC62" s="238"/>
      <c r="BD62" s="238"/>
      <c r="BE62" s="239"/>
      <c r="BF62" s="239"/>
      <c r="BG62" s="239"/>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row>
    <row r="63" spans="1:94" s="240" customFormat="1" ht="14.25" customHeight="1">
      <c r="A63" s="279" t="s">
        <v>749</v>
      </c>
      <c r="B63" s="132"/>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c r="AJ63" s="132"/>
      <c r="AK63" s="280"/>
      <c r="AL63" s="238"/>
      <c r="AM63" s="238"/>
      <c r="AN63" s="238"/>
      <c r="AO63" s="281"/>
      <c r="AP63" s="238"/>
      <c r="AQ63" s="238"/>
      <c r="AR63" s="238"/>
      <c r="AS63" s="238"/>
      <c r="AT63" s="238"/>
      <c r="AU63" s="238"/>
      <c r="AV63" s="238"/>
      <c r="AW63" s="238"/>
      <c r="AX63" s="238"/>
      <c r="AY63" s="238"/>
      <c r="AZ63" s="238"/>
      <c r="BA63" s="238"/>
      <c r="BB63" s="238"/>
      <c r="BC63" s="238"/>
      <c r="BD63" s="238"/>
      <c r="BE63" s="239"/>
      <c r="BF63" s="239"/>
      <c r="BG63" s="239"/>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row>
    <row r="64" spans="1:94" s="240" customFormat="1" ht="14.25" customHeight="1">
      <c r="A64" s="282" t="s">
        <v>31</v>
      </c>
      <c r="B64" s="30" t="s">
        <v>750</v>
      </c>
      <c r="C64" s="30"/>
      <c r="D64" s="30"/>
      <c r="E64" s="30"/>
      <c r="F64" s="30"/>
      <c r="G64" s="30"/>
      <c r="H64" s="30"/>
      <c r="I64" s="30"/>
      <c r="J64" s="30"/>
      <c r="K64" s="30"/>
      <c r="L64" s="30"/>
      <c r="M64" s="30"/>
      <c r="N64" s="283"/>
      <c r="O64" s="283"/>
      <c r="P64" s="283"/>
      <c r="Q64" s="30"/>
      <c r="R64" s="30"/>
      <c r="S64" s="30"/>
      <c r="T64" s="30"/>
      <c r="U64" s="30"/>
      <c r="V64" s="30"/>
      <c r="W64" s="30"/>
      <c r="X64" s="30"/>
      <c r="Y64" s="30"/>
      <c r="Z64" s="30"/>
      <c r="AA64" s="30"/>
      <c r="AB64" s="30"/>
      <c r="AC64" s="30"/>
      <c r="AD64" s="30"/>
      <c r="AE64" s="30"/>
      <c r="AF64" s="30"/>
      <c r="AG64" s="30"/>
      <c r="AH64" s="30"/>
      <c r="AI64" s="30"/>
      <c r="AJ64" s="30"/>
      <c r="AK64" s="253"/>
      <c r="AL64" s="238"/>
      <c r="AM64" s="238"/>
      <c r="AN64" s="238"/>
      <c r="AO64" s="238"/>
      <c r="AP64" s="238"/>
      <c r="AQ64" s="238"/>
      <c r="AR64" s="238"/>
      <c r="AS64" s="238"/>
      <c r="AT64" s="238"/>
      <c r="AU64" s="238"/>
      <c r="AV64" s="238"/>
      <c r="AW64" s="238"/>
      <c r="AX64" s="238"/>
      <c r="AY64" s="238"/>
      <c r="AZ64" s="238"/>
      <c r="BA64" s="238"/>
      <c r="BB64" s="238"/>
      <c r="BC64" s="238"/>
      <c r="BD64" s="238"/>
      <c r="BE64" s="239" t="s">
        <v>679</v>
      </c>
      <c r="BF64" s="239">
        <v>0</v>
      </c>
      <c r="BG64" s="239">
        <v>0</v>
      </c>
      <c r="BH64" s="238"/>
      <c r="BI64" s="238"/>
      <c r="BJ64" s="238"/>
      <c r="BK64" s="238"/>
      <c r="BL64" s="238"/>
      <c r="BM64" s="238"/>
      <c r="BN64" s="238"/>
      <c r="BO64" s="238"/>
      <c r="BP64" s="238"/>
      <c r="BQ64" s="238"/>
      <c r="BR64" s="238"/>
      <c r="BS64" s="238"/>
      <c r="BT64" s="238"/>
      <c r="BU64" s="238"/>
      <c r="BV64" s="238"/>
      <c r="BW64" s="238"/>
      <c r="BX64" s="238"/>
      <c r="BY64" s="238"/>
      <c r="BZ64" s="238"/>
      <c r="CA64" s="238"/>
      <c r="CB64" s="238"/>
      <c r="CC64" s="238"/>
      <c r="CD64" s="238"/>
      <c r="CE64" s="238"/>
      <c r="CF64" s="238"/>
      <c r="CG64" s="238"/>
      <c r="CH64" s="238"/>
      <c r="CI64" s="238"/>
      <c r="CJ64" s="238"/>
      <c r="CK64" s="238"/>
      <c r="CL64" s="238"/>
      <c r="CM64" s="238"/>
      <c r="CN64" s="238"/>
      <c r="CO64" s="238"/>
      <c r="CP64" s="238"/>
    </row>
    <row r="65" spans="1:94" ht="14.25" customHeight="1">
      <c r="A65" s="282" t="s">
        <v>33</v>
      </c>
      <c r="B65" s="31" t="s">
        <v>751</v>
      </c>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6"/>
      <c r="AL65" s="243"/>
      <c r="AM65" s="243"/>
      <c r="AN65" s="243"/>
      <c r="AO65" s="243"/>
      <c r="AP65" s="243"/>
      <c r="AQ65" s="243"/>
      <c r="AR65" s="243"/>
      <c r="AS65" s="243"/>
      <c r="AT65" s="243"/>
      <c r="AU65" s="243"/>
      <c r="AV65" s="243"/>
      <c r="AW65" s="243"/>
      <c r="AX65" s="243"/>
      <c r="AY65" s="243"/>
      <c r="AZ65" s="243"/>
      <c r="BA65" s="243"/>
      <c r="BB65" s="243"/>
      <c r="BC65" s="243"/>
      <c r="BD65" s="243"/>
      <c r="BE65" s="246" t="s">
        <v>681</v>
      </c>
      <c r="BF65" s="246">
        <v>0</v>
      </c>
      <c r="BG65" s="246">
        <v>0</v>
      </c>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c r="CM65" s="243"/>
      <c r="CN65" s="243"/>
      <c r="CO65" s="243"/>
      <c r="CP65" s="243"/>
    </row>
    <row r="66" spans="1:94" ht="14.25" customHeight="1">
      <c r="A66" s="282" t="s">
        <v>752</v>
      </c>
      <c r="B66" s="30" t="s">
        <v>753</v>
      </c>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6"/>
      <c r="AL66" s="243"/>
      <c r="AM66" s="243"/>
      <c r="AN66" s="243"/>
      <c r="AO66" s="243"/>
      <c r="AP66" s="243"/>
      <c r="AQ66" s="243"/>
      <c r="AR66" s="243"/>
      <c r="AS66" s="243"/>
      <c r="AT66" s="243"/>
      <c r="AU66" s="243"/>
      <c r="AV66" s="243"/>
      <c r="AW66" s="243"/>
      <c r="AX66" s="243"/>
      <c r="AY66" s="243"/>
      <c r="AZ66" s="243"/>
      <c r="BA66" s="243"/>
      <c r="BB66" s="243"/>
      <c r="BC66" s="243"/>
      <c r="BD66" s="243"/>
      <c r="BE66" s="246" t="s">
        <v>684</v>
      </c>
      <c r="BF66" s="246">
        <v>0</v>
      </c>
      <c r="BG66" s="246">
        <v>0</v>
      </c>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row>
    <row r="67" spans="1:94" ht="14.25" customHeight="1">
      <c r="A67" s="282" t="s">
        <v>38</v>
      </c>
      <c r="B67" s="31" t="s">
        <v>725</v>
      </c>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6"/>
      <c r="AL67" s="243"/>
      <c r="AM67" s="243"/>
      <c r="AN67" s="243"/>
      <c r="AO67" s="243"/>
      <c r="AP67" s="243"/>
      <c r="AQ67" s="243"/>
      <c r="AR67" s="243"/>
      <c r="AS67" s="243"/>
      <c r="AT67" s="243"/>
      <c r="AU67" s="243"/>
      <c r="AV67" s="243"/>
      <c r="AW67" s="243"/>
      <c r="AX67" s="243"/>
      <c r="AY67" s="243"/>
      <c r="AZ67" s="243"/>
      <c r="BA67" s="243"/>
      <c r="BB67" s="243"/>
      <c r="BC67" s="243"/>
      <c r="BD67" s="243"/>
      <c r="BE67" s="246"/>
      <c r="BF67" s="246"/>
      <c r="BG67" s="246"/>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c r="CM67" s="243"/>
      <c r="CN67" s="243"/>
      <c r="CO67" s="243"/>
      <c r="CP67" s="243"/>
    </row>
    <row r="68" spans="1:94" ht="13.15" customHeight="1">
      <c r="A68" s="282" t="s">
        <v>41</v>
      </c>
      <c r="B68" s="284" t="s">
        <v>726</v>
      </c>
      <c r="C68" s="487"/>
      <c r="D68" s="487"/>
      <c r="E68" s="487"/>
      <c r="F68" s="487"/>
      <c r="G68" s="487"/>
      <c r="H68" s="487"/>
      <c r="I68" s="487"/>
      <c r="J68" s="487"/>
      <c r="K68" s="487"/>
      <c r="L68" s="487"/>
      <c r="M68" s="487"/>
      <c r="N68" s="487"/>
      <c r="O68" s="487"/>
      <c r="P68" s="487"/>
      <c r="Q68" s="487"/>
      <c r="R68" s="487"/>
      <c r="S68" s="487"/>
      <c r="T68" s="487"/>
      <c r="U68" s="487"/>
      <c r="V68" s="487"/>
      <c r="W68" s="487"/>
      <c r="X68" s="487"/>
      <c r="Y68" s="487"/>
      <c r="Z68" s="487"/>
      <c r="AA68" s="487"/>
      <c r="AB68" s="487"/>
      <c r="AC68" s="487"/>
      <c r="AD68" s="487"/>
      <c r="AE68" s="487"/>
      <c r="AF68" s="487"/>
      <c r="AG68" s="487"/>
      <c r="AH68" s="487"/>
      <c r="AI68" s="487"/>
      <c r="AJ68" s="487"/>
      <c r="AK68" s="488"/>
      <c r="AL68" s="243"/>
      <c r="AM68" s="243"/>
      <c r="AN68" s="243"/>
      <c r="AO68" s="243"/>
      <c r="AP68" s="243"/>
      <c r="AQ68" s="243"/>
      <c r="AR68" s="243"/>
      <c r="AS68" s="243"/>
      <c r="AT68" s="243"/>
      <c r="AU68" s="243"/>
      <c r="AV68" s="243"/>
      <c r="AW68" s="243"/>
      <c r="AX68" s="243"/>
      <c r="AY68" s="243"/>
      <c r="AZ68" s="243"/>
      <c r="BA68" s="243"/>
      <c r="BB68" s="243"/>
      <c r="BC68" s="243"/>
      <c r="BD68" s="243"/>
      <c r="BE68" s="246" t="s">
        <v>686</v>
      </c>
      <c r="BF68" s="246">
        <v>0</v>
      </c>
      <c r="BG68" s="246">
        <v>0</v>
      </c>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c r="CM68" s="243"/>
      <c r="CN68" s="243"/>
      <c r="CO68" s="243"/>
      <c r="CP68" s="243"/>
    </row>
    <row r="69" spans="1:94">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9"/>
      <c r="AL69" s="289"/>
      <c r="AM69" s="289"/>
      <c r="AN69" s="289"/>
      <c r="AO69" s="289"/>
      <c r="AP69" s="289"/>
      <c r="AQ69" s="289"/>
      <c r="AR69" s="243"/>
      <c r="AS69" s="243"/>
      <c r="AT69" s="243"/>
      <c r="AU69" s="243"/>
      <c r="AV69" s="243"/>
      <c r="AW69" s="243"/>
      <c r="AX69" s="243"/>
      <c r="AY69" s="243"/>
      <c r="AZ69" s="243"/>
      <c r="BA69" s="243"/>
      <c r="BB69" s="243"/>
      <c r="BC69" s="243"/>
      <c r="BD69" s="243"/>
      <c r="BE69" s="246" t="s">
        <v>690</v>
      </c>
      <c r="BF69" s="246">
        <v>2.9999999999999997E-4</v>
      </c>
      <c r="BG69" s="246">
        <v>0</v>
      </c>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row>
    <row r="70" spans="1:94">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9"/>
      <c r="AL70" s="289"/>
      <c r="AM70" s="289"/>
      <c r="AN70" s="289"/>
      <c r="AO70" s="289"/>
      <c r="AP70" s="289"/>
      <c r="AQ70" s="289"/>
      <c r="AR70" s="243"/>
      <c r="AS70" s="243"/>
      <c r="AT70" s="243"/>
      <c r="AU70" s="243"/>
      <c r="AV70" s="243"/>
      <c r="AW70" s="243"/>
      <c r="AX70" s="243"/>
      <c r="AY70" s="243"/>
      <c r="AZ70" s="243"/>
      <c r="BA70" s="243"/>
      <c r="BB70" s="243"/>
      <c r="BC70" s="243"/>
      <c r="BD70" s="243"/>
      <c r="BE70" s="246" t="s">
        <v>691</v>
      </c>
      <c r="BF70" s="246">
        <v>0</v>
      </c>
      <c r="BG70" s="246">
        <v>0</v>
      </c>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row>
    <row r="71" spans="1:94">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9"/>
      <c r="AL71" s="289"/>
      <c r="AM71" s="289"/>
      <c r="AN71" s="289"/>
      <c r="AO71" s="289"/>
      <c r="AP71" s="289"/>
      <c r="AQ71" s="289"/>
      <c r="AR71" s="243"/>
      <c r="AS71" s="243"/>
      <c r="AT71" s="243"/>
      <c r="AU71" s="243"/>
      <c r="AV71" s="243"/>
      <c r="AW71" s="243"/>
      <c r="AX71" s="243"/>
      <c r="AY71" s="243"/>
      <c r="AZ71" s="243"/>
      <c r="BA71" s="243"/>
      <c r="BB71" s="243"/>
      <c r="BC71" s="243"/>
      <c r="BD71" s="243"/>
      <c r="BE71" s="246" t="s">
        <v>692</v>
      </c>
      <c r="BF71" s="246">
        <v>0</v>
      </c>
      <c r="BG71" s="246">
        <v>0</v>
      </c>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row>
    <row r="72" spans="1:94">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9"/>
      <c r="AL72" s="289"/>
      <c r="AM72" s="289"/>
      <c r="AN72" s="289"/>
      <c r="AO72" s="289"/>
      <c r="AP72" s="289"/>
      <c r="AQ72" s="289"/>
      <c r="AR72" s="243"/>
      <c r="AS72" s="243"/>
      <c r="AT72" s="243"/>
      <c r="AU72" s="243"/>
      <c r="AV72" s="243"/>
      <c r="AW72" s="243"/>
      <c r="AX72" s="243"/>
      <c r="AY72" s="243"/>
      <c r="AZ72" s="243"/>
      <c r="BA72" s="243"/>
      <c r="BB72" s="243"/>
      <c r="BC72" s="243"/>
      <c r="BD72" s="243"/>
      <c r="BE72" s="246" t="s">
        <v>693</v>
      </c>
      <c r="BF72" s="246">
        <v>0</v>
      </c>
      <c r="BG72" s="246">
        <v>0</v>
      </c>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row>
    <row r="73" spans="1:94">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9"/>
      <c r="AL73" s="289"/>
      <c r="AM73" s="289"/>
      <c r="AN73" s="289"/>
      <c r="AO73" s="289"/>
      <c r="AP73" s="289"/>
      <c r="AQ73" s="289"/>
      <c r="AR73" s="243"/>
      <c r="AS73" s="243"/>
      <c r="AT73" s="243"/>
      <c r="AU73" s="243"/>
      <c r="AV73" s="243"/>
      <c r="AW73" s="243"/>
      <c r="AX73" s="243"/>
      <c r="AY73" s="243"/>
      <c r="AZ73" s="243"/>
      <c r="BA73" s="243"/>
      <c r="BB73" s="243"/>
      <c r="BC73" s="243"/>
      <c r="BD73" s="243"/>
      <c r="BE73" s="246" t="s">
        <v>694</v>
      </c>
      <c r="BF73" s="246">
        <v>0</v>
      </c>
      <c r="BG73" s="246">
        <v>0</v>
      </c>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243"/>
      <c r="CO73" s="243"/>
      <c r="CP73" s="243"/>
    </row>
    <row r="74" spans="1:94">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9"/>
      <c r="AL74" s="289"/>
      <c r="AM74" s="289"/>
      <c r="AN74" s="289"/>
      <c r="AO74" s="289"/>
      <c r="AP74" s="289"/>
      <c r="AQ74" s="289"/>
      <c r="AR74" s="243"/>
      <c r="AS74" s="243"/>
      <c r="AT74" s="243"/>
      <c r="AU74" s="243"/>
      <c r="AV74" s="243"/>
      <c r="AW74" s="243"/>
      <c r="AX74" s="243"/>
      <c r="AY74" s="243"/>
      <c r="AZ74" s="243"/>
      <c r="BA74" s="243"/>
      <c r="BB74" s="243"/>
      <c r="BC74" s="243"/>
      <c r="BD74" s="243"/>
      <c r="BE74" s="246" t="s">
        <v>695</v>
      </c>
      <c r="BF74" s="246">
        <v>0</v>
      </c>
      <c r="BG74" s="246">
        <v>0</v>
      </c>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row>
    <row r="75" spans="1:94">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9"/>
      <c r="AL75" s="289"/>
      <c r="AM75" s="289"/>
      <c r="AN75" s="289"/>
      <c r="AO75" s="289"/>
      <c r="AP75" s="289"/>
      <c r="AQ75" s="289"/>
      <c r="AR75" s="243"/>
      <c r="AS75" s="243"/>
      <c r="AT75" s="243"/>
      <c r="AU75" s="243"/>
      <c r="AV75" s="243"/>
      <c r="AW75" s="243"/>
      <c r="AX75" s="243"/>
      <c r="AY75" s="243"/>
      <c r="AZ75" s="243"/>
      <c r="BA75" s="243"/>
      <c r="BB75" s="243"/>
      <c r="BC75" s="243"/>
      <c r="BD75" s="243"/>
      <c r="BE75" s="246" t="s">
        <v>696</v>
      </c>
      <c r="BF75" s="246">
        <v>0</v>
      </c>
      <c r="BG75" s="246">
        <v>0</v>
      </c>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row>
    <row r="76" spans="1:94">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8"/>
      <c r="AH76" s="288"/>
      <c r="AI76" s="288"/>
      <c r="AJ76" s="288"/>
      <c r="AK76" s="289"/>
      <c r="AL76" s="289"/>
      <c r="AM76" s="289"/>
      <c r="AN76" s="289"/>
      <c r="AO76" s="289"/>
      <c r="AP76" s="289"/>
      <c r="AQ76" s="289"/>
      <c r="AR76" s="243"/>
      <c r="AS76" s="243"/>
      <c r="AT76" s="243"/>
      <c r="AU76" s="243"/>
      <c r="AV76" s="243"/>
      <c r="AW76" s="243"/>
      <c r="AX76" s="243"/>
      <c r="AY76" s="243"/>
      <c r="AZ76" s="243"/>
      <c r="BA76" s="243"/>
      <c r="BB76" s="243"/>
      <c r="BC76" s="243"/>
      <c r="BD76" s="243"/>
      <c r="BE76" s="246" t="s">
        <v>697</v>
      </c>
      <c r="BF76" s="246">
        <v>0</v>
      </c>
      <c r="BG76" s="246">
        <v>0</v>
      </c>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c r="CM76" s="243"/>
      <c r="CN76" s="243"/>
      <c r="CO76" s="243"/>
      <c r="CP76" s="243"/>
    </row>
    <row r="77" spans="1:94" s="290" customForma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9"/>
      <c r="AL77" s="289"/>
      <c r="AM77" s="289"/>
      <c r="AN77" s="289"/>
      <c r="AO77" s="289"/>
      <c r="AP77" s="289"/>
      <c r="AQ77" s="289"/>
      <c r="AR77" s="243"/>
      <c r="AS77" s="243"/>
      <c r="AT77" s="243"/>
      <c r="AU77" s="243"/>
      <c r="AV77" s="243"/>
      <c r="AW77" s="243"/>
      <c r="AX77" s="243"/>
      <c r="AY77" s="243"/>
      <c r="AZ77" s="243"/>
      <c r="BA77" s="243"/>
      <c r="BB77" s="243"/>
      <c r="BC77" s="243"/>
      <c r="BD77" s="243"/>
      <c r="BE77" s="246" t="s">
        <v>431</v>
      </c>
      <c r="BF77" s="246">
        <v>1E-4</v>
      </c>
      <c r="BG77" s="246">
        <v>0.17530000000000001</v>
      </c>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c r="CM77" s="243"/>
      <c r="CN77" s="243"/>
      <c r="CO77" s="243"/>
      <c r="CP77" s="243"/>
    </row>
    <row r="78" spans="1:94" s="290" customForma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9"/>
      <c r="AL78" s="289"/>
      <c r="AM78" s="289"/>
      <c r="AN78" s="289"/>
      <c r="AO78" s="289"/>
      <c r="AP78" s="289"/>
      <c r="AQ78" s="289"/>
      <c r="AR78" s="243"/>
      <c r="AS78" s="243"/>
      <c r="AT78" s="243"/>
      <c r="AU78" s="243"/>
      <c r="AV78" s="243"/>
      <c r="AW78" s="243"/>
      <c r="AX78" s="243"/>
      <c r="AY78" s="243"/>
      <c r="AZ78" s="243"/>
      <c r="BA78" s="243"/>
      <c r="BB78" s="243"/>
      <c r="BC78" s="243"/>
      <c r="BD78" s="243"/>
      <c r="BE78" s="243"/>
      <c r="BF78" s="246"/>
      <c r="BG78" s="246"/>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c r="CM78" s="243"/>
      <c r="CN78" s="243"/>
      <c r="CO78" s="243"/>
      <c r="CP78" s="243"/>
    </row>
    <row r="79" spans="1:94" s="290" customForma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9"/>
      <c r="AL79" s="289"/>
      <c r="AM79" s="289"/>
      <c r="AN79" s="289"/>
      <c r="AO79" s="289"/>
      <c r="AP79" s="289"/>
      <c r="AQ79" s="289"/>
      <c r="AR79" s="243"/>
      <c r="AS79" s="243"/>
      <c r="AT79" s="243"/>
      <c r="AU79" s="243"/>
      <c r="AV79" s="243"/>
      <c r="AW79" s="243"/>
      <c r="AX79" s="243"/>
      <c r="AY79" s="243"/>
      <c r="AZ79" s="243"/>
      <c r="BA79" s="243"/>
      <c r="BB79" s="243"/>
      <c r="BC79" s="243"/>
      <c r="BD79" s="243"/>
      <c r="BE79" s="243"/>
      <c r="BF79" s="246"/>
      <c r="BG79" s="246"/>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c r="CM79" s="243"/>
      <c r="CN79" s="243"/>
      <c r="CO79" s="243"/>
      <c r="CP79" s="243"/>
    </row>
    <row r="80" spans="1:94" s="290" customForma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9"/>
      <c r="AL80" s="289"/>
      <c r="AM80" s="289"/>
      <c r="AN80" s="289"/>
      <c r="AO80" s="289"/>
      <c r="AP80" s="289"/>
      <c r="AQ80" s="289"/>
      <c r="AR80" s="243"/>
      <c r="AS80" s="243"/>
      <c r="AT80" s="243"/>
      <c r="AU80" s="243"/>
      <c r="AV80" s="243"/>
      <c r="AW80" s="243"/>
      <c r="AX80" s="243"/>
      <c r="AY80" s="243"/>
      <c r="AZ80" s="243"/>
      <c r="BA80" s="243"/>
      <c r="BB80" s="243"/>
      <c r="BC80" s="243"/>
      <c r="BD80" s="243"/>
      <c r="BE80" s="243"/>
      <c r="BF80" s="246"/>
      <c r="BG80" s="246"/>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c r="CM80" s="243"/>
      <c r="CN80" s="243"/>
      <c r="CO80" s="243"/>
      <c r="CP80" s="243"/>
    </row>
    <row r="81" spans="1:94" s="290" customForma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9"/>
      <c r="AL81" s="289"/>
      <c r="AM81" s="289"/>
      <c r="AN81" s="289"/>
      <c r="AO81" s="289"/>
      <c r="AP81" s="289"/>
      <c r="AQ81" s="289"/>
      <c r="AR81" s="243"/>
      <c r="AS81" s="243"/>
      <c r="AT81" s="243"/>
      <c r="AU81" s="243"/>
      <c r="AV81" s="243"/>
      <c r="AW81" s="243"/>
      <c r="AX81" s="243"/>
      <c r="AY81" s="243"/>
      <c r="AZ81" s="243"/>
      <c r="BA81" s="243"/>
      <c r="BB81" s="243"/>
      <c r="BC81" s="243"/>
      <c r="BD81" s="243"/>
      <c r="BE81" s="243"/>
      <c r="BF81" s="246"/>
      <c r="BG81" s="246"/>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c r="CM81" s="243"/>
      <c r="CN81" s="243"/>
      <c r="CO81" s="243"/>
      <c r="CP81" s="243"/>
    </row>
    <row r="82" spans="1:94" s="290" customForma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9"/>
      <c r="AL82" s="289"/>
      <c r="AM82" s="289"/>
      <c r="AN82" s="289"/>
      <c r="AO82" s="289"/>
      <c r="AP82" s="289"/>
      <c r="AQ82" s="289"/>
      <c r="AR82" s="243"/>
      <c r="AS82" s="243"/>
      <c r="AT82" s="243"/>
      <c r="AU82" s="243"/>
      <c r="AV82" s="243"/>
      <c r="AW82" s="243"/>
      <c r="AX82" s="243"/>
      <c r="AY82" s="243"/>
      <c r="AZ82" s="243"/>
      <c r="BA82" s="243"/>
      <c r="BB82" s="243"/>
      <c r="BC82" s="243"/>
      <c r="BD82" s="243"/>
      <c r="BE82" s="243"/>
      <c r="BF82" s="246"/>
      <c r="BG82" s="246"/>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c r="CM82" s="243"/>
      <c r="CN82" s="243"/>
      <c r="CO82" s="243"/>
      <c r="CP82" s="243"/>
    </row>
    <row r="83" spans="1:94" s="290" customForma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9"/>
      <c r="AL83" s="289"/>
      <c r="AM83" s="289"/>
      <c r="AN83" s="289"/>
      <c r="AO83" s="289"/>
      <c r="AP83" s="289"/>
      <c r="AQ83" s="289"/>
      <c r="AR83" s="243"/>
      <c r="AS83" s="243"/>
      <c r="AT83" s="243"/>
      <c r="AU83" s="243"/>
      <c r="AV83" s="243"/>
      <c r="AW83" s="243"/>
      <c r="AX83" s="243"/>
      <c r="AY83" s="243"/>
      <c r="AZ83" s="243"/>
      <c r="BA83" s="243"/>
      <c r="BB83" s="243"/>
      <c r="BC83" s="243"/>
      <c r="BD83" s="243"/>
      <c r="BE83" s="243"/>
      <c r="BF83" s="246"/>
      <c r="BG83" s="246"/>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c r="CM83" s="243"/>
      <c r="CN83" s="243"/>
      <c r="CO83" s="243"/>
      <c r="CP83" s="243"/>
    </row>
    <row r="84" spans="1:94" s="290" customForma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9"/>
      <c r="AL84" s="289"/>
      <c r="AM84" s="289"/>
      <c r="AN84" s="289"/>
      <c r="AO84" s="289"/>
      <c r="AP84" s="289"/>
      <c r="AQ84" s="289"/>
      <c r="AR84" s="243"/>
      <c r="AS84" s="243"/>
      <c r="AT84" s="243"/>
      <c r="AU84" s="243"/>
      <c r="AV84" s="243"/>
      <c r="AW84" s="243"/>
      <c r="AX84" s="243"/>
      <c r="AY84" s="243"/>
      <c r="AZ84" s="243"/>
      <c r="BA84" s="243"/>
      <c r="BB84" s="243"/>
      <c r="BC84" s="243"/>
      <c r="BD84" s="243"/>
      <c r="BE84" s="243"/>
      <c r="BF84" s="246"/>
      <c r="BG84" s="246"/>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c r="CM84" s="243"/>
      <c r="CN84" s="243"/>
      <c r="CO84" s="243"/>
      <c r="CP84" s="243"/>
    </row>
    <row r="85" spans="1:94" s="290" customForma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9"/>
      <c r="AL85" s="289"/>
      <c r="AM85" s="289"/>
      <c r="AN85" s="289"/>
      <c r="AO85" s="289"/>
      <c r="AP85" s="289"/>
      <c r="AQ85" s="289"/>
      <c r="AR85" s="243"/>
      <c r="AS85" s="243"/>
      <c r="AT85" s="243"/>
      <c r="AU85" s="243"/>
      <c r="AV85" s="243"/>
      <c r="AW85" s="243"/>
      <c r="AX85" s="243"/>
      <c r="AY85" s="243"/>
      <c r="AZ85" s="243"/>
      <c r="BA85" s="243"/>
      <c r="BB85" s="243"/>
      <c r="BC85" s="243"/>
      <c r="BD85" s="243"/>
      <c r="BE85" s="243"/>
      <c r="BF85" s="246"/>
      <c r="BG85" s="246"/>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c r="CM85" s="243"/>
      <c r="CN85" s="243"/>
      <c r="CO85" s="243"/>
      <c r="CP85" s="243"/>
    </row>
    <row r="86" spans="1:94" s="290" customForma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9"/>
      <c r="AL86" s="289"/>
      <c r="AM86" s="289"/>
      <c r="AN86" s="289"/>
      <c r="AO86" s="289"/>
      <c r="AP86" s="289"/>
      <c r="AQ86" s="289"/>
      <c r="AR86" s="243"/>
      <c r="AS86" s="243"/>
      <c r="AT86" s="243"/>
      <c r="AU86" s="243"/>
      <c r="AV86" s="243"/>
      <c r="AW86" s="243"/>
      <c r="AX86" s="243"/>
      <c r="AY86" s="243"/>
      <c r="AZ86" s="243"/>
      <c r="BA86" s="243"/>
      <c r="BB86" s="243"/>
      <c r="BC86" s="243"/>
      <c r="BD86" s="243"/>
      <c r="BE86" s="243"/>
      <c r="BF86" s="246"/>
      <c r="BG86" s="246"/>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row>
    <row r="87" spans="1:94" s="290" customForma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9"/>
      <c r="AL87" s="289"/>
      <c r="AM87" s="289"/>
      <c r="AN87" s="289"/>
      <c r="AO87" s="289"/>
      <c r="AP87" s="289"/>
      <c r="AQ87" s="289"/>
      <c r="AR87" s="243"/>
      <c r="AS87" s="243"/>
      <c r="AT87" s="243"/>
      <c r="AU87" s="243"/>
      <c r="AV87" s="243"/>
      <c r="AW87" s="243"/>
      <c r="AX87" s="243"/>
      <c r="AY87" s="243"/>
      <c r="AZ87" s="243"/>
      <c r="BA87" s="243"/>
      <c r="BB87" s="243"/>
      <c r="BC87" s="243"/>
      <c r="BD87" s="243"/>
      <c r="BE87" s="243"/>
      <c r="BF87" s="246"/>
      <c r="BG87" s="246"/>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c r="CM87" s="243"/>
      <c r="CN87" s="243"/>
      <c r="CO87" s="243"/>
      <c r="CP87" s="243"/>
    </row>
    <row r="88" spans="1:94" s="290" customForma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9"/>
      <c r="AL88" s="289"/>
      <c r="AM88" s="289"/>
      <c r="AN88" s="289"/>
      <c r="AO88" s="289"/>
      <c r="AP88" s="289"/>
      <c r="AQ88" s="289"/>
      <c r="AR88" s="243"/>
      <c r="AS88" s="243"/>
      <c r="AT88" s="243"/>
      <c r="AU88" s="243"/>
      <c r="AV88" s="243"/>
      <c r="AW88" s="243"/>
      <c r="AX88" s="243"/>
      <c r="AY88" s="243"/>
      <c r="AZ88" s="243"/>
      <c r="BA88" s="243"/>
      <c r="BB88" s="243"/>
      <c r="BC88" s="243"/>
      <c r="BD88" s="243"/>
      <c r="BE88" s="243"/>
      <c r="BF88" s="246"/>
      <c r="BG88" s="246"/>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c r="CM88" s="243"/>
      <c r="CN88" s="243"/>
      <c r="CO88" s="243"/>
      <c r="CP88" s="243"/>
    </row>
    <row r="89" spans="1:94" s="290" customForma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9"/>
      <c r="AL89" s="289"/>
      <c r="AM89" s="289"/>
      <c r="AN89" s="289"/>
      <c r="AO89" s="289"/>
      <c r="AP89" s="289"/>
      <c r="AQ89" s="289"/>
      <c r="AR89" s="243"/>
      <c r="AS89" s="243"/>
      <c r="AT89" s="243"/>
      <c r="AU89" s="243"/>
      <c r="AV89" s="243"/>
      <c r="AW89" s="243"/>
      <c r="AX89" s="243"/>
      <c r="AY89" s="243"/>
      <c r="AZ89" s="243"/>
      <c r="BA89" s="243"/>
      <c r="BB89" s="243"/>
      <c r="BC89" s="243"/>
      <c r="BD89" s="243"/>
      <c r="BE89" s="243"/>
      <c r="BF89" s="246"/>
      <c r="BG89" s="246"/>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row>
    <row r="90" spans="1:94" s="290" customForma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9"/>
      <c r="AL90" s="289"/>
      <c r="AM90" s="289"/>
      <c r="AN90" s="289"/>
      <c r="AO90" s="289"/>
      <c r="AP90" s="289"/>
      <c r="AQ90" s="289"/>
      <c r="AR90" s="243"/>
      <c r="AS90" s="243"/>
      <c r="AT90" s="243"/>
      <c r="AU90" s="243"/>
      <c r="AV90" s="243"/>
      <c r="AW90" s="243"/>
      <c r="AX90" s="243"/>
      <c r="AY90" s="243"/>
      <c r="AZ90" s="243"/>
      <c r="BA90" s="243"/>
      <c r="BB90" s="243"/>
      <c r="BC90" s="243"/>
      <c r="BD90" s="243"/>
      <c r="BE90" s="243"/>
      <c r="BF90" s="246"/>
      <c r="BG90" s="246"/>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row>
    <row r="91" spans="1:94" s="290" customFormat="1">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9"/>
      <c r="AL91" s="289"/>
      <c r="AM91" s="289"/>
      <c r="AN91" s="289"/>
      <c r="AO91" s="289"/>
      <c r="AP91" s="289"/>
      <c r="AQ91" s="289"/>
      <c r="AR91" s="243"/>
      <c r="AS91" s="243"/>
      <c r="AT91" s="243"/>
      <c r="AU91" s="243"/>
      <c r="AV91" s="243"/>
      <c r="AW91" s="243"/>
      <c r="AX91" s="243"/>
      <c r="AY91" s="243"/>
      <c r="AZ91" s="243"/>
      <c r="BA91" s="243"/>
      <c r="BB91" s="243"/>
      <c r="BC91" s="243"/>
      <c r="BD91" s="243"/>
      <c r="BE91" s="243"/>
      <c r="BF91" s="246"/>
      <c r="BG91" s="246"/>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row>
    <row r="92" spans="1:94" s="290" customFormat="1">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9"/>
      <c r="AL92" s="289"/>
      <c r="AM92" s="289"/>
      <c r="AN92" s="289"/>
      <c r="AO92" s="289"/>
      <c r="AP92" s="289"/>
      <c r="AQ92" s="289"/>
      <c r="AR92" s="243"/>
      <c r="AS92" s="243"/>
      <c r="AT92" s="243"/>
      <c r="AU92" s="243"/>
      <c r="AV92" s="243"/>
      <c r="AW92" s="243"/>
      <c r="AX92" s="243"/>
      <c r="AY92" s="243"/>
      <c r="AZ92" s="243"/>
      <c r="BA92" s="243"/>
      <c r="BB92" s="243"/>
      <c r="BC92" s="243"/>
      <c r="BD92" s="243"/>
      <c r="BE92" s="243"/>
      <c r="BF92" s="246"/>
      <c r="BG92" s="246"/>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row>
    <row r="93" spans="1:94">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9"/>
      <c r="AL93" s="289"/>
      <c r="AM93" s="289"/>
      <c r="AN93" s="289"/>
      <c r="AO93" s="289"/>
      <c r="AP93" s="289"/>
      <c r="AQ93" s="289"/>
      <c r="AR93" s="243"/>
      <c r="AS93" s="243"/>
      <c r="AT93" s="243"/>
      <c r="AU93" s="243"/>
      <c r="AV93" s="243"/>
      <c r="AW93" s="243"/>
      <c r="AX93" s="243"/>
      <c r="AY93" s="243"/>
      <c r="AZ93" s="243"/>
      <c r="BA93" s="243"/>
      <c r="BB93" s="243"/>
      <c r="BC93" s="243"/>
      <c r="BD93" s="243"/>
      <c r="BE93" s="243"/>
      <c r="BF93" s="246"/>
      <c r="BG93" s="246"/>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row>
    <row r="94" spans="1:94">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9"/>
      <c r="AL94" s="289"/>
      <c r="AM94" s="289"/>
      <c r="AN94" s="289"/>
      <c r="AO94" s="289"/>
      <c r="AP94" s="289"/>
      <c r="AQ94" s="289"/>
      <c r="AR94" s="243"/>
      <c r="AS94" s="243"/>
      <c r="AT94" s="243"/>
      <c r="AU94" s="243"/>
      <c r="AV94" s="243"/>
      <c r="AW94" s="243"/>
      <c r="AX94" s="243"/>
      <c r="AY94" s="243"/>
      <c r="AZ94" s="243"/>
      <c r="BA94" s="243"/>
      <c r="BB94" s="243"/>
      <c r="BC94" s="243"/>
      <c r="BD94" s="243"/>
      <c r="BE94" s="243"/>
      <c r="BF94" s="246"/>
      <c r="BG94" s="246"/>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row>
    <row r="95" spans="1:94">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9"/>
      <c r="AL95" s="289"/>
      <c r="AM95" s="289"/>
      <c r="AN95" s="289"/>
      <c r="AO95" s="289"/>
      <c r="AP95" s="289"/>
      <c r="AQ95" s="289"/>
      <c r="AR95" s="243"/>
      <c r="AS95" s="243"/>
      <c r="AT95" s="243"/>
      <c r="AU95" s="243"/>
      <c r="AV95" s="243"/>
      <c r="AW95" s="243"/>
      <c r="AX95" s="243"/>
      <c r="AY95" s="243"/>
      <c r="AZ95" s="243"/>
      <c r="BA95" s="243"/>
      <c r="BB95" s="243"/>
      <c r="BC95" s="243"/>
      <c r="BD95" s="243"/>
      <c r="BE95" s="243"/>
      <c r="BF95" s="246"/>
      <c r="BG95" s="246"/>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row>
    <row r="96" spans="1:94">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9"/>
      <c r="AL96" s="289"/>
      <c r="AM96" s="289"/>
      <c r="AN96" s="289"/>
      <c r="AO96" s="289"/>
      <c r="AP96" s="289"/>
      <c r="AQ96" s="289"/>
      <c r="AR96" s="243"/>
      <c r="AS96" s="243"/>
      <c r="AT96" s="243"/>
      <c r="AU96" s="243"/>
      <c r="AV96" s="243"/>
      <c r="AW96" s="243"/>
      <c r="AX96" s="243"/>
      <c r="AY96" s="243"/>
      <c r="AZ96" s="243"/>
      <c r="BA96" s="243"/>
      <c r="BB96" s="243"/>
      <c r="BC96" s="243"/>
      <c r="BD96" s="243"/>
      <c r="BE96" s="243"/>
      <c r="BF96" s="246"/>
      <c r="BG96" s="246"/>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row>
    <row r="97" spans="1:94">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9"/>
      <c r="AL97" s="289"/>
      <c r="AM97" s="289"/>
      <c r="AN97" s="289"/>
      <c r="AO97" s="289"/>
      <c r="AP97" s="289"/>
      <c r="AQ97" s="289"/>
      <c r="AR97" s="243"/>
      <c r="AS97" s="243"/>
      <c r="AT97" s="243"/>
      <c r="AU97" s="243"/>
      <c r="AV97" s="243"/>
      <c r="AW97" s="243"/>
      <c r="AX97" s="243"/>
      <c r="AY97" s="243"/>
      <c r="AZ97" s="243"/>
      <c r="BA97" s="243"/>
      <c r="BB97" s="243"/>
      <c r="BC97" s="243"/>
      <c r="BD97" s="243"/>
      <c r="BE97" s="243"/>
      <c r="BF97" s="246"/>
      <c r="BG97" s="246"/>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c r="CM97" s="243"/>
      <c r="CN97" s="243"/>
      <c r="CO97" s="243"/>
      <c r="CP97" s="243"/>
    </row>
    <row r="98" spans="1:94">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9"/>
      <c r="AL98" s="289"/>
      <c r="AM98" s="289"/>
      <c r="AN98" s="289"/>
      <c r="AO98" s="289"/>
      <c r="AP98" s="289"/>
      <c r="AQ98" s="289"/>
      <c r="AR98" s="243"/>
      <c r="AS98" s="243"/>
      <c r="AT98" s="243"/>
      <c r="AU98" s="243"/>
      <c r="AV98" s="243"/>
      <c r="AW98" s="243"/>
      <c r="AX98" s="243"/>
      <c r="AY98" s="243"/>
      <c r="AZ98" s="243"/>
      <c r="BA98" s="243"/>
      <c r="BB98" s="243"/>
      <c r="BC98" s="243"/>
      <c r="BD98" s="243"/>
      <c r="BE98" s="243"/>
      <c r="BF98" s="246"/>
      <c r="BG98" s="246"/>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c r="CM98" s="243"/>
      <c r="CN98" s="243"/>
      <c r="CO98" s="243"/>
      <c r="CP98" s="243"/>
    </row>
    <row r="99" spans="1:94">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9"/>
      <c r="AL99" s="289"/>
      <c r="AM99" s="289"/>
      <c r="AN99" s="289"/>
      <c r="AO99" s="289"/>
      <c r="AP99" s="289"/>
      <c r="AQ99" s="289"/>
      <c r="AR99" s="243"/>
      <c r="AS99" s="243"/>
      <c r="AT99" s="243"/>
      <c r="AU99" s="243"/>
      <c r="AV99" s="243"/>
      <c r="AW99" s="243"/>
      <c r="AX99" s="243"/>
      <c r="AY99" s="243"/>
      <c r="AZ99" s="243"/>
      <c r="BA99" s="243"/>
      <c r="BB99" s="243"/>
      <c r="BC99" s="243"/>
      <c r="BD99" s="243"/>
      <c r="BE99" s="243"/>
      <c r="BF99" s="246"/>
      <c r="BG99" s="246"/>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c r="CM99" s="243"/>
      <c r="CN99" s="243"/>
      <c r="CO99" s="243"/>
      <c r="CP99" s="243"/>
    </row>
    <row r="100" spans="1:94">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9"/>
      <c r="AL100" s="289"/>
      <c r="AM100" s="289"/>
      <c r="AN100" s="289"/>
      <c r="AO100" s="289"/>
      <c r="AP100" s="289"/>
      <c r="AQ100" s="289"/>
      <c r="AR100" s="243"/>
      <c r="AS100" s="243"/>
      <c r="AT100" s="243"/>
      <c r="AU100" s="243"/>
      <c r="AV100" s="243"/>
      <c r="AW100" s="243"/>
      <c r="AX100" s="243"/>
      <c r="AY100" s="243"/>
      <c r="AZ100" s="243"/>
      <c r="BA100" s="243"/>
      <c r="BB100" s="243"/>
      <c r="BC100" s="243"/>
      <c r="BD100" s="243"/>
      <c r="BE100" s="243"/>
      <c r="BF100" s="246"/>
      <c r="BG100" s="246"/>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c r="CM100" s="243"/>
      <c r="CN100" s="243"/>
      <c r="CO100" s="243"/>
      <c r="CP100" s="243"/>
    </row>
    <row r="101" spans="1:94">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9"/>
      <c r="AL101" s="289"/>
      <c r="AM101" s="289"/>
      <c r="AN101" s="289"/>
      <c r="AO101" s="289"/>
      <c r="AP101" s="289"/>
      <c r="AQ101" s="289"/>
      <c r="AR101" s="243"/>
      <c r="AS101" s="243"/>
      <c r="AT101" s="243"/>
      <c r="AU101" s="243"/>
      <c r="AV101" s="243"/>
      <c r="AW101" s="243"/>
      <c r="AX101" s="243"/>
      <c r="AY101" s="243"/>
      <c r="AZ101" s="243"/>
      <c r="BA101" s="243"/>
      <c r="BB101" s="243"/>
      <c r="BC101" s="243"/>
      <c r="BD101" s="243"/>
      <c r="BE101" s="243"/>
      <c r="BF101" s="246"/>
      <c r="BG101" s="246"/>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c r="CM101" s="243"/>
      <c r="CN101" s="243"/>
      <c r="CO101" s="243"/>
      <c r="CP101" s="243"/>
    </row>
    <row r="102" spans="1:94">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9"/>
      <c r="AL102" s="289"/>
      <c r="AM102" s="289"/>
      <c r="AN102" s="289"/>
      <c r="AO102" s="289"/>
      <c r="AP102" s="289"/>
      <c r="AQ102" s="289"/>
      <c r="AR102" s="243"/>
      <c r="AS102" s="243"/>
      <c r="AT102" s="243"/>
      <c r="AU102" s="243"/>
      <c r="AV102" s="243"/>
      <c r="AW102" s="243"/>
      <c r="AX102" s="243"/>
      <c r="AY102" s="243"/>
      <c r="AZ102" s="243"/>
      <c r="BA102" s="243"/>
      <c r="BB102" s="243"/>
      <c r="BC102" s="243"/>
      <c r="BD102" s="243"/>
      <c r="BE102" s="243"/>
      <c r="BF102" s="246"/>
      <c r="BG102" s="246"/>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row>
    <row r="103" spans="1:94">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9"/>
      <c r="AL103" s="289"/>
      <c r="AM103" s="289"/>
      <c r="AN103" s="289"/>
      <c r="AO103" s="289"/>
      <c r="AP103" s="289"/>
      <c r="AQ103" s="289"/>
      <c r="AR103" s="243"/>
      <c r="AS103" s="243"/>
      <c r="AT103" s="243"/>
      <c r="AU103" s="243"/>
      <c r="AV103" s="243"/>
      <c r="AW103" s="243"/>
      <c r="AX103" s="243"/>
      <c r="AY103" s="243"/>
      <c r="AZ103" s="243"/>
      <c r="BA103" s="243"/>
      <c r="BB103" s="243"/>
      <c r="BC103" s="243"/>
      <c r="BD103" s="243"/>
      <c r="BE103" s="243"/>
      <c r="BF103" s="246"/>
      <c r="BG103" s="246"/>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row>
    <row r="104" spans="1:94">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9"/>
      <c r="AL104" s="289"/>
      <c r="AM104" s="289"/>
      <c r="AN104" s="289"/>
      <c r="AO104" s="289"/>
      <c r="AP104" s="289"/>
      <c r="AQ104" s="289"/>
      <c r="AR104" s="243"/>
      <c r="AS104" s="243"/>
      <c r="AT104" s="243"/>
      <c r="AU104" s="243"/>
      <c r="AV104" s="243"/>
      <c r="AW104" s="243"/>
      <c r="AX104" s="243"/>
      <c r="AY104" s="243"/>
      <c r="AZ104" s="243"/>
      <c r="BA104" s="243"/>
      <c r="BB104" s="243"/>
      <c r="BC104" s="243"/>
      <c r="BD104" s="243"/>
      <c r="BE104" s="243"/>
      <c r="BF104" s="246"/>
      <c r="BG104" s="246"/>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row>
    <row r="105" spans="1:94">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9"/>
      <c r="AL105" s="289"/>
      <c r="AM105" s="289"/>
      <c r="AN105" s="289"/>
      <c r="AO105" s="289"/>
      <c r="AP105" s="289"/>
      <c r="AQ105" s="289"/>
      <c r="AR105" s="243"/>
      <c r="AS105" s="243"/>
      <c r="AT105" s="243"/>
      <c r="AU105" s="243"/>
      <c r="AV105" s="243"/>
      <c r="AW105" s="243"/>
      <c r="AX105" s="243"/>
      <c r="AY105" s="243"/>
      <c r="AZ105" s="243"/>
      <c r="BA105" s="243"/>
      <c r="BB105" s="243"/>
      <c r="BC105" s="243"/>
      <c r="BD105" s="243"/>
      <c r="BE105" s="243"/>
      <c r="BF105" s="246"/>
      <c r="BG105" s="246"/>
      <c r="BH105" s="243"/>
      <c r="BI105" s="243"/>
      <c r="BJ105" s="243"/>
      <c r="BK105" s="243"/>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row>
    <row r="106" spans="1:94">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9"/>
      <c r="AL106" s="289"/>
      <c r="AM106" s="289"/>
      <c r="AN106" s="289"/>
      <c r="AO106" s="289"/>
      <c r="AP106" s="289"/>
      <c r="AQ106" s="289"/>
      <c r="AR106" s="243"/>
      <c r="AS106" s="243"/>
      <c r="AT106" s="243"/>
      <c r="AU106" s="243"/>
      <c r="AV106" s="243"/>
      <c r="AW106" s="243"/>
      <c r="AX106" s="243"/>
      <c r="AY106" s="243"/>
      <c r="AZ106" s="243"/>
      <c r="BA106" s="243"/>
      <c r="BB106" s="243"/>
      <c r="BC106" s="243"/>
      <c r="BD106" s="243"/>
      <c r="BE106" s="243"/>
      <c r="BF106" s="246"/>
      <c r="BG106" s="246"/>
      <c r="BH106" s="243"/>
      <c r="BI106" s="243"/>
      <c r="BJ106" s="243"/>
      <c r="BK106" s="243"/>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row>
    <row r="107" spans="1:94">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9"/>
      <c r="AL107" s="289"/>
      <c r="AM107" s="289"/>
      <c r="AN107" s="289"/>
      <c r="AO107" s="289"/>
      <c r="AP107" s="289"/>
      <c r="AQ107" s="289"/>
      <c r="AR107" s="243"/>
      <c r="AS107" s="243"/>
      <c r="AT107" s="243"/>
      <c r="AU107" s="243"/>
      <c r="AV107" s="243"/>
      <c r="AW107" s="243"/>
      <c r="AX107" s="243"/>
      <c r="AY107" s="243"/>
      <c r="AZ107" s="243"/>
      <c r="BA107" s="243"/>
      <c r="BB107" s="243"/>
      <c r="BC107" s="243"/>
      <c r="BD107" s="243"/>
      <c r="BE107" s="243"/>
      <c r="BF107" s="246"/>
      <c r="BG107" s="246"/>
      <c r="BH107" s="243"/>
      <c r="BI107" s="243"/>
      <c r="BJ107" s="243"/>
      <c r="BK107" s="243"/>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row>
    <row r="108" spans="1:94">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9"/>
      <c r="AL108" s="289"/>
      <c r="AM108" s="289"/>
      <c r="AN108" s="289"/>
      <c r="AO108" s="289"/>
      <c r="AP108" s="289"/>
      <c r="AQ108" s="289"/>
      <c r="AR108" s="243"/>
      <c r="AS108" s="243"/>
      <c r="AT108" s="243"/>
      <c r="AU108" s="243"/>
      <c r="AV108" s="243"/>
      <c r="AW108" s="243"/>
      <c r="AX108" s="243"/>
      <c r="AY108" s="243"/>
      <c r="AZ108" s="243"/>
      <c r="BA108" s="243"/>
      <c r="BB108" s="243"/>
      <c r="BC108" s="243"/>
      <c r="BD108" s="243"/>
      <c r="BE108" s="243"/>
      <c r="BF108" s="246"/>
      <c r="BG108" s="246"/>
      <c r="BH108" s="243"/>
      <c r="BI108" s="243"/>
      <c r="BJ108" s="243"/>
      <c r="BK108" s="243"/>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row>
    <row r="109" spans="1:94">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9"/>
      <c r="AL109" s="289"/>
      <c r="AM109" s="289"/>
      <c r="AN109" s="289"/>
      <c r="AO109" s="289"/>
      <c r="AP109" s="289"/>
      <c r="AQ109" s="289"/>
      <c r="AR109" s="243"/>
      <c r="AS109" s="243"/>
      <c r="AT109" s="243"/>
      <c r="AU109" s="243"/>
      <c r="AV109" s="243"/>
      <c r="AW109" s="243"/>
      <c r="AX109" s="243"/>
      <c r="AY109" s="243"/>
      <c r="AZ109" s="243"/>
      <c r="BA109" s="243"/>
      <c r="BB109" s="243"/>
      <c r="BC109" s="243"/>
      <c r="BD109" s="243"/>
      <c r="BE109" s="243"/>
      <c r="BF109" s="246"/>
      <c r="BG109" s="246"/>
      <c r="BH109" s="243"/>
      <c r="BI109" s="243"/>
      <c r="BJ109" s="243"/>
      <c r="BK109" s="243"/>
      <c r="BL109" s="243"/>
      <c r="BM109" s="243"/>
      <c r="BN109" s="243"/>
      <c r="BO109" s="243"/>
      <c r="BP109" s="243"/>
      <c r="BQ109" s="243"/>
      <c r="BR109" s="243"/>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c r="CM109" s="243"/>
      <c r="CN109" s="243"/>
      <c r="CO109" s="243"/>
      <c r="CP109" s="243"/>
    </row>
    <row r="110" spans="1:94">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9"/>
      <c r="AL110" s="289"/>
      <c r="AM110" s="289"/>
      <c r="AN110" s="289"/>
      <c r="AO110" s="289"/>
      <c r="AP110" s="289"/>
      <c r="AQ110" s="289"/>
      <c r="AR110" s="243"/>
      <c r="AS110" s="243"/>
      <c r="AT110" s="243"/>
      <c r="AU110" s="243"/>
      <c r="AV110" s="243"/>
      <c r="AW110" s="243"/>
      <c r="AX110" s="243"/>
      <c r="AY110" s="243"/>
      <c r="AZ110" s="243"/>
      <c r="BA110" s="243"/>
      <c r="BB110" s="243"/>
      <c r="BC110" s="243"/>
      <c r="BD110" s="243"/>
      <c r="BE110" s="243"/>
      <c r="BF110" s="246"/>
      <c r="BG110" s="246"/>
      <c r="BH110" s="243"/>
      <c r="BI110" s="243"/>
      <c r="BJ110" s="243"/>
      <c r="BK110" s="243"/>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row>
    <row r="111" spans="1:94">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9"/>
      <c r="AL111" s="289"/>
      <c r="AM111" s="289"/>
      <c r="AN111" s="289"/>
      <c r="AO111" s="289"/>
      <c r="AP111" s="289"/>
      <c r="AQ111" s="289"/>
      <c r="AR111" s="243"/>
      <c r="AS111" s="243"/>
      <c r="AT111" s="243"/>
      <c r="AU111" s="243"/>
      <c r="AV111" s="243"/>
      <c r="AW111" s="243"/>
      <c r="AX111" s="243"/>
      <c r="AY111" s="243"/>
      <c r="AZ111" s="243"/>
      <c r="BA111" s="243"/>
      <c r="BB111" s="243"/>
      <c r="BC111" s="243"/>
      <c r="BD111" s="243"/>
      <c r="BE111" s="243"/>
      <c r="BF111" s="246"/>
      <c r="BG111" s="246"/>
      <c r="BH111" s="243"/>
      <c r="BI111" s="243"/>
      <c r="BJ111" s="243"/>
      <c r="BK111" s="243"/>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row>
    <row r="112" spans="1:94">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9"/>
      <c r="AL112" s="289"/>
      <c r="AM112" s="289"/>
      <c r="AN112" s="289"/>
      <c r="AO112" s="289"/>
      <c r="AP112" s="289"/>
      <c r="AQ112" s="289"/>
      <c r="AR112" s="243"/>
      <c r="AS112" s="243"/>
      <c r="AT112" s="243"/>
      <c r="AU112" s="243"/>
      <c r="AV112" s="243"/>
      <c r="AW112" s="243"/>
      <c r="AX112" s="243"/>
      <c r="AY112" s="243"/>
      <c r="AZ112" s="243"/>
      <c r="BA112" s="243"/>
      <c r="BB112" s="243"/>
      <c r="BC112" s="243"/>
      <c r="BD112" s="243"/>
      <c r="BE112" s="243"/>
      <c r="BF112" s="246"/>
      <c r="BG112" s="246"/>
      <c r="BH112" s="243"/>
      <c r="BI112" s="243"/>
      <c r="BJ112" s="243"/>
      <c r="BK112" s="243"/>
      <c r="BL112" s="243"/>
      <c r="BM112" s="243"/>
      <c r="BN112" s="243"/>
      <c r="BO112" s="243"/>
      <c r="BP112" s="243"/>
      <c r="BQ112" s="243"/>
      <c r="BR112" s="243"/>
      <c r="BS112" s="243"/>
      <c r="BT112" s="243"/>
      <c r="BU112" s="243"/>
      <c r="BV112" s="243"/>
      <c r="BW112" s="243"/>
      <c r="BX112" s="243"/>
      <c r="BY112" s="243"/>
      <c r="BZ112" s="243"/>
      <c r="CA112" s="243"/>
      <c r="CB112" s="243"/>
      <c r="CC112" s="243"/>
      <c r="CD112" s="243"/>
      <c r="CE112" s="243"/>
      <c r="CF112" s="243"/>
      <c r="CG112" s="243"/>
      <c r="CH112" s="243"/>
      <c r="CI112" s="243"/>
      <c r="CJ112" s="243"/>
      <c r="CK112" s="243"/>
      <c r="CL112" s="243"/>
      <c r="CM112" s="243"/>
      <c r="CN112" s="243"/>
      <c r="CO112" s="243"/>
      <c r="CP112" s="243"/>
    </row>
    <row r="113" spans="1:94">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9"/>
      <c r="AL113" s="289"/>
      <c r="AM113" s="289"/>
      <c r="AN113" s="289"/>
      <c r="AO113" s="289"/>
      <c r="AP113" s="289"/>
      <c r="AQ113" s="289"/>
      <c r="AR113" s="243"/>
      <c r="AS113" s="243"/>
      <c r="AT113" s="243"/>
      <c r="AU113" s="243"/>
      <c r="AV113" s="243"/>
      <c r="AW113" s="243"/>
      <c r="AX113" s="243"/>
      <c r="AY113" s="243"/>
      <c r="AZ113" s="243"/>
      <c r="BA113" s="243"/>
      <c r="BB113" s="243"/>
      <c r="BC113" s="243"/>
      <c r="BD113" s="243"/>
      <c r="BE113" s="243"/>
      <c r="BF113" s="246"/>
      <c r="BG113" s="246"/>
      <c r="BH113" s="243"/>
      <c r="BI113" s="243"/>
      <c r="BJ113" s="243"/>
      <c r="BK113" s="243"/>
      <c r="BL113" s="243"/>
      <c r="BM113" s="243"/>
      <c r="BN113" s="243"/>
      <c r="BO113" s="243"/>
      <c r="BP113" s="243"/>
      <c r="BQ113" s="243"/>
      <c r="BR113" s="243"/>
      <c r="BS113" s="243"/>
      <c r="BT113" s="243"/>
      <c r="BU113" s="243"/>
      <c r="BV113" s="243"/>
      <c r="BW113" s="243"/>
      <c r="BX113" s="243"/>
      <c r="BY113" s="243"/>
      <c r="BZ113" s="243"/>
      <c r="CA113" s="243"/>
      <c r="CB113" s="243"/>
      <c r="CC113" s="243"/>
      <c r="CD113" s="243"/>
      <c r="CE113" s="243"/>
      <c r="CF113" s="243"/>
      <c r="CG113" s="243"/>
      <c r="CH113" s="243"/>
      <c r="CI113" s="243"/>
      <c r="CJ113" s="243"/>
      <c r="CK113" s="243"/>
      <c r="CL113" s="243"/>
      <c r="CM113" s="243"/>
      <c r="CN113" s="243"/>
      <c r="CO113" s="243"/>
      <c r="CP113" s="243"/>
    </row>
    <row r="114" spans="1:94">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9"/>
      <c r="AL114" s="289"/>
      <c r="AM114" s="289"/>
      <c r="AN114" s="289"/>
      <c r="AO114" s="289"/>
      <c r="AP114" s="289"/>
      <c r="AQ114" s="289"/>
      <c r="AR114" s="243"/>
      <c r="AS114" s="243"/>
      <c r="AT114" s="243"/>
      <c r="AU114" s="243"/>
      <c r="AV114" s="243"/>
      <c r="AW114" s="243"/>
      <c r="AX114" s="243"/>
      <c r="AY114" s="243"/>
      <c r="AZ114" s="243"/>
      <c r="BA114" s="243"/>
      <c r="BB114" s="243"/>
      <c r="BC114" s="243"/>
      <c r="BD114" s="243"/>
      <c r="BE114" s="243"/>
      <c r="BF114" s="246"/>
      <c r="BG114" s="246"/>
      <c r="BH114" s="243"/>
      <c r="BI114" s="243"/>
      <c r="BJ114" s="243"/>
      <c r="BK114" s="243"/>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row>
    <row r="115" spans="1:94">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9"/>
      <c r="AL115" s="289"/>
      <c r="AM115" s="289"/>
      <c r="AN115" s="289"/>
      <c r="AO115" s="289"/>
      <c r="AP115" s="289"/>
      <c r="AQ115" s="289"/>
      <c r="AR115" s="243"/>
      <c r="AS115" s="243"/>
      <c r="AT115" s="243"/>
      <c r="AU115" s="243"/>
      <c r="AV115" s="243"/>
      <c r="AW115" s="243"/>
      <c r="AX115" s="243"/>
      <c r="AY115" s="243"/>
      <c r="AZ115" s="243"/>
      <c r="BA115" s="243"/>
      <c r="BB115" s="243"/>
      <c r="BC115" s="243"/>
      <c r="BD115" s="243"/>
      <c r="BE115" s="243"/>
      <c r="BF115" s="246"/>
      <c r="BG115" s="246"/>
      <c r="BH115" s="243"/>
      <c r="BI115" s="243"/>
      <c r="BJ115" s="243"/>
      <c r="BK115" s="243"/>
      <c r="BL115" s="243"/>
      <c r="BM115" s="243"/>
      <c r="BN115" s="243"/>
      <c r="BO115" s="243"/>
      <c r="BP115" s="243"/>
      <c r="BQ115" s="243"/>
      <c r="BR115" s="243"/>
      <c r="BS115" s="243"/>
      <c r="BT115" s="243"/>
      <c r="BU115" s="243"/>
      <c r="BV115" s="243"/>
      <c r="BW115" s="243"/>
      <c r="BX115" s="243"/>
      <c r="BY115" s="243"/>
      <c r="BZ115" s="243"/>
      <c r="CA115" s="243"/>
      <c r="CB115" s="243"/>
      <c r="CC115" s="243"/>
      <c r="CD115" s="243"/>
      <c r="CE115" s="243"/>
      <c r="CF115" s="243"/>
      <c r="CG115" s="243"/>
      <c r="CH115" s="243"/>
      <c r="CI115" s="243"/>
      <c r="CJ115" s="243"/>
      <c r="CK115" s="243"/>
      <c r="CL115" s="243"/>
      <c r="CM115" s="243"/>
      <c r="CN115" s="243"/>
      <c r="CO115" s="243"/>
      <c r="CP115" s="243"/>
    </row>
    <row r="116" spans="1:94">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9"/>
      <c r="AL116" s="289"/>
      <c r="AM116" s="289"/>
      <c r="AN116" s="289"/>
      <c r="AO116" s="289"/>
      <c r="AP116" s="289"/>
      <c r="AQ116" s="289"/>
      <c r="AR116" s="243"/>
      <c r="AS116" s="243"/>
      <c r="AT116" s="243"/>
      <c r="AU116" s="243"/>
      <c r="AV116" s="243"/>
      <c r="AW116" s="243"/>
      <c r="AX116" s="243"/>
      <c r="AY116" s="243"/>
      <c r="AZ116" s="243"/>
      <c r="BA116" s="243"/>
      <c r="BB116" s="243"/>
      <c r="BC116" s="243"/>
      <c r="BD116" s="243"/>
      <c r="BE116" s="243"/>
      <c r="BF116" s="246"/>
      <c r="BG116" s="246"/>
      <c r="BH116" s="243"/>
      <c r="BI116" s="243"/>
      <c r="BJ116" s="243"/>
      <c r="BK116" s="243"/>
      <c r="BL116" s="243"/>
      <c r="BM116" s="243"/>
      <c r="BN116" s="243"/>
      <c r="BO116" s="243"/>
      <c r="BP116" s="243"/>
      <c r="BQ116" s="243"/>
      <c r="BR116" s="243"/>
      <c r="BS116" s="243"/>
      <c r="BT116" s="243"/>
      <c r="BU116" s="243"/>
      <c r="BV116" s="243"/>
      <c r="BW116" s="243"/>
      <c r="BX116" s="243"/>
      <c r="BY116" s="243"/>
      <c r="BZ116" s="243"/>
      <c r="CA116" s="243"/>
      <c r="CB116" s="243"/>
      <c r="CC116" s="243"/>
      <c r="CD116" s="243"/>
      <c r="CE116" s="243"/>
      <c r="CF116" s="243"/>
      <c r="CG116" s="243"/>
      <c r="CH116" s="243"/>
      <c r="CI116" s="243"/>
      <c r="CJ116" s="243"/>
      <c r="CK116" s="243"/>
      <c r="CL116" s="243"/>
      <c r="CM116" s="243"/>
      <c r="CN116" s="243"/>
      <c r="CO116" s="243"/>
      <c r="CP116" s="243"/>
    </row>
    <row r="117" spans="1:94">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9"/>
      <c r="AL117" s="289"/>
      <c r="AM117" s="289"/>
      <c r="AN117" s="289"/>
      <c r="AO117" s="289"/>
      <c r="AP117" s="289"/>
      <c r="AQ117" s="289"/>
      <c r="AR117" s="243"/>
      <c r="AS117" s="243"/>
      <c r="AT117" s="243"/>
      <c r="AU117" s="243"/>
      <c r="AV117" s="243"/>
      <c r="AW117" s="243"/>
      <c r="AX117" s="243"/>
      <c r="AY117" s="243"/>
      <c r="AZ117" s="243"/>
      <c r="BA117" s="243"/>
      <c r="BB117" s="243"/>
      <c r="BC117" s="243"/>
      <c r="BD117" s="243"/>
      <c r="BE117" s="243"/>
      <c r="BF117" s="246"/>
      <c r="BG117" s="246"/>
      <c r="BH117" s="243"/>
      <c r="BI117" s="243"/>
      <c r="BJ117" s="243"/>
      <c r="BK117" s="243"/>
      <c r="BL117" s="243"/>
      <c r="BM117" s="243"/>
      <c r="BN117" s="243"/>
      <c r="BO117" s="243"/>
      <c r="BP117" s="243"/>
      <c r="BQ117" s="243"/>
      <c r="BR117" s="243"/>
      <c r="BS117" s="243"/>
      <c r="BT117" s="243"/>
      <c r="BU117" s="243"/>
      <c r="BV117" s="243"/>
      <c r="BW117" s="243"/>
      <c r="BX117" s="243"/>
      <c r="BY117" s="243"/>
      <c r="BZ117" s="243"/>
      <c r="CA117" s="243"/>
      <c r="CB117" s="243"/>
      <c r="CC117" s="243"/>
      <c r="CD117" s="243"/>
      <c r="CE117" s="243"/>
      <c r="CF117" s="243"/>
      <c r="CG117" s="243"/>
      <c r="CH117" s="243"/>
      <c r="CI117" s="243"/>
      <c r="CJ117" s="243"/>
      <c r="CK117" s="243"/>
      <c r="CL117" s="243"/>
      <c r="CM117" s="243"/>
      <c r="CN117" s="243"/>
      <c r="CO117" s="243"/>
      <c r="CP117" s="243"/>
    </row>
    <row r="118" spans="1:94">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9"/>
      <c r="AL118" s="289"/>
      <c r="AM118" s="289"/>
      <c r="AN118" s="289"/>
      <c r="AO118" s="289"/>
      <c r="AP118" s="289"/>
      <c r="AQ118" s="289"/>
      <c r="AR118" s="243"/>
      <c r="AS118" s="243"/>
      <c r="AT118" s="243"/>
      <c r="AU118" s="243"/>
      <c r="AV118" s="243"/>
      <c r="AW118" s="243"/>
      <c r="AX118" s="243"/>
      <c r="AY118" s="243"/>
      <c r="AZ118" s="243"/>
      <c r="BA118" s="243"/>
      <c r="BB118" s="243"/>
      <c r="BC118" s="243"/>
      <c r="BD118" s="243"/>
      <c r="BE118" s="243"/>
      <c r="BF118" s="246"/>
      <c r="BG118" s="246"/>
      <c r="BH118" s="243"/>
      <c r="BI118" s="243"/>
      <c r="BJ118" s="243"/>
      <c r="BK118" s="243"/>
      <c r="BL118" s="243"/>
      <c r="BM118" s="243"/>
      <c r="BN118" s="243"/>
      <c r="BO118" s="243"/>
      <c r="BP118" s="243"/>
      <c r="BQ118" s="243"/>
      <c r="BR118" s="243"/>
      <c r="BS118" s="243"/>
      <c r="BT118" s="243"/>
      <c r="BU118" s="243"/>
      <c r="BV118" s="243"/>
      <c r="BW118" s="243"/>
      <c r="BX118" s="243"/>
      <c r="BY118" s="243"/>
      <c r="BZ118" s="243"/>
      <c r="CA118" s="243"/>
      <c r="CB118" s="243"/>
      <c r="CC118" s="243"/>
      <c r="CD118" s="243"/>
      <c r="CE118" s="243"/>
      <c r="CF118" s="243"/>
      <c r="CG118" s="243"/>
      <c r="CH118" s="243"/>
      <c r="CI118" s="243"/>
      <c r="CJ118" s="243"/>
      <c r="CK118" s="243"/>
      <c r="CL118" s="243"/>
      <c r="CM118" s="243"/>
      <c r="CN118" s="243"/>
      <c r="CO118" s="243"/>
      <c r="CP118" s="243"/>
    </row>
    <row r="119" spans="1:94">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9"/>
      <c r="AL119" s="289"/>
      <c r="AM119" s="289"/>
      <c r="AN119" s="289"/>
      <c r="AO119" s="289"/>
      <c r="AP119" s="289"/>
      <c r="AQ119" s="289"/>
      <c r="AR119" s="243"/>
      <c r="AS119" s="243"/>
      <c r="AT119" s="243"/>
      <c r="AU119" s="243"/>
      <c r="AV119" s="243"/>
      <c r="AW119" s="243"/>
      <c r="AX119" s="243"/>
      <c r="AY119" s="243"/>
      <c r="AZ119" s="243"/>
      <c r="BA119" s="243"/>
      <c r="BB119" s="243"/>
      <c r="BC119" s="243"/>
      <c r="BD119" s="243"/>
      <c r="BE119" s="243"/>
      <c r="BF119" s="246"/>
      <c r="BG119" s="246"/>
      <c r="BH119" s="243"/>
      <c r="BI119" s="243"/>
      <c r="BJ119" s="243"/>
      <c r="BK119" s="243"/>
      <c r="BL119" s="243"/>
      <c r="BM119" s="243"/>
      <c r="BN119" s="243"/>
      <c r="BO119" s="243"/>
      <c r="BP119" s="243"/>
      <c r="BQ119" s="243"/>
      <c r="BR119" s="243"/>
      <c r="BS119" s="243"/>
      <c r="BT119" s="243"/>
      <c r="BU119" s="243"/>
      <c r="BV119" s="243"/>
      <c r="BW119" s="243"/>
      <c r="BX119" s="243"/>
      <c r="BY119" s="243"/>
      <c r="BZ119" s="243"/>
      <c r="CA119" s="243"/>
      <c r="CB119" s="243"/>
      <c r="CC119" s="243"/>
      <c r="CD119" s="243"/>
      <c r="CE119" s="243"/>
      <c r="CF119" s="243"/>
      <c r="CG119" s="243"/>
      <c r="CH119" s="243"/>
      <c r="CI119" s="243"/>
      <c r="CJ119" s="243"/>
      <c r="CK119" s="243"/>
      <c r="CL119" s="243"/>
      <c r="CM119" s="243"/>
      <c r="CN119" s="243"/>
      <c r="CO119" s="243"/>
      <c r="CP119" s="243"/>
    </row>
    <row r="120" spans="1:94">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9"/>
      <c r="AL120" s="289"/>
      <c r="AM120" s="289"/>
      <c r="AN120" s="289"/>
      <c r="AO120" s="289"/>
      <c r="AP120" s="289"/>
      <c r="AQ120" s="289"/>
      <c r="AR120" s="243"/>
      <c r="AS120" s="243"/>
      <c r="AT120" s="243"/>
      <c r="AU120" s="243"/>
      <c r="AV120" s="243"/>
      <c r="AW120" s="243"/>
      <c r="AX120" s="243"/>
      <c r="AY120" s="243"/>
      <c r="AZ120" s="243"/>
      <c r="BA120" s="243"/>
      <c r="BB120" s="243"/>
      <c r="BC120" s="243"/>
      <c r="BD120" s="243"/>
      <c r="BE120" s="243"/>
      <c r="BF120" s="246"/>
      <c r="BG120" s="246"/>
      <c r="BH120" s="243"/>
      <c r="BI120" s="243"/>
      <c r="BJ120" s="243"/>
      <c r="BK120" s="243"/>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row>
    <row r="121" spans="1:94">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9"/>
      <c r="AL121" s="289"/>
      <c r="AM121" s="289"/>
      <c r="AN121" s="289"/>
      <c r="AO121" s="289"/>
      <c r="AP121" s="289"/>
      <c r="AQ121" s="289"/>
      <c r="AR121" s="243"/>
      <c r="AS121" s="243"/>
      <c r="AT121" s="243"/>
      <c r="AU121" s="243"/>
      <c r="AV121" s="243"/>
      <c r="AW121" s="243"/>
      <c r="AX121" s="243"/>
      <c r="AY121" s="243"/>
      <c r="AZ121" s="243"/>
      <c r="BA121" s="243"/>
      <c r="BB121" s="243"/>
      <c r="BC121" s="243"/>
      <c r="BD121" s="243"/>
      <c r="BE121" s="243"/>
      <c r="BF121" s="246"/>
      <c r="BG121" s="246"/>
      <c r="BH121" s="243"/>
      <c r="BI121" s="243"/>
      <c r="BJ121" s="243"/>
      <c r="BK121" s="243"/>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row>
    <row r="122" spans="1:94">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9"/>
      <c r="AL122" s="289"/>
      <c r="AM122" s="289"/>
      <c r="AN122" s="289"/>
      <c r="AO122" s="289"/>
      <c r="AP122" s="289"/>
      <c r="AQ122" s="289"/>
      <c r="AR122" s="243"/>
      <c r="AS122" s="243"/>
      <c r="AT122" s="243"/>
      <c r="AU122" s="243"/>
      <c r="AV122" s="243"/>
      <c r="AW122" s="243"/>
      <c r="AX122" s="243"/>
      <c r="AY122" s="243"/>
      <c r="AZ122" s="243"/>
      <c r="BA122" s="243"/>
      <c r="BB122" s="243"/>
      <c r="BC122" s="243"/>
      <c r="BD122" s="243"/>
      <c r="BE122" s="243"/>
      <c r="BF122" s="246"/>
      <c r="BG122" s="246"/>
      <c r="BH122" s="243"/>
      <c r="BI122" s="243"/>
      <c r="BJ122" s="243"/>
      <c r="BK122" s="243"/>
      <c r="BL122" s="243"/>
      <c r="BM122" s="243"/>
      <c r="BN122" s="243"/>
      <c r="BO122" s="243"/>
      <c r="BP122" s="243"/>
      <c r="BQ122" s="243"/>
      <c r="BR122" s="243"/>
      <c r="BS122" s="243"/>
      <c r="BT122" s="243"/>
      <c r="BU122" s="243"/>
      <c r="BV122" s="243"/>
      <c r="BW122" s="243"/>
      <c r="BX122" s="243"/>
      <c r="BY122" s="243"/>
      <c r="BZ122" s="243"/>
      <c r="CA122" s="243"/>
      <c r="CB122" s="243"/>
      <c r="CC122" s="243"/>
      <c r="CD122" s="243"/>
      <c r="CE122" s="243"/>
      <c r="CF122" s="243"/>
      <c r="CG122" s="243"/>
      <c r="CH122" s="243"/>
      <c r="CI122" s="243"/>
      <c r="CJ122" s="243"/>
      <c r="CK122" s="243"/>
      <c r="CL122" s="243"/>
      <c r="CM122" s="243"/>
      <c r="CN122" s="243"/>
      <c r="CO122" s="243"/>
      <c r="CP122" s="243"/>
    </row>
    <row r="123" spans="1:94">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9"/>
      <c r="AL123" s="289"/>
      <c r="AM123" s="289"/>
      <c r="AN123" s="289"/>
      <c r="AO123" s="289"/>
      <c r="AP123" s="289"/>
      <c r="AQ123" s="289"/>
      <c r="AR123" s="243"/>
      <c r="AS123" s="243"/>
      <c r="AT123" s="243"/>
      <c r="AU123" s="243"/>
      <c r="AV123" s="243"/>
      <c r="AW123" s="243"/>
      <c r="AX123" s="243"/>
      <c r="AY123" s="243"/>
      <c r="AZ123" s="243"/>
      <c r="BA123" s="243"/>
      <c r="BB123" s="243"/>
      <c r="BC123" s="243"/>
      <c r="BD123" s="243"/>
      <c r="BE123" s="243"/>
      <c r="BF123" s="246"/>
      <c r="BG123" s="246"/>
      <c r="BH123" s="243"/>
      <c r="BI123" s="243"/>
      <c r="BJ123" s="243"/>
      <c r="BK123" s="243"/>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row>
    <row r="124" spans="1:94">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9"/>
      <c r="AL124" s="289"/>
      <c r="AM124" s="289"/>
      <c r="AN124" s="289"/>
      <c r="AO124" s="289"/>
      <c r="AP124" s="289"/>
      <c r="AQ124" s="289"/>
      <c r="AR124" s="243"/>
      <c r="AS124" s="243"/>
      <c r="AT124" s="243"/>
      <c r="AU124" s="243"/>
      <c r="AV124" s="243"/>
      <c r="AW124" s="243"/>
      <c r="AX124" s="243"/>
      <c r="AY124" s="243"/>
      <c r="AZ124" s="243"/>
      <c r="BA124" s="243"/>
      <c r="BB124" s="243"/>
      <c r="BC124" s="243"/>
      <c r="BD124" s="243"/>
      <c r="BE124" s="243"/>
      <c r="BF124" s="246"/>
      <c r="BG124" s="246"/>
      <c r="BH124" s="243"/>
      <c r="BI124" s="243"/>
      <c r="BJ124" s="243"/>
      <c r="BK124" s="243"/>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row>
    <row r="125" spans="1:94">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c r="AD125" s="288"/>
      <c r="AE125" s="288"/>
      <c r="AF125" s="288"/>
      <c r="AG125" s="288"/>
      <c r="AH125" s="288"/>
      <c r="AI125" s="288"/>
      <c r="AJ125" s="288"/>
      <c r="AK125" s="289"/>
      <c r="AL125" s="289"/>
      <c r="AM125" s="289"/>
      <c r="AN125" s="289"/>
      <c r="AO125" s="289"/>
      <c r="AP125" s="289"/>
      <c r="AQ125" s="289"/>
      <c r="AR125" s="243"/>
      <c r="AS125" s="243"/>
      <c r="AT125" s="243"/>
      <c r="AU125" s="243"/>
      <c r="AV125" s="243"/>
      <c r="AW125" s="243"/>
      <c r="AX125" s="243"/>
      <c r="AY125" s="243"/>
      <c r="AZ125" s="243"/>
      <c r="BA125" s="243"/>
      <c r="BB125" s="243"/>
      <c r="BC125" s="243"/>
      <c r="BD125" s="243"/>
      <c r="BE125" s="243"/>
      <c r="BF125" s="246"/>
      <c r="BG125" s="246"/>
      <c r="BH125" s="243"/>
      <c r="BI125" s="243"/>
      <c r="BJ125" s="243"/>
      <c r="BK125" s="243"/>
      <c r="BL125" s="243"/>
      <c r="BM125" s="243"/>
      <c r="BN125" s="243"/>
      <c r="BO125" s="243"/>
      <c r="BP125" s="243"/>
      <c r="BQ125" s="243"/>
      <c r="BR125" s="243"/>
      <c r="BS125" s="243"/>
      <c r="BT125" s="243"/>
      <c r="BU125" s="243"/>
      <c r="BV125" s="243"/>
      <c r="BW125" s="243"/>
      <c r="BX125" s="243"/>
      <c r="BY125" s="243"/>
      <c r="BZ125" s="243"/>
      <c r="CA125" s="243"/>
      <c r="CB125" s="243"/>
      <c r="CC125" s="243"/>
      <c r="CD125" s="243"/>
      <c r="CE125" s="243"/>
      <c r="CF125" s="243"/>
      <c r="CG125" s="243"/>
      <c r="CH125" s="243"/>
      <c r="CI125" s="243"/>
      <c r="CJ125" s="243"/>
      <c r="CK125" s="243"/>
      <c r="CL125" s="243"/>
      <c r="CM125" s="243"/>
      <c r="CN125" s="243"/>
      <c r="CO125" s="243"/>
      <c r="CP125" s="243"/>
    </row>
  </sheetData>
  <sheetProtection algorithmName="SHA-512" hashValue="7btHhhJA0AvxI9ipm/fIY0CBqCTfExr+ayf3DaE1/laZS5qJRAT6OxpTE4cGaHFVDDrceguYjB3AUI+WFeU8Bw==" saltValue="p23KJSYxHy5DZukYF48Vcw==" spinCount="100000" sheet="1" objects="1" scenarios="1" selectLockedCells="1" selectUnlockedCells="1"/>
  <mergeCells count="343">
    <mergeCell ref="P58:Q58"/>
    <mergeCell ref="P59:Q59"/>
    <mergeCell ref="L58:M58"/>
    <mergeCell ref="N58:O58"/>
    <mergeCell ref="L56:M56"/>
    <mergeCell ref="N56:O56"/>
    <mergeCell ref="L59:M59"/>
    <mergeCell ref="N59:O59"/>
    <mergeCell ref="L62:M62"/>
    <mergeCell ref="N62:O62"/>
    <mergeCell ref="L60:M60"/>
    <mergeCell ref="N60:O60"/>
    <mergeCell ref="L61:M61"/>
    <mergeCell ref="N61:O61"/>
    <mergeCell ref="P60:Q60"/>
    <mergeCell ref="P61:Q61"/>
    <mergeCell ref="P62:Q62"/>
    <mergeCell ref="T53:U53"/>
    <mergeCell ref="L54:M54"/>
    <mergeCell ref="L57:M57"/>
    <mergeCell ref="N57:O57"/>
    <mergeCell ref="P55:Q55"/>
    <mergeCell ref="P56:Q56"/>
    <mergeCell ref="P57:Q57"/>
    <mergeCell ref="L55:M55"/>
    <mergeCell ref="N55:O55"/>
    <mergeCell ref="P54:Q54"/>
    <mergeCell ref="A53:E53"/>
    <mergeCell ref="F53:G53"/>
    <mergeCell ref="H53:I53"/>
    <mergeCell ref="J53:K53"/>
    <mergeCell ref="L53:M53"/>
    <mergeCell ref="N53:O53"/>
    <mergeCell ref="R51:S51"/>
    <mergeCell ref="T51:U51"/>
    <mergeCell ref="F52:G52"/>
    <mergeCell ref="H52:I52"/>
    <mergeCell ref="J52:K52"/>
    <mergeCell ref="L52:M52"/>
    <mergeCell ref="N52:O52"/>
    <mergeCell ref="P52:Q52"/>
    <mergeCell ref="R52:S52"/>
    <mergeCell ref="T52:U52"/>
    <mergeCell ref="F51:G51"/>
    <mergeCell ref="H51:I51"/>
    <mergeCell ref="J51:K51"/>
    <mergeCell ref="L51:M51"/>
    <mergeCell ref="N51:O51"/>
    <mergeCell ref="P51:Q51"/>
    <mergeCell ref="P53:Q53"/>
    <mergeCell ref="R53:S53"/>
    <mergeCell ref="R49:S49"/>
    <mergeCell ref="T49:U49"/>
    <mergeCell ref="F50:G50"/>
    <mergeCell ref="H50:I50"/>
    <mergeCell ref="J50:K50"/>
    <mergeCell ref="L50:M50"/>
    <mergeCell ref="N50:O50"/>
    <mergeCell ref="P50:Q50"/>
    <mergeCell ref="R50:S50"/>
    <mergeCell ref="T50:U50"/>
    <mergeCell ref="F49:G49"/>
    <mergeCell ref="H49:I49"/>
    <mergeCell ref="J49:K49"/>
    <mergeCell ref="L49:M49"/>
    <mergeCell ref="N49:O49"/>
    <mergeCell ref="P49:Q49"/>
    <mergeCell ref="R47:S47"/>
    <mergeCell ref="T47:U47"/>
    <mergeCell ref="F48:G48"/>
    <mergeCell ref="H48:I48"/>
    <mergeCell ref="J48:K48"/>
    <mergeCell ref="L48:M48"/>
    <mergeCell ref="N48:O48"/>
    <mergeCell ref="P48:Q48"/>
    <mergeCell ref="R48:S48"/>
    <mergeCell ref="T48:U48"/>
    <mergeCell ref="F47:G47"/>
    <mergeCell ref="H47:I47"/>
    <mergeCell ref="J47:K47"/>
    <mergeCell ref="L47:M47"/>
    <mergeCell ref="N47:O47"/>
    <mergeCell ref="P47:Q47"/>
    <mergeCell ref="R45:S45"/>
    <mergeCell ref="T45:U45"/>
    <mergeCell ref="F46:G46"/>
    <mergeCell ref="H46:I46"/>
    <mergeCell ref="J46:K46"/>
    <mergeCell ref="L46:M46"/>
    <mergeCell ref="N46:O46"/>
    <mergeCell ref="P46:Q46"/>
    <mergeCell ref="R46:S46"/>
    <mergeCell ref="T46:U46"/>
    <mergeCell ref="F45:G45"/>
    <mergeCell ref="H45:I45"/>
    <mergeCell ref="J45:K45"/>
    <mergeCell ref="L45:M45"/>
    <mergeCell ref="N45:O45"/>
    <mergeCell ref="P45:Q45"/>
    <mergeCell ref="R43:S43"/>
    <mergeCell ref="T43:U43"/>
    <mergeCell ref="F44:G44"/>
    <mergeCell ref="H44:I44"/>
    <mergeCell ref="J44:K44"/>
    <mergeCell ref="L44:M44"/>
    <mergeCell ref="N44:O44"/>
    <mergeCell ref="P44:Q44"/>
    <mergeCell ref="R44:S44"/>
    <mergeCell ref="T44:U44"/>
    <mergeCell ref="F43:G43"/>
    <mergeCell ref="H43:I43"/>
    <mergeCell ref="J43:K43"/>
    <mergeCell ref="L43:M43"/>
    <mergeCell ref="N43:O43"/>
    <mergeCell ref="P43:Q43"/>
    <mergeCell ref="R41:S41"/>
    <mergeCell ref="T41:U41"/>
    <mergeCell ref="F42:G42"/>
    <mergeCell ref="H42:I42"/>
    <mergeCell ref="J42:K42"/>
    <mergeCell ref="L42:M42"/>
    <mergeCell ref="N42:O42"/>
    <mergeCell ref="P42:Q42"/>
    <mergeCell ref="R42:S42"/>
    <mergeCell ref="T42:U42"/>
    <mergeCell ref="F41:G41"/>
    <mergeCell ref="H41:I41"/>
    <mergeCell ref="J41:K41"/>
    <mergeCell ref="L41:M41"/>
    <mergeCell ref="N41:O41"/>
    <mergeCell ref="P41:Q41"/>
    <mergeCell ref="R39:S39"/>
    <mergeCell ref="T39:U39"/>
    <mergeCell ref="F40:G40"/>
    <mergeCell ref="H40:I40"/>
    <mergeCell ref="J40:K40"/>
    <mergeCell ref="L40:M40"/>
    <mergeCell ref="N40:O40"/>
    <mergeCell ref="P40:Q40"/>
    <mergeCell ref="R40:S40"/>
    <mergeCell ref="T40:U40"/>
    <mergeCell ref="F39:G39"/>
    <mergeCell ref="H39:I39"/>
    <mergeCell ref="J39:K39"/>
    <mergeCell ref="L39:M39"/>
    <mergeCell ref="N39:O39"/>
    <mergeCell ref="P39:Q39"/>
    <mergeCell ref="R37:S37"/>
    <mergeCell ref="T37:U37"/>
    <mergeCell ref="F38:G38"/>
    <mergeCell ref="H38:I38"/>
    <mergeCell ref="J38:K38"/>
    <mergeCell ref="L38:M38"/>
    <mergeCell ref="N38:O38"/>
    <mergeCell ref="P38:Q38"/>
    <mergeCell ref="R38:S38"/>
    <mergeCell ref="T38:U38"/>
    <mergeCell ref="F37:G37"/>
    <mergeCell ref="H37:I37"/>
    <mergeCell ref="J37:K37"/>
    <mergeCell ref="L37:M37"/>
    <mergeCell ref="N37:O37"/>
    <mergeCell ref="P37:Q37"/>
    <mergeCell ref="R35:S35"/>
    <mergeCell ref="T35:U35"/>
    <mergeCell ref="F36:G36"/>
    <mergeCell ref="H36:I36"/>
    <mergeCell ref="J36:K36"/>
    <mergeCell ref="L36:M36"/>
    <mergeCell ref="N36:O36"/>
    <mergeCell ref="P36:Q36"/>
    <mergeCell ref="R36:S36"/>
    <mergeCell ref="T36:U36"/>
    <mergeCell ref="F35:G35"/>
    <mergeCell ref="H35:I35"/>
    <mergeCell ref="J35:K35"/>
    <mergeCell ref="L35:M35"/>
    <mergeCell ref="N35:O35"/>
    <mergeCell ref="P35:Q35"/>
    <mergeCell ref="R33:S33"/>
    <mergeCell ref="T33:U33"/>
    <mergeCell ref="F34:G34"/>
    <mergeCell ref="H34:I34"/>
    <mergeCell ref="J34:K34"/>
    <mergeCell ref="L34:M34"/>
    <mergeCell ref="N34:O34"/>
    <mergeCell ref="P34:Q34"/>
    <mergeCell ref="R34:S34"/>
    <mergeCell ref="T34:U34"/>
    <mergeCell ref="F33:G33"/>
    <mergeCell ref="H33:I33"/>
    <mergeCell ref="J33:K33"/>
    <mergeCell ref="L33:M33"/>
    <mergeCell ref="N33:O33"/>
    <mergeCell ref="P33:Q33"/>
    <mergeCell ref="F32:G32"/>
    <mergeCell ref="H32:I32"/>
    <mergeCell ref="J32:K32"/>
    <mergeCell ref="L32:M32"/>
    <mergeCell ref="N32:O32"/>
    <mergeCell ref="P32:Q32"/>
    <mergeCell ref="R32:S32"/>
    <mergeCell ref="T32:U32"/>
    <mergeCell ref="F31:G31"/>
    <mergeCell ref="H31:I31"/>
    <mergeCell ref="J31:K31"/>
    <mergeCell ref="L31:M31"/>
    <mergeCell ref="N31:O31"/>
    <mergeCell ref="P31:Q31"/>
    <mergeCell ref="A28:E28"/>
    <mergeCell ref="F28:U28"/>
    <mergeCell ref="W28:AJ31"/>
    <mergeCell ref="F29:I30"/>
    <mergeCell ref="J29:M29"/>
    <mergeCell ref="N29:O30"/>
    <mergeCell ref="P29:U30"/>
    <mergeCell ref="J30:K30"/>
    <mergeCell ref="L30:M30"/>
    <mergeCell ref="A31:E31"/>
    <mergeCell ref="R31:S31"/>
    <mergeCell ref="T31:U31"/>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F53:M53 P53:S53">
    <cfRule type="expression" dxfId="270" priority="4" stopIfTrue="1">
      <formula>F53=0</formula>
    </cfRule>
  </conditionalFormatting>
  <conditionalFormatting sqref="H32:AK33 H34:W37 AA34:AK37 H38:AK52">
    <cfRule type="expression" dxfId="269" priority="3">
      <formula>H32=0</formula>
    </cfRule>
  </conditionalFormatting>
  <conditionalFormatting sqref="V53:AC53">
    <cfRule type="expression" dxfId="268" priority="5" stopIfTrue="1">
      <formula>V53=0</formula>
    </cfRule>
  </conditionalFormatting>
  <conditionalFormatting sqref="Z34:Z37">
    <cfRule type="expression" dxfId="267" priority="1">
      <formula>(Z34&lt;&gt;0)</formula>
    </cfRule>
    <cfRule type="expression" dxfId="266" priority="2">
      <formula>(Z34=0)</formula>
    </cfRule>
  </conditionalFormatting>
  <conditionalFormatting sqref="AF53:AI53 N57 N59">
    <cfRule type="expression" dxfId="265" priority="6" stopIfTrue="1">
      <formula>N53=0</formula>
    </cfRule>
  </conditionalFormatting>
  <pageMargins left="0.74803149606299213" right="0.19685039370078741" top="0.39370078740157483" bottom="0.39370078740157483" header="0.19685039370078741" footer="0.19685039370078741"/>
  <pageSetup paperSize="9" scale="61"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72"/>
  <sheetViews>
    <sheetView topLeftCell="A18" workbookViewId="0">
      <selection activeCell="E6" sqref="E6"/>
    </sheetView>
  </sheetViews>
  <sheetFormatPr defaultRowHeight="12.75"/>
  <cols>
    <col min="1" max="1" width="4" style="2" customWidth="1"/>
    <col min="2" max="2" width="3.7109375" style="2" customWidth="1"/>
    <col min="3" max="3" width="6.42578125" style="2" customWidth="1"/>
    <col min="4" max="11" width="9.140625" style="2"/>
    <col min="12" max="12" width="11.28515625" style="2" customWidth="1"/>
    <col min="13" max="16384" width="9.140625" style="2"/>
  </cols>
  <sheetData>
    <row r="1" spans="1:17">
      <c r="A1" s="866" t="s">
        <v>21</v>
      </c>
      <c r="B1" s="867"/>
      <c r="C1" s="867"/>
      <c r="D1" s="867"/>
      <c r="E1" s="867"/>
      <c r="F1" s="867"/>
      <c r="G1" s="867"/>
      <c r="H1" s="867"/>
      <c r="I1" s="867"/>
      <c r="J1" s="867"/>
      <c r="K1" s="867"/>
      <c r="L1" s="867"/>
      <c r="M1" s="867"/>
      <c r="N1" s="867"/>
      <c r="O1" s="868"/>
    </row>
    <row r="2" spans="1:17">
      <c r="A2" s="869"/>
      <c r="B2" s="870"/>
      <c r="C2" s="870"/>
      <c r="D2" s="870"/>
      <c r="E2" s="870"/>
      <c r="F2" s="870"/>
      <c r="G2" s="870"/>
      <c r="H2" s="870"/>
      <c r="I2" s="870"/>
      <c r="J2" s="870"/>
      <c r="K2" s="870"/>
      <c r="L2" s="870"/>
      <c r="M2" s="870"/>
      <c r="N2" s="870"/>
      <c r="O2" s="871"/>
    </row>
    <row r="3" spans="1:17">
      <c r="A3" s="869"/>
      <c r="B3" s="870"/>
      <c r="C3" s="870"/>
      <c r="D3" s="870"/>
      <c r="E3" s="870"/>
      <c r="F3" s="870"/>
      <c r="G3" s="870"/>
      <c r="H3" s="870"/>
      <c r="I3" s="870"/>
      <c r="J3" s="870"/>
      <c r="K3" s="870"/>
      <c r="L3" s="870"/>
      <c r="M3" s="870"/>
      <c r="N3" s="870"/>
      <c r="O3" s="871"/>
    </row>
    <row r="4" spans="1:17">
      <c r="A4" s="872"/>
      <c r="B4" s="873"/>
      <c r="C4" s="873"/>
      <c r="D4" s="873"/>
      <c r="E4" s="873"/>
      <c r="F4" s="873"/>
      <c r="G4" s="873"/>
      <c r="H4" s="873"/>
      <c r="I4" s="873"/>
      <c r="J4" s="873"/>
      <c r="K4" s="873"/>
      <c r="L4" s="873"/>
      <c r="M4" s="873"/>
      <c r="N4" s="873"/>
      <c r="O4" s="874"/>
    </row>
    <row r="5" spans="1:17">
      <c r="A5" s="875" t="s">
        <v>22</v>
      </c>
      <c r="B5" s="876"/>
      <c r="C5" s="876"/>
      <c r="D5" s="27" t="str">
        <f>'Emiss. Ops'!$C$2</f>
        <v>OMVP</v>
      </c>
      <c r="E5" s="27"/>
      <c r="F5" s="27"/>
      <c r="G5" s="27"/>
      <c r="H5" s="27"/>
      <c r="I5" s="27"/>
      <c r="J5" s="27"/>
      <c r="K5" s="27"/>
      <c r="L5" s="817" t="s">
        <v>23</v>
      </c>
      <c r="M5" s="877"/>
      <c r="N5" s="877"/>
      <c r="O5" s="878"/>
    </row>
    <row r="6" spans="1:17">
      <c r="A6" s="862" t="s">
        <v>24</v>
      </c>
      <c r="B6" s="863"/>
      <c r="C6" s="863"/>
      <c r="D6" s="30" t="str">
        <f>'Emiss. Ops'!$C$3</f>
        <v>OMV Neptun BAT Study &amp; ESIA</v>
      </c>
      <c r="E6" s="30"/>
      <c r="F6" s="30"/>
      <c r="G6" s="30"/>
      <c r="H6" s="30"/>
      <c r="I6" s="30"/>
      <c r="J6" s="30"/>
      <c r="K6" s="30"/>
      <c r="L6" s="818" t="s">
        <v>25</v>
      </c>
      <c r="M6" s="860"/>
      <c r="N6" s="860"/>
      <c r="O6" s="861"/>
    </row>
    <row r="7" spans="1:17" ht="12.6" customHeight="1">
      <c r="A7" s="862" t="s">
        <v>26</v>
      </c>
      <c r="B7" s="863"/>
      <c r="C7" s="863"/>
      <c r="D7" s="30" t="str">
        <f>'Emiss. Ops'!$C$4</f>
        <v>Emissions Inventory</v>
      </c>
      <c r="E7" s="30"/>
      <c r="F7" s="30"/>
      <c r="G7" s="30"/>
      <c r="H7" s="30"/>
      <c r="I7" s="30"/>
      <c r="J7" s="30"/>
      <c r="K7" s="30"/>
      <c r="L7" s="819" t="s">
        <v>27</v>
      </c>
      <c r="M7" s="30" t="str">
        <f>'Emiss. Ops'!$I$4</f>
        <v>Normal Operations</v>
      </c>
      <c r="N7" s="30"/>
      <c r="O7" s="253"/>
    </row>
    <row r="8" spans="1:17">
      <c r="A8" s="864"/>
      <c r="B8" s="865"/>
      <c r="C8" s="865"/>
      <c r="D8" s="820"/>
      <c r="E8" s="820"/>
      <c r="F8" s="820"/>
      <c r="G8" s="820"/>
      <c r="H8" s="820"/>
      <c r="I8" s="820"/>
      <c r="J8" s="820"/>
      <c r="K8" s="820"/>
      <c r="L8" s="820"/>
      <c r="M8" s="820"/>
      <c r="N8" s="820"/>
      <c r="O8" s="821"/>
    </row>
    <row r="9" spans="1:17">
      <c r="A9" s="858"/>
      <c r="B9" s="859"/>
      <c r="C9" s="859"/>
      <c r="D9" s="251"/>
      <c r="E9" s="251"/>
      <c r="F9" s="251"/>
      <c r="G9" s="251"/>
      <c r="H9" s="251"/>
      <c r="I9" s="251"/>
      <c r="J9" s="251"/>
      <c r="K9" s="251"/>
      <c r="L9" s="822" t="s">
        <v>28</v>
      </c>
      <c r="M9" s="823"/>
      <c r="N9" s="824" t="s">
        <v>29</v>
      </c>
      <c r="O9" s="825"/>
    </row>
    <row r="10" spans="1:17">
      <c r="A10" s="17"/>
      <c r="O10" s="18"/>
    </row>
    <row r="11" spans="1:17">
      <c r="A11" s="17"/>
      <c r="B11" s="1" t="s">
        <v>30</v>
      </c>
      <c r="O11" s="18"/>
    </row>
    <row r="12" spans="1:17" ht="15">
      <c r="A12" s="17"/>
      <c r="B12" s="826" t="s">
        <v>31</v>
      </c>
      <c r="C12" s="827" t="s">
        <v>32</v>
      </c>
      <c r="O12" s="18"/>
      <c r="Q12" s="828">
        <v>4</v>
      </c>
    </row>
    <row r="13" spans="1:17" ht="13.15" customHeight="1">
      <c r="A13" s="17"/>
      <c r="B13" s="826" t="s">
        <v>33</v>
      </c>
      <c r="C13" s="827" t="s">
        <v>34</v>
      </c>
      <c r="O13" s="18"/>
      <c r="Q13" s="828">
        <v>5</v>
      </c>
    </row>
    <row r="14" spans="1:17" ht="15">
      <c r="A14" s="17"/>
      <c r="B14" s="826" t="s">
        <v>35</v>
      </c>
      <c r="C14" s="827" t="s">
        <v>36</v>
      </c>
      <c r="D14" s="829"/>
      <c r="E14" s="829"/>
      <c r="F14" s="829"/>
      <c r="O14" s="18"/>
      <c r="Q14" s="828"/>
    </row>
    <row r="15" spans="1:17" ht="15">
      <c r="A15" s="17"/>
      <c r="B15" s="826"/>
      <c r="C15" s="830" t="s">
        <v>37</v>
      </c>
      <c r="D15" s="831"/>
      <c r="E15" s="831"/>
      <c r="F15" s="831"/>
      <c r="O15" s="18"/>
      <c r="Q15" s="322"/>
    </row>
    <row r="16" spans="1:17" ht="15">
      <c r="A16" s="17"/>
      <c r="B16" s="826" t="s">
        <v>38</v>
      </c>
      <c r="C16" s="827" t="s">
        <v>39</v>
      </c>
      <c r="D16" s="832"/>
      <c r="E16" s="832"/>
      <c r="F16" s="832"/>
      <c r="O16" s="18"/>
      <c r="Q16" s="322">
        <v>11</v>
      </c>
    </row>
    <row r="17" spans="1:18" ht="15">
      <c r="A17" s="17"/>
      <c r="B17" s="826"/>
      <c r="C17" s="830" t="s">
        <v>40</v>
      </c>
      <c r="D17" s="832"/>
      <c r="E17" s="832"/>
      <c r="F17" s="832"/>
      <c r="O17" s="18"/>
      <c r="Q17" s="322"/>
    </row>
    <row r="18" spans="1:18" ht="15">
      <c r="A18" s="17"/>
      <c r="B18" s="826" t="s">
        <v>41</v>
      </c>
      <c r="C18" s="827" t="s">
        <v>42</v>
      </c>
      <c r="D18" s="624"/>
      <c r="E18" s="624"/>
      <c r="F18" s="624"/>
      <c r="O18" s="18"/>
      <c r="Q18" s="828"/>
    </row>
    <row r="19" spans="1:18" ht="15">
      <c r="A19" s="17"/>
      <c r="B19" s="826"/>
      <c r="C19" s="830" t="s">
        <v>43</v>
      </c>
      <c r="O19" s="18"/>
      <c r="Q19" s="322"/>
    </row>
    <row r="20" spans="1:18" ht="15">
      <c r="A20" s="17"/>
      <c r="B20" s="826" t="s">
        <v>44</v>
      </c>
      <c r="C20" s="827" t="s">
        <v>45</v>
      </c>
      <c r="O20" s="18"/>
      <c r="Q20" s="322"/>
    </row>
    <row r="21" spans="1:18" ht="15">
      <c r="A21" s="17"/>
      <c r="B21" s="826" t="s">
        <v>46</v>
      </c>
      <c r="C21" s="827" t="s">
        <v>47</v>
      </c>
      <c r="O21" s="18"/>
      <c r="Q21" s="322">
        <v>2</v>
      </c>
      <c r="R21" s="739"/>
    </row>
    <row r="22" spans="1:18" ht="15">
      <c r="A22" s="17"/>
      <c r="B22" s="826" t="s">
        <v>48</v>
      </c>
      <c r="C22" s="827" t="s">
        <v>49</v>
      </c>
      <c r="O22" s="18"/>
      <c r="Q22" s="322"/>
    </row>
    <row r="23" spans="1:18" ht="15">
      <c r="A23" s="17"/>
      <c r="B23" s="826"/>
      <c r="C23" s="830" t="s">
        <v>50</v>
      </c>
      <c r="O23" s="18"/>
      <c r="Q23" s="322"/>
    </row>
    <row r="24" spans="1:18" ht="15">
      <c r="A24" s="17"/>
      <c r="B24" s="826" t="s">
        <v>51</v>
      </c>
      <c r="C24" s="827" t="s">
        <v>52</v>
      </c>
      <c r="O24" s="18"/>
      <c r="Q24" s="322">
        <v>7</v>
      </c>
    </row>
    <row r="25" spans="1:18" ht="15">
      <c r="A25" s="17"/>
      <c r="B25" s="826"/>
      <c r="C25" s="833" t="s">
        <v>53</v>
      </c>
      <c r="O25" s="18"/>
      <c r="Q25" s="322"/>
    </row>
    <row r="26" spans="1:18" ht="15">
      <c r="A26" s="17"/>
      <c r="B26" s="826" t="s">
        <v>54</v>
      </c>
      <c r="C26" s="827" t="s">
        <v>55</v>
      </c>
      <c r="O26" s="18"/>
      <c r="Q26" s="322">
        <v>8</v>
      </c>
    </row>
    <row r="27" spans="1:18" ht="15">
      <c r="A27" s="17"/>
      <c r="B27" s="826" t="s">
        <v>56</v>
      </c>
      <c r="C27" s="827" t="s">
        <v>57</v>
      </c>
      <c r="O27" s="18"/>
      <c r="Q27" s="322">
        <v>6</v>
      </c>
    </row>
    <row r="28" spans="1:18" ht="15">
      <c r="A28" s="17"/>
      <c r="B28" s="826" t="s">
        <v>58</v>
      </c>
      <c r="C28" s="126" t="s">
        <v>59</v>
      </c>
      <c r="O28" s="18"/>
      <c r="Q28" s="322">
        <v>9</v>
      </c>
    </row>
    <row r="29" spans="1:18" ht="15">
      <c r="A29" s="17"/>
      <c r="B29" s="826" t="s">
        <v>60</v>
      </c>
      <c r="C29" s="834" t="s">
        <v>61</v>
      </c>
      <c r="O29" s="18"/>
      <c r="Q29" s="322"/>
    </row>
    <row r="30" spans="1:18" ht="15">
      <c r="A30" s="17"/>
      <c r="B30" s="826"/>
      <c r="C30" s="126" t="s">
        <v>62</v>
      </c>
      <c r="O30" s="18"/>
      <c r="Q30" s="322">
        <v>10</v>
      </c>
    </row>
    <row r="31" spans="1:18" ht="15">
      <c r="A31" s="17"/>
      <c r="B31" s="826" t="s">
        <v>63</v>
      </c>
      <c r="C31" s="827" t="s">
        <v>64</v>
      </c>
      <c r="O31" s="18"/>
      <c r="Q31" s="322">
        <v>3</v>
      </c>
    </row>
    <row r="32" spans="1:18" ht="15">
      <c r="A32" s="17"/>
      <c r="B32" s="826" t="s">
        <v>65</v>
      </c>
      <c r="C32" s="2" t="s">
        <v>66</v>
      </c>
      <c r="O32" s="18"/>
      <c r="Q32" s="322"/>
    </row>
    <row r="33" spans="1:17" ht="15">
      <c r="A33" s="17"/>
      <c r="B33" s="826" t="s">
        <v>67</v>
      </c>
      <c r="C33" s="827" t="s">
        <v>68</v>
      </c>
      <c r="O33" s="18"/>
      <c r="Q33" s="322"/>
    </row>
    <row r="34" spans="1:17" ht="15">
      <c r="A34" s="17"/>
      <c r="B34" s="826" t="s">
        <v>69</v>
      </c>
      <c r="C34" s="126" t="s">
        <v>70</v>
      </c>
      <c r="O34" s="18"/>
      <c r="Q34" s="322">
        <v>14</v>
      </c>
    </row>
    <row r="35" spans="1:17" ht="15">
      <c r="A35" s="17"/>
      <c r="B35" s="826" t="s">
        <v>71</v>
      </c>
      <c r="C35" s="126" t="s">
        <v>72</v>
      </c>
      <c r="O35" s="18"/>
      <c r="Q35" s="322"/>
    </row>
    <row r="36" spans="1:17" ht="15">
      <c r="A36" s="17"/>
      <c r="B36" s="826" t="s">
        <v>73</v>
      </c>
      <c r="C36" s="2" t="s">
        <v>74</v>
      </c>
      <c r="O36" s="18"/>
      <c r="Q36" s="322">
        <v>15</v>
      </c>
    </row>
    <row r="37" spans="1:17" ht="15">
      <c r="A37" s="17"/>
      <c r="B37" s="826"/>
      <c r="C37" s="2" t="s">
        <v>75</v>
      </c>
      <c r="O37" s="18"/>
      <c r="Q37" s="322">
        <v>1</v>
      </c>
    </row>
    <row r="38" spans="1:17" ht="15">
      <c r="A38" s="17"/>
      <c r="B38" s="826" t="s">
        <v>76</v>
      </c>
      <c r="C38" s="2" t="s">
        <v>77</v>
      </c>
      <c r="O38" s="18"/>
      <c r="Q38" s="322"/>
    </row>
    <row r="39" spans="1:17" ht="15">
      <c r="A39" s="17"/>
      <c r="B39" s="826"/>
      <c r="C39" s="2" t="s">
        <v>78</v>
      </c>
      <c r="O39" s="18"/>
      <c r="Q39" s="322"/>
    </row>
    <row r="40" spans="1:17" ht="15">
      <c r="A40" s="17"/>
      <c r="B40" s="826" t="s">
        <v>79</v>
      </c>
      <c r="C40" s="2" t="s">
        <v>80</v>
      </c>
      <c r="O40" s="18"/>
      <c r="Q40" s="322">
        <v>16</v>
      </c>
    </row>
    <row r="41" spans="1:17" ht="15">
      <c r="A41" s="17"/>
      <c r="B41" s="826" t="s">
        <v>81</v>
      </c>
      <c r="C41" s="827"/>
      <c r="O41" s="18"/>
      <c r="Q41" s="322">
        <v>17</v>
      </c>
    </row>
    <row r="42" spans="1:17" ht="15">
      <c r="A42" s="17"/>
      <c r="B42" s="826" t="s">
        <v>82</v>
      </c>
      <c r="C42" s="827"/>
      <c r="O42" s="18"/>
      <c r="Q42" s="322">
        <v>18</v>
      </c>
    </row>
    <row r="43" spans="1:17" ht="15">
      <c r="A43" s="17"/>
      <c r="B43" s="826" t="s">
        <v>83</v>
      </c>
      <c r="C43" s="827"/>
      <c r="O43" s="18"/>
      <c r="Q43" s="322">
        <v>21</v>
      </c>
    </row>
    <row r="44" spans="1:17" ht="15">
      <c r="A44" s="17"/>
      <c r="B44" s="826" t="s">
        <v>84</v>
      </c>
      <c r="C44" s="827"/>
      <c r="O44" s="18"/>
      <c r="Q44" s="322">
        <v>22</v>
      </c>
    </row>
    <row r="45" spans="1:17" ht="15">
      <c r="A45" s="17"/>
      <c r="B45" s="826" t="s">
        <v>85</v>
      </c>
      <c r="C45" s="827"/>
      <c r="O45" s="18"/>
      <c r="Q45" s="322">
        <v>19</v>
      </c>
    </row>
    <row r="46" spans="1:17" ht="15">
      <c r="A46" s="17"/>
      <c r="B46" s="826" t="s">
        <v>86</v>
      </c>
      <c r="C46" s="827"/>
      <c r="O46" s="18"/>
      <c r="Q46" s="322">
        <v>20</v>
      </c>
    </row>
    <row r="47" spans="1:17" ht="15">
      <c r="A47" s="17"/>
      <c r="B47" s="826"/>
      <c r="C47" s="827"/>
      <c r="O47" s="18"/>
    </row>
    <row r="48" spans="1:17">
      <c r="A48" s="17"/>
      <c r="B48" s="1" t="s">
        <v>87</v>
      </c>
      <c r="C48" s="835"/>
      <c r="O48" s="18"/>
    </row>
    <row r="49" spans="1:15" ht="15">
      <c r="A49" s="17"/>
      <c r="B49" s="826" t="s">
        <v>31</v>
      </c>
      <c r="C49" s="827" t="s">
        <v>88</v>
      </c>
      <c r="O49" s="18"/>
    </row>
    <row r="50" spans="1:15" ht="15">
      <c r="A50" s="17"/>
      <c r="B50" s="826" t="s">
        <v>33</v>
      </c>
      <c r="C50" s="827" t="s">
        <v>89</v>
      </c>
      <c r="O50" s="18"/>
    </row>
    <row r="51" spans="1:15" ht="15">
      <c r="A51" s="17"/>
      <c r="B51" s="826" t="s">
        <v>35</v>
      </c>
      <c r="C51" s="827" t="s">
        <v>90</v>
      </c>
      <c r="O51" s="18"/>
    </row>
    <row r="52" spans="1:15" ht="15">
      <c r="A52" s="17"/>
      <c r="B52" s="826" t="s">
        <v>38</v>
      </c>
      <c r="C52" s="827" t="s">
        <v>91</v>
      </c>
      <c r="O52" s="18"/>
    </row>
    <row r="53" spans="1:15" ht="15">
      <c r="A53" s="17"/>
      <c r="B53" s="826" t="s">
        <v>41</v>
      </c>
      <c r="C53" s="827" t="s">
        <v>92</v>
      </c>
      <c r="O53" s="18"/>
    </row>
    <row r="54" spans="1:15" ht="15">
      <c r="A54" s="17"/>
      <c r="B54" s="826" t="s">
        <v>44</v>
      </c>
      <c r="C54" s="827" t="s">
        <v>93</v>
      </c>
      <c r="O54" s="18"/>
    </row>
    <row r="55" spans="1:15" ht="15">
      <c r="A55" s="17"/>
      <c r="B55" s="826" t="s">
        <v>46</v>
      </c>
      <c r="C55" s="827" t="s">
        <v>94</v>
      </c>
      <c r="O55" s="18"/>
    </row>
    <row r="56" spans="1:15">
      <c r="A56" s="17"/>
      <c r="O56" s="18"/>
    </row>
    <row r="57" spans="1:15">
      <c r="A57" s="17"/>
      <c r="O57" s="18"/>
    </row>
    <row r="58" spans="1:15">
      <c r="A58" s="17"/>
      <c r="O58" s="18"/>
    </row>
    <row r="59" spans="1:15">
      <c r="A59" s="17"/>
      <c r="O59" s="18"/>
    </row>
    <row r="60" spans="1:15">
      <c r="A60" s="17"/>
      <c r="O60" s="18"/>
    </row>
    <row r="61" spans="1:15">
      <c r="A61" s="17"/>
      <c r="O61" s="18"/>
    </row>
    <row r="62" spans="1:15">
      <c r="A62" s="17"/>
      <c r="O62" s="18"/>
    </row>
    <row r="63" spans="1:15">
      <c r="A63" s="17"/>
      <c r="O63" s="18"/>
    </row>
    <row r="64" spans="1:15">
      <c r="A64" s="17"/>
      <c r="O64" s="18"/>
    </row>
    <row r="65" spans="1:15">
      <c r="A65" s="17"/>
      <c r="O65" s="18"/>
    </row>
    <row r="66" spans="1:15">
      <c r="A66" s="17"/>
      <c r="O66" s="18"/>
    </row>
    <row r="67" spans="1:15">
      <c r="A67" s="17"/>
      <c r="O67" s="18"/>
    </row>
    <row r="68" spans="1:15">
      <c r="A68" s="17"/>
      <c r="O68" s="18"/>
    </row>
    <row r="69" spans="1:15">
      <c r="A69" s="17"/>
      <c r="O69" s="18"/>
    </row>
    <row r="70" spans="1:15">
      <c r="A70" s="17"/>
      <c r="O70" s="18"/>
    </row>
    <row r="71" spans="1:15">
      <c r="A71" s="17"/>
      <c r="O71" s="18"/>
    </row>
    <row r="72" spans="1:15">
      <c r="A72" s="20"/>
      <c r="B72" s="21"/>
      <c r="C72" s="21"/>
      <c r="D72" s="21"/>
      <c r="E72" s="21"/>
      <c r="F72" s="21"/>
      <c r="G72" s="21"/>
      <c r="H72" s="21"/>
      <c r="I72" s="21"/>
      <c r="J72" s="21"/>
      <c r="K72" s="21"/>
      <c r="L72" s="21"/>
      <c r="M72" s="21"/>
      <c r="N72" s="21"/>
      <c r="O72" s="22"/>
    </row>
  </sheetData>
  <sheetProtection algorithmName="SHA-512" hashValue="xdIR9XWXdKMAN3EoFfKFVVZqFvK1evN7LI2RR+xXzh6RnOGS2rn8iSaJUMt3UBjrdktL9g3ZWVCRPY1thTAlOg==" saltValue="AGgFHdrjwZlcZP0PZr/50g==" spinCount="100000" sheet="1" objects="1" scenarios="1" selectLockedCells="1" selectUnlockedCells="1"/>
  <mergeCells count="8">
    <mergeCell ref="A9:C9"/>
    <mergeCell ref="M6:O6"/>
    <mergeCell ref="A7:C7"/>
    <mergeCell ref="A8:C8"/>
    <mergeCell ref="A1:O4"/>
    <mergeCell ref="A5:C5"/>
    <mergeCell ref="M5:O5"/>
    <mergeCell ref="A6:C6"/>
  </mergeCells>
  <hyperlinks>
    <hyperlink ref="C17" r:id="rId1" xr:uid="{00000000-0004-0000-0200-000001000000}"/>
    <hyperlink ref="C15" r:id="rId2" xr:uid="{00000000-0004-0000-0200-000002000000}"/>
    <hyperlink ref="C23" r:id="rId3" xr:uid="{00000000-0004-0000-0200-000004000000}"/>
    <hyperlink ref="C25" r:id="rId4" xr:uid="{00000000-0004-0000-0200-000005000000}"/>
    <hyperlink ref="C19" r:id="rId5" xr:uid="{4DCF394D-62EC-4574-8AE8-7B5D14CE4814}"/>
    <hyperlink ref="C28" r:id="rId6" xr:uid="{F1095243-4383-4B90-BD34-6597E024B207}"/>
    <hyperlink ref="C30" r:id="rId7" xr:uid="{7B48B519-FE7A-4A70-8B0D-FD70B3CC60FB}"/>
    <hyperlink ref="C34" r:id="rId8" xr:uid="{2E470613-3A3E-42DC-B40C-95B230DE83C7}"/>
    <hyperlink ref="C35" r:id="rId9" xr:uid="{6C8940F1-EE68-4405-AFB3-54B8BEB88D93}"/>
  </hyperlinks>
  <pageMargins left="0.7" right="0.7" top="0.75" bottom="0.75" header="0.3" footer="0.3"/>
  <pageSetup paperSize="9" orientation="portrait" r:id="rId10"/>
  <headerFooter>
    <oddFooter>&amp;C_x000D_&amp;1#&amp;"Calibri"&amp;10&amp;K000000 Internal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B5FB5-14CE-4DF8-8482-EB7AC46572FB}">
  <sheetPr>
    <tabColor rgb="FF92D050"/>
    <pageSetUpPr fitToPage="1"/>
  </sheetPr>
  <dimension ref="A1:CP125"/>
  <sheetViews>
    <sheetView showGridLines="0" view="pageBreakPreview" zoomScaleNormal="100" zoomScaleSheetLayoutView="100" workbookViewId="0">
      <selection sqref="A1:AK4"/>
    </sheetView>
  </sheetViews>
  <sheetFormatPr defaultColWidth="3.7109375" defaultRowHeight="15"/>
  <cols>
    <col min="1" max="6" width="3.7109375" style="290"/>
    <col min="7" max="7" width="4.42578125" style="290" customWidth="1"/>
    <col min="8" max="11" width="3.7109375" style="290"/>
    <col min="12" max="17" width="5.28515625" style="290" customWidth="1"/>
    <col min="18" max="18" width="3.7109375" style="290"/>
    <col min="19" max="19" width="5.42578125" style="290" customWidth="1"/>
    <col min="20" max="23" width="3.7109375" style="290"/>
    <col min="24" max="24" width="8.42578125" style="290" customWidth="1"/>
    <col min="25" max="37" width="3.7109375" style="290"/>
    <col min="38" max="38" width="3.7109375" style="247"/>
    <col min="39" max="50" width="8.7109375" style="247" customWidth="1"/>
    <col min="51" max="57" width="3.7109375" style="247"/>
    <col min="58" max="59" width="3.7109375" style="285"/>
    <col min="60" max="16384" width="3.7109375" style="247"/>
  </cols>
  <sheetData>
    <row r="1" spans="1:94"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8"/>
      <c r="AL1" s="238"/>
      <c r="AM1" s="238"/>
      <c r="AN1" s="238"/>
      <c r="AO1" s="238"/>
      <c r="AP1" s="238"/>
      <c r="AQ1" s="238"/>
      <c r="AR1" s="238"/>
      <c r="AS1" s="238"/>
      <c r="AT1" s="238"/>
      <c r="AU1" s="238"/>
      <c r="AV1" s="238"/>
      <c r="AW1" s="238"/>
      <c r="AX1" s="238"/>
      <c r="AY1" s="238"/>
      <c r="AZ1" s="238"/>
      <c r="BA1" s="238"/>
      <c r="BB1" s="238"/>
      <c r="BC1" s="238"/>
      <c r="BD1" s="238"/>
      <c r="BE1" s="238"/>
      <c r="BF1" s="239"/>
      <c r="BG1" s="239"/>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c r="CM1" s="238"/>
      <c r="CN1" s="238"/>
      <c r="CO1" s="238"/>
      <c r="CP1" s="238"/>
    </row>
    <row r="2" spans="1:94"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1"/>
      <c r="AL2" s="238"/>
      <c r="AM2" s="238"/>
      <c r="AN2" s="238"/>
      <c r="AO2" s="238"/>
      <c r="AP2" s="238"/>
      <c r="AQ2" s="238"/>
      <c r="AR2" s="238"/>
      <c r="AS2" s="238"/>
      <c r="AT2" s="238"/>
      <c r="AU2" s="238"/>
      <c r="AV2" s="238"/>
      <c r="AW2" s="238"/>
      <c r="AX2" s="238"/>
      <c r="AY2" s="238"/>
      <c r="AZ2" s="238"/>
      <c r="BA2" s="238"/>
      <c r="BB2" s="238"/>
      <c r="BC2" s="238"/>
      <c r="BD2" s="238"/>
      <c r="BE2" s="238"/>
      <c r="BF2" s="239"/>
      <c r="BG2" s="239"/>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row>
    <row r="3" spans="1:94"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1"/>
      <c r="AL3" s="238"/>
      <c r="AM3" s="238"/>
      <c r="AN3" s="238"/>
      <c r="AO3" s="238"/>
      <c r="AP3" s="238"/>
      <c r="AQ3" s="238"/>
      <c r="AR3" s="238"/>
      <c r="AS3" s="238"/>
      <c r="AT3" s="238"/>
      <c r="AU3" s="238"/>
      <c r="AV3" s="238"/>
      <c r="AW3" s="238"/>
      <c r="AX3" s="238"/>
      <c r="AY3" s="238"/>
      <c r="AZ3" s="238"/>
      <c r="BA3" s="238"/>
      <c r="BB3" s="238"/>
      <c r="BC3" s="238"/>
      <c r="BD3" s="238"/>
      <c r="BE3" s="238"/>
      <c r="BF3" s="239"/>
      <c r="BG3" s="239"/>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row>
    <row r="4" spans="1:94"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4"/>
      <c r="AL4" s="238"/>
      <c r="AM4" s="241"/>
      <c r="AN4" s="241"/>
      <c r="AO4" s="241"/>
      <c r="AP4" s="242" t="s">
        <v>576</v>
      </c>
      <c r="AQ4" s="242" t="s">
        <v>577</v>
      </c>
      <c r="AR4" s="242" t="s">
        <v>578</v>
      </c>
      <c r="AS4" s="241"/>
      <c r="AT4" s="241"/>
      <c r="AU4" s="241"/>
      <c r="AV4" s="241"/>
      <c r="AW4" s="241"/>
      <c r="AX4" s="238"/>
      <c r="AY4" s="238"/>
      <c r="AZ4" s="238"/>
      <c r="BA4" s="238"/>
      <c r="BB4" s="238"/>
      <c r="BC4" s="238"/>
      <c r="BD4" s="238"/>
      <c r="BE4" s="238"/>
      <c r="BF4" s="239"/>
      <c r="BG4" s="239"/>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row>
    <row r="5" spans="1:94" ht="15" customHeight="1">
      <c r="A5" s="875" t="s">
        <v>22</v>
      </c>
      <c r="B5" s="876"/>
      <c r="C5" s="876"/>
      <c r="D5" s="876"/>
      <c r="E5" s="876"/>
      <c r="F5" s="876"/>
      <c r="G5" s="876"/>
      <c r="H5" s="27" t="str">
        <f>'[10]Emiss. Ops'!$C$2</f>
        <v>OMVP</v>
      </c>
      <c r="I5" s="27"/>
      <c r="J5" s="27"/>
      <c r="K5" s="27"/>
      <c r="L5" s="27"/>
      <c r="M5" s="27"/>
      <c r="N5" s="27"/>
      <c r="O5" s="27"/>
      <c r="P5" s="27"/>
      <c r="Q5" s="27"/>
      <c r="R5" s="27"/>
      <c r="S5" s="27"/>
      <c r="T5" s="27"/>
      <c r="U5" s="27"/>
      <c r="V5" s="27"/>
      <c r="W5" s="27"/>
      <c r="X5" s="27"/>
      <c r="Y5" s="876" t="s">
        <v>23</v>
      </c>
      <c r="Z5" s="876"/>
      <c r="AA5" s="876"/>
      <c r="AB5" s="876"/>
      <c r="AC5" s="877" t="str">
        <f>[10]Effluents!$J$2</f>
        <v>PRJ-001030</v>
      </c>
      <c r="AD5" s="877"/>
      <c r="AE5" s="877"/>
      <c r="AF5" s="877"/>
      <c r="AG5" s="877"/>
      <c r="AH5" s="877"/>
      <c r="AI5" s="877"/>
      <c r="AJ5" s="877"/>
      <c r="AK5" s="878"/>
      <c r="AL5" s="243"/>
      <c r="AM5" s="244"/>
      <c r="AN5" s="244"/>
      <c r="AO5" s="244"/>
      <c r="AP5" s="245" t="s">
        <v>386</v>
      </c>
      <c r="AQ5" s="245" t="s">
        <v>729</v>
      </c>
      <c r="AR5" s="242">
        <v>1020</v>
      </c>
      <c r="AS5" s="244"/>
      <c r="AT5" s="244"/>
      <c r="AU5" s="244"/>
      <c r="AV5" s="244"/>
      <c r="AW5" s="244"/>
      <c r="AX5" s="238"/>
      <c r="AY5" s="238"/>
      <c r="AZ5" s="238"/>
      <c r="BA5" s="243"/>
      <c r="BB5" s="243"/>
      <c r="BC5" s="243"/>
      <c r="BD5" s="243"/>
      <c r="BE5" s="243"/>
      <c r="BF5" s="246"/>
      <c r="BG5" s="246"/>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row>
    <row r="6" spans="1:94" ht="15" customHeight="1">
      <c r="A6" s="862" t="s">
        <v>24</v>
      </c>
      <c r="B6" s="863"/>
      <c r="C6" s="863"/>
      <c r="D6" s="863"/>
      <c r="E6" s="863"/>
      <c r="F6" s="863"/>
      <c r="G6" s="863"/>
      <c r="H6" s="30" t="str">
        <f>'[10]Emiss. Ops'!$C$3</f>
        <v>OMV Neptun BAT Study &amp; ESIA</v>
      </c>
      <c r="I6" s="30"/>
      <c r="J6" s="30"/>
      <c r="K6" s="30"/>
      <c r="L6" s="30"/>
      <c r="M6" s="30"/>
      <c r="N6" s="30"/>
      <c r="O6" s="30"/>
      <c r="P6" s="30"/>
      <c r="Q6" s="30"/>
      <c r="R6" s="30"/>
      <c r="S6" s="30"/>
      <c r="T6" s="30"/>
      <c r="U6" s="30"/>
      <c r="V6" s="30"/>
      <c r="W6" s="30"/>
      <c r="X6" s="30"/>
      <c r="Y6" s="863" t="s">
        <v>25</v>
      </c>
      <c r="Z6" s="863"/>
      <c r="AA6" s="863"/>
      <c r="AB6" s="863"/>
      <c r="AC6" s="860"/>
      <c r="AD6" s="860"/>
      <c r="AE6" s="860"/>
      <c r="AF6" s="860"/>
      <c r="AG6" s="860"/>
      <c r="AH6" s="860"/>
      <c r="AI6" s="860"/>
      <c r="AJ6" s="860"/>
      <c r="AK6" s="861"/>
      <c r="AL6" s="243"/>
      <c r="AM6" s="244"/>
      <c r="AN6" s="244"/>
      <c r="AO6" s="242"/>
      <c r="AP6" s="245" t="s">
        <v>406</v>
      </c>
      <c r="AQ6" s="245" t="s">
        <v>339</v>
      </c>
      <c r="AR6" s="245">
        <v>0.45400000000000001</v>
      </c>
      <c r="AS6" s="242"/>
      <c r="AT6" s="244"/>
      <c r="AU6" s="244"/>
      <c r="AV6" s="244"/>
      <c r="AW6" s="244"/>
      <c r="AX6" s="238"/>
      <c r="AY6" s="238"/>
      <c r="AZ6" s="238"/>
      <c r="BA6" s="243"/>
      <c r="BB6" s="243"/>
      <c r="BC6" s="243"/>
      <c r="BD6" s="243"/>
      <c r="BE6" s="243"/>
      <c r="BF6" s="246"/>
      <c r="BG6" s="246"/>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row>
    <row r="7" spans="1:94" ht="15" customHeight="1">
      <c r="A7" s="862" t="s">
        <v>26</v>
      </c>
      <c r="B7" s="863"/>
      <c r="C7" s="863"/>
      <c r="D7" s="863"/>
      <c r="E7" s="863"/>
      <c r="F7" s="863"/>
      <c r="G7" s="863"/>
      <c r="H7" s="30" t="str">
        <f>'[10]Emiss. Ops'!$C$4</f>
        <v>Emissions Inventory</v>
      </c>
      <c r="I7" s="30"/>
      <c r="J7" s="30"/>
      <c r="K7" s="30"/>
      <c r="L7" s="30"/>
      <c r="M7" s="30"/>
      <c r="N7" s="30"/>
      <c r="O7" s="30"/>
      <c r="P7" s="30"/>
      <c r="Q7" s="30"/>
      <c r="R7" s="30"/>
      <c r="S7" s="30"/>
      <c r="T7" s="30"/>
      <c r="U7" s="30"/>
      <c r="V7" s="30"/>
      <c r="W7" s="30"/>
      <c r="X7" s="30"/>
      <c r="Y7" s="863" t="s">
        <v>27</v>
      </c>
      <c r="Z7" s="863"/>
      <c r="AA7" s="863"/>
      <c r="AB7" s="863"/>
      <c r="AC7" s="30" t="str">
        <f>'[10]Emiss. Ops'!$I$4</f>
        <v>Normal Operations</v>
      </c>
      <c r="AD7" s="31"/>
      <c r="AE7" s="31"/>
      <c r="AF7" s="31"/>
      <c r="AG7" s="31"/>
      <c r="AH7" s="31"/>
      <c r="AI7" s="31"/>
      <c r="AJ7" s="31"/>
      <c r="AK7" s="32"/>
      <c r="AL7" s="243"/>
      <c r="AM7" s="244"/>
      <c r="AN7" s="244"/>
      <c r="AO7" s="242"/>
      <c r="AP7" s="245" t="s">
        <v>407</v>
      </c>
      <c r="AQ7" s="245" t="s">
        <v>730</v>
      </c>
      <c r="AR7" s="248">
        <f>0.305^3</f>
        <v>2.8372624999999999E-2</v>
      </c>
      <c r="AS7" s="242"/>
      <c r="AT7" s="244"/>
      <c r="AU7" s="244"/>
      <c r="AV7" s="244"/>
      <c r="AW7" s="244"/>
      <c r="AX7" s="238"/>
      <c r="AY7" s="238"/>
      <c r="AZ7" s="238"/>
      <c r="BA7" s="243"/>
      <c r="BB7" s="243"/>
      <c r="BC7" s="243"/>
      <c r="BD7" s="243"/>
      <c r="BE7" s="243"/>
      <c r="BF7" s="246"/>
      <c r="BG7" s="246"/>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row>
    <row r="8" spans="1:94"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8"/>
      <c r="AH8" s="1288"/>
      <c r="AI8" s="1288"/>
      <c r="AJ8" s="1288"/>
      <c r="AK8" s="1289"/>
      <c r="AL8" s="243"/>
      <c r="AM8" s="244"/>
      <c r="AN8" s="244"/>
      <c r="AO8" s="242"/>
      <c r="AP8" s="245" t="s">
        <v>729</v>
      </c>
      <c r="AQ8" s="245" t="s">
        <v>731</v>
      </c>
      <c r="AR8" s="249">
        <f>AR6/AR7 * ((AN18+273.15)/(AN20+273.15))</f>
        <v>16.912595854908194</v>
      </c>
      <c r="AS8" s="242"/>
      <c r="AT8" s="244"/>
      <c r="AU8" s="244"/>
      <c r="AV8" s="244"/>
      <c r="AW8" s="244"/>
      <c r="AX8" s="238"/>
      <c r="AY8" s="238"/>
      <c r="AZ8" s="238"/>
      <c r="BA8" s="243"/>
      <c r="BB8" s="243"/>
      <c r="BC8" s="243"/>
      <c r="BD8" s="243"/>
      <c r="BE8" s="243"/>
      <c r="BF8" s="246"/>
      <c r="BG8" s="246"/>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row>
    <row r="9" spans="1:94"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8"/>
      <c r="AH9" s="1288"/>
      <c r="AI9" s="1288"/>
      <c r="AJ9" s="1288"/>
      <c r="AK9" s="1289"/>
      <c r="AL9" s="243"/>
      <c r="AM9" s="244"/>
      <c r="AN9" s="244"/>
      <c r="AO9" s="242"/>
      <c r="AP9" s="242" t="s">
        <v>409</v>
      </c>
      <c r="AQ9" s="242" t="s">
        <v>410</v>
      </c>
      <c r="AR9" s="242">
        <v>947</v>
      </c>
      <c r="AS9" s="242"/>
      <c r="AT9" s="244"/>
      <c r="AU9" s="244"/>
      <c r="AV9" s="244"/>
      <c r="AW9" s="244"/>
      <c r="AX9" s="238"/>
      <c r="AY9" s="238"/>
      <c r="AZ9" s="238"/>
      <c r="BA9" s="243"/>
      <c r="BB9" s="243"/>
      <c r="BC9" s="243"/>
      <c r="BD9" s="243"/>
      <c r="BE9" s="243"/>
      <c r="BF9" s="246"/>
      <c r="BG9" s="246"/>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row>
    <row r="10" spans="1:94"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1283"/>
      <c r="V10" s="1283"/>
      <c r="W10" s="1283"/>
      <c r="X10" s="1283"/>
      <c r="Y10" s="859" t="s">
        <v>28</v>
      </c>
      <c r="Z10" s="859"/>
      <c r="AA10" s="859"/>
      <c r="AB10" s="859"/>
      <c r="AC10" s="1284"/>
      <c r="AD10" s="1284"/>
      <c r="AE10" s="1284"/>
      <c r="AF10" s="1285"/>
      <c r="AG10" s="1285"/>
      <c r="AH10" s="1285"/>
      <c r="AI10" s="1286"/>
      <c r="AJ10" s="1286"/>
      <c r="AK10" s="1287"/>
      <c r="AL10" s="238"/>
      <c r="AM10" s="241"/>
      <c r="AN10" s="241"/>
      <c r="AO10" s="245"/>
      <c r="AP10" s="245" t="s">
        <v>710</v>
      </c>
      <c r="AQ10" s="245" t="s">
        <v>709</v>
      </c>
      <c r="AR10" s="245">
        <v>1E-3</v>
      </c>
      <c r="AS10" s="245"/>
      <c r="AT10" s="241"/>
      <c r="AU10" s="241"/>
      <c r="AV10" s="241"/>
      <c r="AW10" s="241"/>
      <c r="AX10" s="238"/>
      <c r="AY10" s="238"/>
      <c r="AZ10" s="238"/>
      <c r="BA10" s="238"/>
      <c r="BB10" s="238"/>
      <c r="BC10" s="238"/>
      <c r="BD10" s="238"/>
      <c r="BE10" s="238"/>
      <c r="BF10" s="239"/>
      <c r="BG10" s="239"/>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row>
    <row r="11" spans="1:94" s="240" customFormat="1" ht="14.25" customHeight="1">
      <c r="A11" s="1271" t="s">
        <v>359</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3"/>
      <c r="AL11" s="238"/>
      <c r="AM11" s="241"/>
      <c r="AN11" s="241"/>
      <c r="AO11" s="245"/>
      <c r="AP11" s="245" t="s">
        <v>732</v>
      </c>
      <c r="AQ11" s="245" t="s">
        <v>409</v>
      </c>
      <c r="AR11" s="245">
        <f>1/(AR9/1000000)</f>
        <v>1055.9662090813094</v>
      </c>
      <c r="AS11" s="245"/>
      <c r="AT11" s="241"/>
      <c r="AU11" s="241"/>
      <c r="AV11" s="241"/>
      <c r="AW11" s="241"/>
      <c r="AX11" s="238"/>
      <c r="AY11" s="238"/>
      <c r="AZ11" s="238"/>
      <c r="BA11" s="238"/>
      <c r="BB11" s="238"/>
      <c r="BC11" s="238"/>
      <c r="BD11" s="238"/>
      <c r="BE11" s="238"/>
      <c r="BF11" s="239"/>
      <c r="BG11" s="239"/>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row>
    <row r="12" spans="1:94" s="240" customFormat="1" ht="14.25" customHeight="1">
      <c r="A12" s="1274"/>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5"/>
      <c r="AH12" s="1275"/>
      <c r="AI12" s="1275"/>
      <c r="AJ12" s="1275"/>
      <c r="AK12" s="1276"/>
      <c r="AL12" s="238"/>
      <c r="AM12" s="241"/>
      <c r="AN12" s="241"/>
      <c r="AO12" s="245"/>
      <c r="AP12" s="245"/>
      <c r="AQ12" s="245"/>
      <c r="AR12" s="245"/>
      <c r="AS12" s="245"/>
      <c r="AT12" s="241"/>
      <c r="AU12" s="241"/>
      <c r="AV12" s="241"/>
      <c r="AW12" s="241"/>
      <c r="AX12" s="238"/>
      <c r="AY12" s="238"/>
      <c r="AZ12" s="238"/>
      <c r="BA12" s="238"/>
      <c r="BB12" s="238"/>
      <c r="BC12" s="238"/>
      <c r="BD12" s="238"/>
      <c r="BE12" s="238"/>
      <c r="BF12" s="239"/>
      <c r="BG12" s="239"/>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row>
    <row r="13" spans="1:94" s="240" customFormat="1" ht="14.25" customHeight="1">
      <c r="A13" s="1277" t="s">
        <v>587</v>
      </c>
      <c r="B13" s="1278"/>
      <c r="C13" s="1278"/>
      <c r="D13" s="1278"/>
      <c r="E13" s="1278"/>
      <c r="F13" s="1278"/>
      <c r="G13" s="1279"/>
      <c r="H13" s="1280" t="s">
        <v>733</v>
      </c>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2"/>
      <c r="AL13" s="238"/>
      <c r="AM13" s="241"/>
      <c r="AN13" s="241"/>
      <c r="AO13" s="241"/>
      <c r="AP13" s="241"/>
      <c r="AQ13" s="241"/>
      <c r="AR13" s="241"/>
      <c r="AS13" s="241"/>
      <c r="AT13" s="241"/>
      <c r="AU13" s="241"/>
      <c r="AV13" s="241"/>
      <c r="AW13" s="241"/>
      <c r="AX13" s="241"/>
      <c r="AY13" s="241"/>
      <c r="AZ13" s="241"/>
      <c r="BA13" s="238"/>
      <c r="BB13" s="238"/>
      <c r="BC13" s="238"/>
      <c r="BD13" s="238"/>
      <c r="BE13" s="238"/>
      <c r="BF13" s="239"/>
      <c r="BG13" s="239"/>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row>
    <row r="14" spans="1:94" s="240" customFormat="1" ht="14.25" customHeight="1">
      <c r="A14" s="279" t="s">
        <v>589</v>
      </c>
      <c r="B14" s="429"/>
      <c r="C14" s="429"/>
      <c r="D14" s="429"/>
      <c r="E14" s="429"/>
      <c r="F14" s="429"/>
      <c r="G14" s="429"/>
      <c r="H14" s="1271" t="s">
        <v>590</v>
      </c>
      <c r="I14" s="1272"/>
      <c r="J14" s="1273"/>
      <c r="K14" s="1271" t="s">
        <v>591</v>
      </c>
      <c r="L14" s="1272"/>
      <c r="M14" s="1273"/>
      <c r="N14" s="1271" t="s">
        <v>592</v>
      </c>
      <c r="O14" s="1272"/>
      <c r="P14" s="1273"/>
      <c r="Q14" s="1271" t="s">
        <v>400</v>
      </c>
      <c r="R14" s="1272"/>
      <c r="S14" s="1273"/>
      <c r="T14" s="1271" t="s">
        <v>593</v>
      </c>
      <c r="U14" s="1272"/>
      <c r="V14" s="1273"/>
      <c r="W14" s="1271" t="s">
        <v>593</v>
      </c>
      <c r="X14" s="1272"/>
      <c r="Y14" s="1273"/>
      <c r="Z14" s="1271" t="s">
        <v>115</v>
      </c>
      <c r="AA14" s="1272"/>
      <c r="AB14" s="1273"/>
      <c r="AC14" s="1271" t="s">
        <v>115</v>
      </c>
      <c r="AD14" s="1272"/>
      <c r="AE14" s="1273"/>
      <c r="AF14" s="1271" t="s">
        <v>116</v>
      </c>
      <c r="AG14" s="1272"/>
      <c r="AH14" s="1273"/>
      <c r="AI14" s="1271" t="s">
        <v>116</v>
      </c>
      <c r="AJ14" s="1272"/>
      <c r="AK14" s="1273"/>
      <c r="AL14" s="238"/>
      <c r="AM14" s="241"/>
      <c r="AN14" s="241"/>
      <c r="AO14" s="241"/>
      <c r="AP14" s="241"/>
      <c r="AQ14" s="430"/>
      <c r="AR14" s="241"/>
      <c r="AS14" s="241"/>
      <c r="AT14" s="241"/>
      <c r="AU14" s="241"/>
      <c r="AV14" s="241"/>
      <c r="AW14" s="241"/>
      <c r="AX14" s="238"/>
      <c r="AY14" s="238"/>
      <c r="AZ14" s="238"/>
      <c r="BA14" s="238"/>
      <c r="BB14" s="238"/>
      <c r="BC14" s="238"/>
      <c r="BD14" s="238"/>
      <c r="BE14" s="238"/>
      <c r="BF14" s="239"/>
      <c r="BG14" s="239"/>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row>
    <row r="15" spans="1:94" s="240" customFormat="1" ht="14.25" customHeight="1">
      <c r="A15" s="250"/>
      <c r="B15" s="251"/>
      <c r="C15" s="251"/>
      <c r="D15" s="251"/>
      <c r="E15" s="251"/>
      <c r="F15" s="251"/>
      <c r="G15" s="251"/>
      <c r="H15" s="1302" t="s">
        <v>594</v>
      </c>
      <c r="I15" s="1283"/>
      <c r="J15" s="1303"/>
      <c r="K15" s="1302" t="s">
        <v>595</v>
      </c>
      <c r="L15" s="1283"/>
      <c r="M15" s="1303"/>
      <c r="N15" s="1302" t="s">
        <v>596</v>
      </c>
      <c r="O15" s="1283"/>
      <c r="P15" s="1303"/>
      <c r="Q15" s="1302" t="s">
        <v>597</v>
      </c>
      <c r="R15" s="1283"/>
      <c r="S15" s="1303"/>
      <c r="T15" s="1302" t="s">
        <v>734</v>
      </c>
      <c r="U15" s="1283"/>
      <c r="V15" s="1303"/>
      <c r="W15" s="1302" t="s">
        <v>599</v>
      </c>
      <c r="X15" s="1283"/>
      <c r="Y15" s="1303"/>
      <c r="Z15" s="1302" t="s">
        <v>734</v>
      </c>
      <c r="AA15" s="1283"/>
      <c r="AB15" s="1303"/>
      <c r="AC15" s="1302" t="s">
        <v>599</v>
      </c>
      <c r="AD15" s="1283"/>
      <c r="AE15" s="1303"/>
      <c r="AF15" s="1302" t="s">
        <v>734</v>
      </c>
      <c r="AG15" s="1283"/>
      <c r="AH15" s="1303"/>
      <c r="AI15" s="1302" t="s">
        <v>599</v>
      </c>
      <c r="AJ15" s="1283"/>
      <c r="AK15" s="1303"/>
      <c r="AL15" s="238"/>
      <c r="AM15" s="241"/>
      <c r="AN15" s="241"/>
      <c r="AO15" s="241"/>
      <c r="AP15" s="431" t="s">
        <v>393</v>
      </c>
      <c r="AQ15" s="432"/>
      <c r="AR15" s="433"/>
      <c r="AS15" s="431" t="s">
        <v>115</v>
      </c>
      <c r="AT15" s="432"/>
      <c r="AU15" s="433"/>
      <c r="AY15" s="238"/>
      <c r="AZ15" s="238"/>
      <c r="BA15" s="238"/>
      <c r="BB15" s="238"/>
      <c r="BC15" s="238"/>
      <c r="BD15" s="238"/>
      <c r="BE15" s="238"/>
      <c r="BF15" s="239"/>
      <c r="BG15" s="239"/>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row>
    <row r="16" spans="1:94" s="240" customFormat="1" ht="14.25" customHeight="1">
      <c r="A16" s="596" t="s">
        <v>735</v>
      </c>
      <c r="B16" s="597"/>
      <c r="C16" s="597"/>
      <c r="D16" s="597"/>
      <c r="E16" s="597"/>
      <c r="F16" s="597"/>
      <c r="G16" s="598"/>
      <c r="H16" s="1316"/>
      <c r="I16" s="1317"/>
      <c r="J16" s="1318"/>
      <c r="K16" s="1404"/>
      <c r="L16" s="1405"/>
      <c r="M16" s="1406"/>
      <c r="N16" s="1316"/>
      <c r="O16" s="1317"/>
      <c r="P16" s="1318"/>
      <c r="Q16" s="1310">
        <f>[10]GTGs!Q15</f>
        <v>37.956295834166582</v>
      </c>
      <c r="R16" s="1311"/>
      <c r="S16" s="1312"/>
      <c r="T16" s="1313">
        <f>AR17</f>
        <v>1173.0576484964322</v>
      </c>
      <c r="U16" s="1314"/>
      <c r="V16" s="1315"/>
      <c r="W16" s="1316"/>
      <c r="X16" s="1317"/>
      <c r="Y16" s="1318"/>
      <c r="Z16" s="1313">
        <f>AU17</f>
        <v>6382.8136756423519</v>
      </c>
      <c r="AA16" s="1314"/>
      <c r="AB16" s="1315"/>
      <c r="AC16" s="1316"/>
      <c r="AD16" s="1317"/>
      <c r="AE16" s="1318"/>
      <c r="AF16" s="1319">
        <f>AR21</f>
        <v>40</v>
      </c>
      <c r="AG16" s="1320"/>
      <c r="AH16" s="1321"/>
      <c r="AI16" s="1316" t="s">
        <v>604</v>
      </c>
      <c r="AJ16" s="1317"/>
      <c r="AK16" s="1318"/>
      <c r="AL16" s="238"/>
      <c r="AM16" s="241" t="s">
        <v>605</v>
      </c>
      <c r="AN16" s="241"/>
      <c r="AO16" s="241"/>
      <c r="AP16" s="437" t="s">
        <v>386</v>
      </c>
      <c r="AQ16" s="437" t="s">
        <v>714</v>
      </c>
      <c r="AR16" s="437" t="s">
        <v>715</v>
      </c>
      <c r="AS16" s="437" t="s">
        <v>386</v>
      </c>
      <c r="AT16" s="437" t="s">
        <v>714</v>
      </c>
      <c r="AU16" s="437" t="s">
        <v>715</v>
      </c>
      <c r="AY16" s="238"/>
      <c r="AZ16" s="238"/>
      <c r="BA16" s="238"/>
      <c r="BB16" s="238"/>
      <c r="BC16" s="238"/>
      <c r="BD16" s="238"/>
      <c r="BE16" s="238"/>
      <c r="BF16" s="239"/>
      <c r="BG16" s="239"/>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row>
    <row r="17" spans="1:94" s="240" customFormat="1" ht="14.25" customHeight="1">
      <c r="A17" s="438" t="s">
        <v>736</v>
      </c>
      <c r="B17" s="439"/>
      <c r="C17" s="439"/>
      <c r="D17" s="439"/>
      <c r="E17" s="439"/>
      <c r="F17" s="439"/>
      <c r="G17" s="440"/>
      <c r="H17" s="1421">
        <f>[10]CO2eEF!P16</f>
        <v>16.12</v>
      </c>
      <c r="I17" s="1422"/>
      <c r="J17" s="1423"/>
      <c r="K17" s="1424">
        <f>[10]CO2eEF!P12</f>
        <v>0.69879999999999998</v>
      </c>
      <c r="L17" s="1425"/>
      <c r="M17" s="1426"/>
      <c r="N17" s="1421">
        <f>[10]CO2eEF!P19</f>
        <v>49.78</v>
      </c>
      <c r="O17" s="1427"/>
      <c r="P17" s="1428"/>
      <c r="Q17" s="1421">
        <f>[10]CO2eEF!P21</f>
        <v>37.770000000000003</v>
      </c>
      <c r="R17" s="1427"/>
      <c r="S17" s="1428"/>
      <c r="T17" s="1340">
        <f>Q17/Q16*T16</f>
        <v>1167.3000857957165</v>
      </c>
      <c r="U17" s="1341"/>
      <c r="V17" s="1342"/>
      <c r="W17" s="1322">
        <f>T17/1000000/K17</f>
        <v>1.6704351542583236E-3</v>
      </c>
      <c r="X17" s="1323"/>
      <c r="Y17" s="1324"/>
      <c r="Z17" s="1340">
        <f>Q17/Q16*Z16</f>
        <v>6351.4857609472811</v>
      </c>
      <c r="AA17" s="1341"/>
      <c r="AB17" s="1342"/>
      <c r="AC17" s="1322">
        <f>Z17/$K17/1000000</f>
        <v>9.089132456993821E-3</v>
      </c>
      <c r="AD17" s="1323"/>
      <c r="AE17" s="1324"/>
      <c r="AF17" s="1299">
        <f>Q17/Q16*AF16</f>
        <v>39.80367332473061</v>
      </c>
      <c r="AG17" s="1300"/>
      <c r="AH17" s="1301"/>
      <c r="AI17" s="1322">
        <f>AF17/$K17/1000000</f>
        <v>5.6960036240312838E-5</v>
      </c>
      <c r="AJ17" s="1323"/>
      <c r="AK17" s="1324"/>
      <c r="AL17" s="238"/>
      <c r="AM17" s="441" t="s">
        <v>606</v>
      </c>
      <c r="AN17" s="241">
        <v>60</v>
      </c>
      <c r="AO17" s="241" t="s">
        <v>607</v>
      </c>
      <c r="AP17" s="442">
        <v>6.8000000000000005E-2</v>
      </c>
      <c r="AQ17" s="443">
        <f>AR5*$AP$17</f>
        <v>69.36</v>
      </c>
      <c r="AR17" s="443">
        <f>$AR$8*AQ17</f>
        <v>1173.0576484964322</v>
      </c>
      <c r="AS17" s="444">
        <v>0.37</v>
      </c>
      <c r="AT17" s="445">
        <f>AS17*AR5</f>
        <v>377.4</v>
      </c>
      <c r="AU17" s="446">
        <f>AT17*AR8</f>
        <v>6382.8136756423519</v>
      </c>
      <c r="AY17" s="238"/>
      <c r="AZ17" s="238"/>
      <c r="BA17" s="238"/>
      <c r="BB17" s="238"/>
      <c r="BC17" s="238"/>
      <c r="BD17" s="238"/>
      <c r="BE17" s="238"/>
      <c r="BF17" s="239"/>
      <c r="BG17" s="239"/>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row>
    <row r="18" spans="1:94" s="240" customFormat="1" ht="14.25" customHeight="1">
      <c r="A18" s="133"/>
      <c r="B18" s="251"/>
      <c r="C18" s="251"/>
      <c r="D18" s="251"/>
      <c r="E18" s="251"/>
      <c r="F18" s="251"/>
      <c r="G18" s="251"/>
      <c r="H18" s="1325"/>
      <c r="I18" s="1326"/>
      <c r="J18" s="1327"/>
      <c r="K18" s="1328"/>
      <c r="L18" s="1329"/>
      <c r="M18" s="1330"/>
      <c r="N18" s="1331"/>
      <c r="O18" s="1332"/>
      <c r="P18" s="1333"/>
      <c r="Q18" s="1334"/>
      <c r="R18" s="1335"/>
      <c r="S18" s="1336"/>
      <c r="T18" s="1337"/>
      <c r="U18" s="1338"/>
      <c r="V18" s="1339"/>
      <c r="W18" s="1302"/>
      <c r="X18" s="1283"/>
      <c r="Y18" s="1303"/>
      <c r="Z18" s="1337"/>
      <c r="AA18" s="1338"/>
      <c r="AB18" s="1339"/>
      <c r="AC18" s="1302"/>
      <c r="AD18" s="1283"/>
      <c r="AE18" s="1303"/>
      <c r="AF18" s="1343"/>
      <c r="AG18" s="1344"/>
      <c r="AH18" s="1345"/>
      <c r="AI18" s="1302"/>
      <c r="AJ18" s="1283"/>
      <c r="AK18" s="1303"/>
      <c r="AL18" s="238"/>
      <c r="AM18" s="441" t="s">
        <v>608</v>
      </c>
      <c r="AN18" s="447">
        <f>(AN17 - 32) * 5/9</f>
        <v>15.555555555555555</v>
      </c>
      <c r="AO18" s="241" t="s">
        <v>609</v>
      </c>
      <c r="AP18" s="444"/>
      <c r="AQ18" s="448"/>
      <c r="AR18" s="446"/>
      <c r="AS18" s="444"/>
      <c r="AT18" s="445"/>
      <c r="AU18" s="446"/>
      <c r="AY18" s="238"/>
      <c r="AZ18" s="238"/>
      <c r="BA18" s="238"/>
      <c r="BB18" s="238"/>
      <c r="BC18" s="238"/>
      <c r="BD18" s="238"/>
      <c r="BE18" s="238"/>
      <c r="BF18" s="239"/>
      <c r="BG18" s="239"/>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row>
    <row r="19" spans="1:94" s="240" customFormat="1" ht="14.25" customHeight="1">
      <c r="A19" s="279" t="s">
        <v>589</v>
      </c>
      <c r="B19" s="429"/>
      <c r="C19" s="429"/>
      <c r="D19" s="429"/>
      <c r="E19" s="429"/>
      <c r="F19" s="429"/>
      <c r="G19" s="449"/>
      <c r="H19" s="1271" t="s">
        <v>122</v>
      </c>
      <c r="I19" s="1272"/>
      <c r="J19" s="1273"/>
      <c r="K19" s="1271" t="s">
        <v>122</v>
      </c>
      <c r="L19" s="1272"/>
      <c r="M19" s="1273"/>
      <c r="N19" s="1271" t="s">
        <v>124</v>
      </c>
      <c r="O19" s="1272"/>
      <c r="P19" s="1273"/>
      <c r="Q19" s="1271" t="s">
        <v>124</v>
      </c>
      <c r="R19" s="1272"/>
      <c r="S19" s="1273"/>
      <c r="T19" s="1117" t="s">
        <v>123</v>
      </c>
      <c r="U19" s="1118"/>
      <c r="V19" s="1119"/>
      <c r="W19" s="1117" t="s">
        <v>123</v>
      </c>
      <c r="X19" s="1118"/>
      <c r="Y19" s="1119"/>
      <c r="Z19" s="1117" t="s">
        <v>716</v>
      </c>
      <c r="AA19" s="1118"/>
      <c r="AB19" s="1119"/>
      <c r="AC19" s="1117" t="s">
        <v>125</v>
      </c>
      <c r="AD19" s="1118"/>
      <c r="AE19" s="1119"/>
      <c r="AF19" s="30"/>
      <c r="AG19" s="30"/>
      <c r="AH19" s="30"/>
      <c r="AI19" s="30"/>
      <c r="AJ19" s="30"/>
      <c r="AK19" s="280"/>
      <c r="AL19" s="238"/>
      <c r="AM19" s="241"/>
      <c r="AN19" s="241"/>
      <c r="AO19" s="241"/>
      <c r="AP19" s="431" t="s">
        <v>116</v>
      </c>
      <c r="AQ19" s="432"/>
      <c r="AR19" s="433"/>
      <c r="AS19" s="431" t="s">
        <v>122</v>
      </c>
      <c r="AT19" s="432"/>
      <c r="AU19" s="433"/>
      <c r="AV19" s="238"/>
      <c r="AW19" s="238"/>
      <c r="AX19" s="238"/>
      <c r="AY19" s="238"/>
      <c r="AZ19" s="238"/>
      <c r="BA19" s="238"/>
      <c r="BB19" s="238"/>
      <c r="BC19" s="238"/>
      <c r="BD19" s="238"/>
      <c r="BE19" s="238"/>
      <c r="BF19" s="239"/>
      <c r="BG19" s="239"/>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row>
    <row r="20" spans="1:94" s="240" customFormat="1" ht="14.25" customHeight="1">
      <c r="A20" s="250"/>
      <c r="B20" s="251"/>
      <c r="C20" s="251"/>
      <c r="D20" s="251"/>
      <c r="E20" s="251"/>
      <c r="F20" s="251"/>
      <c r="G20" s="450"/>
      <c r="H20" s="1302" t="s">
        <v>734</v>
      </c>
      <c r="I20" s="1283"/>
      <c r="J20" s="1303"/>
      <c r="K20" s="1302" t="s">
        <v>599</v>
      </c>
      <c r="L20" s="1283"/>
      <c r="M20" s="1303"/>
      <c r="N20" s="1302" t="s">
        <v>734</v>
      </c>
      <c r="O20" s="1283"/>
      <c r="P20" s="1303"/>
      <c r="Q20" s="1302" t="s">
        <v>599</v>
      </c>
      <c r="R20" s="1283"/>
      <c r="S20" s="1303"/>
      <c r="T20" s="1089" t="s">
        <v>598</v>
      </c>
      <c r="U20" s="1090"/>
      <c r="V20" s="1091"/>
      <c r="W20" s="1089" t="s">
        <v>599</v>
      </c>
      <c r="X20" s="1090"/>
      <c r="Y20" s="1091"/>
      <c r="Z20" s="1089" t="s">
        <v>598</v>
      </c>
      <c r="AA20" s="1090"/>
      <c r="AB20" s="1091"/>
      <c r="AC20" s="1089" t="s">
        <v>599</v>
      </c>
      <c r="AD20" s="1090"/>
      <c r="AE20" s="1091"/>
      <c r="AF20" s="30"/>
      <c r="AG20" s="30"/>
      <c r="AH20" s="30"/>
      <c r="AI20" s="30"/>
      <c r="AJ20" s="30"/>
      <c r="AK20" s="253"/>
      <c r="AL20" s="238"/>
      <c r="AM20" s="441"/>
      <c r="AN20" s="241"/>
      <c r="AO20" s="241"/>
      <c r="AP20" s="437" t="s">
        <v>737</v>
      </c>
      <c r="AQ20" s="451" t="s">
        <v>738</v>
      </c>
      <c r="AR20" s="451" t="s">
        <v>731</v>
      </c>
      <c r="AS20" s="437" t="s">
        <v>386</v>
      </c>
      <c r="AT20" s="437" t="s">
        <v>714</v>
      </c>
      <c r="AU20" s="437" t="s">
        <v>715</v>
      </c>
      <c r="AV20" s="238"/>
      <c r="AW20" s="238"/>
      <c r="AX20" s="238"/>
      <c r="AY20" s="238"/>
      <c r="AZ20" s="238"/>
      <c r="BA20" s="238"/>
      <c r="BB20" s="238"/>
      <c r="BC20" s="238"/>
      <c r="BD20" s="238"/>
      <c r="BE20" s="238"/>
      <c r="BF20" s="239"/>
      <c r="BG20" s="239"/>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row>
    <row r="21" spans="1:94" s="240" customFormat="1" ht="14.25" customHeight="1">
      <c r="A21" s="596" t="s">
        <v>735</v>
      </c>
      <c r="B21" s="597"/>
      <c r="C21" s="597"/>
      <c r="D21" s="597"/>
      <c r="E21" s="597"/>
      <c r="F21" s="597"/>
      <c r="G21" s="598"/>
      <c r="H21" s="1313">
        <f>AU21</f>
        <v>2415.11868808089</v>
      </c>
      <c r="I21" s="1314"/>
      <c r="J21" s="1315"/>
      <c r="K21" s="1316"/>
      <c r="L21" s="1317"/>
      <c r="M21" s="1318"/>
      <c r="N21" s="1456"/>
      <c r="O21" s="1457"/>
      <c r="P21" s="1458"/>
      <c r="Q21" s="1459"/>
      <c r="R21" s="1460"/>
      <c r="S21" s="1461"/>
      <c r="T21" s="1450"/>
      <c r="U21" s="1451"/>
      <c r="V21" s="1452"/>
      <c r="W21" s="1462"/>
      <c r="X21" s="1463"/>
      <c r="Y21" s="1464"/>
      <c r="Z21" s="1450"/>
      <c r="AA21" s="1451"/>
      <c r="AB21" s="1452"/>
      <c r="AC21" s="1453"/>
      <c r="AD21" s="1454"/>
      <c r="AE21" s="1455"/>
      <c r="AF21" s="30"/>
      <c r="AG21" s="30"/>
      <c r="AH21" s="30"/>
      <c r="AI21" s="30"/>
      <c r="AJ21" s="30"/>
      <c r="AK21" s="253"/>
      <c r="AL21" s="238"/>
      <c r="AM21" s="241"/>
      <c r="AN21" s="241"/>
      <c r="AO21" s="241"/>
      <c r="AP21" s="444">
        <v>40</v>
      </c>
      <c r="AQ21" s="452">
        <f>AP21/1000000/1000/AR10</f>
        <v>4.0000000000000003E-5</v>
      </c>
      <c r="AR21" s="446">
        <f>AQ21*1000000</f>
        <v>40</v>
      </c>
      <c r="AS21" s="444">
        <v>0.14000000000000001</v>
      </c>
      <c r="AT21" s="443">
        <f>AS21*$AR$5</f>
        <v>142.80000000000001</v>
      </c>
      <c r="AU21" s="443">
        <f>$AR$8*AT21</f>
        <v>2415.11868808089</v>
      </c>
      <c r="AV21" s="238"/>
      <c r="AW21" s="238"/>
      <c r="AX21" s="238"/>
      <c r="AY21" s="238"/>
      <c r="AZ21" s="238"/>
      <c r="BA21" s="238"/>
      <c r="BB21" s="238"/>
      <c r="BC21" s="238"/>
      <c r="BD21" s="238"/>
      <c r="BE21" s="238"/>
      <c r="BF21" s="239"/>
      <c r="BG21" s="239"/>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row>
    <row r="22" spans="1:94" s="240" customFormat="1" ht="14.25" customHeight="1">
      <c r="A22" s="438" t="str">
        <f>A17</f>
        <v>Flare - Fuel Gas</v>
      </c>
      <c r="B22" s="439"/>
      <c r="C22" s="439"/>
      <c r="D22" s="439"/>
      <c r="E22" s="439"/>
      <c r="F22" s="439"/>
      <c r="G22" s="440"/>
      <c r="H22" s="1340">
        <f>Q17/Q16*H21</f>
        <v>2403.2648825205929</v>
      </c>
      <c r="I22" s="1341"/>
      <c r="J22" s="1342"/>
      <c r="K22" s="1322">
        <f>H22/1000000/$K17</f>
        <v>3.4391311999436079E-3</v>
      </c>
      <c r="L22" s="1323"/>
      <c r="M22" s="1324"/>
      <c r="N22" s="1346"/>
      <c r="O22" s="1347"/>
      <c r="P22" s="1348"/>
      <c r="Q22" s="1349"/>
      <c r="R22" s="1350"/>
      <c r="S22" s="1351"/>
      <c r="T22" s="1256"/>
      <c r="U22" s="1257"/>
      <c r="V22" s="1258"/>
      <c r="W22" s="1253"/>
      <c r="X22" s="1254"/>
      <c r="Y22" s="1255"/>
      <c r="Z22" s="1250"/>
      <c r="AA22" s="1251"/>
      <c r="AB22" s="1252"/>
      <c r="AC22" s="1253"/>
      <c r="AD22" s="1254"/>
      <c r="AE22" s="1255"/>
      <c r="AF22" s="30"/>
      <c r="AG22" s="30"/>
      <c r="AH22" s="30"/>
      <c r="AI22" s="30"/>
      <c r="AJ22" s="30"/>
      <c r="AK22" s="253"/>
      <c r="AL22" s="238"/>
      <c r="AM22" s="241"/>
      <c r="AN22" s="241"/>
      <c r="AO22" s="241"/>
      <c r="AP22" s="444"/>
      <c r="AQ22" s="452"/>
      <c r="AR22" s="446"/>
      <c r="AS22" s="444"/>
      <c r="AT22" s="445"/>
      <c r="AU22" s="446"/>
      <c r="AV22" s="238"/>
      <c r="AW22" s="238"/>
      <c r="AX22" s="238"/>
      <c r="AY22" s="238"/>
      <c r="AZ22" s="238"/>
      <c r="BA22" s="238"/>
      <c r="BB22" s="238"/>
      <c r="BC22" s="238"/>
      <c r="BD22" s="238"/>
      <c r="BE22" s="238"/>
      <c r="BF22" s="239"/>
      <c r="BG22" s="239"/>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row>
    <row r="23" spans="1:94" s="240" customFormat="1" ht="14.25" customHeight="1">
      <c r="A23" s="133"/>
      <c r="B23" s="30"/>
      <c r="C23" s="30"/>
      <c r="D23" s="30"/>
      <c r="E23" s="30"/>
      <c r="F23" s="30"/>
      <c r="G23" s="253"/>
      <c r="H23" s="1352"/>
      <c r="I23" s="1353"/>
      <c r="J23" s="1354"/>
      <c r="K23" s="1355"/>
      <c r="L23" s="1356"/>
      <c r="M23" s="1357"/>
      <c r="N23" s="1358"/>
      <c r="O23" s="1359"/>
      <c r="P23" s="1360"/>
      <c r="Q23" s="1361"/>
      <c r="R23" s="1362"/>
      <c r="S23" s="1363"/>
      <c r="T23" s="1256"/>
      <c r="U23" s="1257"/>
      <c r="V23" s="1258"/>
      <c r="W23" s="1259"/>
      <c r="X23" s="1260"/>
      <c r="Y23" s="1261"/>
      <c r="Z23" s="1259"/>
      <c r="AA23" s="1260"/>
      <c r="AB23" s="1261"/>
      <c r="AC23" s="1259"/>
      <c r="AD23" s="1260"/>
      <c r="AE23" s="1261"/>
      <c r="AF23" s="30"/>
      <c r="AG23" s="30"/>
      <c r="AH23" s="30"/>
      <c r="AI23" s="30"/>
      <c r="AJ23" s="30"/>
      <c r="AK23" s="253"/>
      <c r="AL23" s="238"/>
      <c r="AM23" s="453">
        <f>X25/K17</f>
        <v>0.195892959358901</v>
      </c>
      <c r="AN23" s="241"/>
      <c r="AO23" s="241"/>
      <c r="AS23" s="245"/>
      <c r="AT23" s="454"/>
      <c r="AU23" s="455"/>
      <c r="AV23" s="238"/>
      <c r="AW23" s="238"/>
      <c r="AX23" s="238"/>
      <c r="AY23" s="238"/>
      <c r="AZ23" s="238"/>
      <c r="BA23" s="238"/>
      <c r="BB23" s="238"/>
      <c r="BC23" s="238"/>
      <c r="BD23" s="238"/>
      <c r="BE23" s="238"/>
      <c r="BF23" s="239"/>
      <c r="BG23" s="239"/>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row>
    <row r="24" spans="1:94" s="240" customFormat="1" ht="14.25" customHeight="1">
      <c r="A24" s="456" t="s">
        <v>612</v>
      </c>
      <c r="B24" s="457"/>
      <c r="C24" s="457"/>
      <c r="D24" s="457"/>
      <c r="E24" s="457"/>
      <c r="F24" s="457"/>
      <c r="G24" s="457"/>
      <c r="H24" s="457"/>
      <c r="I24" s="457"/>
      <c r="J24" s="457"/>
      <c r="K24" s="457"/>
      <c r="L24" s="457"/>
      <c r="M24" s="457"/>
      <c r="N24" s="457"/>
      <c r="O24" s="457"/>
      <c r="P24" s="457"/>
      <c r="Q24" s="457"/>
      <c r="R24" s="457"/>
      <c r="S24" s="458"/>
      <c r="T24" s="459" t="s">
        <v>613</v>
      </c>
      <c r="U24" s="460"/>
      <c r="V24" s="460"/>
      <c r="W24" s="460"/>
      <c r="X24" s="460"/>
      <c r="Y24" s="460"/>
      <c r="Z24" s="460"/>
      <c r="AA24" s="460"/>
      <c r="AB24" s="460"/>
      <c r="AC24" s="460"/>
      <c r="AD24" s="460"/>
      <c r="AE24" s="460"/>
      <c r="AF24" s="460"/>
      <c r="AG24" s="460"/>
      <c r="AH24" s="460"/>
      <c r="AI24" s="460"/>
      <c r="AJ24" s="460"/>
      <c r="AK24" s="461"/>
      <c r="AL24" s="238"/>
      <c r="AM24" s="241"/>
      <c r="AN24" s="241"/>
      <c r="AO24" s="241"/>
      <c r="AP24" s="241"/>
      <c r="AQ24" s="241"/>
      <c r="AR24" s="241"/>
      <c r="AS24" s="241"/>
      <c r="AT24" s="241"/>
      <c r="AU24" s="241"/>
      <c r="AV24" s="241"/>
      <c r="AW24" s="241"/>
      <c r="AX24" s="238"/>
      <c r="AY24" s="238"/>
      <c r="AZ24" s="238"/>
      <c r="BA24" s="238"/>
      <c r="BB24" s="238"/>
      <c r="BC24" s="238"/>
      <c r="BD24" s="238"/>
      <c r="BE24" s="238"/>
      <c r="BF24" s="239"/>
      <c r="BG24" s="239"/>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row>
    <row r="25" spans="1:94" s="240" customFormat="1" ht="14.25" customHeight="1">
      <c r="A25" s="462" t="s">
        <v>614</v>
      </c>
      <c r="B25" s="463"/>
      <c r="C25" s="463"/>
      <c r="D25" s="463"/>
      <c r="E25" s="463"/>
      <c r="F25" s="463"/>
      <c r="G25" s="463"/>
      <c r="H25" s="464"/>
      <c r="I25" s="463" t="s">
        <v>590</v>
      </c>
      <c r="J25" s="463"/>
      <c r="K25" s="463"/>
      <c r="L25" s="463" t="s">
        <v>615</v>
      </c>
      <c r="M25" s="463"/>
      <c r="N25" s="463"/>
      <c r="O25" s="463"/>
      <c r="P25" s="463"/>
      <c r="Q25" s="463"/>
      <c r="R25" s="463"/>
      <c r="S25" s="465" t="s">
        <v>616</v>
      </c>
      <c r="T25" s="1433" t="s">
        <v>757</v>
      </c>
      <c r="U25" s="1434"/>
      <c r="V25" s="1434"/>
      <c r="W25" s="1434"/>
      <c r="X25" s="1465">
        <f>X42*1000/365.25/24</f>
        <v>0.13689000000000001</v>
      </c>
      <c r="Y25" s="1465"/>
      <c r="Z25" s="1465"/>
      <c r="AA25" s="1434" t="s">
        <v>617</v>
      </c>
      <c r="AB25" s="1434"/>
      <c r="AC25" s="1435">
        <f>X25/H17</f>
        <v>8.4919354838709684E-3</v>
      </c>
      <c r="AD25" s="1435"/>
      <c r="AE25" s="1434" t="s">
        <v>618</v>
      </c>
      <c r="AF25" s="1434"/>
      <c r="AG25" s="1434"/>
      <c r="AH25" s="1429">
        <f>X25*N17/3600</f>
        <v>1.8928845000000002E-3</v>
      </c>
      <c r="AI25" s="1429"/>
      <c r="AJ25" s="466" t="s">
        <v>590</v>
      </c>
      <c r="AK25" s="467"/>
      <c r="AL25" s="238"/>
      <c r="AM25" s="254">
        <f>X25*W22</f>
        <v>0</v>
      </c>
      <c r="AN25" s="241"/>
      <c r="AO25" s="241"/>
      <c r="AP25" s="241"/>
      <c r="AQ25" s="241"/>
      <c r="AR25" s="241"/>
      <c r="AS25" s="241"/>
      <c r="AT25" s="241"/>
      <c r="AU25" s="241"/>
      <c r="AV25" s="241"/>
      <c r="AW25" s="241"/>
      <c r="AX25" s="238"/>
      <c r="AY25" s="238"/>
      <c r="AZ25" s="238"/>
      <c r="BA25" s="238"/>
      <c r="BB25" s="238"/>
      <c r="BC25" s="238"/>
      <c r="BD25" s="238"/>
      <c r="BE25" s="238"/>
      <c r="BF25" s="239"/>
      <c r="BG25" s="239"/>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row>
    <row r="26" spans="1:94" s="240" customFormat="1" ht="14.25" customHeight="1">
      <c r="A26" s="468" t="s">
        <v>619</v>
      </c>
      <c r="B26" s="469"/>
      <c r="C26" s="469"/>
      <c r="D26" s="469"/>
      <c r="E26" s="469"/>
      <c r="F26" s="469"/>
      <c r="G26" s="469"/>
      <c r="H26" s="470"/>
      <c r="I26" s="469" t="s">
        <v>590</v>
      </c>
      <c r="J26" s="469"/>
      <c r="K26" s="469"/>
      <c r="L26" s="469"/>
      <c r="M26" s="469"/>
      <c r="N26" s="469"/>
      <c r="O26" s="469"/>
      <c r="P26" s="469"/>
      <c r="Q26" s="469"/>
      <c r="R26" s="469"/>
      <c r="S26" s="471"/>
      <c r="T26" s="1430"/>
      <c r="U26" s="1431"/>
      <c r="V26" s="1431"/>
      <c r="W26" s="1431"/>
      <c r="X26" s="1432"/>
      <c r="Y26" s="1432"/>
      <c r="Z26" s="1432"/>
      <c r="AA26" s="1431"/>
      <c r="AB26" s="1431"/>
      <c r="AC26" s="1432"/>
      <c r="AD26" s="1432"/>
      <c r="AE26" s="1431"/>
      <c r="AF26" s="1431"/>
      <c r="AG26" s="1431"/>
      <c r="AH26" s="1432"/>
      <c r="AI26" s="1432"/>
      <c r="AJ26" s="469"/>
      <c r="AK26" s="471"/>
      <c r="AL26" s="238"/>
      <c r="AM26" s="254">
        <f>W22*SUM(N34:O43)</f>
        <v>0</v>
      </c>
      <c r="AN26" s="241"/>
      <c r="AO26" s="241"/>
      <c r="AP26" s="241"/>
      <c r="AQ26" s="241"/>
      <c r="AR26" s="241"/>
      <c r="AS26" s="241"/>
      <c r="AT26" s="241"/>
      <c r="AU26" s="241"/>
      <c r="AV26" s="241"/>
      <c r="AW26" s="241"/>
      <c r="AX26" s="238"/>
      <c r="AY26" s="238"/>
      <c r="AZ26" s="238"/>
      <c r="BA26" s="238"/>
      <c r="BB26" s="238"/>
      <c r="BC26" s="238"/>
      <c r="BD26" s="238"/>
      <c r="BE26" s="238"/>
      <c r="BF26" s="239"/>
      <c r="BG26" s="239"/>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row>
    <row r="27" spans="1:94" s="240" customFormat="1" ht="14.25" customHeight="1">
      <c r="A27" s="250"/>
      <c r="B27" s="251"/>
      <c r="C27" s="251"/>
      <c r="D27" s="251"/>
      <c r="E27" s="251"/>
      <c r="F27" s="251"/>
      <c r="G27" s="251"/>
      <c r="H27" s="252"/>
      <c r="I27" s="251"/>
      <c r="J27" s="251"/>
      <c r="K27" s="251"/>
      <c r="L27" s="251"/>
      <c r="M27" s="251"/>
      <c r="N27" s="251"/>
      <c r="O27" s="251"/>
      <c r="P27" s="251"/>
      <c r="Q27" s="251"/>
      <c r="R27" s="251"/>
      <c r="S27" s="251"/>
      <c r="T27" s="472"/>
      <c r="U27" s="472"/>
      <c r="V27" s="473"/>
      <c r="W27" s="473"/>
      <c r="X27" s="474"/>
      <c r="Y27" s="474"/>
      <c r="Z27" s="474"/>
      <c r="AA27" s="473"/>
      <c r="AB27" s="473"/>
      <c r="AC27" s="474"/>
      <c r="AD27" s="474"/>
      <c r="AE27" s="473"/>
      <c r="AF27" s="473"/>
      <c r="AG27" s="473"/>
      <c r="AH27" s="474"/>
      <c r="AI27" s="474"/>
      <c r="AJ27" s="30"/>
      <c r="AK27" s="253"/>
      <c r="AL27" s="238"/>
      <c r="AM27" s="254"/>
      <c r="AN27" s="241"/>
      <c r="AO27" s="241"/>
      <c r="AP27" s="241"/>
      <c r="AQ27" s="241"/>
      <c r="AR27" s="241"/>
      <c r="AS27" s="241"/>
      <c r="AT27" s="241"/>
      <c r="AU27" s="241"/>
      <c r="AV27" s="241"/>
      <c r="AW27" s="241"/>
      <c r="AX27" s="238"/>
      <c r="AY27" s="238"/>
      <c r="AZ27" s="238"/>
      <c r="BA27" s="238"/>
      <c r="BB27" s="238"/>
      <c r="BC27" s="238"/>
      <c r="BD27" s="238"/>
      <c r="BE27" s="238"/>
      <c r="BF27" s="239"/>
      <c r="BG27" s="239"/>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row>
    <row r="28" spans="1:94" s="240" customFormat="1" ht="14.25" customHeight="1">
      <c r="A28" s="1370" t="s">
        <v>718</v>
      </c>
      <c r="B28" s="1370"/>
      <c r="C28" s="1370"/>
      <c r="D28" s="1370"/>
      <c r="E28" s="1370"/>
      <c r="F28" s="1371" t="str">
        <f>A17</f>
        <v>Flare - Fuel Gas</v>
      </c>
      <c r="G28" s="1372"/>
      <c r="H28" s="1372"/>
      <c r="I28" s="1372"/>
      <c r="J28" s="1372"/>
      <c r="K28" s="1372"/>
      <c r="L28" s="1372"/>
      <c r="M28" s="1372"/>
      <c r="N28" s="1372"/>
      <c r="O28" s="1372"/>
      <c r="P28" s="1372"/>
      <c r="Q28" s="1372"/>
      <c r="R28" s="1372"/>
      <c r="S28" s="1372"/>
      <c r="T28" s="1372"/>
      <c r="U28" s="1373"/>
      <c r="V28" s="30"/>
      <c r="W28" s="1471" t="s">
        <v>766</v>
      </c>
      <c r="X28" s="1472"/>
      <c r="Y28" s="1472"/>
      <c r="Z28" s="1472"/>
      <c r="AA28" s="1472"/>
      <c r="AB28" s="1472"/>
      <c r="AC28" s="1472"/>
      <c r="AD28" s="1472"/>
      <c r="AE28" s="1472"/>
      <c r="AF28" s="1472"/>
      <c r="AG28" s="1472"/>
      <c r="AH28" s="1472"/>
      <c r="AI28" s="1472"/>
      <c r="AJ28" s="1472"/>
      <c r="AK28" s="253"/>
      <c r="AL28" s="255"/>
      <c r="AM28" s="241"/>
      <c r="AN28" s="241"/>
      <c r="AO28" s="241"/>
      <c r="AP28" s="241"/>
      <c r="AQ28" s="241"/>
      <c r="AR28" s="241"/>
      <c r="AS28" s="241"/>
      <c r="AT28" s="241"/>
      <c r="AU28" s="241"/>
      <c r="AV28" s="241"/>
      <c r="AW28" s="241"/>
      <c r="AX28" s="241"/>
      <c r="AY28" s="241"/>
      <c r="AZ28" s="238"/>
      <c r="BA28" s="238"/>
      <c r="BB28" s="238"/>
      <c r="BC28" s="238"/>
      <c r="BD28" s="238"/>
      <c r="BE28" s="238"/>
      <c r="BF28" s="239"/>
      <c r="BG28" s="239"/>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38"/>
      <c r="CN28" s="238"/>
      <c r="CO28" s="238"/>
      <c r="CP28" s="238"/>
    </row>
    <row r="29" spans="1:94" s="240" customFormat="1" ht="14.25" customHeight="1">
      <c r="A29" s="256" t="s">
        <v>620</v>
      </c>
      <c r="B29" s="30"/>
      <c r="C29" s="30"/>
      <c r="D29" s="30"/>
      <c r="E29" s="30"/>
      <c r="F29" s="1374"/>
      <c r="G29" s="1374"/>
      <c r="H29" s="1374"/>
      <c r="I29" s="1374"/>
      <c r="J29" s="1375" t="s">
        <v>120</v>
      </c>
      <c r="K29" s="1375"/>
      <c r="L29" s="1375"/>
      <c r="M29" s="1375"/>
      <c r="N29" s="1374" t="s">
        <v>621</v>
      </c>
      <c r="O29" s="1374"/>
      <c r="P29" s="1375" t="s">
        <v>622</v>
      </c>
      <c r="Q29" s="1375"/>
      <c r="R29" s="1375"/>
      <c r="S29" s="1375"/>
      <c r="T29" s="1375"/>
      <c r="U29" s="1375"/>
      <c r="V29" s="257"/>
      <c r="W29" s="1472"/>
      <c r="X29" s="1472"/>
      <c r="Y29" s="1472"/>
      <c r="Z29" s="1472"/>
      <c r="AA29" s="1472"/>
      <c r="AB29" s="1472"/>
      <c r="AC29" s="1472"/>
      <c r="AD29" s="1472"/>
      <c r="AE29" s="1472"/>
      <c r="AF29" s="1472"/>
      <c r="AG29" s="1472"/>
      <c r="AH29" s="1472"/>
      <c r="AI29" s="1472"/>
      <c r="AJ29" s="1472"/>
      <c r="AK29" s="253"/>
      <c r="AL29" s="255"/>
      <c r="AM29" s="241"/>
      <c r="AN29" s="241"/>
      <c r="AO29" s="241"/>
      <c r="AP29" s="241"/>
      <c r="AQ29" s="241"/>
      <c r="AR29" s="241"/>
      <c r="AS29" s="241"/>
      <c r="AT29" s="241"/>
      <c r="AU29" s="241"/>
      <c r="AV29" s="241"/>
      <c r="AW29" s="241"/>
      <c r="AX29" s="241"/>
      <c r="AY29" s="241"/>
      <c r="AZ29" s="238"/>
      <c r="BA29" s="238"/>
      <c r="BB29" s="238"/>
      <c r="BC29" s="238"/>
      <c r="BD29" s="238"/>
      <c r="BE29" s="238"/>
      <c r="BF29" s="239"/>
      <c r="BG29" s="239"/>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row>
    <row r="30" spans="1:94" s="240" customFormat="1" ht="14.25" customHeight="1">
      <c r="A30" s="133"/>
      <c r="B30" s="30"/>
      <c r="C30" s="30"/>
      <c r="D30" s="30"/>
      <c r="E30" s="30"/>
      <c r="F30" s="1374"/>
      <c r="G30" s="1374"/>
      <c r="H30" s="1374"/>
      <c r="I30" s="1374"/>
      <c r="J30" s="1375" t="s">
        <v>624</v>
      </c>
      <c r="K30" s="1375"/>
      <c r="L30" s="1375" t="s">
        <v>625</v>
      </c>
      <c r="M30" s="1375"/>
      <c r="N30" s="1374"/>
      <c r="O30" s="1374"/>
      <c r="P30" s="1375"/>
      <c r="Q30" s="1375"/>
      <c r="R30" s="1375"/>
      <c r="S30" s="1375"/>
      <c r="T30" s="1375"/>
      <c r="U30" s="1375"/>
      <c r="V30" s="257"/>
      <c r="W30" s="1472"/>
      <c r="X30" s="1472"/>
      <c r="Y30" s="1472"/>
      <c r="Z30" s="1472"/>
      <c r="AA30" s="1472"/>
      <c r="AB30" s="1472"/>
      <c r="AC30" s="1472"/>
      <c r="AD30" s="1472"/>
      <c r="AE30" s="1472"/>
      <c r="AF30" s="1472"/>
      <c r="AG30" s="1472"/>
      <c r="AH30" s="1472"/>
      <c r="AI30" s="1472"/>
      <c r="AJ30" s="1472"/>
      <c r="AK30" s="253"/>
      <c r="AL30" s="258"/>
      <c r="AM30" s="259" t="s">
        <v>740</v>
      </c>
      <c r="AN30" s="259"/>
      <c r="AO30" s="259"/>
      <c r="AP30" s="259"/>
      <c r="AQ30" s="259"/>
      <c r="AR30" s="259"/>
      <c r="AS30" s="259" t="s">
        <v>741</v>
      </c>
      <c r="AT30" s="259"/>
      <c r="AU30" s="259" t="s">
        <v>742</v>
      </c>
      <c r="AV30" s="259"/>
      <c r="AW30" s="259"/>
      <c r="AX30" s="259"/>
      <c r="AY30" s="258"/>
      <c r="AZ30" s="238"/>
      <c r="BA30" s="238"/>
      <c r="BB30" s="238"/>
      <c r="BC30" s="238"/>
      <c r="BD30" s="238"/>
      <c r="BE30" s="238"/>
      <c r="BF30" s="239"/>
      <c r="BG30" s="239"/>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row>
    <row r="31" spans="1:94" s="240" customFormat="1" ht="14.25" customHeight="1">
      <c r="A31" s="1376" t="s">
        <v>630</v>
      </c>
      <c r="B31" s="1376"/>
      <c r="C31" s="1376"/>
      <c r="D31" s="1376"/>
      <c r="E31" s="1376"/>
      <c r="F31" s="1375" t="s">
        <v>631</v>
      </c>
      <c r="G31" s="1375"/>
      <c r="H31" s="1375" t="s">
        <v>618</v>
      </c>
      <c r="I31" s="1375"/>
      <c r="J31" s="1373" t="s">
        <v>618</v>
      </c>
      <c r="K31" s="1375"/>
      <c r="L31" s="1375" t="s">
        <v>618</v>
      </c>
      <c r="M31" s="1375"/>
      <c r="N31" s="1375" t="s">
        <v>617</v>
      </c>
      <c r="O31" s="1375"/>
      <c r="P31" s="1375" t="s">
        <v>631</v>
      </c>
      <c r="Q31" s="1375"/>
      <c r="R31" s="1371" t="s">
        <v>618</v>
      </c>
      <c r="S31" s="1373"/>
      <c r="T31" s="1371" t="s">
        <v>617</v>
      </c>
      <c r="U31" s="1373"/>
      <c r="V31" s="30"/>
      <c r="W31" s="1472"/>
      <c r="X31" s="1472"/>
      <c r="Y31" s="1472"/>
      <c r="Z31" s="1472"/>
      <c r="AA31" s="1472"/>
      <c r="AB31" s="1472"/>
      <c r="AC31" s="1472"/>
      <c r="AD31" s="1472"/>
      <c r="AE31" s="1472"/>
      <c r="AF31" s="1472"/>
      <c r="AG31" s="1472"/>
      <c r="AH31" s="1472"/>
      <c r="AI31" s="1472"/>
      <c r="AJ31" s="1472"/>
      <c r="AK31" s="253"/>
      <c r="AL31" s="258"/>
      <c r="AM31" s="259" t="s">
        <v>633</v>
      </c>
      <c r="AN31" s="259" t="s">
        <v>634</v>
      </c>
      <c r="AO31" s="259" t="s">
        <v>635</v>
      </c>
      <c r="AP31" s="259" t="s">
        <v>636</v>
      </c>
      <c r="AQ31" s="259" t="s">
        <v>637</v>
      </c>
      <c r="AR31" s="259" t="s">
        <v>590</v>
      </c>
      <c r="AS31" s="259" t="s">
        <v>428</v>
      </c>
      <c r="AT31" s="259" t="s">
        <v>429</v>
      </c>
      <c r="AU31" s="259" t="s">
        <v>126</v>
      </c>
      <c r="AV31" s="259" t="s">
        <v>431</v>
      </c>
      <c r="AW31" s="259" t="s">
        <v>429</v>
      </c>
      <c r="AX31" s="259" t="s">
        <v>124</v>
      </c>
      <c r="AY31" s="258"/>
      <c r="AZ31" s="238"/>
      <c r="BA31" s="238"/>
      <c r="BB31" s="238"/>
      <c r="BC31" s="238"/>
      <c r="BD31" s="238"/>
      <c r="BE31" s="238"/>
      <c r="BF31" s="239" t="s">
        <v>128</v>
      </c>
      <c r="BG31" s="239" t="s">
        <v>743</v>
      </c>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row>
    <row r="32" spans="1:94" s="240" customFormat="1" ht="14.25" customHeight="1">
      <c r="A32" s="260" t="s">
        <v>638</v>
      </c>
      <c r="B32" s="261"/>
      <c r="C32" s="261"/>
      <c r="D32" s="261"/>
      <c r="E32" s="262"/>
      <c r="F32" s="1377">
        <v>0</v>
      </c>
      <c r="G32" s="1378"/>
      <c r="H32" s="1379">
        <f t="shared" ref="H32:H52" si="0">F32*$AC$25</f>
        <v>0</v>
      </c>
      <c r="I32" s="1381"/>
      <c r="J32" s="1380"/>
      <c r="K32" s="1380"/>
      <c r="L32" s="1379"/>
      <c r="M32" s="1380"/>
      <c r="N32" s="1379">
        <f t="shared" ref="N32:N52" si="1">SUM(H32,J32,L32)*AR32</f>
        <v>0</v>
      </c>
      <c r="O32" s="1380"/>
      <c r="P32" s="1379"/>
      <c r="Q32" s="1381"/>
      <c r="R32" s="1379"/>
      <c r="S32" s="1380"/>
      <c r="T32" s="1379"/>
      <c r="U32" s="1381"/>
      <c r="V32" s="263"/>
      <c r="W32" s="1469" t="s">
        <v>767</v>
      </c>
      <c r="X32" s="1470"/>
      <c r="Y32" s="1470"/>
      <c r="Z32" s="1470"/>
      <c r="AA32" s="1470"/>
      <c r="AB32" s="1470"/>
      <c r="AC32" s="1470"/>
      <c r="AD32" s="1470"/>
      <c r="AE32" s="1470"/>
      <c r="AF32" s="1470"/>
      <c r="AG32" s="1470"/>
      <c r="AH32" s="1470"/>
      <c r="AI32" s="1470"/>
      <c r="AJ32" s="1470"/>
      <c r="AK32" s="264"/>
      <c r="AL32" s="258"/>
      <c r="AM32" s="259"/>
      <c r="AN32" s="259">
        <v>2</v>
      </c>
      <c r="AO32" s="259"/>
      <c r="AP32" s="259"/>
      <c r="AQ32" s="259"/>
      <c r="AR32" s="265">
        <f>AM32*12.01+AN32*1.008+AO32*16+AP32*14+AQ32*32</f>
        <v>2.016</v>
      </c>
      <c r="AS32" s="259">
        <f>AM32*1+AN32*0.25+AQ32*1</f>
        <v>0.5</v>
      </c>
      <c r="AT32" s="266">
        <f>0.79/0.21*AS32</f>
        <v>1.8809523809523812</v>
      </c>
      <c r="AU32" s="259">
        <f>1*AM32</f>
        <v>0</v>
      </c>
      <c r="AV32" s="259">
        <f>AN32/2</f>
        <v>1</v>
      </c>
      <c r="AW32" s="266">
        <f>AP32*0.5+AT32</f>
        <v>1.8809523809523812</v>
      </c>
      <c r="AX32" s="259">
        <f>AQ32*1</f>
        <v>0</v>
      </c>
      <c r="AY32" s="258"/>
      <c r="AZ32" s="238"/>
      <c r="BA32" s="238"/>
      <c r="BB32" s="238"/>
      <c r="BC32" s="238"/>
      <c r="BD32" s="238"/>
      <c r="BE32" s="239" t="s">
        <v>639</v>
      </c>
      <c r="BF32" s="239">
        <v>1.4200000000000001E-2</v>
      </c>
      <c r="BG32" s="239">
        <v>2.9999999999999997E-4</v>
      </c>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row>
    <row r="33" spans="1:94" s="240" customFormat="1" ht="14.25" customHeight="1">
      <c r="A33" s="267" t="s">
        <v>122</v>
      </c>
      <c r="B33" s="268"/>
      <c r="C33" s="268"/>
      <c r="D33" s="268"/>
      <c r="E33" s="269"/>
      <c r="F33" s="1377">
        <f>[10]CO2eEF!P26</f>
        <v>0.99629999999999996</v>
      </c>
      <c r="G33" s="1378"/>
      <c r="H33" s="1299">
        <f>F33*$AC$25</f>
        <v>8.4605153225806463E-3</v>
      </c>
      <c r="I33" s="1301"/>
      <c r="J33" s="1300"/>
      <c r="K33" s="1300"/>
      <c r="L33" s="1299"/>
      <c r="M33" s="1300"/>
      <c r="N33" s="1299">
        <f t="shared" si="1"/>
        <v>0.13572358680483873</v>
      </c>
      <c r="O33" s="1301"/>
      <c r="P33" s="1299">
        <f>R33/$R$53</f>
        <v>3.2829547495441698E-4</v>
      </c>
      <c r="Q33" s="1301"/>
      <c r="R33" s="1299">
        <f>T33/$AR33</f>
        <v>2.9346881309081194E-5</v>
      </c>
      <c r="S33" s="1300"/>
      <c r="T33" s="1299">
        <f>$K22*$X25</f>
        <v>4.7078266996028055E-4</v>
      </c>
      <c r="U33" s="1301"/>
      <c r="V33" s="263"/>
      <c r="W33" s="1470"/>
      <c r="X33" s="1470"/>
      <c r="Y33" s="1470"/>
      <c r="Z33" s="1470"/>
      <c r="AA33" s="1470"/>
      <c r="AB33" s="1470"/>
      <c r="AC33" s="1470"/>
      <c r="AD33" s="1470"/>
      <c r="AE33" s="1470"/>
      <c r="AF33" s="1470"/>
      <c r="AG33" s="1470"/>
      <c r="AH33" s="1470"/>
      <c r="AI33" s="1470"/>
      <c r="AJ33" s="1470"/>
      <c r="AK33" s="264"/>
      <c r="AL33" s="258"/>
      <c r="AM33" s="259">
        <v>1</v>
      </c>
      <c r="AN33" s="259">
        <v>4</v>
      </c>
      <c r="AO33" s="259"/>
      <c r="AP33" s="259"/>
      <c r="AQ33" s="259"/>
      <c r="AR33" s="265">
        <f t="shared" ref="AR33:AR48" si="2">AM33*12.01+AN33*1.008+AO33*16+AP33*14+AQ33*32</f>
        <v>16.042000000000002</v>
      </c>
      <c r="AS33" s="259">
        <f t="shared" ref="AS33:AS47" si="3">AM33*1+AN33*0.25+AQ33*1</f>
        <v>2</v>
      </c>
      <c r="AT33" s="266">
        <f t="shared" ref="AT33:AT47" si="4">0.79/0.21*AS33</f>
        <v>7.5238095238095246</v>
      </c>
      <c r="AU33" s="259">
        <f t="shared" ref="AU33:AU47" si="5">1*AM33</f>
        <v>1</v>
      </c>
      <c r="AV33" s="259">
        <f t="shared" ref="AV33:AV47" si="6">AN33/2</f>
        <v>2</v>
      </c>
      <c r="AW33" s="266">
        <f t="shared" ref="AW33:AW47" si="7">AP33*0.5+AT33</f>
        <v>7.5238095238095246</v>
      </c>
      <c r="AX33" s="259">
        <f t="shared" ref="AX33:AX47" si="8">AQ33*1</f>
        <v>0</v>
      </c>
      <c r="AY33" s="258"/>
      <c r="AZ33" s="238"/>
      <c r="BA33" s="238"/>
      <c r="BB33" s="238"/>
      <c r="BC33" s="238"/>
      <c r="BD33" s="238"/>
      <c r="BE33" s="239" t="s">
        <v>126</v>
      </c>
      <c r="BF33" s="239">
        <v>9.5999999999999992E-3</v>
      </c>
      <c r="BG33" s="239">
        <v>0.77539999999999998</v>
      </c>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row>
    <row r="34" spans="1:94" s="240" customFormat="1" ht="14.25" customHeight="1">
      <c r="A34" s="267" t="s">
        <v>641</v>
      </c>
      <c r="B34" s="268"/>
      <c r="C34" s="268"/>
      <c r="D34" s="268"/>
      <c r="E34" s="269"/>
      <c r="F34" s="1377">
        <v>0</v>
      </c>
      <c r="G34" s="1378"/>
      <c r="H34" s="1299">
        <f t="shared" si="0"/>
        <v>0</v>
      </c>
      <c r="I34" s="1301"/>
      <c r="J34" s="1300"/>
      <c r="K34" s="1300"/>
      <c r="L34" s="1299"/>
      <c r="M34" s="1300"/>
      <c r="N34" s="1299">
        <f t="shared" si="1"/>
        <v>0</v>
      </c>
      <c r="O34" s="1301"/>
      <c r="P34" s="1299"/>
      <c r="Q34" s="1301"/>
      <c r="R34" s="1300"/>
      <c r="S34" s="1300"/>
      <c r="T34" s="1299"/>
      <c r="U34" s="1301"/>
      <c r="V34" s="263"/>
      <c r="W34" s="1470"/>
      <c r="X34" s="1470"/>
      <c r="Y34" s="1470"/>
      <c r="Z34" s="1470"/>
      <c r="AA34" s="1470"/>
      <c r="AB34" s="1470"/>
      <c r="AC34" s="1470"/>
      <c r="AD34" s="1470"/>
      <c r="AE34" s="1470"/>
      <c r="AF34" s="1470"/>
      <c r="AG34" s="1470"/>
      <c r="AH34" s="1470"/>
      <c r="AI34" s="1470"/>
      <c r="AJ34" s="1470"/>
      <c r="AK34" s="264"/>
      <c r="AL34" s="258"/>
      <c r="AM34" s="259">
        <v>2</v>
      </c>
      <c r="AN34" s="259">
        <v>4</v>
      </c>
      <c r="AO34" s="259"/>
      <c r="AP34" s="259"/>
      <c r="AQ34" s="259"/>
      <c r="AR34" s="265">
        <f t="shared" si="2"/>
        <v>28.052</v>
      </c>
      <c r="AS34" s="259">
        <f t="shared" si="3"/>
        <v>3</v>
      </c>
      <c r="AT34" s="266">
        <f t="shared" si="4"/>
        <v>11.285714285714286</v>
      </c>
      <c r="AU34" s="259">
        <f t="shared" si="5"/>
        <v>2</v>
      </c>
      <c r="AV34" s="259">
        <f t="shared" si="6"/>
        <v>2</v>
      </c>
      <c r="AW34" s="266">
        <f t="shared" si="7"/>
        <v>11.285714285714286</v>
      </c>
      <c r="AX34" s="259">
        <f t="shared" si="8"/>
        <v>0</v>
      </c>
      <c r="AY34" s="258"/>
      <c r="AZ34" s="238"/>
      <c r="BA34" s="238"/>
      <c r="BB34" s="238"/>
      <c r="BC34" s="238"/>
      <c r="BD34" s="238"/>
      <c r="BE34" s="239" t="s">
        <v>642</v>
      </c>
      <c r="BF34" s="239">
        <v>0.60499999999999998</v>
      </c>
      <c r="BG34" s="239">
        <v>1.43E-2</v>
      </c>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38"/>
      <c r="CN34" s="238"/>
      <c r="CO34" s="238"/>
      <c r="CP34" s="238"/>
    </row>
    <row r="35" spans="1:94" s="240" customFormat="1" ht="14.25" customHeight="1">
      <c r="A35" s="267" t="s">
        <v>643</v>
      </c>
      <c r="B35" s="268"/>
      <c r="C35" s="268"/>
      <c r="D35" s="268"/>
      <c r="E35" s="269"/>
      <c r="F35" s="1377">
        <f>[10]CO2eEF!P27</f>
        <v>7.000000000000001E-4</v>
      </c>
      <c r="G35" s="1378"/>
      <c r="H35" s="1299">
        <f t="shared" si="0"/>
        <v>5.944354838709679E-6</v>
      </c>
      <c r="I35" s="1301"/>
      <c r="J35" s="1300"/>
      <c r="K35" s="1300"/>
      <c r="L35" s="1299"/>
      <c r="M35" s="1300"/>
      <c r="N35" s="1299">
        <f t="shared" si="1"/>
        <v>1.7873486129032262E-4</v>
      </c>
      <c r="O35" s="1301"/>
      <c r="P35" s="1299">
        <f>R35/$R$53</f>
        <v>0</v>
      </c>
      <c r="Q35" s="1301"/>
      <c r="R35" s="1300">
        <f>T35/$AR35</f>
        <v>0</v>
      </c>
      <c r="S35" s="1300"/>
      <c r="T35" s="1299">
        <f>$Q$22*N35</f>
        <v>0</v>
      </c>
      <c r="U35" s="1301"/>
      <c r="V35" s="263"/>
      <c r="W35" s="1470"/>
      <c r="X35" s="1470"/>
      <c r="Y35" s="1470"/>
      <c r="Z35" s="1470"/>
      <c r="AA35" s="1470"/>
      <c r="AB35" s="1470"/>
      <c r="AC35" s="1470"/>
      <c r="AD35" s="1470"/>
      <c r="AE35" s="1470"/>
      <c r="AF35" s="1470"/>
      <c r="AG35" s="1470"/>
      <c r="AH35" s="1470"/>
      <c r="AI35" s="1470"/>
      <c r="AJ35" s="1470"/>
      <c r="AK35" s="264"/>
      <c r="AL35" s="258"/>
      <c r="AM35" s="259">
        <v>2</v>
      </c>
      <c r="AN35" s="259">
        <v>6</v>
      </c>
      <c r="AO35" s="259"/>
      <c r="AP35" s="259"/>
      <c r="AQ35" s="259"/>
      <c r="AR35" s="265">
        <f t="shared" si="2"/>
        <v>30.067999999999998</v>
      </c>
      <c r="AS35" s="259">
        <f t="shared" si="3"/>
        <v>3.5</v>
      </c>
      <c r="AT35" s="266">
        <f t="shared" si="4"/>
        <v>13.166666666666668</v>
      </c>
      <c r="AU35" s="259">
        <f t="shared" si="5"/>
        <v>2</v>
      </c>
      <c r="AV35" s="259">
        <f t="shared" si="6"/>
        <v>3</v>
      </c>
      <c r="AW35" s="266">
        <f t="shared" si="7"/>
        <v>13.166666666666668</v>
      </c>
      <c r="AX35" s="259">
        <f t="shared" si="8"/>
        <v>0</v>
      </c>
      <c r="AY35" s="258"/>
      <c r="AZ35" s="238"/>
      <c r="BA35" s="238"/>
      <c r="BB35" s="238"/>
      <c r="BC35" s="238"/>
      <c r="BD35" s="238"/>
      <c r="BE35" s="239" t="s">
        <v>644</v>
      </c>
      <c r="BF35" s="239">
        <v>0.17519999999999999</v>
      </c>
      <c r="BG35" s="239">
        <v>1.9E-3</v>
      </c>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row>
    <row r="36" spans="1:94" s="240" customFormat="1" ht="24" customHeight="1">
      <c r="A36" s="267" t="s">
        <v>418</v>
      </c>
      <c r="B36" s="268"/>
      <c r="C36" s="268"/>
      <c r="D36" s="268"/>
      <c r="E36" s="269"/>
      <c r="F36" s="1377">
        <v>0</v>
      </c>
      <c r="G36" s="1378"/>
      <c r="H36" s="1299">
        <f t="shared" si="0"/>
        <v>0</v>
      </c>
      <c r="I36" s="1301"/>
      <c r="J36" s="1300"/>
      <c r="K36" s="1300"/>
      <c r="L36" s="1299"/>
      <c r="M36" s="1300"/>
      <c r="N36" s="1299">
        <f t="shared" si="1"/>
        <v>0</v>
      </c>
      <c r="O36" s="1301"/>
      <c r="P36" s="1299"/>
      <c r="Q36" s="1301"/>
      <c r="R36" s="1300"/>
      <c r="S36" s="1300"/>
      <c r="T36" s="1299"/>
      <c r="U36" s="1301"/>
      <c r="V36" s="263"/>
      <c r="W36" s="1470"/>
      <c r="X36" s="1470"/>
      <c r="Y36" s="1470"/>
      <c r="Z36" s="1470"/>
      <c r="AA36" s="1470"/>
      <c r="AB36" s="1470"/>
      <c r="AC36" s="1470"/>
      <c r="AD36" s="1470"/>
      <c r="AE36" s="1470"/>
      <c r="AF36" s="1470"/>
      <c r="AG36" s="1470"/>
      <c r="AH36" s="1470"/>
      <c r="AI36" s="1470"/>
      <c r="AJ36" s="1470"/>
      <c r="AK36" s="264"/>
      <c r="AL36" s="258"/>
      <c r="AM36" s="259">
        <v>3</v>
      </c>
      <c r="AN36" s="259">
        <v>6</v>
      </c>
      <c r="AO36" s="259"/>
      <c r="AP36" s="259"/>
      <c r="AQ36" s="259"/>
      <c r="AR36" s="265">
        <f t="shared" si="2"/>
        <v>42.078000000000003</v>
      </c>
      <c r="AS36" s="259">
        <f t="shared" si="3"/>
        <v>4.5</v>
      </c>
      <c r="AT36" s="266">
        <f t="shared" si="4"/>
        <v>16.928571428571431</v>
      </c>
      <c r="AU36" s="259">
        <f t="shared" si="5"/>
        <v>3</v>
      </c>
      <c r="AV36" s="259">
        <f t="shared" si="6"/>
        <v>3</v>
      </c>
      <c r="AW36" s="266">
        <f t="shared" si="7"/>
        <v>16.928571428571431</v>
      </c>
      <c r="AX36" s="259">
        <f t="shared" si="8"/>
        <v>0</v>
      </c>
      <c r="AY36" s="258"/>
      <c r="AZ36" s="238"/>
      <c r="BA36" s="238"/>
      <c r="BB36" s="238"/>
      <c r="BC36" s="238"/>
      <c r="BD36" s="238"/>
      <c r="BE36" s="239" t="s">
        <v>645</v>
      </c>
      <c r="BF36" s="239">
        <v>0.1139</v>
      </c>
      <c r="BG36" s="239">
        <v>3.5999999999999999E-3</v>
      </c>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row>
    <row r="37" spans="1:94" s="240" customFormat="1" ht="14.25" customHeight="1">
      <c r="A37" s="267" t="s">
        <v>419</v>
      </c>
      <c r="B37" s="268"/>
      <c r="C37" s="268"/>
      <c r="D37" s="268"/>
      <c r="E37" s="269"/>
      <c r="F37" s="1377">
        <f>[10]CO2eEF!P28</f>
        <v>2.0000000000000001E-4</v>
      </c>
      <c r="G37" s="1378"/>
      <c r="H37" s="1299">
        <f t="shared" si="0"/>
        <v>1.6983870967741937E-6</v>
      </c>
      <c r="I37" s="1301"/>
      <c r="J37" s="1300"/>
      <c r="K37" s="1300"/>
      <c r="L37" s="1299"/>
      <c r="M37" s="1300"/>
      <c r="N37" s="1299">
        <f t="shared" si="1"/>
        <v>7.4888680645161305E-5</v>
      </c>
      <c r="O37" s="1301"/>
      <c r="P37" s="1299">
        <f>R37/$R$53</f>
        <v>0</v>
      </c>
      <c r="Q37" s="1301"/>
      <c r="R37" s="1300">
        <f>T37/$AR37</f>
        <v>0</v>
      </c>
      <c r="S37" s="1300"/>
      <c r="T37" s="1299">
        <f>$Q$22*N37</f>
        <v>0</v>
      </c>
      <c r="U37" s="1301"/>
      <c r="V37" s="263"/>
      <c r="W37" s="263"/>
      <c r="X37" s="272"/>
      <c r="Y37" s="31"/>
      <c r="Z37" s="270"/>
      <c r="AA37" s="263"/>
      <c r="AB37" s="263"/>
      <c r="AC37" s="263"/>
      <c r="AD37" s="263"/>
      <c r="AE37" s="263"/>
      <c r="AF37" s="263"/>
      <c r="AG37" s="263"/>
      <c r="AH37" s="263"/>
      <c r="AI37" s="263"/>
      <c r="AJ37" s="263"/>
      <c r="AK37" s="264"/>
      <c r="AL37" s="258"/>
      <c r="AM37" s="259">
        <v>3</v>
      </c>
      <c r="AN37" s="259">
        <v>8</v>
      </c>
      <c r="AO37" s="259"/>
      <c r="AP37" s="259"/>
      <c r="AQ37" s="259"/>
      <c r="AR37" s="265">
        <f t="shared" si="2"/>
        <v>44.094000000000001</v>
      </c>
      <c r="AS37" s="259">
        <f t="shared" si="3"/>
        <v>5</v>
      </c>
      <c r="AT37" s="266">
        <f t="shared" si="4"/>
        <v>18.80952380952381</v>
      </c>
      <c r="AU37" s="259">
        <f t="shared" si="5"/>
        <v>3</v>
      </c>
      <c r="AV37" s="259">
        <f t="shared" si="6"/>
        <v>4</v>
      </c>
      <c r="AW37" s="266">
        <f t="shared" si="7"/>
        <v>18.80952380952381</v>
      </c>
      <c r="AX37" s="259">
        <f t="shared" si="8"/>
        <v>0</v>
      </c>
      <c r="AY37" s="258"/>
      <c r="AZ37" s="238"/>
      <c r="BA37" s="238"/>
      <c r="BB37" s="238"/>
      <c r="BC37" s="238"/>
      <c r="BD37" s="238"/>
      <c r="BE37" s="239" t="s">
        <v>646</v>
      </c>
      <c r="BF37" s="239">
        <v>1.7100000000000001E-2</v>
      </c>
      <c r="BG37" s="239">
        <v>1E-3</v>
      </c>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row>
    <row r="38" spans="1:94" s="240" customFormat="1" ht="14.25" customHeight="1">
      <c r="A38" s="267" t="s">
        <v>420</v>
      </c>
      <c r="B38" s="268"/>
      <c r="C38" s="268"/>
      <c r="D38" s="268"/>
      <c r="E38" s="269"/>
      <c r="F38" s="1377">
        <v>0</v>
      </c>
      <c r="G38" s="1378"/>
      <c r="H38" s="1299">
        <f t="shared" si="0"/>
        <v>0</v>
      </c>
      <c r="I38" s="1301"/>
      <c r="J38" s="1300"/>
      <c r="K38" s="1300"/>
      <c r="L38" s="1299"/>
      <c r="M38" s="1300"/>
      <c r="N38" s="1299">
        <f t="shared" si="1"/>
        <v>0</v>
      </c>
      <c r="O38" s="1301"/>
      <c r="P38" s="1299"/>
      <c r="Q38" s="1301"/>
      <c r="R38" s="1300"/>
      <c r="S38" s="1300"/>
      <c r="T38" s="1299"/>
      <c r="U38" s="1301"/>
      <c r="V38" s="263"/>
      <c r="W38" s="263"/>
      <c r="X38" s="263"/>
      <c r="Y38" s="263"/>
      <c r="Z38" s="263"/>
      <c r="AA38" s="263"/>
      <c r="AB38" s="263"/>
      <c r="AC38" s="263"/>
      <c r="AD38" s="263"/>
      <c r="AE38" s="263"/>
      <c r="AF38" s="263"/>
      <c r="AG38" s="263"/>
      <c r="AH38" s="263"/>
      <c r="AI38" s="263"/>
      <c r="AJ38" s="263"/>
      <c r="AK38" s="264"/>
      <c r="AL38" s="258"/>
      <c r="AM38" s="259">
        <v>4</v>
      </c>
      <c r="AN38" s="259">
        <v>8</v>
      </c>
      <c r="AO38" s="259"/>
      <c r="AP38" s="259"/>
      <c r="AQ38" s="259"/>
      <c r="AR38" s="265">
        <f t="shared" si="2"/>
        <v>56.103999999999999</v>
      </c>
      <c r="AS38" s="259">
        <f t="shared" si="3"/>
        <v>6</v>
      </c>
      <c r="AT38" s="266">
        <f t="shared" si="4"/>
        <v>22.571428571428573</v>
      </c>
      <c r="AU38" s="259">
        <f t="shared" si="5"/>
        <v>4</v>
      </c>
      <c r="AV38" s="259">
        <f t="shared" si="6"/>
        <v>4</v>
      </c>
      <c r="AW38" s="266">
        <f t="shared" si="7"/>
        <v>22.571428571428573</v>
      </c>
      <c r="AX38" s="259">
        <f t="shared" si="8"/>
        <v>0</v>
      </c>
      <c r="AY38" s="258"/>
      <c r="AZ38" s="238"/>
      <c r="BA38" s="238"/>
      <c r="BB38" s="238"/>
      <c r="BC38" s="238"/>
      <c r="BD38" s="238"/>
      <c r="BE38" s="239" t="s">
        <v>647</v>
      </c>
      <c r="BF38" s="239">
        <v>4.5900000000000003E-2</v>
      </c>
      <c r="BG38" s="239">
        <v>2.3999999999999998E-3</v>
      </c>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row>
    <row r="39" spans="1:94" s="240" customFormat="1" ht="14.25" customHeight="1">
      <c r="A39" s="267" t="s">
        <v>421</v>
      </c>
      <c r="B39" s="268"/>
      <c r="C39" s="268"/>
      <c r="D39" s="268"/>
      <c r="E39" s="269"/>
      <c r="F39" s="1377">
        <f>[10]CO2eEF!P29</f>
        <v>1E-4</v>
      </c>
      <c r="G39" s="1378"/>
      <c r="H39" s="1299">
        <f t="shared" si="0"/>
        <v>8.4919354838709686E-7</v>
      </c>
      <c r="I39" s="1301"/>
      <c r="J39" s="1300"/>
      <c r="K39" s="1300"/>
      <c r="L39" s="1299"/>
      <c r="M39" s="1300"/>
      <c r="N39" s="1299">
        <f t="shared" si="1"/>
        <v>4.9355129032258068E-5</v>
      </c>
      <c r="O39" s="1301"/>
      <c r="P39" s="1299">
        <f>R39/$R$53</f>
        <v>0</v>
      </c>
      <c r="Q39" s="1301"/>
      <c r="R39" s="1300">
        <f>T39/$AR39</f>
        <v>0</v>
      </c>
      <c r="S39" s="1300"/>
      <c r="T39" s="1299">
        <f>$Q$22*N39</f>
        <v>0</v>
      </c>
      <c r="U39" s="1301"/>
      <c r="V39" s="263"/>
      <c r="W39" s="263"/>
      <c r="X39" s="263"/>
      <c r="Y39" s="263"/>
      <c r="Z39" s="263"/>
      <c r="AA39" s="263"/>
      <c r="AB39" s="263"/>
      <c r="AC39" s="263"/>
      <c r="AD39" s="263"/>
      <c r="AE39" s="263"/>
      <c r="AF39" s="263"/>
      <c r="AG39" s="263"/>
      <c r="AH39" s="263"/>
      <c r="AI39" s="263"/>
      <c r="AJ39" s="263"/>
      <c r="AK39" s="264"/>
      <c r="AL39" s="258"/>
      <c r="AM39" s="259">
        <v>4</v>
      </c>
      <c r="AN39" s="259">
        <v>10</v>
      </c>
      <c r="AO39" s="259"/>
      <c r="AP39" s="259"/>
      <c r="AQ39" s="259"/>
      <c r="AR39" s="265">
        <f>AM39*12.01+AN39*1.008+AO39*16+AP39*14+AQ39*32</f>
        <v>58.12</v>
      </c>
      <c r="AS39" s="259">
        <f t="shared" si="3"/>
        <v>6.5</v>
      </c>
      <c r="AT39" s="266">
        <f t="shared" si="4"/>
        <v>24.452380952380956</v>
      </c>
      <c r="AU39" s="259">
        <f t="shared" si="5"/>
        <v>4</v>
      </c>
      <c r="AV39" s="259">
        <f t="shared" si="6"/>
        <v>5</v>
      </c>
      <c r="AW39" s="266">
        <f t="shared" si="7"/>
        <v>24.452380952380956</v>
      </c>
      <c r="AX39" s="259">
        <f t="shared" si="8"/>
        <v>0</v>
      </c>
      <c r="AY39" s="258"/>
      <c r="AZ39" s="238"/>
      <c r="BA39" s="238"/>
      <c r="BB39" s="238"/>
      <c r="BC39" s="238"/>
      <c r="BD39" s="238"/>
      <c r="BE39" s="239" t="s">
        <v>648</v>
      </c>
      <c r="BF39" s="239">
        <v>8.2000000000000007E-3</v>
      </c>
      <c r="BG39" s="239">
        <v>1.6000000000000001E-3</v>
      </c>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38"/>
      <c r="CN39" s="238"/>
      <c r="CO39" s="238"/>
      <c r="CP39" s="238"/>
    </row>
    <row r="40" spans="1:94" s="240" customFormat="1" ht="14.25" customHeight="1">
      <c r="A40" s="267" t="s">
        <v>422</v>
      </c>
      <c r="B40" s="268"/>
      <c r="C40" s="268"/>
      <c r="D40" s="268"/>
      <c r="E40" s="269"/>
      <c r="F40" s="1377">
        <f>[10]CO2eEF!P30</f>
        <v>0</v>
      </c>
      <c r="G40" s="1378"/>
      <c r="H40" s="1299">
        <f t="shared" si="0"/>
        <v>0</v>
      </c>
      <c r="I40" s="1301"/>
      <c r="J40" s="1300"/>
      <c r="K40" s="1300"/>
      <c r="L40" s="1299"/>
      <c r="M40" s="1300"/>
      <c r="N40" s="1299">
        <f t="shared" si="1"/>
        <v>0</v>
      </c>
      <c r="O40" s="1301"/>
      <c r="P40" s="1299">
        <f>R40/$R$53</f>
        <v>0</v>
      </c>
      <c r="Q40" s="1301"/>
      <c r="R40" s="1300">
        <f>T40/$AR40</f>
        <v>0</v>
      </c>
      <c r="S40" s="1300"/>
      <c r="T40" s="1299">
        <f>$Q$22*N40</f>
        <v>0</v>
      </c>
      <c r="U40" s="1301"/>
      <c r="V40" s="263"/>
      <c r="W40" s="263"/>
      <c r="X40" s="263" t="s">
        <v>720</v>
      </c>
      <c r="Y40" s="263"/>
      <c r="Z40" s="263"/>
      <c r="AA40" s="263"/>
      <c r="AB40" s="263"/>
      <c r="AC40" s="263"/>
      <c r="AD40" s="263"/>
      <c r="AE40" s="263"/>
      <c r="AF40" s="263"/>
      <c r="AG40" s="263"/>
      <c r="AH40" s="263"/>
      <c r="AI40" s="263"/>
      <c r="AJ40" s="263"/>
      <c r="AK40" s="264"/>
      <c r="AL40" s="258"/>
      <c r="AM40" s="259">
        <v>4</v>
      </c>
      <c r="AN40" s="259">
        <v>10</v>
      </c>
      <c r="AO40" s="259"/>
      <c r="AP40" s="259"/>
      <c r="AQ40" s="259"/>
      <c r="AR40" s="265">
        <f t="shared" si="2"/>
        <v>58.12</v>
      </c>
      <c r="AS40" s="259">
        <f t="shared" si="3"/>
        <v>6.5</v>
      </c>
      <c r="AT40" s="266">
        <f t="shared" si="4"/>
        <v>24.452380952380956</v>
      </c>
      <c r="AU40" s="259">
        <f t="shared" si="5"/>
        <v>4</v>
      </c>
      <c r="AV40" s="259">
        <f t="shared" si="6"/>
        <v>5</v>
      </c>
      <c r="AW40" s="266">
        <f t="shared" si="7"/>
        <v>24.452380952380956</v>
      </c>
      <c r="AX40" s="259">
        <f t="shared" si="8"/>
        <v>0</v>
      </c>
      <c r="AY40" s="258"/>
      <c r="AZ40" s="238"/>
      <c r="BA40" s="238"/>
      <c r="BB40" s="238"/>
      <c r="BC40" s="238"/>
      <c r="BD40" s="238"/>
      <c r="BE40" s="239" t="s">
        <v>649</v>
      </c>
      <c r="BF40" s="239">
        <v>2.0000000000000001E-4</v>
      </c>
      <c r="BG40" s="239">
        <v>0</v>
      </c>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row>
    <row r="41" spans="1:94" s="240" customFormat="1" ht="14.25" customHeight="1">
      <c r="A41" s="267" t="s">
        <v>423</v>
      </c>
      <c r="B41" s="268"/>
      <c r="C41" s="268"/>
      <c r="D41" s="268"/>
      <c r="E41" s="269"/>
      <c r="F41" s="1377">
        <f>[10]CO2eEF!P31</f>
        <v>1E-4</v>
      </c>
      <c r="G41" s="1378"/>
      <c r="H41" s="1299">
        <f t="shared" si="0"/>
        <v>8.4919354838709686E-7</v>
      </c>
      <c r="I41" s="1301"/>
      <c r="J41" s="1300"/>
      <c r="K41" s="1300"/>
      <c r="L41" s="1299"/>
      <c r="M41" s="1300"/>
      <c r="N41" s="1299">
        <f t="shared" si="1"/>
        <v>6.1265917741935497E-5</v>
      </c>
      <c r="O41" s="1301"/>
      <c r="P41" s="1299">
        <f>R41/$R$53</f>
        <v>0</v>
      </c>
      <c r="Q41" s="1301"/>
      <c r="R41" s="1300">
        <f>T41/$AR41</f>
        <v>0</v>
      </c>
      <c r="S41" s="1300"/>
      <c r="T41" s="1299">
        <f>$Q$22*N41</f>
        <v>0</v>
      </c>
      <c r="U41" s="1301"/>
      <c r="V41" s="263"/>
      <c r="W41" s="263"/>
      <c r="X41" s="263"/>
      <c r="Y41" s="263"/>
      <c r="Z41" s="263"/>
      <c r="AA41" s="263"/>
      <c r="AB41" s="263"/>
      <c r="AC41" s="263"/>
      <c r="AD41" s="263"/>
      <c r="AE41" s="263"/>
      <c r="AF41" s="263"/>
      <c r="AG41" s="263"/>
      <c r="AH41" s="263"/>
      <c r="AI41" s="263"/>
      <c r="AJ41" s="263"/>
      <c r="AK41" s="264"/>
      <c r="AL41" s="258"/>
      <c r="AM41" s="259">
        <v>5</v>
      </c>
      <c r="AN41" s="259">
        <v>12</v>
      </c>
      <c r="AO41" s="259"/>
      <c r="AP41" s="259"/>
      <c r="AQ41" s="259"/>
      <c r="AR41" s="265">
        <f t="shared" si="2"/>
        <v>72.146000000000001</v>
      </c>
      <c r="AS41" s="259">
        <f t="shared" si="3"/>
        <v>8</v>
      </c>
      <c r="AT41" s="266">
        <f t="shared" si="4"/>
        <v>30.095238095238098</v>
      </c>
      <c r="AU41" s="259">
        <f t="shared" si="5"/>
        <v>5</v>
      </c>
      <c r="AV41" s="259">
        <f t="shared" si="6"/>
        <v>6</v>
      </c>
      <c r="AW41" s="266">
        <f t="shared" si="7"/>
        <v>30.095238095238098</v>
      </c>
      <c r="AX41" s="259">
        <f t="shared" si="8"/>
        <v>0</v>
      </c>
      <c r="AY41" s="258"/>
      <c r="AZ41" s="238"/>
      <c r="BA41" s="238"/>
      <c r="BB41" s="238"/>
      <c r="BC41" s="238"/>
      <c r="BD41" s="238"/>
      <c r="BE41" s="239" t="s">
        <v>650</v>
      </c>
      <c r="BF41" s="239">
        <v>8.8999999999999999E-3</v>
      </c>
      <c r="BG41" s="239">
        <v>1.9E-3</v>
      </c>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row>
    <row r="42" spans="1:94" s="240" customFormat="1" ht="14.25" customHeight="1">
      <c r="A42" s="267" t="s">
        <v>424</v>
      </c>
      <c r="B42" s="268"/>
      <c r="C42" s="268"/>
      <c r="D42" s="268"/>
      <c r="E42" s="269"/>
      <c r="F42" s="1377">
        <f>[10]CO2eEF!P33</f>
        <v>1E-4</v>
      </c>
      <c r="G42" s="1378"/>
      <c r="H42" s="1299">
        <f t="shared" si="0"/>
        <v>8.4919354838709686E-7</v>
      </c>
      <c r="I42" s="1301"/>
      <c r="J42" s="1300"/>
      <c r="K42" s="1300"/>
      <c r="L42" s="1299"/>
      <c r="M42" s="1300"/>
      <c r="N42" s="1299">
        <f t="shared" si="1"/>
        <v>6.1265917741935497E-5</v>
      </c>
      <c r="O42" s="1301"/>
      <c r="P42" s="1299">
        <f>R42/$R$53</f>
        <v>0</v>
      </c>
      <c r="Q42" s="1301"/>
      <c r="R42" s="1300">
        <f>T42/$AR42</f>
        <v>0</v>
      </c>
      <c r="S42" s="1300"/>
      <c r="T42" s="1299">
        <f>$Q$22*N42</f>
        <v>0</v>
      </c>
      <c r="U42" s="1301"/>
      <c r="V42" s="263"/>
      <c r="W42" s="263"/>
      <c r="X42" s="589">
        <f>X44*X43</f>
        <v>1.19997774</v>
      </c>
      <c r="Y42" s="589" t="s">
        <v>744</v>
      </c>
      <c r="Z42" s="263" t="s">
        <v>768</v>
      </c>
      <c r="AA42" s="263"/>
      <c r="AB42" s="263"/>
      <c r="AC42" s="263"/>
      <c r="AD42" s="263"/>
      <c r="AE42" s="263"/>
      <c r="AF42" s="263"/>
      <c r="AG42" s="263"/>
      <c r="AH42" s="263"/>
      <c r="AI42" s="263"/>
      <c r="AJ42" s="263"/>
      <c r="AK42" s="264"/>
      <c r="AL42" s="258"/>
      <c r="AM42" s="259">
        <v>5</v>
      </c>
      <c r="AN42" s="259">
        <v>12</v>
      </c>
      <c r="AO42" s="259"/>
      <c r="AP42" s="259"/>
      <c r="AQ42" s="259"/>
      <c r="AR42" s="265">
        <f t="shared" si="2"/>
        <v>72.146000000000001</v>
      </c>
      <c r="AS42" s="259">
        <f t="shared" si="3"/>
        <v>8</v>
      </c>
      <c r="AT42" s="266">
        <f t="shared" si="4"/>
        <v>30.095238095238098</v>
      </c>
      <c r="AU42" s="259">
        <f t="shared" si="5"/>
        <v>5</v>
      </c>
      <c r="AV42" s="259">
        <f t="shared" si="6"/>
        <v>6</v>
      </c>
      <c r="AW42" s="266">
        <f t="shared" si="7"/>
        <v>30.095238095238098</v>
      </c>
      <c r="AX42" s="259">
        <f t="shared" si="8"/>
        <v>0</v>
      </c>
      <c r="AY42" s="258"/>
      <c r="AZ42" s="238"/>
      <c r="BA42" s="238"/>
      <c r="BB42" s="238"/>
      <c r="BC42" s="238"/>
      <c r="BD42" s="238"/>
      <c r="BE42" s="239" t="s">
        <v>651</v>
      </c>
      <c r="BF42" s="239">
        <v>2.0000000000000001E-4</v>
      </c>
      <c r="BG42" s="239">
        <v>2.9999999999999997E-4</v>
      </c>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row>
    <row r="43" spans="1:94" s="240" customFormat="1" ht="14.25" customHeight="1">
      <c r="A43" s="267" t="s">
        <v>721</v>
      </c>
      <c r="B43" s="268"/>
      <c r="C43" s="268"/>
      <c r="D43" s="268"/>
      <c r="E43" s="269"/>
      <c r="F43" s="1377">
        <f>1-(SUM(F32:F42)+SUM(F44:G52))</f>
        <v>2.00000000000089E-4</v>
      </c>
      <c r="G43" s="1378"/>
      <c r="H43" s="1299">
        <f t="shared" si="0"/>
        <v>1.6983870967749495E-6</v>
      </c>
      <c r="I43" s="1301"/>
      <c r="J43" s="1300"/>
      <c r="K43" s="1300"/>
      <c r="L43" s="1299"/>
      <c r="M43" s="1300"/>
      <c r="N43" s="1299">
        <f t="shared" si="1"/>
        <v>1.4635341290329093E-4</v>
      </c>
      <c r="O43" s="1301"/>
      <c r="P43" s="1299">
        <f>R43/$R$53</f>
        <v>0</v>
      </c>
      <c r="Q43" s="1301"/>
      <c r="R43" s="1300">
        <f>T43/$AR43</f>
        <v>0</v>
      </c>
      <c r="S43" s="1300"/>
      <c r="T43" s="1299">
        <f>$Q$22*N43</f>
        <v>0</v>
      </c>
      <c r="U43" s="1301"/>
      <c r="V43" s="263"/>
      <c r="W43" s="263"/>
      <c r="X43" s="599">
        <v>365.25</v>
      </c>
      <c r="Y43" s="589" t="s">
        <v>745</v>
      </c>
      <c r="Z43" s="263"/>
      <c r="AA43" s="263"/>
      <c r="AB43" s="263"/>
      <c r="AC43" s="263"/>
      <c r="AD43" s="263"/>
      <c r="AE43" s="263"/>
      <c r="AF43" s="263"/>
      <c r="AG43" s="263"/>
      <c r="AH43" s="263"/>
      <c r="AI43" s="263"/>
      <c r="AJ43" s="263"/>
      <c r="AK43" s="264"/>
      <c r="AL43" s="258"/>
      <c r="AM43" s="259">
        <v>6</v>
      </c>
      <c r="AN43" s="259">
        <v>14</v>
      </c>
      <c r="AO43" s="259"/>
      <c r="AP43" s="259"/>
      <c r="AQ43" s="259"/>
      <c r="AR43" s="265">
        <f t="shared" si="2"/>
        <v>86.171999999999997</v>
      </c>
      <c r="AS43" s="259">
        <f t="shared" si="3"/>
        <v>9.5</v>
      </c>
      <c r="AT43" s="266">
        <f t="shared" si="4"/>
        <v>35.738095238095241</v>
      </c>
      <c r="AU43" s="259">
        <f t="shared" si="5"/>
        <v>6</v>
      </c>
      <c r="AV43" s="259">
        <f t="shared" si="6"/>
        <v>7</v>
      </c>
      <c r="AW43" s="266">
        <f t="shared" si="7"/>
        <v>35.738095238095241</v>
      </c>
      <c r="AX43" s="259">
        <f t="shared" si="8"/>
        <v>0</v>
      </c>
      <c r="AY43" s="258"/>
      <c r="AZ43" s="238"/>
      <c r="BA43" s="238"/>
      <c r="BB43" s="238"/>
      <c r="BC43" s="238"/>
      <c r="BD43" s="238"/>
      <c r="BE43" s="239" t="s">
        <v>652</v>
      </c>
      <c r="BF43" s="239">
        <v>0</v>
      </c>
      <c r="BG43" s="239">
        <v>5.0000000000000001E-4</v>
      </c>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38"/>
      <c r="CN43" s="238"/>
      <c r="CO43" s="238"/>
      <c r="CP43" s="238"/>
    </row>
    <row r="44" spans="1:94" s="240" customFormat="1" ht="14.25" customHeight="1">
      <c r="A44" s="267" t="s">
        <v>426</v>
      </c>
      <c r="B44" s="268"/>
      <c r="C44" s="268"/>
      <c r="D44" s="268"/>
      <c r="E44" s="269"/>
      <c r="F44" s="1377">
        <v>0</v>
      </c>
      <c r="G44" s="1378"/>
      <c r="H44" s="1299">
        <f>F44*$AC$25</f>
        <v>0</v>
      </c>
      <c r="I44" s="1301"/>
      <c r="J44" s="1300"/>
      <c r="K44" s="1300"/>
      <c r="L44" s="1299"/>
      <c r="M44" s="1300"/>
      <c r="N44" s="1299">
        <f t="shared" si="1"/>
        <v>0</v>
      </c>
      <c r="O44" s="1301"/>
      <c r="P44" s="1299"/>
      <c r="Q44" s="1301"/>
      <c r="R44" s="1300"/>
      <c r="S44" s="1300"/>
      <c r="T44" s="1299"/>
      <c r="U44" s="1301"/>
      <c r="V44" s="263"/>
      <c r="W44" s="263"/>
      <c r="X44" s="590">
        <f>X45*24/1000</f>
        <v>3.2853600000000002E-3</v>
      </c>
      <c r="Y44" s="589" t="s">
        <v>746</v>
      </c>
      <c r="Z44" s="263"/>
      <c r="AA44" s="263"/>
      <c r="AB44" s="263"/>
      <c r="AC44" s="263"/>
      <c r="AD44" s="263"/>
      <c r="AE44" s="263"/>
      <c r="AF44" s="263"/>
      <c r="AG44" s="263"/>
      <c r="AH44" s="263"/>
      <c r="AI44" s="263"/>
      <c r="AJ44" s="263"/>
      <c r="AK44" s="264"/>
      <c r="AL44" s="258"/>
      <c r="AM44" s="259"/>
      <c r="AN44" s="259"/>
      <c r="AO44" s="259"/>
      <c r="AP44" s="259"/>
      <c r="AQ44" s="259"/>
      <c r="AR44" s="265">
        <v>4.0030000000000001</v>
      </c>
      <c r="AS44" s="259"/>
      <c r="AT44" s="266"/>
      <c r="AU44" s="259"/>
      <c r="AV44" s="259"/>
      <c r="AW44" s="266"/>
      <c r="AX44" s="259"/>
      <c r="AY44" s="258"/>
      <c r="AZ44" s="238"/>
      <c r="BA44" s="238"/>
      <c r="BB44" s="238"/>
      <c r="BC44" s="238"/>
      <c r="BD44" s="238"/>
      <c r="BE44" s="239" t="s">
        <v>653</v>
      </c>
      <c r="BF44" s="239">
        <v>0</v>
      </c>
      <c r="BG44" s="239">
        <v>1E-4</v>
      </c>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row>
    <row r="45" spans="1:94" s="240" customFormat="1" ht="14.25" customHeight="1">
      <c r="A45" s="267" t="s">
        <v>427</v>
      </c>
      <c r="B45" s="268"/>
      <c r="C45" s="268"/>
      <c r="D45" s="268"/>
      <c r="E45" s="269"/>
      <c r="F45" s="1377">
        <v>0</v>
      </c>
      <c r="G45" s="1378"/>
      <c r="H45" s="1299">
        <f t="shared" si="0"/>
        <v>0</v>
      </c>
      <c r="I45" s="1301"/>
      <c r="J45" s="1300"/>
      <c r="K45" s="1300"/>
      <c r="L45" s="1299"/>
      <c r="M45" s="1300"/>
      <c r="N45" s="1299">
        <f t="shared" si="1"/>
        <v>0</v>
      </c>
      <c r="O45" s="1301"/>
      <c r="P45" s="1299"/>
      <c r="Q45" s="1301"/>
      <c r="R45" s="1299"/>
      <c r="S45" s="1301"/>
      <c r="T45" s="1299"/>
      <c r="U45" s="1301"/>
      <c r="V45" s="263"/>
      <c r="W45" s="263"/>
      <c r="X45" s="590">
        <f>0.13689</f>
        <v>0.13689000000000001</v>
      </c>
      <c r="Y45" s="589" t="s">
        <v>617</v>
      </c>
      <c r="Z45" s="263"/>
      <c r="AA45" s="263"/>
      <c r="AB45" s="263"/>
      <c r="AC45" s="263"/>
      <c r="AD45" s="263"/>
      <c r="AE45" s="263"/>
      <c r="AF45" s="263"/>
      <c r="AG45" s="263"/>
      <c r="AH45" s="263"/>
      <c r="AI45" s="263"/>
      <c r="AJ45" s="263"/>
      <c r="AK45" s="264"/>
      <c r="AL45" s="258"/>
      <c r="AM45" s="259"/>
      <c r="AN45" s="259">
        <v>2</v>
      </c>
      <c r="AO45" s="259"/>
      <c r="AP45" s="259"/>
      <c r="AQ45" s="259">
        <v>1</v>
      </c>
      <c r="AR45" s="265">
        <f t="shared" si="2"/>
        <v>34.015999999999998</v>
      </c>
      <c r="AS45" s="259">
        <f t="shared" si="3"/>
        <v>1.5</v>
      </c>
      <c r="AT45" s="266">
        <f t="shared" si="4"/>
        <v>5.6428571428571432</v>
      </c>
      <c r="AU45" s="259">
        <f t="shared" si="5"/>
        <v>0</v>
      </c>
      <c r="AV45" s="259">
        <f t="shared" si="6"/>
        <v>1</v>
      </c>
      <c r="AW45" s="266">
        <f t="shared" si="7"/>
        <v>5.6428571428571432</v>
      </c>
      <c r="AX45" s="259">
        <f t="shared" si="8"/>
        <v>1</v>
      </c>
      <c r="AY45" s="258"/>
      <c r="AZ45" s="238"/>
      <c r="BA45" s="238"/>
      <c r="BB45" s="238"/>
      <c r="BC45" s="238"/>
      <c r="BD45" s="238"/>
      <c r="BE45" s="239" t="s">
        <v>654</v>
      </c>
      <c r="BF45" s="239">
        <v>0</v>
      </c>
      <c r="BG45" s="239">
        <v>4.0000000000000002E-4</v>
      </c>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row>
    <row r="46" spans="1:94" s="240" customFormat="1" ht="14.25" customHeight="1">
      <c r="A46" s="267" t="s">
        <v>428</v>
      </c>
      <c r="B46" s="268"/>
      <c r="C46" s="268"/>
      <c r="D46" s="268"/>
      <c r="E46" s="269"/>
      <c r="F46" s="1377">
        <v>0</v>
      </c>
      <c r="G46" s="1378"/>
      <c r="H46" s="1299">
        <f t="shared" si="0"/>
        <v>0</v>
      </c>
      <c r="I46" s="1301"/>
      <c r="J46" s="1300">
        <f>SUMPRODUCT(H32:H52,AS32:AS52)-H46</f>
        <v>1.698556935483872E-2</v>
      </c>
      <c r="K46" s="1300"/>
      <c r="L46" s="1299">
        <v>0</v>
      </c>
      <c r="M46" s="1300"/>
      <c r="N46" s="1299">
        <f t="shared" si="1"/>
        <v>0.54353821935483904</v>
      </c>
      <c r="O46" s="1301"/>
      <c r="P46" s="1299">
        <f t="shared" ref="P46:P52" si="9">R46/$R$53</f>
        <v>6.5659094990883396E-4</v>
      </c>
      <c r="Q46" s="1301"/>
      <c r="R46" s="1300">
        <f>L46+SUMPRODUCT(R33:R45,$AS33:$AS45)</f>
        <v>5.8693762618162388E-5</v>
      </c>
      <c r="S46" s="1300"/>
      <c r="T46" s="1299">
        <f>R46*$AR46</f>
        <v>1.8782004037811964E-3</v>
      </c>
      <c r="U46" s="1301"/>
      <c r="V46" s="263"/>
      <c r="W46" s="263"/>
      <c r="X46" s="263"/>
      <c r="Y46" s="263"/>
      <c r="Z46" s="263"/>
      <c r="AA46" s="263"/>
      <c r="AB46" s="263"/>
      <c r="AC46" s="263"/>
      <c r="AD46" s="263"/>
      <c r="AE46" s="263"/>
      <c r="AF46" s="263"/>
      <c r="AG46" s="263"/>
      <c r="AH46" s="263"/>
      <c r="AI46" s="263"/>
      <c r="AJ46" s="263"/>
      <c r="AK46" s="264"/>
      <c r="AL46" s="258"/>
      <c r="AM46" s="259"/>
      <c r="AN46" s="259"/>
      <c r="AO46" s="259">
        <v>2</v>
      </c>
      <c r="AP46" s="259"/>
      <c r="AQ46" s="259"/>
      <c r="AR46" s="265">
        <f t="shared" si="2"/>
        <v>32</v>
      </c>
      <c r="AS46" s="259">
        <f t="shared" si="3"/>
        <v>0</v>
      </c>
      <c r="AT46" s="266">
        <f t="shared" si="4"/>
        <v>0</v>
      </c>
      <c r="AU46" s="259">
        <f t="shared" si="5"/>
        <v>0</v>
      </c>
      <c r="AV46" s="259">
        <f t="shared" si="6"/>
        <v>0</v>
      </c>
      <c r="AW46" s="266">
        <f t="shared" si="7"/>
        <v>0</v>
      </c>
      <c r="AX46" s="259">
        <f t="shared" si="8"/>
        <v>0</v>
      </c>
      <c r="AY46" s="258"/>
      <c r="AZ46" s="238"/>
      <c r="BA46" s="238"/>
      <c r="BB46" s="238"/>
      <c r="BC46" s="238"/>
      <c r="BD46" s="238"/>
      <c r="BE46" s="239" t="s">
        <v>655</v>
      </c>
      <c r="BF46" s="239">
        <v>0</v>
      </c>
      <c r="BG46" s="239">
        <v>2.0000000000000001E-4</v>
      </c>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row>
    <row r="47" spans="1:94" s="240" customFormat="1" ht="14.25" customHeight="1">
      <c r="A47" s="267" t="s">
        <v>429</v>
      </c>
      <c r="B47" s="268"/>
      <c r="C47" s="268"/>
      <c r="D47" s="268"/>
      <c r="E47" s="269"/>
      <c r="F47" s="1377">
        <f>[10]CO2eEF!P24</f>
        <v>1.5E-3</v>
      </c>
      <c r="G47" s="1378"/>
      <c r="H47" s="1299">
        <f t="shared" si="0"/>
        <v>1.2737903225806453E-5</v>
      </c>
      <c r="I47" s="1301"/>
      <c r="J47" s="1300">
        <f>0.79/0.21*J46</f>
        <v>6.3898094239631387E-2</v>
      </c>
      <c r="K47" s="1301"/>
      <c r="L47" s="1299">
        <f>0.71/0.29*L46</f>
        <v>0</v>
      </c>
      <c r="M47" s="1300"/>
      <c r="N47" s="1299">
        <f t="shared" si="1"/>
        <v>1.7895033000000016</v>
      </c>
      <c r="O47" s="1301"/>
      <c r="P47" s="1299">
        <f t="shared" si="9"/>
        <v>0.71492506458074756</v>
      </c>
      <c r="Q47" s="1301"/>
      <c r="R47" s="1299">
        <f>$H47+J47+L47-R50/2</f>
        <v>6.3908346644289085E-2</v>
      </c>
      <c r="S47" s="1301"/>
      <c r="T47" s="1340">
        <f>R47*$AR47</f>
        <v>1.7894337060400944</v>
      </c>
      <c r="U47" s="1342"/>
      <c r="V47" s="263"/>
      <c r="W47" s="263"/>
      <c r="X47" s="263"/>
      <c r="Y47" s="263"/>
      <c r="Z47" s="263"/>
      <c r="AA47" s="263"/>
      <c r="AB47" s="263"/>
      <c r="AC47" s="263"/>
      <c r="AD47" s="263"/>
      <c r="AE47" s="263"/>
      <c r="AF47" s="263"/>
      <c r="AG47" s="263"/>
      <c r="AH47" s="263"/>
      <c r="AI47" s="263"/>
      <c r="AJ47" s="263"/>
      <c r="AK47" s="264"/>
      <c r="AL47" s="258"/>
      <c r="AM47" s="259"/>
      <c r="AN47" s="259"/>
      <c r="AO47" s="259"/>
      <c r="AP47" s="259">
        <v>2</v>
      </c>
      <c r="AQ47" s="259"/>
      <c r="AR47" s="265">
        <f t="shared" si="2"/>
        <v>28</v>
      </c>
      <c r="AS47" s="259">
        <f t="shared" si="3"/>
        <v>0</v>
      </c>
      <c r="AT47" s="266">
        <f t="shared" si="4"/>
        <v>0</v>
      </c>
      <c r="AU47" s="259">
        <f t="shared" si="5"/>
        <v>0</v>
      </c>
      <c r="AV47" s="259">
        <f t="shared" si="6"/>
        <v>0</v>
      </c>
      <c r="AW47" s="266">
        <f t="shared" si="7"/>
        <v>1</v>
      </c>
      <c r="AX47" s="259">
        <f t="shared" si="8"/>
        <v>0</v>
      </c>
      <c r="AY47" s="258"/>
      <c r="AZ47" s="238"/>
      <c r="BA47" s="238"/>
      <c r="BB47" s="238"/>
      <c r="BC47" s="238"/>
      <c r="BD47" s="238"/>
      <c r="BE47" s="239" t="s">
        <v>656</v>
      </c>
      <c r="BF47" s="239">
        <v>1.5E-3</v>
      </c>
      <c r="BG47" s="239">
        <v>0</v>
      </c>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row>
    <row r="48" spans="1:94" s="240" customFormat="1" ht="14.25" customHeight="1">
      <c r="A48" s="267" t="s">
        <v>115</v>
      </c>
      <c r="B48" s="268"/>
      <c r="C48" s="268"/>
      <c r="D48" s="268"/>
      <c r="E48" s="269"/>
      <c r="F48" s="1377">
        <v>0</v>
      </c>
      <c r="G48" s="1378"/>
      <c r="H48" s="1299">
        <f t="shared" si="0"/>
        <v>0</v>
      </c>
      <c r="I48" s="1301"/>
      <c r="J48" s="1300"/>
      <c r="K48" s="1300"/>
      <c r="L48" s="1299"/>
      <c r="M48" s="1300"/>
      <c r="N48" s="1299">
        <f t="shared" si="1"/>
        <v>0</v>
      </c>
      <c r="O48" s="1301"/>
      <c r="P48" s="1299">
        <f t="shared" si="9"/>
        <v>4.9691715290736476E-4</v>
      </c>
      <c r="Q48" s="1301"/>
      <c r="R48" s="1300">
        <f>T48/$AR$48</f>
        <v>4.4420254981716681E-5</v>
      </c>
      <c r="S48" s="1300"/>
      <c r="T48" s="1299">
        <f>$AC17*$X25</f>
        <v>1.2442113420378842E-3</v>
      </c>
      <c r="U48" s="1301"/>
      <c r="V48" s="263"/>
      <c r="W48" s="263"/>
      <c r="X48" s="263"/>
      <c r="Y48" s="263"/>
      <c r="Z48" s="263"/>
      <c r="AA48" s="263"/>
      <c r="AB48" s="263"/>
      <c r="AC48" s="263"/>
      <c r="AD48" s="263"/>
      <c r="AE48" s="263"/>
      <c r="AF48" s="263"/>
      <c r="AG48" s="263"/>
      <c r="AH48" s="263"/>
      <c r="AI48" s="263"/>
      <c r="AJ48" s="263"/>
      <c r="AK48" s="264"/>
      <c r="AL48" s="258"/>
      <c r="AM48" s="258">
        <v>1</v>
      </c>
      <c r="AN48" s="258"/>
      <c r="AO48" s="258">
        <v>1</v>
      </c>
      <c r="AP48" s="258"/>
      <c r="AQ48" s="258"/>
      <c r="AR48" s="265">
        <f t="shared" si="2"/>
        <v>28.009999999999998</v>
      </c>
      <c r="AS48" s="259"/>
      <c r="AT48" s="258"/>
      <c r="AU48" s="258"/>
      <c r="AV48" s="258"/>
      <c r="AW48" s="258"/>
      <c r="AX48" s="258"/>
      <c r="AY48" s="258"/>
      <c r="AZ48" s="238"/>
      <c r="BA48" s="238"/>
      <c r="BB48" s="238"/>
      <c r="BC48" s="238"/>
      <c r="BD48" s="238"/>
      <c r="BE48" s="239" t="s">
        <v>657</v>
      </c>
      <c r="BF48" s="239">
        <v>1E-4</v>
      </c>
      <c r="BG48" s="239">
        <v>0</v>
      </c>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38"/>
      <c r="CN48" s="238"/>
      <c r="CO48" s="238"/>
      <c r="CP48" s="238"/>
    </row>
    <row r="49" spans="1:94" s="240" customFormat="1" ht="14.25" customHeight="1">
      <c r="A49" s="267" t="s">
        <v>126</v>
      </c>
      <c r="B49" s="268"/>
      <c r="C49" s="268"/>
      <c r="D49" s="268"/>
      <c r="E49" s="269"/>
      <c r="F49" s="1377">
        <f>[10]CO2eEF!P25</f>
        <v>8.0000000000000004E-4</v>
      </c>
      <c r="G49" s="1378"/>
      <c r="H49" s="1299">
        <f t="shared" si="0"/>
        <v>6.7935483870967749E-6</v>
      </c>
      <c r="I49" s="1301"/>
      <c r="J49" s="1300"/>
      <c r="K49" s="1300"/>
      <c r="L49" s="1299"/>
      <c r="M49" s="1300"/>
      <c r="N49" s="1299">
        <f t="shared" si="1"/>
        <v>2.9898406451612906E-4</v>
      </c>
      <c r="O49" s="1301"/>
      <c r="P49" s="1299">
        <f t="shared" si="9"/>
        <v>9.4333224561290854E-2</v>
      </c>
      <c r="Q49" s="1301"/>
      <c r="R49" s="1300">
        <f>SUMPRODUCT($H32:$H52,$AU32:$AU52)+$H49-R48-SUMPRODUCT(R33:R43,$AU33:$AU43)</f>
        <v>8.4326046379027582E-3</v>
      </c>
      <c r="S49" s="1300"/>
      <c r="T49" s="1299">
        <f>R49*$AR49</f>
        <v>0.37111893011410035</v>
      </c>
      <c r="U49" s="1301"/>
      <c r="V49" s="263"/>
      <c r="W49" s="263"/>
      <c r="X49" s="263"/>
      <c r="Y49" s="263"/>
      <c r="Z49" s="263"/>
      <c r="AA49" s="263"/>
      <c r="AB49" s="263"/>
      <c r="AC49" s="263"/>
      <c r="AD49" s="263"/>
      <c r="AE49" s="263"/>
      <c r="AF49" s="263"/>
      <c r="AG49" s="263"/>
      <c r="AH49" s="263"/>
      <c r="AI49" s="263"/>
      <c r="AJ49" s="263"/>
      <c r="AK49" s="264"/>
      <c r="AL49" s="258"/>
      <c r="AM49" s="259">
        <v>1</v>
      </c>
      <c r="AN49" s="259"/>
      <c r="AO49" s="259">
        <v>2</v>
      </c>
      <c r="AP49" s="259"/>
      <c r="AQ49" s="259"/>
      <c r="AR49" s="265">
        <f>AM49*12.01+AN49*1.008+AO49*16+AP49*14+AQ49*32</f>
        <v>44.01</v>
      </c>
      <c r="AS49" s="259"/>
      <c r="AT49" s="259"/>
      <c r="AU49" s="259"/>
      <c r="AV49" s="259"/>
      <c r="AW49" s="259"/>
      <c r="AX49" s="259"/>
      <c r="AY49" s="258"/>
      <c r="AZ49" s="238"/>
      <c r="BA49" s="238"/>
      <c r="BB49" s="238"/>
      <c r="BC49" s="238"/>
      <c r="BD49" s="238"/>
      <c r="BE49" s="239" t="s">
        <v>658</v>
      </c>
      <c r="BF49" s="239">
        <v>0</v>
      </c>
      <c r="BG49" s="239">
        <v>0</v>
      </c>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row>
    <row r="50" spans="1:94" s="240" customFormat="1" ht="14.25" customHeight="1">
      <c r="A50" s="267" t="s">
        <v>430</v>
      </c>
      <c r="B50" s="268"/>
      <c r="C50" s="268"/>
      <c r="D50" s="268"/>
      <c r="E50" s="269"/>
      <c r="F50" s="1377">
        <v>0</v>
      </c>
      <c r="G50" s="1378"/>
      <c r="H50" s="1299">
        <f t="shared" si="0"/>
        <v>0</v>
      </c>
      <c r="I50" s="1301"/>
      <c r="J50" s="1300"/>
      <c r="K50" s="1300"/>
      <c r="L50" s="1299"/>
      <c r="M50" s="1300"/>
      <c r="N50" s="1299">
        <f t="shared" si="1"/>
        <v>0</v>
      </c>
      <c r="O50" s="1301"/>
      <c r="P50" s="1299">
        <f t="shared" si="9"/>
        <v>5.5609175252620415E-5</v>
      </c>
      <c r="Q50" s="1301"/>
      <c r="R50" s="1300">
        <f>T50/$AR50</f>
        <v>4.9709971362265636E-6</v>
      </c>
      <c r="S50" s="1300"/>
      <c r="T50" s="1299">
        <f>$W17*$X25</f>
        <v>2.2866586826642194E-4</v>
      </c>
      <c r="U50" s="1301"/>
      <c r="V50" s="263"/>
      <c r="W50" s="263"/>
      <c r="X50" s="263"/>
      <c r="Y50" s="263"/>
      <c r="Z50" s="263"/>
      <c r="AA50" s="263"/>
      <c r="AB50" s="263"/>
      <c r="AC50" s="263"/>
      <c r="AD50" s="263"/>
      <c r="AE50" s="263"/>
      <c r="AF50" s="263"/>
      <c r="AG50" s="263"/>
      <c r="AH50" s="263"/>
      <c r="AI50" s="263"/>
      <c r="AJ50" s="263"/>
      <c r="AK50" s="264"/>
      <c r="AL50" s="258"/>
      <c r="AM50" s="258"/>
      <c r="AN50" s="258"/>
      <c r="AO50" s="258">
        <v>2</v>
      </c>
      <c r="AP50" s="258">
        <v>1</v>
      </c>
      <c r="AQ50" s="258"/>
      <c r="AR50" s="265">
        <f>AM50*12.01+AN50*1.008+AO50*16+AP50*14+AQ50*32</f>
        <v>46</v>
      </c>
      <c r="AS50" s="259"/>
      <c r="AT50" s="258"/>
      <c r="AU50" s="258"/>
      <c r="AV50" s="258"/>
      <c r="AW50" s="258"/>
      <c r="AX50" s="258"/>
      <c r="AY50" s="258"/>
      <c r="AZ50" s="238"/>
      <c r="BA50" s="238"/>
      <c r="BB50" s="238"/>
      <c r="BC50" s="238"/>
      <c r="BD50" s="238"/>
      <c r="BE50" s="239" t="s">
        <v>659</v>
      </c>
      <c r="BF50" s="239">
        <v>0</v>
      </c>
      <c r="BG50" s="239">
        <v>0</v>
      </c>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38"/>
      <c r="CN50" s="238"/>
      <c r="CO50" s="238"/>
      <c r="CP50" s="238"/>
    </row>
    <row r="51" spans="1:94" s="240" customFormat="1" ht="14.25" customHeight="1">
      <c r="A51" s="267" t="s">
        <v>124</v>
      </c>
      <c r="B51" s="268"/>
      <c r="C51" s="268"/>
      <c r="D51" s="268"/>
      <c r="E51" s="269"/>
      <c r="F51" s="1377">
        <v>0</v>
      </c>
      <c r="G51" s="1378"/>
      <c r="H51" s="1299">
        <f t="shared" si="0"/>
        <v>0</v>
      </c>
      <c r="I51" s="1301"/>
      <c r="J51" s="1300"/>
      <c r="K51" s="1300"/>
      <c r="L51" s="1299"/>
      <c r="M51" s="1300"/>
      <c r="N51" s="1299">
        <f t="shared" si="1"/>
        <v>0</v>
      </c>
      <c r="O51" s="1301"/>
      <c r="P51" s="1299">
        <f t="shared" si="9"/>
        <v>0</v>
      </c>
      <c r="Q51" s="1301"/>
      <c r="R51" s="1299">
        <f>SUMPRODUCT(H32:H52,$AX32:$AX52)+H51</f>
        <v>0</v>
      </c>
      <c r="S51" s="1300"/>
      <c r="T51" s="1299">
        <f>R51*$AR51</f>
        <v>0</v>
      </c>
      <c r="U51" s="1301"/>
      <c r="V51" s="263"/>
      <c r="W51" s="263"/>
      <c r="X51" s="263"/>
      <c r="Y51" s="263"/>
      <c r="Z51" s="263"/>
      <c r="AA51" s="263"/>
      <c r="AB51" s="263"/>
      <c r="AC51" s="263"/>
      <c r="AD51" s="263"/>
      <c r="AE51" s="263"/>
      <c r="AF51" s="263"/>
      <c r="AG51" s="263"/>
      <c r="AH51" s="263"/>
      <c r="AI51" s="263"/>
      <c r="AJ51" s="263"/>
      <c r="AK51" s="264"/>
      <c r="AL51" s="258"/>
      <c r="AM51" s="258"/>
      <c r="AN51" s="258"/>
      <c r="AO51" s="258">
        <v>2</v>
      </c>
      <c r="AP51" s="258"/>
      <c r="AQ51" s="258">
        <v>1</v>
      </c>
      <c r="AR51" s="265">
        <f>AM51*12.01+AN51*1.008+AO51*16+AP51*14+AQ51*32</f>
        <v>64</v>
      </c>
      <c r="AS51" s="259"/>
      <c r="AT51" s="258"/>
      <c r="AU51" s="258"/>
      <c r="AV51" s="258"/>
      <c r="AW51" s="258"/>
      <c r="AX51" s="258"/>
      <c r="AY51" s="258"/>
      <c r="AZ51" s="238"/>
      <c r="BA51" s="238"/>
      <c r="BB51" s="238"/>
      <c r="BC51" s="238"/>
      <c r="BD51" s="238"/>
      <c r="BE51" s="239" t="s">
        <v>660</v>
      </c>
      <c r="BF51" s="239">
        <v>0</v>
      </c>
      <c r="BG51" s="239">
        <v>0</v>
      </c>
      <c r="BH51" s="238"/>
      <c r="BI51" s="238"/>
      <c r="BJ51" s="238"/>
      <c r="BK51" s="238"/>
      <c r="BL51" s="238"/>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38"/>
      <c r="CN51" s="238"/>
      <c r="CO51" s="238"/>
      <c r="CP51" s="238"/>
    </row>
    <row r="52" spans="1:94" s="240" customFormat="1" ht="14.25" customHeight="1">
      <c r="A52" s="273" t="s">
        <v>431</v>
      </c>
      <c r="B52" s="274"/>
      <c r="C52" s="274"/>
      <c r="D52" s="274"/>
      <c r="E52" s="274"/>
      <c r="F52" s="1377">
        <f>[10]CO2eEF!P47</f>
        <v>0</v>
      </c>
      <c r="G52" s="1378"/>
      <c r="H52" s="1299">
        <f t="shared" si="0"/>
        <v>0</v>
      </c>
      <c r="I52" s="1301"/>
      <c r="J52" s="1384"/>
      <c r="K52" s="1384"/>
      <c r="L52" s="1382"/>
      <c r="M52" s="1384"/>
      <c r="N52" s="1299">
        <f t="shared" si="1"/>
        <v>0</v>
      </c>
      <c r="O52" s="1301"/>
      <c r="P52" s="1343">
        <f t="shared" si="9"/>
        <v>0.18920429810493833</v>
      </c>
      <c r="Q52" s="1345"/>
      <c r="R52" s="1300">
        <f>SUMPRODUCT(H32:H52,$AV32:$AV52)+H52-SUMPRODUCT(R33:R43,$AV33:$AV43)</f>
        <v>1.6913288495446363E-2</v>
      </c>
      <c r="S52" s="1300"/>
      <c r="T52" s="1382">
        <f>R52*$AR52</f>
        <v>0.30470980553396165</v>
      </c>
      <c r="U52" s="1383"/>
      <c r="V52" s="263"/>
      <c r="W52" s="263"/>
      <c r="X52" s="263"/>
      <c r="Y52" s="263"/>
      <c r="Z52" s="263"/>
      <c r="AA52" s="263"/>
      <c r="AB52" s="263"/>
      <c r="AC52" s="263"/>
      <c r="AD52" s="263"/>
      <c r="AE52" s="263"/>
      <c r="AF52" s="263"/>
      <c r="AG52" s="263"/>
      <c r="AH52" s="263"/>
      <c r="AI52" s="263"/>
      <c r="AJ52" s="263"/>
      <c r="AK52" s="264"/>
      <c r="AL52" s="258"/>
      <c r="AM52" s="258"/>
      <c r="AN52" s="258">
        <v>2</v>
      </c>
      <c r="AO52" s="258">
        <v>1</v>
      </c>
      <c r="AP52" s="258"/>
      <c r="AQ52" s="258"/>
      <c r="AR52" s="265">
        <f>AM52*12.01+AN52*1.008+AO52*16+AP52*14+AQ52*32</f>
        <v>18.015999999999998</v>
      </c>
      <c r="AS52" s="259"/>
      <c r="AT52" s="258"/>
      <c r="AU52" s="258"/>
      <c r="AV52" s="258"/>
      <c r="AW52" s="258"/>
      <c r="AX52" s="258"/>
      <c r="AY52" s="258"/>
      <c r="AZ52" s="238"/>
      <c r="BA52" s="238"/>
      <c r="BB52" s="238"/>
      <c r="BC52" s="238"/>
      <c r="BD52" s="238"/>
      <c r="BE52" s="239" t="s">
        <v>661</v>
      </c>
      <c r="BF52" s="239">
        <v>0</v>
      </c>
      <c r="BG52" s="239">
        <v>0</v>
      </c>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row>
    <row r="53" spans="1:94" s="240" customFormat="1" ht="14.25" customHeight="1">
      <c r="A53" s="1391" t="s">
        <v>663</v>
      </c>
      <c r="B53" s="1392"/>
      <c r="C53" s="1392"/>
      <c r="D53" s="1392"/>
      <c r="E53" s="1393"/>
      <c r="F53" s="1394">
        <f>SUM(F32:F52)</f>
        <v>1</v>
      </c>
      <c r="G53" s="1395"/>
      <c r="H53" s="1371">
        <f>SUM(H32:H52)</f>
        <v>8.4919354838709684E-3</v>
      </c>
      <c r="I53" s="1373"/>
      <c r="J53" s="1396">
        <f>SUM(J32:J52)</f>
        <v>8.0883663594470107E-2</v>
      </c>
      <c r="K53" s="1396"/>
      <c r="L53" s="1371">
        <f>SUM(L32:L52)</f>
        <v>0</v>
      </c>
      <c r="M53" s="1372"/>
      <c r="N53" s="1385">
        <f>SUM(N32:N52)</f>
        <v>2.4696359541435502</v>
      </c>
      <c r="O53" s="1386"/>
      <c r="P53" s="1385">
        <f>SUM(P32:P52)</f>
        <v>1</v>
      </c>
      <c r="Q53" s="1386"/>
      <c r="R53" s="1371">
        <f>SUM(R32:R52)</f>
        <v>8.9391671673683393E-2</v>
      </c>
      <c r="S53" s="1373"/>
      <c r="T53" s="1387">
        <f>SUM(T32:T52)</f>
        <v>2.4690843019722024</v>
      </c>
      <c r="U53" s="1388"/>
      <c r="V53" s="275"/>
      <c r="W53" s="275"/>
      <c r="X53" s="30"/>
      <c r="Y53" s="30"/>
      <c r="Z53" s="276"/>
      <c r="AA53" s="276"/>
      <c r="AB53" s="30"/>
      <c r="AC53" s="30"/>
      <c r="AD53" s="277"/>
      <c r="AE53" s="277"/>
      <c r="AF53" s="263"/>
      <c r="AG53" s="263"/>
      <c r="AH53" s="30"/>
      <c r="AI53" s="30"/>
      <c r="AJ53" s="277"/>
      <c r="AK53" s="278"/>
      <c r="AL53" s="238"/>
      <c r="AM53" s="238"/>
      <c r="AN53" s="238"/>
      <c r="AO53" s="238"/>
      <c r="AP53" s="238"/>
      <c r="AQ53" s="238"/>
      <c r="AR53" s="238"/>
      <c r="AS53" s="238"/>
      <c r="AT53" s="238"/>
      <c r="AU53" s="238"/>
      <c r="AV53" s="238"/>
      <c r="AW53" s="238"/>
      <c r="AX53" s="238"/>
      <c r="AY53" s="238"/>
      <c r="AZ53" s="238"/>
      <c r="BA53" s="238"/>
      <c r="BB53" s="238"/>
      <c r="BC53" s="238"/>
      <c r="BD53" s="238"/>
      <c r="BE53" s="239" t="s">
        <v>662</v>
      </c>
      <c r="BF53" s="239">
        <v>0</v>
      </c>
      <c r="BG53" s="239">
        <v>0</v>
      </c>
      <c r="BH53" s="238"/>
      <c r="BI53" s="238"/>
      <c r="BJ53" s="238"/>
      <c r="BK53" s="238"/>
      <c r="BL53" s="238"/>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38"/>
      <c r="CN53" s="238"/>
      <c r="CO53" s="238"/>
      <c r="CP53" s="238"/>
    </row>
    <row r="54" spans="1:94" s="240" customFormat="1" ht="14.25" customHeight="1">
      <c r="A54" s="475" t="s">
        <v>665</v>
      </c>
      <c r="B54" s="476"/>
      <c r="C54" s="476"/>
      <c r="D54" s="476"/>
      <c r="E54" s="435"/>
      <c r="F54" s="435"/>
      <c r="G54" s="435"/>
      <c r="H54" s="435"/>
      <c r="I54" s="435"/>
      <c r="J54" s="435"/>
      <c r="K54" s="435"/>
      <c r="L54" s="1189" t="s">
        <v>666</v>
      </c>
      <c r="M54" s="1190"/>
      <c r="N54" s="477"/>
      <c r="O54" s="30" t="s">
        <v>617</v>
      </c>
      <c r="P54" s="1403" t="s">
        <v>332</v>
      </c>
      <c r="Q54" s="1403"/>
      <c r="R54" s="477"/>
      <c r="S54" s="478"/>
      <c r="T54" s="478"/>
      <c r="U54" s="478"/>
      <c r="V54" s="478"/>
      <c r="W54" s="478"/>
      <c r="X54" s="478"/>
      <c r="Y54" s="478"/>
      <c r="Z54" s="478"/>
      <c r="AA54" s="478"/>
      <c r="AB54" s="478"/>
      <c r="AC54" s="478"/>
      <c r="AD54" s="478"/>
      <c r="AE54" s="478"/>
      <c r="AF54" s="478"/>
      <c r="AG54" s="478"/>
      <c r="AH54" s="478"/>
      <c r="AI54" s="478"/>
      <c r="AJ54" s="478"/>
      <c r="AK54" s="605"/>
      <c r="AL54" s="606"/>
      <c r="AM54" s="238"/>
      <c r="AN54" s="238"/>
      <c r="AO54" s="238"/>
      <c r="AP54" s="238"/>
      <c r="AQ54" s="238"/>
      <c r="AR54" s="238"/>
      <c r="AS54" s="238"/>
      <c r="AT54" s="238"/>
      <c r="AU54" s="238"/>
      <c r="AV54" s="238"/>
      <c r="AW54" s="238"/>
      <c r="AX54" s="238"/>
      <c r="AY54" s="238"/>
      <c r="AZ54" s="238"/>
      <c r="BA54" s="238"/>
      <c r="BB54" s="238"/>
      <c r="BC54" s="238"/>
      <c r="BD54" s="238"/>
      <c r="BE54" s="239" t="s">
        <v>664</v>
      </c>
      <c r="BF54" s="239">
        <v>0</v>
      </c>
      <c r="BG54" s="239">
        <v>0</v>
      </c>
      <c r="BH54" s="238"/>
      <c r="BI54" s="238"/>
      <c r="BJ54" s="238"/>
      <c r="BK54" s="238"/>
      <c r="BL54" s="238"/>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38"/>
      <c r="CN54" s="238"/>
      <c r="CO54" s="238"/>
      <c r="CP54" s="238"/>
    </row>
    <row r="55" spans="1:94" s="240" customFormat="1" ht="14.25" customHeight="1">
      <c r="A55" s="273" t="s">
        <v>668</v>
      </c>
      <c r="B55" s="30"/>
      <c r="C55" s="30"/>
      <c r="D55" s="30"/>
      <c r="E55" s="30"/>
      <c r="F55" s="30"/>
      <c r="G55" s="30"/>
      <c r="H55" s="30"/>
      <c r="I55" s="30"/>
      <c r="J55" s="30"/>
      <c r="K55" s="30"/>
      <c r="L55" s="1185">
        <f>N55*1000/3600</f>
        <v>6.3518296740672762E-5</v>
      </c>
      <c r="M55" s="1186"/>
      <c r="N55" s="1403">
        <f>W17*$X$25</f>
        <v>2.2866586826642194E-4</v>
      </c>
      <c r="O55" s="1403"/>
      <c r="P55" s="1403">
        <f>N55*$X$43*24/1000</f>
        <v>2.0044850012234544E-3</v>
      </c>
      <c r="Q55" s="1403"/>
      <c r="S55" s="478"/>
      <c r="T55" s="478"/>
      <c r="U55" s="478"/>
      <c r="V55" s="478"/>
      <c r="W55" s="478"/>
      <c r="X55" s="478"/>
      <c r="Y55" s="478"/>
      <c r="Z55" s="478"/>
      <c r="AA55" s="478"/>
      <c r="AB55" s="478"/>
      <c r="AC55" s="478"/>
      <c r="AD55" s="478"/>
      <c r="AE55" s="478"/>
      <c r="AF55" s="478"/>
      <c r="AG55" s="478"/>
      <c r="AH55" s="478"/>
      <c r="AI55" s="478"/>
      <c r="AJ55" s="478"/>
      <c r="AK55" s="605"/>
      <c r="AL55" s="606"/>
      <c r="AM55" s="238"/>
      <c r="AN55" s="238"/>
      <c r="AO55" s="482"/>
      <c r="AP55" s="238"/>
      <c r="AQ55" s="238"/>
      <c r="AR55" s="238"/>
      <c r="AS55" s="238"/>
      <c r="AT55" s="238"/>
      <c r="AU55" s="238"/>
      <c r="AV55" s="238"/>
      <c r="AW55" s="238"/>
      <c r="AX55" s="238"/>
      <c r="AY55" s="238"/>
      <c r="AZ55" s="238"/>
      <c r="BA55" s="238"/>
      <c r="BB55" s="238"/>
      <c r="BC55" s="238"/>
      <c r="BD55" s="238"/>
      <c r="BE55" s="239" t="s">
        <v>669</v>
      </c>
      <c r="BF55" s="239">
        <v>0</v>
      </c>
      <c r="BG55" s="239">
        <v>1.5800000000000002E-2</v>
      </c>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38"/>
      <c r="CN55" s="238"/>
      <c r="CO55" s="238"/>
      <c r="CP55" s="238"/>
    </row>
    <row r="56" spans="1:94" s="240" customFormat="1" ht="14.25" customHeight="1">
      <c r="A56" s="273" t="s">
        <v>670</v>
      </c>
      <c r="B56" s="30"/>
      <c r="C56" s="30"/>
      <c r="D56" s="30"/>
      <c r="E56" s="30"/>
      <c r="F56" s="30"/>
      <c r="G56" s="30"/>
      <c r="H56" s="30"/>
      <c r="I56" s="30"/>
      <c r="J56" s="30"/>
      <c r="K56" s="30"/>
      <c r="L56" s="1185">
        <f>N56*1000/3600</f>
        <v>3.4561426167719006E-4</v>
      </c>
      <c r="M56" s="1186"/>
      <c r="N56" s="1403">
        <f>AC17*$X$25</f>
        <v>1.2442113420378842E-3</v>
      </c>
      <c r="O56" s="1403"/>
      <c r="P56" s="1403">
        <f t="shared" ref="P56:P62" si="10">N56*$X$43*24/1000</f>
        <v>1.0906756624304095E-2</v>
      </c>
      <c r="Q56" s="1403"/>
      <c r="S56" s="478"/>
      <c r="T56" s="478"/>
      <c r="U56" s="478"/>
      <c r="V56" s="478"/>
      <c r="W56" s="478"/>
      <c r="X56" s="478"/>
      <c r="Y56" s="478"/>
      <c r="Z56" s="478"/>
      <c r="AA56" s="478"/>
      <c r="AB56" s="478"/>
      <c r="AC56" s="478"/>
      <c r="AD56" s="478"/>
      <c r="AE56" s="478"/>
      <c r="AF56" s="478"/>
      <c r="AG56" s="478"/>
      <c r="AH56" s="478"/>
      <c r="AI56" s="478"/>
      <c r="AJ56" s="478"/>
      <c r="AK56" s="605"/>
      <c r="AL56" s="606"/>
      <c r="AM56" s="238"/>
      <c r="AN56" s="238"/>
      <c r="AO56" s="482"/>
      <c r="AP56" s="238"/>
      <c r="AQ56" s="238"/>
      <c r="AR56" s="238"/>
      <c r="AS56" s="238"/>
      <c r="AT56" s="238"/>
      <c r="AU56" s="238"/>
      <c r="AV56" s="238"/>
      <c r="AW56" s="238"/>
      <c r="AX56" s="238"/>
      <c r="AY56" s="238"/>
      <c r="AZ56" s="238"/>
      <c r="BA56" s="238"/>
      <c r="BB56" s="238"/>
      <c r="BC56" s="238"/>
      <c r="BD56" s="238"/>
      <c r="BE56" s="239"/>
      <c r="BF56" s="239"/>
      <c r="BG56" s="239"/>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38"/>
      <c r="CN56" s="238"/>
      <c r="CO56" s="238"/>
      <c r="CP56" s="238"/>
    </row>
    <row r="57" spans="1:94" s="240" customFormat="1" ht="14.25" customHeight="1">
      <c r="A57" s="483" t="s">
        <v>748</v>
      </c>
      <c r="B57" s="484"/>
      <c r="C57" s="484"/>
      <c r="D57" s="484"/>
      <c r="E57" s="484"/>
      <c r="F57" s="484"/>
      <c r="G57" s="484"/>
      <c r="H57" s="484"/>
      <c r="I57" s="484"/>
      <c r="J57" s="484"/>
      <c r="K57" s="484"/>
      <c r="L57" s="1185">
        <f>N57*1000/3600</f>
        <v>2.1659053780378959E-6</v>
      </c>
      <c r="M57" s="1186"/>
      <c r="N57" s="1389">
        <f>AI17*X25</f>
        <v>7.7972593609364244E-6</v>
      </c>
      <c r="O57" s="1389"/>
      <c r="P57" s="1403">
        <f t="shared" si="10"/>
        <v>6.8350775557968698E-5</v>
      </c>
      <c r="Q57" s="1403"/>
      <c r="S57" s="478"/>
      <c r="T57" s="478"/>
      <c r="U57" s="478"/>
      <c r="V57" s="478"/>
      <c r="W57" s="478"/>
      <c r="X57" s="478"/>
      <c r="Y57" s="478"/>
      <c r="Z57" s="478"/>
      <c r="AA57" s="478"/>
      <c r="AB57" s="478"/>
      <c r="AC57" s="478"/>
      <c r="AD57" s="478"/>
      <c r="AE57" s="478"/>
      <c r="AF57" s="478"/>
      <c r="AG57" s="478"/>
      <c r="AH57" s="478"/>
      <c r="AI57" s="478"/>
      <c r="AJ57" s="478"/>
      <c r="AK57" s="605"/>
      <c r="AL57" s="606"/>
      <c r="AM57" s="238"/>
      <c r="AN57" s="281"/>
      <c r="AO57" s="238"/>
      <c r="AP57" s="238"/>
      <c r="AQ57" s="238"/>
      <c r="AR57" s="238"/>
      <c r="AS57" s="238"/>
      <c r="AT57" s="238"/>
      <c r="AU57" s="238"/>
      <c r="AV57" s="238"/>
      <c r="AW57" s="238"/>
      <c r="AX57" s="238"/>
      <c r="AY57" s="238"/>
      <c r="AZ57" s="238"/>
      <c r="BA57" s="238"/>
      <c r="BB57" s="238"/>
      <c r="BC57" s="238"/>
      <c r="BD57" s="238"/>
      <c r="BE57" s="239" t="s">
        <v>667</v>
      </c>
      <c r="BF57" s="239">
        <v>0</v>
      </c>
      <c r="BG57" s="239">
        <v>4.4999999999999997E-3</v>
      </c>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38"/>
      <c r="CN57" s="238"/>
      <c r="CO57" s="238"/>
      <c r="CP57" s="238"/>
    </row>
    <row r="58" spans="1:94" s="240" customFormat="1" ht="14.25" customHeight="1">
      <c r="A58" s="273" t="s">
        <v>672</v>
      </c>
      <c r="B58" s="30"/>
      <c r="C58" s="30"/>
      <c r="D58" s="30"/>
      <c r="E58" s="30"/>
      <c r="F58" s="30"/>
      <c r="G58" s="30"/>
      <c r="H58" s="30"/>
      <c r="I58" s="30"/>
      <c r="J58" s="30"/>
      <c r="K58" s="30"/>
      <c r="L58" s="1185">
        <f>N58*1000/3600</f>
        <v>1.3077296387785571E-4</v>
      </c>
      <c r="M58" s="1186"/>
      <c r="N58" s="1407">
        <f>K22*$X$25</f>
        <v>4.7078266996028055E-4</v>
      </c>
      <c r="O58" s="1407"/>
      <c r="P58" s="1403">
        <f t="shared" si="10"/>
        <v>4.1268808848718194E-3</v>
      </c>
      <c r="Q58" s="1403"/>
      <c r="S58" s="478"/>
      <c r="T58" s="478"/>
      <c r="U58" s="478"/>
      <c r="V58" s="478"/>
      <c r="W58" s="478"/>
      <c r="X58" s="478"/>
      <c r="Y58" s="478"/>
      <c r="Z58" s="478"/>
      <c r="AA58" s="478"/>
      <c r="AB58" s="478"/>
      <c r="AC58" s="478"/>
      <c r="AD58" s="478"/>
      <c r="AE58" s="478"/>
      <c r="AF58" s="478"/>
      <c r="AG58" s="478"/>
      <c r="AH58" s="478"/>
      <c r="AI58" s="478"/>
      <c r="AJ58" s="478"/>
      <c r="AK58" s="605"/>
      <c r="AL58" s="606"/>
      <c r="AM58" s="238"/>
      <c r="AN58" s="238"/>
      <c r="AO58" s="482"/>
      <c r="AP58" s="238"/>
      <c r="AQ58" s="238"/>
      <c r="AR58" s="238"/>
      <c r="AS58" s="238"/>
      <c r="AT58" s="238"/>
      <c r="AU58" s="238"/>
      <c r="AV58" s="238"/>
      <c r="AW58" s="238"/>
      <c r="AX58" s="238"/>
      <c r="AY58" s="238"/>
      <c r="AZ58" s="238"/>
      <c r="BA58" s="238"/>
      <c r="BB58" s="238"/>
      <c r="BC58" s="238"/>
      <c r="BD58" s="238"/>
      <c r="BE58" s="239"/>
      <c r="BF58" s="239"/>
      <c r="BG58" s="239"/>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row>
    <row r="59" spans="1:94" s="240" customFormat="1" ht="14.25" customHeight="1">
      <c r="A59" s="273" t="s">
        <v>673</v>
      </c>
      <c r="B59" s="30"/>
      <c r="C59" s="30"/>
      <c r="D59" s="30"/>
      <c r="E59" s="30"/>
      <c r="F59" s="30"/>
      <c r="G59" s="30"/>
      <c r="H59" s="30"/>
      <c r="I59" s="30"/>
      <c r="J59" s="30"/>
      <c r="K59" s="30"/>
      <c r="L59" s="1187">
        <f t="shared" ref="L59:L61" si="11">N59*1000/3600</f>
        <v>0</v>
      </c>
      <c r="M59" s="1408"/>
      <c r="N59" s="1409">
        <f>W22*$X$25</f>
        <v>0</v>
      </c>
      <c r="O59" s="1409"/>
      <c r="P59" s="1403">
        <f t="shared" si="10"/>
        <v>0</v>
      </c>
      <c r="Q59" s="1403"/>
      <c r="S59" s="478"/>
      <c r="T59" s="478"/>
      <c r="U59" s="478"/>
      <c r="V59" s="478"/>
      <c r="W59" s="478"/>
      <c r="X59" s="478"/>
      <c r="Y59" s="478"/>
      <c r="Z59" s="478"/>
      <c r="AA59" s="478"/>
      <c r="AB59" s="478"/>
      <c r="AC59" s="478"/>
      <c r="AD59" s="478"/>
      <c r="AE59" s="478"/>
      <c r="AF59" s="478"/>
      <c r="AG59" s="478"/>
      <c r="AH59" s="478"/>
      <c r="AI59" s="478"/>
      <c r="AJ59" s="478"/>
      <c r="AK59" s="605"/>
      <c r="AL59" s="606"/>
      <c r="AM59" s="238"/>
      <c r="AN59" s="238"/>
      <c r="AO59" s="482"/>
      <c r="AP59" s="238"/>
      <c r="AQ59" s="238"/>
      <c r="AR59" s="238"/>
      <c r="AS59" s="238"/>
      <c r="AT59" s="238"/>
      <c r="AU59" s="238"/>
      <c r="AV59" s="238"/>
      <c r="AW59" s="238"/>
      <c r="AX59" s="238"/>
      <c r="AY59" s="238"/>
      <c r="AZ59" s="238"/>
      <c r="BA59" s="238"/>
      <c r="BB59" s="238"/>
      <c r="BC59" s="238"/>
      <c r="BD59" s="238"/>
      <c r="BE59" s="239"/>
      <c r="BF59" s="239"/>
      <c r="BG59" s="239"/>
      <c r="BH59" s="238"/>
      <c r="BI59" s="238"/>
      <c r="BJ59" s="238"/>
      <c r="BK59" s="238"/>
      <c r="BL59" s="238"/>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38"/>
      <c r="CN59" s="238"/>
      <c r="CO59" s="238"/>
      <c r="CP59" s="238"/>
    </row>
    <row r="60" spans="1:94" s="240" customFormat="1" ht="14.25" customHeight="1">
      <c r="A60" s="273" t="s">
        <v>675</v>
      </c>
      <c r="B60" s="30"/>
      <c r="C60" s="30"/>
      <c r="D60" s="30"/>
      <c r="E60" s="30"/>
      <c r="F60" s="30"/>
      <c r="G60" s="30"/>
      <c r="H60" s="30"/>
      <c r="I60" s="30"/>
      <c r="J60" s="30"/>
      <c r="K60" s="30"/>
      <c r="L60" s="1187">
        <f t="shared" si="11"/>
        <v>0</v>
      </c>
      <c r="M60" s="1408"/>
      <c r="N60" s="1414"/>
      <c r="O60" s="1414"/>
      <c r="P60" s="1403">
        <f t="shared" si="10"/>
        <v>0</v>
      </c>
      <c r="Q60" s="1403"/>
      <c r="S60" s="478"/>
      <c r="T60" s="478"/>
      <c r="U60" s="478"/>
      <c r="V60" s="478"/>
      <c r="W60" s="478"/>
      <c r="X60" s="478"/>
      <c r="Y60" s="478"/>
      <c r="Z60" s="478"/>
      <c r="AA60" s="478"/>
      <c r="AB60" s="478"/>
      <c r="AC60" s="478"/>
      <c r="AD60" s="478"/>
      <c r="AE60" s="478"/>
      <c r="AF60" s="478"/>
      <c r="AG60" s="478"/>
      <c r="AH60" s="478"/>
      <c r="AI60" s="478"/>
      <c r="AJ60" s="478"/>
      <c r="AK60" s="605"/>
      <c r="AL60" s="606"/>
      <c r="AM60" s="238"/>
      <c r="AN60" s="238"/>
      <c r="AO60" s="482"/>
      <c r="AP60" s="238"/>
      <c r="AQ60" s="238"/>
      <c r="AR60" s="238"/>
      <c r="AS60" s="238"/>
      <c r="AT60" s="238"/>
      <c r="AU60" s="238"/>
      <c r="AV60" s="238"/>
      <c r="AW60" s="238"/>
      <c r="AX60" s="238"/>
      <c r="AY60" s="238"/>
      <c r="AZ60" s="238"/>
      <c r="BA60" s="238"/>
      <c r="BB60" s="238"/>
      <c r="BC60" s="238"/>
      <c r="BD60" s="238"/>
      <c r="BE60" s="239"/>
      <c r="BF60" s="239"/>
      <c r="BG60" s="239"/>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row>
    <row r="61" spans="1:94" s="240" customFormat="1" ht="14.25" customHeight="1">
      <c r="A61" s="273" t="s">
        <v>676</v>
      </c>
      <c r="B61" s="30"/>
      <c r="C61" s="30"/>
      <c r="D61" s="30"/>
      <c r="E61" s="30"/>
      <c r="F61" s="30"/>
      <c r="G61" s="30"/>
      <c r="H61" s="30"/>
      <c r="I61" s="30"/>
      <c r="J61" s="30"/>
      <c r="K61" s="30"/>
      <c r="L61" s="1187">
        <f t="shared" si="11"/>
        <v>0</v>
      </c>
      <c r="M61" s="1408"/>
      <c r="N61" s="1414"/>
      <c r="O61" s="1414"/>
      <c r="P61" s="1403">
        <f t="shared" si="10"/>
        <v>0</v>
      </c>
      <c r="Q61" s="1403"/>
      <c r="S61" s="478"/>
      <c r="T61" s="478"/>
      <c r="U61" s="478"/>
      <c r="V61" s="478"/>
      <c r="W61" s="478"/>
      <c r="X61" s="478"/>
      <c r="Y61" s="478"/>
      <c r="Z61" s="478"/>
      <c r="AA61" s="478"/>
      <c r="AB61" s="478"/>
      <c r="AC61" s="478"/>
      <c r="AD61" s="478"/>
      <c r="AE61" s="478"/>
      <c r="AF61" s="478"/>
      <c r="AG61" s="478"/>
      <c r="AH61" s="478"/>
      <c r="AI61" s="478"/>
      <c r="AJ61" s="478"/>
      <c r="AK61" s="605"/>
      <c r="AL61" s="606"/>
      <c r="AM61" s="238"/>
      <c r="AN61" s="238"/>
      <c r="AO61" s="281"/>
      <c r="AP61" s="238"/>
      <c r="AQ61" s="238"/>
      <c r="AR61" s="238"/>
      <c r="AS61" s="238"/>
      <c r="AT61" s="238"/>
      <c r="AU61" s="238"/>
      <c r="AV61" s="238"/>
      <c r="AW61" s="238"/>
      <c r="AX61" s="238"/>
      <c r="AY61" s="238"/>
      <c r="AZ61" s="238"/>
      <c r="BA61" s="238"/>
      <c r="BB61" s="238"/>
      <c r="BC61" s="238"/>
      <c r="BD61" s="238"/>
      <c r="BE61" s="239"/>
      <c r="BF61" s="239"/>
      <c r="BG61" s="239"/>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row>
    <row r="62" spans="1:94" s="240" customFormat="1" ht="14.25" customHeight="1">
      <c r="A62" s="607" t="s">
        <v>677</v>
      </c>
      <c r="B62" s="251"/>
      <c r="C62" s="251"/>
      <c r="D62" s="251"/>
      <c r="E62" s="251"/>
      <c r="F62" s="251"/>
      <c r="G62" s="251"/>
      <c r="H62" s="251"/>
      <c r="I62" s="251"/>
      <c r="J62" s="251"/>
      <c r="K62" s="251"/>
      <c r="L62" s="1466">
        <f>N62*1000/3600</f>
        <v>0.10391647549361009</v>
      </c>
      <c r="M62" s="1467"/>
      <c r="N62" s="1468">
        <f>X25*[10]CO2eEF!I28</f>
        <v>0.37409931177699635</v>
      </c>
      <c r="O62" s="1468"/>
      <c r="P62" s="1403">
        <f t="shared" si="10"/>
        <v>3.2793545670371493</v>
      </c>
      <c r="Q62" s="1403"/>
      <c r="R62" s="608"/>
      <c r="S62" s="609"/>
      <c r="T62" s="609"/>
      <c r="U62" s="609"/>
      <c r="V62" s="609"/>
      <c r="W62" s="609"/>
      <c r="X62" s="609"/>
      <c r="Y62" s="609"/>
      <c r="Z62" s="609"/>
      <c r="AA62" s="609"/>
      <c r="AB62" s="609"/>
      <c r="AC62" s="609"/>
      <c r="AD62" s="609"/>
      <c r="AE62" s="609"/>
      <c r="AF62" s="609"/>
      <c r="AG62" s="609"/>
      <c r="AH62" s="609"/>
      <c r="AI62" s="609"/>
      <c r="AJ62" s="609"/>
      <c r="AK62" s="610"/>
      <c r="AL62" s="606"/>
      <c r="AM62" s="238"/>
      <c r="AN62" s="238"/>
      <c r="AO62" s="281"/>
      <c r="AP62" s="238"/>
      <c r="AQ62" s="238"/>
      <c r="AR62" s="238"/>
      <c r="AS62" s="238"/>
      <c r="AT62" s="238"/>
      <c r="AU62" s="238"/>
      <c r="AV62" s="238"/>
      <c r="AW62" s="238"/>
      <c r="AX62" s="238"/>
      <c r="AY62" s="238"/>
      <c r="AZ62" s="238"/>
      <c r="BA62" s="238"/>
      <c r="BB62" s="238"/>
      <c r="BC62" s="238"/>
      <c r="BD62" s="238"/>
      <c r="BE62" s="239"/>
      <c r="BF62" s="239"/>
      <c r="BG62" s="239"/>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row>
    <row r="63" spans="1:94" s="240" customFormat="1" ht="14.25" customHeight="1">
      <c r="A63" s="279" t="s">
        <v>749</v>
      </c>
      <c r="B63" s="132"/>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c r="AJ63" s="132"/>
      <c r="AK63" s="280"/>
      <c r="AL63" s="238"/>
      <c r="AM63" s="238"/>
      <c r="AN63" s="238"/>
      <c r="AO63" s="281"/>
      <c r="AP63" s="238"/>
      <c r="AQ63" s="238"/>
      <c r="AR63" s="238"/>
      <c r="AS63" s="238"/>
      <c r="AT63" s="238"/>
      <c r="AU63" s="238"/>
      <c r="AV63" s="238"/>
      <c r="AW63" s="238"/>
      <c r="AX63" s="238"/>
      <c r="AY63" s="238"/>
      <c r="AZ63" s="238"/>
      <c r="BA63" s="238"/>
      <c r="BB63" s="238"/>
      <c r="BC63" s="238"/>
      <c r="BD63" s="238"/>
      <c r="BE63" s="239"/>
      <c r="BF63" s="239"/>
      <c r="BG63" s="239"/>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row>
    <row r="64" spans="1:94" s="240" customFormat="1" ht="14.25" customHeight="1">
      <c r="A64" s="282" t="s">
        <v>31</v>
      </c>
      <c r="B64" s="30" t="s">
        <v>750</v>
      </c>
      <c r="C64" s="30"/>
      <c r="D64" s="30"/>
      <c r="E64" s="30"/>
      <c r="F64" s="30"/>
      <c r="G64" s="30"/>
      <c r="H64" s="30"/>
      <c r="I64" s="30"/>
      <c r="J64" s="30"/>
      <c r="K64" s="30"/>
      <c r="L64" s="30"/>
      <c r="M64" s="30"/>
      <c r="N64" s="283"/>
      <c r="O64" s="283"/>
      <c r="P64" s="283"/>
      <c r="Q64" s="30"/>
      <c r="R64" s="30"/>
      <c r="S64" s="30"/>
      <c r="T64" s="30"/>
      <c r="U64" s="30"/>
      <c r="V64" s="30"/>
      <c r="W64" s="30"/>
      <c r="X64" s="30"/>
      <c r="Y64" s="30"/>
      <c r="Z64" s="30"/>
      <c r="AA64" s="30"/>
      <c r="AB64" s="30"/>
      <c r="AC64" s="30"/>
      <c r="AD64" s="30"/>
      <c r="AE64" s="30"/>
      <c r="AF64" s="30"/>
      <c r="AG64" s="30"/>
      <c r="AH64" s="30"/>
      <c r="AI64" s="30"/>
      <c r="AJ64" s="30"/>
      <c r="AK64" s="253"/>
      <c r="AL64" s="238"/>
      <c r="AM64" s="238"/>
      <c r="AN64" s="238"/>
      <c r="AO64" s="238"/>
      <c r="AP64" s="238"/>
      <c r="AQ64" s="238"/>
      <c r="AR64" s="238"/>
      <c r="AS64" s="238"/>
      <c r="AT64" s="238"/>
      <c r="AU64" s="238"/>
      <c r="AV64" s="238"/>
      <c r="AW64" s="238"/>
      <c r="AX64" s="238"/>
      <c r="AY64" s="238"/>
      <c r="AZ64" s="238"/>
      <c r="BA64" s="238"/>
      <c r="BB64" s="238"/>
      <c r="BC64" s="238"/>
      <c r="BD64" s="238"/>
      <c r="BE64" s="239" t="s">
        <v>679</v>
      </c>
      <c r="BF64" s="239">
        <v>0</v>
      </c>
      <c r="BG64" s="239">
        <v>0</v>
      </c>
      <c r="BH64" s="238"/>
      <c r="BI64" s="238"/>
      <c r="BJ64" s="238"/>
      <c r="BK64" s="238"/>
      <c r="BL64" s="238"/>
      <c r="BM64" s="238"/>
      <c r="BN64" s="238"/>
      <c r="BO64" s="238"/>
      <c r="BP64" s="238"/>
      <c r="BQ64" s="238"/>
      <c r="BR64" s="238"/>
      <c r="BS64" s="238"/>
      <c r="BT64" s="238"/>
      <c r="BU64" s="238"/>
      <c r="BV64" s="238"/>
      <c r="BW64" s="238"/>
      <c r="BX64" s="238"/>
      <c r="BY64" s="238"/>
      <c r="BZ64" s="238"/>
      <c r="CA64" s="238"/>
      <c r="CB64" s="238"/>
      <c r="CC64" s="238"/>
      <c r="CD64" s="238"/>
      <c r="CE64" s="238"/>
      <c r="CF64" s="238"/>
      <c r="CG64" s="238"/>
      <c r="CH64" s="238"/>
      <c r="CI64" s="238"/>
      <c r="CJ64" s="238"/>
      <c r="CK64" s="238"/>
      <c r="CL64" s="238"/>
      <c r="CM64" s="238"/>
      <c r="CN64" s="238"/>
      <c r="CO64" s="238"/>
      <c r="CP64" s="238"/>
    </row>
    <row r="65" spans="1:94" ht="14.25" customHeight="1">
      <c r="A65" s="282" t="s">
        <v>33</v>
      </c>
      <c r="B65" s="31" t="s">
        <v>751</v>
      </c>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6"/>
      <c r="AL65" s="243"/>
      <c r="AM65" s="243"/>
      <c r="AN65" s="243"/>
      <c r="AO65" s="243"/>
      <c r="AP65" s="243"/>
      <c r="AQ65" s="243"/>
      <c r="AR65" s="243"/>
      <c r="AS65" s="243"/>
      <c r="AT65" s="243"/>
      <c r="AU65" s="243"/>
      <c r="AV65" s="243"/>
      <c r="AW65" s="243"/>
      <c r="AX65" s="243"/>
      <c r="AY65" s="243"/>
      <c r="AZ65" s="243"/>
      <c r="BA65" s="243"/>
      <c r="BB65" s="243"/>
      <c r="BC65" s="243"/>
      <c r="BD65" s="243"/>
      <c r="BE65" s="246" t="s">
        <v>681</v>
      </c>
      <c r="BF65" s="246">
        <v>0</v>
      </c>
      <c r="BG65" s="246">
        <v>0</v>
      </c>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c r="CM65" s="243"/>
      <c r="CN65" s="243"/>
      <c r="CO65" s="243"/>
      <c r="CP65" s="243"/>
    </row>
    <row r="66" spans="1:94" ht="14.25" customHeight="1">
      <c r="A66" s="282" t="s">
        <v>752</v>
      </c>
      <c r="B66" s="30" t="s">
        <v>753</v>
      </c>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6"/>
      <c r="AL66" s="243"/>
      <c r="AM66" s="243"/>
      <c r="AN66" s="243"/>
      <c r="AO66" s="243"/>
      <c r="AP66" s="243"/>
      <c r="AQ66" s="243"/>
      <c r="AR66" s="243"/>
      <c r="AS66" s="243"/>
      <c r="AT66" s="243"/>
      <c r="AU66" s="243"/>
      <c r="AV66" s="243"/>
      <c r="AW66" s="243"/>
      <c r="AX66" s="243"/>
      <c r="AY66" s="243"/>
      <c r="AZ66" s="243"/>
      <c r="BA66" s="243"/>
      <c r="BB66" s="243"/>
      <c r="BC66" s="243"/>
      <c r="BD66" s="243"/>
      <c r="BE66" s="246" t="s">
        <v>684</v>
      </c>
      <c r="BF66" s="246">
        <v>0</v>
      </c>
      <c r="BG66" s="246">
        <v>0</v>
      </c>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row>
    <row r="67" spans="1:94" ht="14.25" customHeight="1">
      <c r="A67" s="282" t="s">
        <v>38</v>
      </c>
      <c r="B67" s="31" t="s">
        <v>725</v>
      </c>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6"/>
      <c r="AL67" s="243"/>
      <c r="AM67" s="243"/>
      <c r="AN67" s="243"/>
      <c r="AO67" s="243"/>
      <c r="AP67" s="243"/>
      <c r="AQ67" s="243"/>
      <c r="AR67" s="243"/>
      <c r="AS67" s="243"/>
      <c r="AT67" s="243"/>
      <c r="AU67" s="243"/>
      <c r="AV67" s="243"/>
      <c r="AW67" s="243"/>
      <c r="AX67" s="243"/>
      <c r="AY67" s="243"/>
      <c r="AZ67" s="243"/>
      <c r="BA67" s="243"/>
      <c r="BB67" s="243"/>
      <c r="BC67" s="243"/>
      <c r="BD67" s="243"/>
      <c r="BE67" s="246"/>
      <c r="BF67" s="246"/>
      <c r="BG67" s="246"/>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c r="CM67" s="243"/>
      <c r="CN67" s="243"/>
      <c r="CO67" s="243"/>
      <c r="CP67" s="243"/>
    </row>
    <row r="68" spans="1:94" ht="13.15" customHeight="1">
      <c r="A68" s="282" t="s">
        <v>41</v>
      </c>
      <c r="B68" s="284" t="s">
        <v>726</v>
      </c>
      <c r="C68" s="487"/>
      <c r="D68" s="487"/>
      <c r="E68" s="487"/>
      <c r="F68" s="487"/>
      <c r="G68" s="487"/>
      <c r="H68" s="487"/>
      <c r="I68" s="487"/>
      <c r="J68" s="487"/>
      <c r="K68" s="487"/>
      <c r="L68" s="487"/>
      <c r="M68" s="487"/>
      <c r="N68" s="487"/>
      <c r="O68" s="487"/>
      <c r="P68" s="487"/>
      <c r="Q68" s="487"/>
      <c r="R68" s="487"/>
      <c r="S68" s="487"/>
      <c r="T68" s="487"/>
      <c r="U68" s="487"/>
      <c r="V68" s="487"/>
      <c r="W68" s="487"/>
      <c r="X68" s="487"/>
      <c r="Y68" s="487"/>
      <c r="Z68" s="487"/>
      <c r="AA68" s="487"/>
      <c r="AB68" s="487"/>
      <c r="AC68" s="487"/>
      <c r="AD68" s="487"/>
      <c r="AE68" s="487"/>
      <c r="AF68" s="487"/>
      <c r="AG68" s="487"/>
      <c r="AH68" s="487"/>
      <c r="AI68" s="487"/>
      <c r="AJ68" s="487"/>
      <c r="AK68" s="488"/>
      <c r="AL68" s="243"/>
      <c r="AM68" s="243"/>
      <c r="AN68" s="243"/>
      <c r="AO68" s="243"/>
      <c r="AP68" s="243"/>
      <c r="AQ68" s="243"/>
      <c r="AR68" s="243"/>
      <c r="AS68" s="243"/>
      <c r="AT68" s="243"/>
      <c r="AU68" s="243"/>
      <c r="AV68" s="243"/>
      <c r="AW68" s="243"/>
      <c r="AX68" s="243"/>
      <c r="AY68" s="243"/>
      <c r="AZ68" s="243"/>
      <c r="BA68" s="243"/>
      <c r="BB68" s="243"/>
      <c r="BC68" s="243"/>
      <c r="BD68" s="243"/>
      <c r="BE68" s="246" t="s">
        <v>686</v>
      </c>
      <c r="BF68" s="246">
        <v>0</v>
      </c>
      <c r="BG68" s="246">
        <v>0</v>
      </c>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c r="CM68" s="243"/>
      <c r="CN68" s="243"/>
      <c r="CO68" s="243"/>
      <c r="CP68" s="243"/>
    </row>
    <row r="69" spans="1:94">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9"/>
      <c r="AL69" s="289"/>
      <c r="AM69" s="289"/>
      <c r="AN69" s="289"/>
      <c r="AO69" s="289"/>
      <c r="AP69" s="289"/>
      <c r="AQ69" s="289"/>
      <c r="AR69" s="243"/>
      <c r="AS69" s="243"/>
      <c r="AT69" s="243"/>
      <c r="AU69" s="243"/>
      <c r="AV69" s="243"/>
      <c r="AW69" s="243"/>
      <c r="AX69" s="243"/>
      <c r="AY69" s="243"/>
      <c r="AZ69" s="243"/>
      <c r="BA69" s="243"/>
      <c r="BB69" s="243"/>
      <c r="BC69" s="243"/>
      <c r="BD69" s="243"/>
      <c r="BE69" s="246" t="s">
        <v>690</v>
      </c>
      <c r="BF69" s="246">
        <v>2.9999999999999997E-4</v>
      </c>
      <c r="BG69" s="246">
        <v>0</v>
      </c>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row>
    <row r="70" spans="1:94">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9"/>
      <c r="AL70" s="289"/>
      <c r="AM70" s="289"/>
      <c r="AN70" s="289"/>
      <c r="AO70" s="289"/>
      <c r="AP70" s="289"/>
      <c r="AQ70" s="289"/>
      <c r="AR70" s="243"/>
      <c r="AS70" s="243"/>
      <c r="AT70" s="243"/>
      <c r="AU70" s="243"/>
      <c r="AV70" s="243"/>
      <c r="AW70" s="243"/>
      <c r="AX70" s="243"/>
      <c r="AY70" s="243"/>
      <c r="AZ70" s="243"/>
      <c r="BA70" s="243"/>
      <c r="BB70" s="243"/>
      <c r="BC70" s="243"/>
      <c r="BD70" s="243"/>
      <c r="BE70" s="246" t="s">
        <v>691</v>
      </c>
      <c r="BF70" s="246">
        <v>0</v>
      </c>
      <c r="BG70" s="246">
        <v>0</v>
      </c>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row>
    <row r="71" spans="1:94">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9"/>
      <c r="AL71" s="289"/>
      <c r="AM71" s="289"/>
      <c r="AN71" s="289"/>
      <c r="AO71" s="289"/>
      <c r="AP71" s="289"/>
      <c r="AQ71" s="289"/>
      <c r="AR71" s="243"/>
      <c r="AS71" s="243"/>
      <c r="AT71" s="243"/>
      <c r="AU71" s="243"/>
      <c r="AV71" s="243"/>
      <c r="AW71" s="243"/>
      <c r="AX71" s="243"/>
      <c r="AY71" s="243"/>
      <c r="AZ71" s="243"/>
      <c r="BA71" s="243"/>
      <c r="BB71" s="243"/>
      <c r="BC71" s="243"/>
      <c r="BD71" s="243"/>
      <c r="BE71" s="246" t="s">
        <v>692</v>
      </c>
      <c r="BF71" s="246">
        <v>0</v>
      </c>
      <c r="BG71" s="246">
        <v>0</v>
      </c>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row>
    <row r="72" spans="1:94">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9"/>
      <c r="AL72" s="289"/>
      <c r="AM72" s="289"/>
      <c r="AN72" s="289"/>
      <c r="AO72" s="289"/>
      <c r="AP72" s="289"/>
      <c r="AQ72" s="289"/>
      <c r="AR72" s="243"/>
      <c r="AS72" s="243"/>
      <c r="AT72" s="243"/>
      <c r="AU72" s="243"/>
      <c r="AV72" s="243"/>
      <c r="AW72" s="243"/>
      <c r="AX72" s="243"/>
      <c r="AY72" s="243"/>
      <c r="AZ72" s="243"/>
      <c r="BA72" s="243"/>
      <c r="BB72" s="243"/>
      <c r="BC72" s="243"/>
      <c r="BD72" s="243"/>
      <c r="BE72" s="246" t="s">
        <v>693</v>
      </c>
      <c r="BF72" s="246">
        <v>0</v>
      </c>
      <c r="BG72" s="246">
        <v>0</v>
      </c>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row>
    <row r="73" spans="1:94">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9"/>
      <c r="AL73" s="289"/>
      <c r="AM73" s="289"/>
      <c r="AN73" s="289"/>
      <c r="AO73" s="289"/>
      <c r="AP73" s="289"/>
      <c r="AQ73" s="289"/>
      <c r="AR73" s="243"/>
      <c r="AS73" s="243"/>
      <c r="AT73" s="243"/>
      <c r="AU73" s="243"/>
      <c r="AV73" s="243"/>
      <c r="AW73" s="243"/>
      <c r="AX73" s="243"/>
      <c r="AY73" s="243"/>
      <c r="AZ73" s="243"/>
      <c r="BA73" s="243"/>
      <c r="BB73" s="243"/>
      <c r="BC73" s="243"/>
      <c r="BD73" s="243"/>
      <c r="BE73" s="246" t="s">
        <v>694</v>
      </c>
      <c r="BF73" s="246">
        <v>0</v>
      </c>
      <c r="BG73" s="246">
        <v>0</v>
      </c>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243"/>
      <c r="CO73" s="243"/>
      <c r="CP73" s="243"/>
    </row>
    <row r="74" spans="1:94">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9"/>
      <c r="AL74" s="289"/>
      <c r="AM74" s="289"/>
      <c r="AN74" s="289"/>
      <c r="AO74" s="289"/>
      <c r="AP74" s="289"/>
      <c r="AQ74" s="289"/>
      <c r="AR74" s="243"/>
      <c r="AS74" s="243"/>
      <c r="AT74" s="243"/>
      <c r="AU74" s="243"/>
      <c r="AV74" s="243"/>
      <c r="AW74" s="243"/>
      <c r="AX74" s="243"/>
      <c r="AY74" s="243"/>
      <c r="AZ74" s="243"/>
      <c r="BA74" s="243"/>
      <c r="BB74" s="243"/>
      <c r="BC74" s="243"/>
      <c r="BD74" s="243"/>
      <c r="BE74" s="246" t="s">
        <v>695</v>
      </c>
      <c r="BF74" s="246">
        <v>0</v>
      </c>
      <c r="BG74" s="246">
        <v>0</v>
      </c>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row>
    <row r="75" spans="1:94">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9"/>
      <c r="AL75" s="289"/>
      <c r="AM75" s="289"/>
      <c r="AN75" s="289"/>
      <c r="AO75" s="289"/>
      <c r="AP75" s="289"/>
      <c r="AQ75" s="289"/>
      <c r="AR75" s="243"/>
      <c r="AS75" s="243"/>
      <c r="AT75" s="243"/>
      <c r="AU75" s="243"/>
      <c r="AV75" s="243"/>
      <c r="AW75" s="243"/>
      <c r="AX75" s="243"/>
      <c r="AY75" s="243"/>
      <c r="AZ75" s="243"/>
      <c r="BA75" s="243"/>
      <c r="BB75" s="243"/>
      <c r="BC75" s="243"/>
      <c r="BD75" s="243"/>
      <c r="BE75" s="246" t="s">
        <v>696</v>
      </c>
      <c r="BF75" s="246">
        <v>0</v>
      </c>
      <c r="BG75" s="246">
        <v>0</v>
      </c>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row>
    <row r="76" spans="1:94">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8"/>
      <c r="AH76" s="288"/>
      <c r="AI76" s="288"/>
      <c r="AJ76" s="288"/>
      <c r="AK76" s="289"/>
      <c r="AL76" s="289"/>
      <c r="AM76" s="289"/>
      <c r="AN76" s="289"/>
      <c r="AO76" s="289"/>
      <c r="AP76" s="289"/>
      <c r="AQ76" s="289"/>
      <c r="AR76" s="243"/>
      <c r="AS76" s="243"/>
      <c r="AT76" s="243"/>
      <c r="AU76" s="243"/>
      <c r="AV76" s="243"/>
      <c r="AW76" s="243"/>
      <c r="AX76" s="243"/>
      <c r="AY76" s="243"/>
      <c r="AZ76" s="243"/>
      <c r="BA76" s="243"/>
      <c r="BB76" s="243"/>
      <c r="BC76" s="243"/>
      <c r="BD76" s="243"/>
      <c r="BE76" s="246" t="s">
        <v>697</v>
      </c>
      <c r="BF76" s="246">
        <v>0</v>
      </c>
      <c r="BG76" s="246">
        <v>0</v>
      </c>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c r="CM76" s="243"/>
      <c r="CN76" s="243"/>
      <c r="CO76" s="243"/>
      <c r="CP76" s="243"/>
    </row>
    <row r="77" spans="1:94" s="290" customForma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9"/>
      <c r="AL77" s="289"/>
      <c r="AM77" s="289"/>
      <c r="AN77" s="289"/>
      <c r="AO77" s="289"/>
      <c r="AP77" s="289"/>
      <c r="AQ77" s="289"/>
      <c r="AR77" s="243"/>
      <c r="AS77" s="243"/>
      <c r="AT77" s="243"/>
      <c r="AU77" s="243"/>
      <c r="AV77" s="243"/>
      <c r="AW77" s="243"/>
      <c r="AX77" s="243"/>
      <c r="AY77" s="243"/>
      <c r="AZ77" s="243"/>
      <c r="BA77" s="243"/>
      <c r="BB77" s="243"/>
      <c r="BC77" s="243"/>
      <c r="BD77" s="243"/>
      <c r="BE77" s="246" t="s">
        <v>431</v>
      </c>
      <c r="BF77" s="246">
        <v>1E-4</v>
      </c>
      <c r="BG77" s="246">
        <v>0.17530000000000001</v>
      </c>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c r="CM77" s="243"/>
      <c r="CN77" s="243"/>
      <c r="CO77" s="243"/>
      <c r="CP77" s="243"/>
    </row>
    <row r="78" spans="1:94" s="290" customForma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9"/>
      <c r="AL78" s="289"/>
      <c r="AM78" s="289"/>
      <c r="AN78" s="289"/>
      <c r="AO78" s="289"/>
      <c r="AP78" s="289"/>
      <c r="AQ78" s="289"/>
      <c r="AR78" s="243"/>
      <c r="AS78" s="243"/>
      <c r="AT78" s="243"/>
      <c r="AU78" s="243"/>
      <c r="AV78" s="243"/>
      <c r="AW78" s="243"/>
      <c r="AX78" s="243"/>
      <c r="AY78" s="243"/>
      <c r="AZ78" s="243"/>
      <c r="BA78" s="243"/>
      <c r="BB78" s="243"/>
      <c r="BC78" s="243"/>
      <c r="BD78" s="243"/>
      <c r="BE78" s="243"/>
      <c r="BF78" s="246"/>
      <c r="BG78" s="246"/>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c r="CM78" s="243"/>
      <c r="CN78" s="243"/>
      <c r="CO78" s="243"/>
      <c r="CP78" s="243"/>
    </row>
    <row r="79" spans="1:94" s="290" customForma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9"/>
      <c r="AL79" s="289"/>
      <c r="AM79" s="289"/>
      <c r="AN79" s="289"/>
      <c r="AO79" s="289"/>
      <c r="AP79" s="289"/>
      <c r="AQ79" s="289"/>
      <c r="AR79" s="243"/>
      <c r="AS79" s="243"/>
      <c r="AT79" s="243"/>
      <c r="AU79" s="243"/>
      <c r="AV79" s="243"/>
      <c r="AW79" s="243"/>
      <c r="AX79" s="243"/>
      <c r="AY79" s="243"/>
      <c r="AZ79" s="243"/>
      <c r="BA79" s="243"/>
      <c r="BB79" s="243"/>
      <c r="BC79" s="243"/>
      <c r="BD79" s="243"/>
      <c r="BE79" s="243"/>
      <c r="BF79" s="246"/>
      <c r="BG79" s="246"/>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c r="CM79" s="243"/>
      <c r="CN79" s="243"/>
      <c r="CO79" s="243"/>
      <c r="CP79" s="243"/>
    </row>
    <row r="80" spans="1:94" s="290" customForma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9"/>
      <c r="AL80" s="289"/>
      <c r="AM80" s="289"/>
      <c r="AN80" s="289"/>
      <c r="AO80" s="289"/>
      <c r="AP80" s="289"/>
      <c r="AQ80" s="289"/>
      <c r="AR80" s="243"/>
      <c r="AS80" s="243"/>
      <c r="AT80" s="243"/>
      <c r="AU80" s="243"/>
      <c r="AV80" s="243"/>
      <c r="AW80" s="243"/>
      <c r="AX80" s="243"/>
      <c r="AY80" s="243"/>
      <c r="AZ80" s="243"/>
      <c r="BA80" s="243"/>
      <c r="BB80" s="243"/>
      <c r="BC80" s="243"/>
      <c r="BD80" s="243"/>
      <c r="BE80" s="243"/>
      <c r="BF80" s="246"/>
      <c r="BG80" s="246"/>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c r="CM80" s="243"/>
      <c r="CN80" s="243"/>
      <c r="CO80" s="243"/>
      <c r="CP80" s="243"/>
    </row>
    <row r="81" spans="1:94" s="290" customForma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9"/>
      <c r="AL81" s="289"/>
      <c r="AM81" s="289"/>
      <c r="AN81" s="289"/>
      <c r="AO81" s="289"/>
      <c r="AP81" s="289"/>
      <c r="AQ81" s="289"/>
      <c r="AR81" s="243"/>
      <c r="AS81" s="243"/>
      <c r="AT81" s="243"/>
      <c r="AU81" s="243"/>
      <c r="AV81" s="243"/>
      <c r="AW81" s="243"/>
      <c r="AX81" s="243"/>
      <c r="AY81" s="243"/>
      <c r="AZ81" s="243"/>
      <c r="BA81" s="243"/>
      <c r="BB81" s="243"/>
      <c r="BC81" s="243"/>
      <c r="BD81" s="243"/>
      <c r="BE81" s="243"/>
      <c r="BF81" s="246"/>
      <c r="BG81" s="246"/>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c r="CM81" s="243"/>
      <c r="CN81" s="243"/>
      <c r="CO81" s="243"/>
      <c r="CP81" s="243"/>
    </row>
    <row r="82" spans="1:94" s="290" customForma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9"/>
      <c r="AL82" s="289"/>
      <c r="AM82" s="289"/>
      <c r="AN82" s="289"/>
      <c r="AO82" s="289"/>
      <c r="AP82" s="289"/>
      <c r="AQ82" s="289"/>
      <c r="AR82" s="243"/>
      <c r="AS82" s="243"/>
      <c r="AT82" s="243"/>
      <c r="AU82" s="243"/>
      <c r="AV82" s="243"/>
      <c r="AW82" s="243"/>
      <c r="AX82" s="243"/>
      <c r="AY82" s="243"/>
      <c r="AZ82" s="243"/>
      <c r="BA82" s="243"/>
      <c r="BB82" s="243"/>
      <c r="BC82" s="243"/>
      <c r="BD82" s="243"/>
      <c r="BE82" s="243"/>
      <c r="BF82" s="246"/>
      <c r="BG82" s="246"/>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c r="CM82" s="243"/>
      <c r="CN82" s="243"/>
      <c r="CO82" s="243"/>
      <c r="CP82" s="243"/>
    </row>
    <row r="83" spans="1:94" s="290" customForma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9"/>
      <c r="AL83" s="289"/>
      <c r="AM83" s="289"/>
      <c r="AN83" s="289"/>
      <c r="AO83" s="289"/>
      <c r="AP83" s="289"/>
      <c r="AQ83" s="289"/>
      <c r="AR83" s="243"/>
      <c r="AS83" s="243"/>
      <c r="AT83" s="243"/>
      <c r="AU83" s="243"/>
      <c r="AV83" s="243"/>
      <c r="AW83" s="243"/>
      <c r="AX83" s="243"/>
      <c r="AY83" s="243"/>
      <c r="AZ83" s="243"/>
      <c r="BA83" s="243"/>
      <c r="BB83" s="243"/>
      <c r="BC83" s="243"/>
      <c r="BD83" s="243"/>
      <c r="BE83" s="243"/>
      <c r="BF83" s="246"/>
      <c r="BG83" s="246"/>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c r="CM83" s="243"/>
      <c r="CN83" s="243"/>
      <c r="CO83" s="243"/>
      <c r="CP83" s="243"/>
    </row>
    <row r="84" spans="1:94" s="290" customForma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9"/>
      <c r="AL84" s="289"/>
      <c r="AM84" s="289"/>
      <c r="AN84" s="289"/>
      <c r="AO84" s="289"/>
      <c r="AP84" s="289"/>
      <c r="AQ84" s="289"/>
      <c r="AR84" s="243"/>
      <c r="AS84" s="243"/>
      <c r="AT84" s="243"/>
      <c r="AU84" s="243"/>
      <c r="AV84" s="243"/>
      <c r="AW84" s="243"/>
      <c r="AX84" s="243"/>
      <c r="AY84" s="243"/>
      <c r="AZ84" s="243"/>
      <c r="BA84" s="243"/>
      <c r="BB84" s="243"/>
      <c r="BC84" s="243"/>
      <c r="BD84" s="243"/>
      <c r="BE84" s="243"/>
      <c r="BF84" s="246"/>
      <c r="BG84" s="246"/>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c r="CM84" s="243"/>
      <c r="CN84" s="243"/>
      <c r="CO84" s="243"/>
      <c r="CP84" s="243"/>
    </row>
    <row r="85" spans="1:94" s="290" customForma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9"/>
      <c r="AL85" s="289"/>
      <c r="AM85" s="289"/>
      <c r="AN85" s="289"/>
      <c r="AO85" s="289"/>
      <c r="AP85" s="289"/>
      <c r="AQ85" s="289"/>
      <c r="AR85" s="243"/>
      <c r="AS85" s="243"/>
      <c r="AT85" s="243"/>
      <c r="AU85" s="243"/>
      <c r="AV85" s="243"/>
      <c r="AW85" s="243"/>
      <c r="AX85" s="243"/>
      <c r="AY85" s="243"/>
      <c r="AZ85" s="243"/>
      <c r="BA85" s="243"/>
      <c r="BB85" s="243"/>
      <c r="BC85" s="243"/>
      <c r="BD85" s="243"/>
      <c r="BE85" s="243"/>
      <c r="BF85" s="246"/>
      <c r="BG85" s="246"/>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c r="CM85" s="243"/>
      <c r="CN85" s="243"/>
      <c r="CO85" s="243"/>
      <c r="CP85" s="243"/>
    </row>
    <row r="86" spans="1:94" s="290" customForma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9"/>
      <c r="AL86" s="289"/>
      <c r="AM86" s="289"/>
      <c r="AN86" s="289"/>
      <c r="AO86" s="289"/>
      <c r="AP86" s="289"/>
      <c r="AQ86" s="289"/>
      <c r="AR86" s="243"/>
      <c r="AS86" s="243"/>
      <c r="AT86" s="243"/>
      <c r="AU86" s="243"/>
      <c r="AV86" s="243"/>
      <c r="AW86" s="243"/>
      <c r="AX86" s="243"/>
      <c r="AY86" s="243"/>
      <c r="AZ86" s="243"/>
      <c r="BA86" s="243"/>
      <c r="BB86" s="243"/>
      <c r="BC86" s="243"/>
      <c r="BD86" s="243"/>
      <c r="BE86" s="243"/>
      <c r="BF86" s="246"/>
      <c r="BG86" s="246"/>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row>
    <row r="87" spans="1:94" s="290" customForma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9"/>
      <c r="AL87" s="289"/>
      <c r="AM87" s="289"/>
      <c r="AN87" s="289"/>
      <c r="AO87" s="289"/>
      <c r="AP87" s="289"/>
      <c r="AQ87" s="289"/>
      <c r="AR87" s="243"/>
      <c r="AS87" s="243"/>
      <c r="AT87" s="243"/>
      <c r="AU87" s="243"/>
      <c r="AV87" s="243"/>
      <c r="AW87" s="243"/>
      <c r="AX87" s="243"/>
      <c r="AY87" s="243"/>
      <c r="AZ87" s="243"/>
      <c r="BA87" s="243"/>
      <c r="BB87" s="243"/>
      <c r="BC87" s="243"/>
      <c r="BD87" s="243"/>
      <c r="BE87" s="243"/>
      <c r="BF87" s="246"/>
      <c r="BG87" s="246"/>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c r="CM87" s="243"/>
      <c r="CN87" s="243"/>
      <c r="CO87" s="243"/>
      <c r="CP87" s="243"/>
    </row>
    <row r="88" spans="1:94" s="290" customForma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9"/>
      <c r="AL88" s="289"/>
      <c r="AM88" s="289"/>
      <c r="AN88" s="289"/>
      <c r="AO88" s="289"/>
      <c r="AP88" s="289"/>
      <c r="AQ88" s="289"/>
      <c r="AR88" s="243"/>
      <c r="AS88" s="243"/>
      <c r="AT88" s="243"/>
      <c r="AU88" s="243"/>
      <c r="AV88" s="243"/>
      <c r="AW88" s="243"/>
      <c r="AX88" s="243"/>
      <c r="AY88" s="243"/>
      <c r="AZ88" s="243"/>
      <c r="BA88" s="243"/>
      <c r="BB88" s="243"/>
      <c r="BC88" s="243"/>
      <c r="BD88" s="243"/>
      <c r="BE88" s="243"/>
      <c r="BF88" s="246"/>
      <c r="BG88" s="246"/>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c r="CM88" s="243"/>
      <c r="CN88" s="243"/>
      <c r="CO88" s="243"/>
      <c r="CP88" s="243"/>
    </row>
    <row r="89" spans="1:94" s="290" customForma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9"/>
      <c r="AL89" s="289"/>
      <c r="AM89" s="289"/>
      <c r="AN89" s="289"/>
      <c r="AO89" s="289"/>
      <c r="AP89" s="289"/>
      <c r="AQ89" s="289"/>
      <c r="AR89" s="243"/>
      <c r="AS89" s="243"/>
      <c r="AT89" s="243"/>
      <c r="AU89" s="243"/>
      <c r="AV89" s="243"/>
      <c r="AW89" s="243"/>
      <c r="AX89" s="243"/>
      <c r="AY89" s="243"/>
      <c r="AZ89" s="243"/>
      <c r="BA89" s="243"/>
      <c r="BB89" s="243"/>
      <c r="BC89" s="243"/>
      <c r="BD89" s="243"/>
      <c r="BE89" s="243"/>
      <c r="BF89" s="246"/>
      <c r="BG89" s="246"/>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row>
    <row r="90" spans="1:94" s="290" customForma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9"/>
      <c r="AL90" s="289"/>
      <c r="AM90" s="289"/>
      <c r="AN90" s="289"/>
      <c r="AO90" s="289"/>
      <c r="AP90" s="289"/>
      <c r="AQ90" s="289"/>
      <c r="AR90" s="243"/>
      <c r="AS90" s="243"/>
      <c r="AT90" s="243"/>
      <c r="AU90" s="243"/>
      <c r="AV90" s="243"/>
      <c r="AW90" s="243"/>
      <c r="AX90" s="243"/>
      <c r="AY90" s="243"/>
      <c r="AZ90" s="243"/>
      <c r="BA90" s="243"/>
      <c r="BB90" s="243"/>
      <c r="BC90" s="243"/>
      <c r="BD90" s="243"/>
      <c r="BE90" s="243"/>
      <c r="BF90" s="246"/>
      <c r="BG90" s="246"/>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row>
    <row r="91" spans="1:94" s="290" customFormat="1">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9"/>
      <c r="AL91" s="289"/>
      <c r="AM91" s="289"/>
      <c r="AN91" s="289"/>
      <c r="AO91" s="289"/>
      <c r="AP91" s="289"/>
      <c r="AQ91" s="289"/>
      <c r="AR91" s="243"/>
      <c r="AS91" s="243"/>
      <c r="AT91" s="243"/>
      <c r="AU91" s="243"/>
      <c r="AV91" s="243"/>
      <c r="AW91" s="243"/>
      <c r="AX91" s="243"/>
      <c r="AY91" s="243"/>
      <c r="AZ91" s="243"/>
      <c r="BA91" s="243"/>
      <c r="BB91" s="243"/>
      <c r="BC91" s="243"/>
      <c r="BD91" s="243"/>
      <c r="BE91" s="243"/>
      <c r="BF91" s="246"/>
      <c r="BG91" s="246"/>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row>
    <row r="92" spans="1:94" s="290" customFormat="1">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9"/>
      <c r="AL92" s="289"/>
      <c r="AM92" s="289"/>
      <c r="AN92" s="289"/>
      <c r="AO92" s="289"/>
      <c r="AP92" s="289"/>
      <c r="AQ92" s="289"/>
      <c r="AR92" s="243"/>
      <c r="AS92" s="243"/>
      <c r="AT92" s="243"/>
      <c r="AU92" s="243"/>
      <c r="AV92" s="243"/>
      <c r="AW92" s="243"/>
      <c r="AX92" s="243"/>
      <c r="AY92" s="243"/>
      <c r="AZ92" s="243"/>
      <c r="BA92" s="243"/>
      <c r="BB92" s="243"/>
      <c r="BC92" s="243"/>
      <c r="BD92" s="243"/>
      <c r="BE92" s="243"/>
      <c r="BF92" s="246"/>
      <c r="BG92" s="246"/>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row>
    <row r="93" spans="1:94">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9"/>
      <c r="AL93" s="289"/>
      <c r="AM93" s="289"/>
      <c r="AN93" s="289"/>
      <c r="AO93" s="289"/>
      <c r="AP93" s="289"/>
      <c r="AQ93" s="289"/>
      <c r="AR93" s="243"/>
      <c r="AS93" s="243"/>
      <c r="AT93" s="243"/>
      <c r="AU93" s="243"/>
      <c r="AV93" s="243"/>
      <c r="AW93" s="243"/>
      <c r="AX93" s="243"/>
      <c r="AY93" s="243"/>
      <c r="AZ93" s="243"/>
      <c r="BA93" s="243"/>
      <c r="BB93" s="243"/>
      <c r="BC93" s="243"/>
      <c r="BD93" s="243"/>
      <c r="BE93" s="243"/>
      <c r="BF93" s="246"/>
      <c r="BG93" s="246"/>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row>
    <row r="94" spans="1:94">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9"/>
      <c r="AL94" s="289"/>
      <c r="AM94" s="289"/>
      <c r="AN94" s="289"/>
      <c r="AO94" s="289"/>
      <c r="AP94" s="289"/>
      <c r="AQ94" s="289"/>
      <c r="AR94" s="243"/>
      <c r="AS94" s="243"/>
      <c r="AT94" s="243"/>
      <c r="AU94" s="243"/>
      <c r="AV94" s="243"/>
      <c r="AW94" s="243"/>
      <c r="AX94" s="243"/>
      <c r="AY94" s="243"/>
      <c r="AZ94" s="243"/>
      <c r="BA94" s="243"/>
      <c r="BB94" s="243"/>
      <c r="BC94" s="243"/>
      <c r="BD94" s="243"/>
      <c r="BE94" s="243"/>
      <c r="BF94" s="246"/>
      <c r="BG94" s="246"/>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row>
    <row r="95" spans="1:94">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9"/>
      <c r="AL95" s="289"/>
      <c r="AM95" s="289"/>
      <c r="AN95" s="289"/>
      <c r="AO95" s="289"/>
      <c r="AP95" s="289"/>
      <c r="AQ95" s="289"/>
      <c r="AR95" s="243"/>
      <c r="AS95" s="243"/>
      <c r="AT95" s="243"/>
      <c r="AU95" s="243"/>
      <c r="AV95" s="243"/>
      <c r="AW95" s="243"/>
      <c r="AX95" s="243"/>
      <c r="AY95" s="243"/>
      <c r="AZ95" s="243"/>
      <c r="BA95" s="243"/>
      <c r="BB95" s="243"/>
      <c r="BC95" s="243"/>
      <c r="BD95" s="243"/>
      <c r="BE95" s="243"/>
      <c r="BF95" s="246"/>
      <c r="BG95" s="246"/>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row>
    <row r="96" spans="1:94">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9"/>
      <c r="AL96" s="289"/>
      <c r="AM96" s="289"/>
      <c r="AN96" s="289"/>
      <c r="AO96" s="289"/>
      <c r="AP96" s="289"/>
      <c r="AQ96" s="289"/>
      <c r="AR96" s="243"/>
      <c r="AS96" s="243"/>
      <c r="AT96" s="243"/>
      <c r="AU96" s="243"/>
      <c r="AV96" s="243"/>
      <c r="AW96" s="243"/>
      <c r="AX96" s="243"/>
      <c r="AY96" s="243"/>
      <c r="AZ96" s="243"/>
      <c r="BA96" s="243"/>
      <c r="BB96" s="243"/>
      <c r="BC96" s="243"/>
      <c r="BD96" s="243"/>
      <c r="BE96" s="243"/>
      <c r="BF96" s="246"/>
      <c r="BG96" s="246"/>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row>
    <row r="97" spans="1:94">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9"/>
      <c r="AL97" s="289"/>
      <c r="AM97" s="289"/>
      <c r="AN97" s="289"/>
      <c r="AO97" s="289"/>
      <c r="AP97" s="289"/>
      <c r="AQ97" s="289"/>
      <c r="AR97" s="243"/>
      <c r="AS97" s="243"/>
      <c r="AT97" s="243"/>
      <c r="AU97" s="243"/>
      <c r="AV97" s="243"/>
      <c r="AW97" s="243"/>
      <c r="AX97" s="243"/>
      <c r="AY97" s="243"/>
      <c r="AZ97" s="243"/>
      <c r="BA97" s="243"/>
      <c r="BB97" s="243"/>
      <c r="BC97" s="243"/>
      <c r="BD97" s="243"/>
      <c r="BE97" s="243"/>
      <c r="BF97" s="246"/>
      <c r="BG97" s="246"/>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c r="CM97" s="243"/>
      <c r="CN97" s="243"/>
      <c r="CO97" s="243"/>
      <c r="CP97" s="243"/>
    </row>
    <row r="98" spans="1:94">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9"/>
      <c r="AL98" s="289"/>
      <c r="AM98" s="289"/>
      <c r="AN98" s="289"/>
      <c r="AO98" s="289"/>
      <c r="AP98" s="289"/>
      <c r="AQ98" s="289"/>
      <c r="AR98" s="243"/>
      <c r="AS98" s="243"/>
      <c r="AT98" s="243"/>
      <c r="AU98" s="243"/>
      <c r="AV98" s="243"/>
      <c r="AW98" s="243"/>
      <c r="AX98" s="243"/>
      <c r="AY98" s="243"/>
      <c r="AZ98" s="243"/>
      <c r="BA98" s="243"/>
      <c r="BB98" s="243"/>
      <c r="BC98" s="243"/>
      <c r="BD98" s="243"/>
      <c r="BE98" s="243"/>
      <c r="BF98" s="246"/>
      <c r="BG98" s="246"/>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c r="CM98" s="243"/>
      <c r="CN98" s="243"/>
      <c r="CO98" s="243"/>
      <c r="CP98" s="243"/>
    </row>
    <row r="99" spans="1:94">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9"/>
      <c r="AL99" s="289"/>
      <c r="AM99" s="289"/>
      <c r="AN99" s="289"/>
      <c r="AO99" s="289"/>
      <c r="AP99" s="289"/>
      <c r="AQ99" s="289"/>
      <c r="AR99" s="243"/>
      <c r="AS99" s="243"/>
      <c r="AT99" s="243"/>
      <c r="AU99" s="243"/>
      <c r="AV99" s="243"/>
      <c r="AW99" s="243"/>
      <c r="AX99" s="243"/>
      <c r="AY99" s="243"/>
      <c r="AZ99" s="243"/>
      <c r="BA99" s="243"/>
      <c r="BB99" s="243"/>
      <c r="BC99" s="243"/>
      <c r="BD99" s="243"/>
      <c r="BE99" s="243"/>
      <c r="BF99" s="246"/>
      <c r="BG99" s="246"/>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c r="CM99" s="243"/>
      <c r="CN99" s="243"/>
      <c r="CO99" s="243"/>
      <c r="CP99" s="243"/>
    </row>
    <row r="100" spans="1:94">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9"/>
      <c r="AL100" s="289"/>
      <c r="AM100" s="289"/>
      <c r="AN100" s="289"/>
      <c r="AO100" s="289"/>
      <c r="AP100" s="289"/>
      <c r="AQ100" s="289"/>
      <c r="AR100" s="243"/>
      <c r="AS100" s="243"/>
      <c r="AT100" s="243"/>
      <c r="AU100" s="243"/>
      <c r="AV100" s="243"/>
      <c r="AW100" s="243"/>
      <c r="AX100" s="243"/>
      <c r="AY100" s="243"/>
      <c r="AZ100" s="243"/>
      <c r="BA100" s="243"/>
      <c r="BB100" s="243"/>
      <c r="BC100" s="243"/>
      <c r="BD100" s="243"/>
      <c r="BE100" s="243"/>
      <c r="BF100" s="246"/>
      <c r="BG100" s="246"/>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c r="CM100" s="243"/>
      <c r="CN100" s="243"/>
      <c r="CO100" s="243"/>
      <c r="CP100" s="243"/>
    </row>
    <row r="101" spans="1:94">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9"/>
      <c r="AL101" s="289"/>
      <c r="AM101" s="289"/>
      <c r="AN101" s="289"/>
      <c r="AO101" s="289"/>
      <c r="AP101" s="289"/>
      <c r="AQ101" s="289"/>
      <c r="AR101" s="243"/>
      <c r="AS101" s="243"/>
      <c r="AT101" s="243"/>
      <c r="AU101" s="243"/>
      <c r="AV101" s="243"/>
      <c r="AW101" s="243"/>
      <c r="AX101" s="243"/>
      <c r="AY101" s="243"/>
      <c r="AZ101" s="243"/>
      <c r="BA101" s="243"/>
      <c r="BB101" s="243"/>
      <c r="BC101" s="243"/>
      <c r="BD101" s="243"/>
      <c r="BE101" s="243"/>
      <c r="BF101" s="246"/>
      <c r="BG101" s="246"/>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c r="CM101" s="243"/>
      <c r="CN101" s="243"/>
      <c r="CO101" s="243"/>
      <c r="CP101" s="243"/>
    </row>
    <row r="102" spans="1:94">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9"/>
      <c r="AL102" s="289"/>
      <c r="AM102" s="289"/>
      <c r="AN102" s="289"/>
      <c r="AO102" s="289"/>
      <c r="AP102" s="289"/>
      <c r="AQ102" s="289"/>
      <c r="AR102" s="243"/>
      <c r="AS102" s="243"/>
      <c r="AT102" s="243"/>
      <c r="AU102" s="243"/>
      <c r="AV102" s="243"/>
      <c r="AW102" s="243"/>
      <c r="AX102" s="243"/>
      <c r="AY102" s="243"/>
      <c r="AZ102" s="243"/>
      <c r="BA102" s="243"/>
      <c r="BB102" s="243"/>
      <c r="BC102" s="243"/>
      <c r="BD102" s="243"/>
      <c r="BE102" s="243"/>
      <c r="BF102" s="246"/>
      <c r="BG102" s="246"/>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row>
    <row r="103" spans="1:94">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9"/>
      <c r="AL103" s="289"/>
      <c r="AM103" s="289"/>
      <c r="AN103" s="289"/>
      <c r="AO103" s="289"/>
      <c r="AP103" s="289"/>
      <c r="AQ103" s="289"/>
      <c r="AR103" s="243"/>
      <c r="AS103" s="243"/>
      <c r="AT103" s="243"/>
      <c r="AU103" s="243"/>
      <c r="AV103" s="243"/>
      <c r="AW103" s="243"/>
      <c r="AX103" s="243"/>
      <c r="AY103" s="243"/>
      <c r="AZ103" s="243"/>
      <c r="BA103" s="243"/>
      <c r="BB103" s="243"/>
      <c r="BC103" s="243"/>
      <c r="BD103" s="243"/>
      <c r="BE103" s="243"/>
      <c r="BF103" s="246"/>
      <c r="BG103" s="246"/>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row>
    <row r="104" spans="1:94">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9"/>
      <c r="AL104" s="289"/>
      <c r="AM104" s="289"/>
      <c r="AN104" s="289"/>
      <c r="AO104" s="289"/>
      <c r="AP104" s="289"/>
      <c r="AQ104" s="289"/>
      <c r="AR104" s="243"/>
      <c r="AS104" s="243"/>
      <c r="AT104" s="243"/>
      <c r="AU104" s="243"/>
      <c r="AV104" s="243"/>
      <c r="AW104" s="243"/>
      <c r="AX104" s="243"/>
      <c r="AY104" s="243"/>
      <c r="AZ104" s="243"/>
      <c r="BA104" s="243"/>
      <c r="BB104" s="243"/>
      <c r="BC104" s="243"/>
      <c r="BD104" s="243"/>
      <c r="BE104" s="243"/>
      <c r="BF104" s="246"/>
      <c r="BG104" s="246"/>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row>
    <row r="105" spans="1:94">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9"/>
      <c r="AL105" s="289"/>
      <c r="AM105" s="289"/>
      <c r="AN105" s="289"/>
      <c r="AO105" s="289"/>
      <c r="AP105" s="289"/>
      <c r="AQ105" s="289"/>
      <c r="AR105" s="243"/>
      <c r="AS105" s="243"/>
      <c r="AT105" s="243"/>
      <c r="AU105" s="243"/>
      <c r="AV105" s="243"/>
      <c r="AW105" s="243"/>
      <c r="AX105" s="243"/>
      <c r="AY105" s="243"/>
      <c r="AZ105" s="243"/>
      <c r="BA105" s="243"/>
      <c r="BB105" s="243"/>
      <c r="BC105" s="243"/>
      <c r="BD105" s="243"/>
      <c r="BE105" s="243"/>
      <c r="BF105" s="246"/>
      <c r="BG105" s="246"/>
      <c r="BH105" s="243"/>
      <c r="BI105" s="243"/>
      <c r="BJ105" s="243"/>
      <c r="BK105" s="243"/>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row>
    <row r="106" spans="1:94">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9"/>
      <c r="AL106" s="289"/>
      <c r="AM106" s="289"/>
      <c r="AN106" s="289"/>
      <c r="AO106" s="289"/>
      <c r="AP106" s="289"/>
      <c r="AQ106" s="289"/>
      <c r="AR106" s="243"/>
      <c r="AS106" s="243"/>
      <c r="AT106" s="243"/>
      <c r="AU106" s="243"/>
      <c r="AV106" s="243"/>
      <c r="AW106" s="243"/>
      <c r="AX106" s="243"/>
      <c r="AY106" s="243"/>
      <c r="AZ106" s="243"/>
      <c r="BA106" s="243"/>
      <c r="BB106" s="243"/>
      <c r="BC106" s="243"/>
      <c r="BD106" s="243"/>
      <c r="BE106" s="243"/>
      <c r="BF106" s="246"/>
      <c r="BG106" s="246"/>
      <c r="BH106" s="243"/>
      <c r="BI106" s="243"/>
      <c r="BJ106" s="243"/>
      <c r="BK106" s="243"/>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row>
    <row r="107" spans="1:94">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9"/>
      <c r="AL107" s="289"/>
      <c r="AM107" s="289"/>
      <c r="AN107" s="289"/>
      <c r="AO107" s="289"/>
      <c r="AP107" s="289"/>
      <c r="AQ107" s="289"/>
      <c r="AR107" s="243"/>
      <c r="AS107" s="243"/>
      <c r="AT107" s="243"/>
      <c r="AU107" s="243"/>
      <c r="AV107" s="243"/>
      <c r="AW107" s="243"/>
      <c r="AX107" s="243"/>
      <c r="AY107" s="243"/>
      <c r="AZ107" s="243"/>
      <c r="BA107" s="243"/>
      <c r="BB107" s="243"/>
      <c r="BC107" s="243"/>
      <c r="BD107" s="243"/>
      <c r="BE107" s="243"/>
      <c r="BF107" s="246"/>
      <c r="BG107" s="246"/>
      <c r="BH107" s="243"/>
      <c r="BI107" s="243"/>
      <c r="BJ107" s="243"/>
      <c r="BK107" s="243"/>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row>
    <row r="108" spans="1:94">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9"/>
      <c r="AL108" s="289"/>
      <c r="AM108" s="289"/>
      <c r="AN108" s="289"/>
      <c r="AO108" s="289"/>
      <c r="AP108" s="289"/>
      <c r="AQ108" s="289"/>
      <c r="AR108" s="243"/>
      <c r="AS108" s="243"/>
      <c r="AT108" s="243"/>
      <c r="AU108" s="243"/>
      <c r="AV108" s="243"/>
      <c r="AW108" s="243"/>
      <c r="AX108" s="243"/>
      <c r="AY108" s="243"/>
      <c r="AZ108" s="243"/>
      <c r="BA108" s="243"/>
      <c r="BB108" s="243"/>
      <c r="BC108" s="243"/>
      <c r="BD108" s="243"/>
      <c r="BE108" s="243"/>
      <c r="BF108" s="246"/>
      <c r="BG108" s="246"/>
      <c r="BH108" s="243"/>
      <c r="BI108" s="243"/>
      <c r="BJ108" s="243"/>
      <c r="BK108" s="243"/>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row>
    <row r="109" spans="1:94">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9"/>
      <c r="AL109" s="289"/>
      <c r="AM109" s="289"/>
      <c r="AN109" s="289"/>
      <c r="AO109" s="289"/>
      <c r="AP109" s="289"/>
      <c r="AQ109" s="289"/>
      <c r="AR109" s="243"/>
      <c r="AS109" s="243"/>
      <c r="AT109" s="243"/>
      <c r="AU109" s="243"/>
      <c r="AV109" s="243"/>
      <c r="AW109" s="243"/>
      <c r="AX109" s="243"/>
      <c r="AY109" s="243"/>
      <c r="AZ109" s="243"/>
      <c r="BA109" s="243"/>
      <c r="BB109" s="243"/>
      <c r="BC109" s="243"/>
      <c r="BD109" s="243"/>
      <c r="BE109" s="243"/>
      <c r="BF109" s="246"/>
      <c r="BG109" s="246"/>
      <c r="BH109" s="243"/>
      <c r="BI109" s="243"/>
      <c r="BJ109" s="243"/>
      <c r="BK109" s="243"/>
      <c r="BL109" s="243"/>
      <c r="BM109" s="243"/>
      <c r="BN109" s="243"/>
      <c r="BO109" s="243"/>
      <c r="BP109" s="243"/>
      <c r="BQ109" s="243"/>
      <c r="BR109" s="243"/>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c r="CM109" s="243"/>
      <c r="CN109" s="243"/>
      <c r="CO109" s="243"/>
      <c r="CP109" s="243"/>
    </row>
    <row r="110" spans="1:94">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9"/>
      <c r="AL110" s="289"/>
      <c r="AM110" s="289"/>
      <c r="AN110" s="289"/>
      <c r="AO110" s="289"/>
      <c r="AP110" s="289"/>
      <c r="AQ110" s="289"/>
      <c r="AR110" s="243"/>
      <c r="AS110" s="243"/>
      <c r="AT110" s="243"/>
      <c r="AU110" s="243"/>
      <c r="AV110" s="243"/>
      <c r="AW110" s="243"/>
      <c r="AX110" s="243"/>
      <c r="AY110" s="243"/>
      <c r="AZ110" s="243"/>
      <c r="BA110" s="243"/>
      <c r="BB110" s="243"/>
      <c r="BC110" s="243"/>
      <c r="BD110" s="243"/>
      <c r="BE110" s="243"/>
      <c r="BF110" s="246"/>
      <c r="BG110" s="246"/>
      <c r="BH110" s="243"/>
      <c r="BI110" s="243"/>
      <c r="BJ110" s="243"/>
      <c r="BK110" s="243"/>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row>
    <row r="111" spans="1:94">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9"/>
      <c r="AL111" s="289"/>
      <c r="AM111" s="289"/>
      <c r="AN111" s="289"/>
      <c r="AO111" s="289"/>
      <c r="AP111" s="289"/>
      <c r="AQ111" s="289"/>
      <c r="AR111" s="243"/>
      <c r="AS111" s="243"/>
      <c r="AT111" s="243"/>
      <c r="AU111" s="243"/>
      <c r="AV111" s="243"/>
      <c r="AW111" s="243"/>
      <c r="AX111" s="243"/>
      <c r="AY111" s="243"/>
      <c r="AZ111" s="243"/>
      <c r="BA111" s="243"/>
      <c r="BB111" s="243"/>
      <c r="BC111" s="243"/>
      <c r="BD111" s="243"/>
      <c r="BE111" s="243"/>
      <c r="BF111" s="246"/>
      <c r="BG111" s="246"/>
      <c r="BH111" s="243"/>
      <c r="BI111" s="243"/>
      <c r="BJ111" s="243"/>
      <c r="BK111" s="243"/>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row>
    <row r="112" spans="1:94">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9"/>
      <c r="AL112" s="289"/>
      <c r="AM112" s="289"/>
      <c r="AN112" s="289"/>
      <c r="AO112" s="289"/>
      <c r="AP112" s="289"/>
      <c r="AQ112" s="289"/>
      <c r="AR112" s="243"/>
      <c r="AS112" s="243"/>
      <c r="AT112" s="243"/>
      <c r="AU112" s="243"/>
      <c r="AV112" s="243"/>
      <c r="AW112" s="243"/>
      <c r="AX112" s="243"/>
      <c r="AY112" s="243"/>
      <c r="AZ112" s="243"/>
      <c r="BA112" s="243"/>
      <c r="BB112" s="243"/>
      <c r="BC112" s="243"/>
      <c r="BD112" s="243"/>
      <c r="BE112" s="243"/>
      <c r="BF112" s="246"/>
      <c r="BG112" s="246"/>
      <c r="BH112" s="243"/>
      <c r="BI112" s="243"/>
      <c r="BJ112" s="243"/>
      <c r="BK112" s="243"/>
      <c r="BL112" s="243"/>
      <c r="BM112" s="243"/>
      <c r="BN112" s="243"/>
      <c r="BO112" s="243"/>
      <c r="BP112" s="243"/>
      <c r="BQ112" s="243"/>
      <c r="BR112" s="243"/>
      <c r="BS112" s="243"/>
      <c r="BT112" s="243"/>
      <c r="BU112" s="243"/>
      <c r="BV112" s="243"/>
      <c r="BW112" s="243"/>
      <c r="BX112" s="243"/>
      <c r="BY112" s="243"/>
      <c r="BZ112" s="243"/>
      <c r="CA112" s="243"/>
      <c r="CB112" s="243"/>
      <c r="CC112" s="243"/>
      <c r="CD112" s="243"/>
      <c r="CE112" s="243"/>
      <c r="CF112" s="243"/>
      <c r="CG112" s="243"/>
      <c r="CH112" s="243"/>
      <c r="CI112" s="243"/>
      <c r="CJ112" s="243"/>
      <c r="CK112" s="243"/>
      <c r="CL112" s="243"/>
      <c r="CM112" s="243"/>
      <c r="CN112" s="243"/>
      <c r="CO112" s="243"/>
      <c r="CP112" s="243"/>
    </row>
    <row r="113" spans="1:94">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9"/>
      <c r="AL113" s="289"/>
      <c r="AM113" s="289"/>
      <c r="AN113" s="289"/>
      <c r="AO113" s="289"/>
      <c r="AP113" s="289"/>
      <c r="AQ113" s="289"/>
      <c r="AR113" s="243"/>
      <c r="AS113" s="243"/>
      <c r="AT113" s="243"/>
      <c r="AU113" s="243"/>
      <c r="AV113" s="243"/>
      <c r="AW113" s="243"/>
      <c r="AX113" s="243"/>
      <c r="AY113" s="243"/>
      <c r="AZ113" s="243"/>
      <c r="BA113" s="243"/>
      <c r="BB113" s="243"/>
      <c r="BC113" s="243"/>
      <c r="BD113" s="243"/>
      <c r="BE113" s="243"/>
      <c r="BF113" s="246"/>
      <c r="BG113" s="246"/>
      <c r="BH113" s="243"/>
      <c r="BI113" s="243"/>
      <c r="BJ113" s="243"/>
      <c r="BK113" s="243"/>
      <c r="BL113" s="243"/>
      <c r="BM113" s="243"/>
      <c r="BN113" s="243"/>
      <c r="BO113" s="243"/>
      <c r="BP113" s="243"/>
      <c r="BQ113" s="243"/>
      <c r="BR113" s="243"/>
      <c r="BS113" s="243"/>
      <c r="BT113" s="243"/>
      <c r="BU113" s="243"/>
      <c r="BV113" s="243"/>
      <c r="BW113" s="243"/>
      <c r="BX113" s="243"/>
      <c r="BY113" s="243"/>
      <c r="BZ113" s="243"/>
      <c r="CA113" s="243"/>
      <c r="CB113" s="243"/>
      <c r="CC113" s="243"/>
      <c r="CD113" s="243"/>
      <c r="CE113" s="243"/>
      <c r="CF113" s="243"/>
      <c r="CG113" s="243"/>
      <c r="CH113" s="243"/>
      <c r="CI113" s="243"/>
      <c r="CJ113" s="243"/>
      <c r="CK113" s="243"/>
      <c r="CL113" s="243"/>
      <c r="CM113" s="243"/>
      <c r="CN113" s="243"/>
      <c r="CO113" s="243"/>
      <c r="CP113" s="243"/>
    </row>
    <row r="114" spans="1:94">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9"/>
      <c r="AL114" s="289"/>
      <c r="AM114" s="289"/>
      <c r="AN114" s="289"/>
      <c r="AO114" s="289"/>
      <c r="AP114" s="289"/>
      <c r="AQ114" s="289"/>
      <c r="AR114" s="243"/>
      <c r="AS114" s="243"/>
      <c r="AT114" s="243"/>
      <c r="AU114" s="243"/>
      <c r="AV114" s="243"/>
      <c r="AW114" s="243"/>
      <c r="AX114" s="243"/>
      <c r="AY114" s="243"/>
      <c r="AZ114" s="243"/>
      <c r="BA114" s="243"/>
      <c r="BB114" s="243"/>
      <c r="BC114" s="243"/>
      <c r="BD114" s="243"/>
      <c r="BE114" s="243"/>
      <c r="BF114" s="246"/>
      <c r="BG114" s="246"/>
      <c r="BH114" s="243"/>
      <c r="BI114" s="243"/>
      <c r="BJ114" s="243"/>
      <c r="BK114" s="243"/>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row>
    <row r="115" spans="1:94">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9"/>
      <c r="AL115" s="289"/>
      <c r="AM115" s="289"/>
      <c r="AN115" s="289"/>
      <c r="AO115" s="289"/>
      <c r="AP115" s="289"/>
      <c r="AQ115" s="289"/>
      <c r="AR115" s="243"/>
      <c r="AS115" s="243"/>
      <c r="AT115" s="243"/>
      <c r="AU115" s="243"/>
      <c r="AV115" s="243"/>
      <c r="AW115" s="243"/>
      <c r="AX115" s="243"/>
      <c r="AY115" s="243"/>
      <c r="AZ115" s="243"/>
      <c r="BA115" s="243"/>
      <c r="BB115" s="243"/>
      <c r="BC115" s="243"/>
      <c r="BD115" s="243"/>
      <c r="BE115" s="243"/>
      <c r="BF115" s="246"/>
      <c r="BG115" s="246"/>
      <c r="BH115" s="243"/>
      <c r="BI115" s="243"/>
      <c r="BJ115" s="243"/>
      <c r="BK115" s="243"/>
      <c r="BL115" s="243"/>
      <c r="BM115" s="243"/>
      <c r="BN115" s="243"/>
      <c r="BO115" s="243"/>
      <c r="BP115" s="243"/>
      <c r="BQ115" s="243"/>
      <c r="BR115" s="243"/>
      <c r="BS115" s="243"/>
      <c r="BT115" s="243"/>
      <c r="BU115" s="243"/>
      <c r="BV115" s="243"/>
      <c r="BW115" s="243"/>
      <c r="BX115" s="243"/>
      <c r="BY115" s="243"/>
      <c r="BZ115" s="243"/>
      <c r="CA115" s="243"/>
      <c r="CB115" s="243"/>
      <c r="CC115" s="243"/>
      <c r="CD115" s="243"/>
      <c r="CE115" s="243"/>
      <c r="CF115" s="243"/>
      <c r="CG115" s="243"/>
      <c r="CH115" s="243"/>
      <c r="CI115" s="243"/>
      <c r="CJ115" s="243"/>
      <c r="CK115" s="243"/>
      <c r="CL115" s="243"/>
      <c r="CM115" s="243"/>
      <c r="CN115" s="243"/>
      <c r="CO115" s="243"/>
      <c r="CP115" s="243"/>
    </row>
    <row r="116" spans="1:94">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9"/>
      <c r="AL116" s="289"/>
      <c r="AM116" s="289"/>
      <c r="AN116" s="289"/>
      <c r="AO116" s="289"/>
      <c r="AP116" s="289"/>
      <c r="AQ116" s="289"/>
      <c r="AR116" s="243"/>
      <c r="AS116" s="243"/>
      <c r="AT116" s="243"/>
      <c r="AU116" s="243"/>
      <c r="AV116" s="243"/>
      <c r="AW116" s="243"/>
      <c r="AX116" s="243"/>
      <c r="AY116" s="243"/>
      <c r="AZ116" s="243"/>
      <c r="BA116" s="243"/>
      <c r="BB116" s="243"/>
      <c r="BC116" s="243"/>
      <c r="BD116" s="243"/>
      <c r="BE116" s="243"/>
      <c r="BF116" s="246"/>
      <c r="BG116" s="246"/>
      <c r="BH116" s="243"/>
      <c r="BI116" s="243"/>
      <c r="BJ116" s="243"/>
      <c r="BK116" s="243"/>
      <c r="BL116" s="243"/>
      <c r="BM116" s="243"/>
      <c r="BN116" s="243"/>
      <c r="BO116" s="243"/>
      <c r="BP116" s="243"/>
      <c r="BQ116" s="243"/>
      <c r="BR116" s="243"/>
      <c r="BS116" s="243"/>
      <c r="BT116" s="243"/>
      <c r="BU116" s="243"/>
      <c r="BV116" s="243"/>
      <c r="BW116" s="243"/>
      <c r="BX116" s="243"/>
      <c r="BY116" s="243"/>
      <c r="BZ116" s="243"/>
      <c r="CA116" s="243"/>
      <c r="CB116" s="243"/>
      <c r="CC116" s="243"/>
      <c r="CD116" s="243"/>
      <c r="CE116" s="243"/>
      <c r="CF116" s="243"/>
      <c r="CG116" s="243"/>
      <c r="CH116" s="243"/>
      <c r="CI116" s="243"/>
      <c r="CJ116" s="243"/>
      <c r="CK116" s="243"/>
      <c r="CL116" s="243"/>
      <c r="CM116" s="243"/>
      <c r="CN116" s="243"/>
      <c r="CO116" s="243"/>
      <c r="CP116" s="243"/>
    </row>
    <row r="117" spans="1:94">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9"/>
      <c r="AL117" s="289"/>
      <c r="AM117" s="289"/>
      <c r="AN117" s="289"/>
      <c r="AO117" s="289"/>
      <c r="AP117" s="289"/>
      <c r="AQ117" s="289"/>
      <c r="AR117" s="243"/>
      <c r="AS117" s="243"/>
      <c r="AT117" s="243"/>
      <c r="AU117" s="243"/>
      <c r="AV117" s="243"/>
      <c r="AW117" s="243"/>
      <c r="AX117" s="243"/>
      <c r="AY117" s="243"/>
      <c r="AZ117" s="243"/>
      <c r="BA117" s="243"/>
      <c r="BB117" s="243"/>
      <c r="BC117" s="243"/>
      <c r="BD117" s="243"/>
      <c r="BE117" s="243"/>
      <c r="BF117" s="246"/>
      <c r="BG117" s="246"/>
      <c r="BH117" s="243"/>
      <c r="BI117" s="243"/>
      <c r="BJ117" s="243"/>
      <c r="BK117" s="243"/>
      <c r="BL117" s="243"/>
      <c r="BM117" s="243"/>
      <c r="BN117" s="243"/>
      <c r="BO117" s="243"/>
      <c r="BP117" s="243"/>
      <c r="BQ117" s="243"/>
      <c r="BR117" s="243"/>
      <c r="BS117" s="243"/>
      <c r="BT117" s="243"/>
      <c r="BU117" s="243"/>
      <c r="BV117" s="243"/>
      <c r="BW117" s="243"/>
      <c r="BX117" s="243"/>
      <c r="BY117" s="243"/>
      <c r="BZ117" s="243"/>
      <c r="CA117" s="243"/>
      <c r="CB117" s="243"/>
      <c r="CC117" s="243"/>
      <c r="CD117" s="243"/>
      <c r="CE117" s="243"/>
      <c r="CF117" s="243"/>
      <c r="CG117" s="243"/>
      <c r="CH117" s="243"/>
      <c r="CI117" s="243"/>
      <c r="CJ117" s="243"/>
      <c r="CK117" s="243"/>
      <c r="CL117" s="243"/>
      <c r="CM117" s="243"/>
      <c r="CN117" s="243"/>
      <c r="CO117" s="243"/>
      <c r="CP117" s="243"/>
    </row>
    <row r="118" spans="1:94">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9"/>
      <c r="AL118" s="289"/>
      <c r="AM118" s="289"/>
      <c r="AN118" s="289"/>
      <c r="AO118" s="289"/>
      <c r="AP118" s="289"/>
      <c r="AQ118" s="289"/>
      <c r="AR118" s="243"/>
      <c r="AS118" s="243"/>
      <c r="AT118" s="243"/>
      <c r="AU118" s="243"/>
      <c r="AV118" s="243"/>
      <c r="AW118" s="243"/>
      <c r="AX118" s="243"/>
      <c r="AY118" s="243"/>
      <c r="AZ118" s="243"/>
      <c r="BA118" s="243"/>
      <c r="BB118" s="243"/>
      <c r="BC118" s="243"/>
      <c r="BD118" s="243"/>
      <c r="BE118" s="243"/>
      <c r="BF118" s="246"/>
      <c r="BG118" s="246"/>
      <c r="BH118" s="243"/>
      <c r="BI118" s="243"/>
      <c r="BJ118" s="243"/>
      <c r="BK118" s="243"/>
      <c r="BL118" s="243"/>
      <c r="BM118" s="243"/>
      <c r="BN118" s="243"/>
      <c r="BO118" s="243"/>
      <c r="BP118" s="243"/>
      <c r="BQ118" s="243"/>
      <c r="BR118" s="243"/>
      <c r="BS118" s="243"/>
      <c r="BT118" s="243"/>
      <c r="BU118" s="243"/>
      <c r="BV118" s="243"/>
      <c r="BW118" s="243"/>
      <c r="BX118" s="243"/>
      <c r="BY118" s="243"/>
      <c r="BZ118" s="243"/>
      <c r="CA118" s="243"/>
      <c r="CB118" s="243"/>
      <c r="CC118" s="243"/>
      <c r="CD118" s="243"/>
      <c r="CE118" s="243"/>
      <c r="CF118" s="243"/>
      <c r="CG118" s="243"/>
      <c r="CH118" s="243"/>
      <c r="CI118" s="243"/>
      <c r="CJ118" s="243"/>
      <c r="CK118" s="243"/>
      <c r="CL118" s="243"/>
      <c r="CM118" s="243"/>
      <c r="CN118" s="243"/>
      <c r="CO118" s="243"/>
      <c r="CP118" s="243"/>
    </row>
    <row r="119" spans="1:94">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9"/>
      <c r="AL119" s="289"/>
      <c r="AM119" s="289"/>
      <c r="AN119" s="289"/>
      <c r="AO119" s="289"/>
      <c r="AP119" s="289"/>
      <c r="AQ119" s="289"/>
      <c r="AR119" s="243"/>
      <c r="AS119" s="243"/>
      <c r="AT119" s="243"/>
      <c r="AU119" s="243"/>
      <c r="AV119" s="243"/>
      <c r="AW119" s="243"/>
      <c r="AX119" s="243"/>
      <c r="AY119" s="243"/>
      <c r="AZ119" s="243"/>
      <c r="BA119" s="243"/>
      <c r="BB119" s="243"/>
      <c r="BC119" s="243"/>
      <c r="BD119" s="243"/>
      <c r="BE119" s="243"/>
      <c r="BF119" s="246"/>
      <c r="BG119" s="246"/>
      <c r="BH119" s="243"/>
      <c r="BI119" s="243"/>
      <c r="BJ119" s="243"/>
      <c r="BK119" s="243"/>
      <c r="BL119" s="243"/>
      <c r="BM119" s="243"/>
      <c r="BN119" s="243"/>
      <c r="BO119" s="243"/>
      <c r="BP119" s="243"/>
      <c r="BQ119" s="243"/>
      <c r="BR119" s="243"/>
      <c r="BS119" s="243"/>
      <c r="BT119" s="243"/>
      <c r="BU119" s="243"/>
      <c r="BV119" s="243"/>
      <c r="BW119" s="243"/>
      <c r="BX119" s="243"/>
      <c r="BY119" s="243"/>
      <c r="BZ119" s="243"/>
      <c r="CA119" s="243"/>
      <c r="CB119" s="243"/>
      <c r="CC119" s="243"/>
      <c r="CD119" s="243"/>
      <c r="CE119" s="243"/>
      <c r="CF119" s="243"/>
      <c r="CG119" s="243"/>
      <c r="CH119" s="243"/>
      <c r="CI119" s="243"/>
      <c r="CJ119" s="243"/>
      <c r="CK119" s="243"/>
      <c r="CL119" s="243"/>
      <c r="CM119" s="243"/>
      <c r="CN119" s="243"/>
      <c r="CO119" s="243"/>
      <c r="CP119" s="243"/>
    </row>
    <row r="120" spans="1:94">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9"/>
      <c r="AL120" s="289"/>
      <c r="AM120" s="289"/>
      <c r="AN120" s="289"/>
      <c r="AO120" s="289"/>
      <c r="AP120" s="289"/>
      <c r="AQ120" s="289"/>
      <c r="AR120" s="243"/>
      <c r="AS120" s="243"/>
      <c r="AT120" s="243"/>
      <c r="AU120" s="243"/>
      <c r="AV120" s="243"/>
      <c r="AW120" s="243"/>
      <c r="AX120" s="243"/>
      <c r="AY120" s="243"/>
      <c r="AZ120" s="243"/>
      <c r="BA120" s="243"/>
      <c r="BB120" s="243"/>
      <c r="BC120" s="243"/>
      <c r="BD120" s="243"/>
      <c r="BE120" s="243"/>
      <c r="BF120" s="246"/>
      <c r="BG120" s="246"/>
      <c r="BH120" s="243"/>
      <c r="BI120" s="243"/>
      <c r="BJ120" s="243"/>
      <c r="BK120" s="243"/>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row>
    <row r="121" spans="1:94">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9"/>
      <c r="AL121" s="289"/>
      <c r="AM121" s="289"/>
      <c r="AN121" s="289"/>
      <c r="AO121" s="289"/>
      <c r="AP121" s="289"/>
      <c r="AQ121" s="289"/>
      <c r="AR121" s="243"/>
      <c r="AS121" s="243"/>
      <c r="AT121" s="243"/>
      <c r="AU121" s="243"/>
      <c r="AV121" s="243"/>
      <c r="AW121" s="243"/>
      <c r="AX121" s="243"/>
      <c r="AY121" s="243"/>
      <c r="AZ121" s="243"/>
      <c r="BA121" s="243"/>
      <c r="BB121" s="243"/>
      <c r="BC121" s="243"/>
      <c r="BD121" s="243"/>
      <c r="BE121" s="243"/>
      <c r="BF121" s="246"/>
      <c r="BG121" s="246"/>
      <c r="BH121" s="243"/>
      <c r="BI121" s="243"/>
      <c r="BJ121" s="243"/>
      <c r="BK121" s="243"/>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row>
    <row r="122" spans="1:94">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9"/>
      <c r="AL122" s="289"/>
      <c r="AM122" s="289"/>
      <c r="AN122" s="289"/>
      <c r="AO122" s="289"/>
      <c r="AP122" s="289"/>
      <c r="AQ122" s="289"/>
      <c r="AR122" s="243"/>
      <c r="AS122" s="243"/>
      <c r="AT122" s="243"/>
      <c r="AU122" s="243"/>
      <c r="AV122" s="243"/>
      <c r="AW122" s="243"/>
      <c r="AX122" s="243"/>
      <c r="AY122" s="243"/>
      <c r="AZ122" s="243"/>
      <c r="BA122" s="243"/>
      <c r="BB122" s="243"/>
      <c r="BC122" s="243"/>
      <c r="BD122" s="243"/>
      <c r="BE122" s="243"/>
      <c r="BF122" s="246"/>
      <c r="BG122" s="246"/>
      <c r="BH122" s="243"/>
      <c r="BI122" s="243"/>
      <c r="BJ122" s="243"/>
      <c r="BK122" s="243"/>
      <c r="BL122" s="243"/>
      <c r="BM122" s="243"/>
      <c r="BN122" s="243"/>
      <c r="BO122" s="243"/>
      <c r="BP122" s="243"/>
      <c r="BQ122" s="243"/>
      <c r="BR122" s="243"/>
      <c r="BS122" s="243"/>
      <c r="BT122" s="243"/>
      <c r="BU122" s="243"/>
      <c r="BV122" s="243"/>
      <c r="BW122" s="243"/>
      <c r="BX122" s="243"/>
      <c r="BY122" s="243"/>
      <c r="BZ122" s="243"/>
      <c r="CA122" s="243"/>
      <c r="CB122" s="243"/>
      <c r="CC122" s="243"/>
      <c r="CD122" s="243"/>
      <c r="CE122" s="243"/>
      <c r="CF122" s="243"/>
      <c r="CG122" s="243"/>
      <c r="CH122" s="243"/>
      <c r="CI122" s="243"/>
      <c r="CJ122" s="243"/>
      <c r="CK122" s="243"/>
      <c r="CL122" s="243"/>
      <c r="CM122" s="243"/>
      <c r="CN122" s="243"/>
      <c r="CO122" s="243"/>
      <c r="CP122" s="243"/>
    </row>
    <row r="123" spans="1:94">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9"/>
      <c r="AL123" s="289"/>
      <c r="AM123" s="289"/>
      <c r="AN123" s="289"/>
      <c r="AO123" s="289"/>
      <c r="AP123" s="289"/>
      <c r="AQ123" s="289"/>
      <c r="AR123" s="243"/>
      <c r="AS123" s="243"/>
      <c r="AT123" s="243"/>
      <c r="AU123" s="243"/>
      <c r="AV123" s="243"/>
      <c r="AW123" s="243"/>
      <c r="AX123" s="243"/>
      <c r="AY123" s="243"/>
      <c r="AZ123" s="243"/>
      <c r="BA123" s="243"/>
      <c r="BB123" s="243"/>
      <c r="BC123" s="243"/>
      <c r="BD123" s="243"/>
      <c r="BE123" s="243"/>
      <c r="BF123" s="246"/>
      <c r="BG123" s="246"/>
      <c r="BH123" s="243"/>
      <c r="BI123" s="243"/>
      <c r="BJ123" s="243"/>
      <c r="BK123" s="243"/>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row>
    <row r="124" spans="1:94">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9"/>
      <c r="AL124" s="289"/>
      <c r="AM124" s="289"/>
      <c r="AN124" s="289"/>
      <c r="AO124" s="289"/>
      <c r="AP124" s="289"/>
      <c r="AQ124" s="289"/>
      <c r="AR124" s="243"/>
      <c r="AS124" s="243"/>
      <c r="AT124" s="243"/>
      <c r="AU124" s="243"/>
      <c r="AV124" s="243"/>
      <c r="AW124" s="243"/>
      <c r="AX124" s="243"/>
      <c r="AY124" s="243"/>
      <c r="AZ124" s="243"/>
      <c r="BA124" s="243"/>
      <c r="BB124" s="243"/>
      <c r="BC124" s="243"/>
      <c r="BD124" s="243"/>
      <c r="BE124" s="243"/>
      <c r="BF124" s="246"/>
      <c r="BG124" s="246"/>
      <c r="BH124" s="243"/>
      <c r="BI124" s="243"/>
      <c r="BJ124" s="243"/>
      <c r="BK124" s="243"/>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row>
    <row r="125" spans="1:94">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c r="AD125" s="288"/>
      <c r="AE125" s="288"/>
      <c r="AF125" s="288"/>
      <c r="AG125" s="288"/>
      <c r="AH125" s="288"/>
      <c r="AI125" s="288"/>
      <c r="AJ125" s="288"/>
      <c r="AK125" s="289"/>
      <c r="AL125" s="289"/>
      <c r="AM125" s="289"/>
      <c r="AN125" s="289"/>
      <c r="AO125" s="289"/>
      <c r="AP125" s="289"/>
      <c r="AQ125" s="289"/>
      <c r="AR125" s="243"/>
      <c r="AS125" s="243"/>
      <c r="AT125" s="243"/>
      <c r="AU125" s="243"/>
      <c r="AV125" s="243"/>
      <c r="AW125" s="243"/>
      <c r="AX125" s="243"/>
      <c r="AY125" s="243"/>
      <c r="AZ125" s="243"/>
      <c r="BA125" s="243"/>
      <c r="BB125" s="243"/>
      <c r="BC125" s="243"/>
      <c r="BD125" s="243"/>
      <c r="BE125" s="243"/>
      <c r="BF125" s="246"/>
      <c r="BG125" s="246"/>
      <c r="BH125" s="243"/>
      <c r="BI125" s="243"/>
      <c r="BJ125" s="243"/>
      <c r="BK125" s="243"/>
      <c r="BL125" s="243"/>
      <c r="BM125" s="243"/>
      <c r="BN125" s="243"/>
      <c r="BO125" s="243"/>
      <c r="BP125" s="243"/>
      <c r="BQ125" s="243"/>
      <c r="BR125" s="243"/>
      <c r="BS125" s="243"/>
      <c r="BT125" s="243"/>
      <c r="BU125" s="243"/>
      <c r="BV125" s="243"/>
      <c r="BW125" s="243"/>
      <c r="BX125" s="243"/>
      <c r="BY125" s="243"/>
      <c r="BZ125" s="243"/>
      <c r="CA125" s="243"/>
      <c r="CB125" s="243"/>
      <c r="CC125" s="243"/>
      <c r="CD125" s="243"/>
      <c r="CE125" s="243"/>
      <c r="CF125" s="243"/>
      <c r="CG125" s="243"/>
      <c r="CH125" s="243"/>
      <c r="CI125" s="243"/>
      <c r="CJ125" s="243"/>
      <c r="CK125" s="243"/>
      <c r="CL125" s="243"/>
      <c r="CM125" s="243"/>
      <c r="CN125" s="243"/>
      <c r="CO125" s="243"/>
      <c r="CP125" s="243"/>
    </row>
  </sheetData>
  <sheetProtection algorithmName="SHA-512" hashValue="gy6MeWqMhyJQKQbNUHJ13Yiv/t49P7mnBzRouA44mQc5ACcaKO5XaG8nh01c2sEGKwa1Mz+piZzczF+FVinbYQ==" saltValue="BTUY6pr+17XtE8j6oifFkQ==" spinCount="100000" sheet="1" objects="1" scenarios="1" selectLockedCells="1" selectUnlockedCells="1"/>
  <mergeCells count="344">
    <mergeCell ref="A1:AK4"/>
    <mergeCell ref="A5:G5"/>
    <mergeCell ref="Y5:AB5"/>
    <mergeCell ref="AC5:AK5"/>
    <mergeCell ref="A6:G6"/>
    <mergeCell ref="Y6:AB6"/>
    <mergeCell ref="AC6:AK6"/>
    <mergeCell ref="A7:G7"/>
    <mergeCell ref="Y7:AB7"/>
    <mergeCell ref="A8:G9"/>
    <mergeCell ref="H8:AK9"/>
    <mergeCell ref="A10:H10"/>
    <mergeCell ref="I10:X10"/>
    <mergeCell ref="Y10:AB10"/>
    <mergeCell ref="AC10:AE10"/>
    <mergeCell ref="AF10:AH10"/>
    <mergeCell ref="AI10:AK10"/>
    <mergeCell ref="A11:AK12"/>
    <mergeCell ref="A13:G13"/>
    <mergeCell ref="H13:AK13"/>
    <mergeCell ref="H14:J14"/>
    <mergeCell ref="K14:M14"/>
    <mergeCell ref="N14:P14"/>
    <mergeCell ref="Q14:S14"/>
    <mergeCell ref="T14:V14"/>
    <mergeCell ref="W14:Y14"/>
    <mergeCell ref="Z14:AB14"/>
    <mergeCell ref="AC14:AE14"/>
    <mergeCell ref="AF14:AH14"/>
    <mergeCell ref="AI14:AK14"/>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A28:E28"/>
    <mergeCell ref="F28:U28"/>
    <mergeCell ref="W28:AJ31"/>
    <mergeCell ref="F29:I30"/>
    <mergeCell ref="J29:M29"/>
    <mergeCell ref="N29:O30"/>
    <mergeCell ref="P29:U30"/>
    <mergeCell ref="J30:K30"/>
    <mergeCell ref="L30:M30"/>
    <mergeCell ref="A31:E31"/>
    <mergeCell ref="R31:S31"/>
    <mergeCell ref="T31:U31"/>
    <mergeCell ref="F32:G32"/>
    <mergeCell ref="H32:I32"/>
    <mergeCell ref="J32:K32"/>
    <mergeCell ref="L32:M32"/>
    <mergeCell ref="N32:O32"/>
    <mergeCell ref="P32:Q32"/>
    <mergeCell ref="R32:S32"/>
    <mergeCell ref="T32:U32"/>
    <mergeCell ref="F31:G31"/>
    <mergeCell ref="H31:I31"/>
    <mergeCell ref="J31:K31"/>
    <mergeCell ref="L31:M31"/>
    <mergeCell ref="N31:O31"/>
    <mergeCell ref="P31:Q31"/>
    <mergeCell ref="W32:AJ36"/>
    <mergeCell ref="F33:G33"/>
    <mergeCell ref="H33:I33"/>
    <mergeCell ref="J33:K33"/>
    <mergeCell ref="L33:M33"/>
    <mergeCell ref="N33:O33"/>
    <mergeCell ref="P33:Q33"/>
    <mergeCell ref="R33:S33"/>
    <mergeCell ref="T33:U33"/>
    <mergeCell ref="F34:G34"/>
    <mergeCell ref="T34:U34"/>
    <mergeCell ref="F35:G35"/>
    <mergeCell ref="H35:I35"/>
    <mergeCell ref="J35:K35"/>
    <mergeCell ref="L35:M35"/>
    <mergeCell ref="N35:O35"/>
    <mergeCell ref="P35:Q35"/>
    <mergeCell ref="R35:S35"/>
    <mergeCell ref="T35:U35"/>
    <mergeCell ref="H34:I34"/>
    <mergeCell ref="J34:K34"/>
    <mergeCell ref="L34:M34"/>
    <mergeCell ref="N34:O34"/>
    <mergeCell ref="P34:Q34"/>
    <mergeCell ref="R34:S34"/>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R40:S40"/>
    <mergeCell ref="T40:U40"/>
    <mergeCell ref="F41:G41"/>
    <mergeCell ref="H41:I41"/>
    <mergeCell ref="J41:K41"/>
    <mergeCell ref="L41:M41"/>
    <mergeCell ref="N41:O41"/>
    <mergeCell ref="P41:Q41"/>
    <mergeCell ref="R41:S41"/>
    <mergeCell ref="T41:U41"/>
    <mergeCell ref="F40:G40"/>
    <mergeCell ref="H40:I40"/>
    <mergeCell ref="J40:K40"/>
    <mergeCell ref="L40:M40"/>
    <mergeCell ref="N40:O40"/>
    <mergeCell ref="P40:Q40"/>
    <mergeCell ref="R42:S42"/>
    <mergeCell ref="T42:U42"/>
    <mergeCell ref="F43:G43"/>
    <mergeCell ref="H43:I43"/>
    <mergeCell ref="J43:K43"/>
    <mergeCell ref="L43:M43"/>
    <mergeCell ref="N43:O43"/>
    <mergeCell ref="P43:Q43"/>
    <mergeCell ref="R43:S43"/>
    <mergeCell ref="T43:U43"/>
    <mergeCell ref="F42:G42"/>
    <mergeCell ref="H42:I42"/>
    <mergeCell ref="J42:K42"/>
    <mergeCell ref="L42:M42"/>
    <mergeCell ref="N42:O42"/>
    <mergeCell ref="P42:Q42"/>
    <mergeCell ref="R44:S44"/>
    <mergeCell ref="T44:U44"/>
    <mergeCell ref="F45:G45"/>
    <mergeCell ref="H45:I45"/>
    <mergeCell ref="J45:K45"/>
    <mergeCell ref="L45:M45"/>
    <mergeCell ref="N45:O45"/>
    <mergeCell ref="P45:Q45"/>
    <mergeCell ref="R45:S45"/>
    <mergeCell ref="T45:U45"/>
    <mergeCell ref="F44:G44"/>
    <mergeCell ref="H44:I44"/>
    <mergeCell ref="J44:K44"/>
    <mergeCell ref="L44:M44"/>
    <mergeCell ref="N44:O44"/>
    <mergeCell ref="P44:Q44"/>
    <mergeCell ref="R46:S46"/>
    <mergeCell ref="T46:U46"/>
    <mergeCell ref="F47:G47"/>
    <mergeCell ref="H47:I47"/>
    <mergeCell ref="J47:K47"/>
    <mergeCell ref="L47:M47"/>
    <mergeCell ref="N47:O47"/>
    <mergeCell ref="P47:Q47"/>
    <mergeCell ref="R47:S47"/>
    <mergeCell ref="T47:U47"/>
    <mergeCell ref="F46:G46"/>
    <mergeCell ref="H46:I46"/>
    <mergeCell ref="J46:K46"/>
    <mergeCell ref="L46:M46"/>
    <mergeCell ref="N46:O46"/>
    <mergeCell ref="P46:Q46"/>
    <mergeCell ref="R48:S48"/>
    <mergeCell ref="T48:U48"/>
    <mergeCell ref="F49:G49"/>
    <mergeCell ref="H49:I49"/>
    <mergeCell ref="J49:K49"/>
    <mergeCell ref="L49:M49"/>
    <mergeCell ref="N49:O49"/>
    <mergeCell ref="P49:Q49"/>
    <mergeCell ref="R49:S49"/>
    <mergeCell ref="T49:U49"/>
    <mergeCell ref="F48:G48"/>
    <mergeCell ref="H48:I48"/>
    <mergeCell ref="J48:K48"/>
    <mergeCell ref="L48:M48"/>
    <mergeCell ref="N48:O48"/>
    <mergeCell ref="P48:Q48"/>
    <mergeCell ref="R50:S50"/>
    <mergeCell ref="T50:U50"/>
    <mergeCell ref="F51:G51"/>
    <mergeCell ref="H51:I51"/>
    <mergeCell ref="J51:K51"/>
    <mergeCell ref="L51:M51"/>
    <mergeCell ref="N51:O51"/>
    <mergeCell ref="P51:Q51"/>
    <mergeCell ref="R51:S51"/>
    <mergeCell ref="T51:U51"/>
    <mergeCell ref="F50:G50"/>
    <mergeCell ref="H50:I50"/>
    <mergeCell ref="J50:K50"/>
    <mergeCell ref="L50:M50"/>
    <mergeCell ref="N50:O50"/>
    <mergeCell ref="P50:Q50"/>
    <mergeCell ref="T53:U53"/>
    <mergeCell ref="L54:M54"/>
    <mergeCell ref="P54:Q54"/>
    <mergeCell ref="L55:M55"/>
    <mergeCell ref="N55:O55"/>
    <mergeCell ref="P55:Q55"/>
    <mergeCell ref="R52:S52"/>
    <mergeCell ref="T52:U52"/>
    <mergeCell ref="A53:E53"/>
    <mergeCell ref="F53:G53"/>
    <mergeCell ref="H53:I53"/>
    <mergeCell ref="J53:K53"/>
    <mergeCell ref="L53:M53"/>
    <mergeCell ref="N53:O53"/>
    <mergeCell ref="P53:Q53"/>
    <mergeCell ref="R53:S53"/>
    <mergeCell ref="F52:G52"/>
    <mergeCell ref="H52:I52"/>
    <mergeCell ref="J52:K52"/>
    <mergeCell ref="L52:M52"/>
    <mergeCell ref="N52:O52"/>
    <mergeCell ref="P52:Q52"/>
    <mergeCell ref="L58:M58"/>
    <mergeCell ref="N58:O58"/>
    <mergeCell ref="P58:Q58"/>
    <mergeCell ref="L59:M59"/>
    <mergeCell ref="N59:O59"/>
    <mergeCell ref="P59:Q59"/>
    <mergeCell ref="L56:M56"/>
    <mergeCell ref="N56:O56"/>
    <mergeCell ref="P56:Q56"/>
    <mergeCell ref="L57:M57"/>
    <mergeCell ref="N57:O57"/>
    <mergeCell ref="P57:Q57"/>
    <mergeCell ref="L62:M62"/>
    <mergeCell ref="N62:O62"/>
    <mergeCell ref="P62:Q62"/>
    <mergeCell ref="L60:M60"/>
    <mergeCell ref="N60:O60"/>
    <mergeCell ref="P60:Q60"/>
    <mergeCell ref="L61:M61"/>
    <mergeCell ref="N61:O61"/>
    <mergeCell ref="P61:Q61"/>
  </mergeCells>
  <conditionalFormatting sqref="F53:M53 P53:S53">
    <cfRule type="expression" dxfId="264" priority="5" stopIfTrue="1">
      <formula>F53=0</formula>
    </cfRule>
  </conditionalFormatting>
  <conditionalFormatting sqref="H32:W32 AK32:AK36 H33:V36 H37:W37 AA37:AK37">
    <cfRule type="expression" dxfId="263" priority="4">
      <formula>H32=0</formula>
    </cfRule>
  </conditionalFormatting>
  <conditionalFormatting sqref="H38:AK52">
    <cfRule type="expression" dxfId="262" priority="1">
      <formula>H38=0</formula>
    </cfRule>
  </conditionalFormatting>
  <conditionalFormatting sqref="V53:AC53">
    <cfRule type="expression" dxfId="261" priority="6" stopIfTrue="1">
      <formula>V53=0</formula>
    </cfRule>
  </conditionalFormatting>
  <conditionalFormatting sqref="Z37">
    <cfRule type="expression" dxfId="260" priority="2">
      <formula>(Z37&lt;&gt;0)</formula>
    </cfRule>
    <cfRule type="expression" dxfId="259" priority="3">
      <formula>(Z37=0)</formula>
    </cfRule>
  </conditionalFormatting>
  <conditionalFormatting sqref="AF53:AI53 N57 N59">
    <cfRule type="expression" dxfId="258" priority="7" stopIfTrue="1">
      <formula>N53=0</formula>
    </cfRule>
  </conditionalFormatting>
  <pageMargins left="0.74803149606299213" right="0.19685039370078741" top="0.39370078740157483" bottom="0.39370078740157483" header="0.19685039370078741" footer="0.19685039370078741"/>
  <pageSetup paperSize="9" scale="61"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4649B-F9B9-4112-B2EC-F8F7B23567D9}">
  <sheetPr>
    <tabColor rgb="FF92D050"/>
    <pageSetUpPr fitToPage="1"/>
  </sheetPr>
  <dimension ref="A1:CP125"/>
  <sheetViews>
    <sheetView showGridLines="0" view="pageBreakPreview" zoomScaleNormal="100" zoomScaleSheetLayoutView="100" workbookViewId="0">
      <selection sqref="A1:AK4"/>
    </sheetView>
  </sheetViews>
  <sheetFormatPr defaultColWidth="3.7109375" defaultRowHeight="15"/>
  <cols>
    <col min="1" max="6" width="3.7109375" style="290"/>
    <col min="7" max="7" width="4.42578125" style="290" customWidth="1"/>
    <col min="8" max="14" width="3.7109375" style="290"/>
    <col min="15" max="15" width="6.7109375" style="290" customWidth="1"/>
    <col min="16" max="16" width="7.42578125" style="290" customWidth="1"/>
    <col min="17" max="18" width="3.7109375" style="290"/>
    <col min="19" max="19" width="5.28515625" style="290" customWidth="1"/>
    <col min="20" max="23" width="3.7109375" style="290"/>
    <col min="24" max="24" width="8.42578125" style="290" customWidth="1"/>
    <col min="25" max="37" width="3.7109375" style="290"/>
    <col min="38" max="38" width="3.7109375" style="247"/>
    <col min="39" max="50" width="8.7109375" style="247" customWidth="1"/>
    <col min="51" max="57" width="3.7109375" style="247"/>
    <col min="58" max="59" width="3.7109375" style="285"/>
    <col min="60" max="16384" width="3.7109375" style="247"/>
  </cols>
  <sheetData>
    <row r="1" spans="1:94"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8"/>
      <c r="AL1" s="238"/>
      <c r="AM1" s="238"/>
      <c r="AN1" s="238"/>
      <c r="AO1" s="238"/>
      <c r="AP1" s="238"/>
      <c r="AQ1" s="238"/>
      <c r="AR1" s="238"/>
      <c r="AS1" s="238"/>
      <c r="AT1" s="238"/>
      <c r="AU1" s="238"/>
      <c r="AV1" s="238"/>
      <c r="AW1" s="238"/>
      <c r="AX1" s="238"/>
      <c r="AY1" s="238"/>
      <c r="AZ1" s="238"/>
      <c r="BA1" s="238"/>
      <c r="BB1" s="238"/>
      <c r="BC1" s="238"/>
      <c r="BD1" s="238"/>
      <c r="BE1" s="238"/>
      <c r="BF1" s="239"/>
      <c r="BG1" s="239"/>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c r="CM1" s="238"/>
      <c r="CN1" s="238"/>
      <c r="CO1" s="238"/>
      <c r="CP1" s="238"/>
    </row>
    <row r="2" spans="1:94"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1"/>
      <c r="AL2" s="238"/>
      <c r="AM2" s="238"/>
      <c r="AN2" s="238"/>
      <c r="AO2" s="238"/>
      <c r="AP2" s="238"/>
      <c r="AQ2" s="238"/>
      <c r="AR2" s="238"/>
      <c r="AS2" s="238"/>
      <c r="AT2" s="238"/>
      <c r="AU2" s="238"/>
      <c r="AV2" s="238"/>
      <c r="AW2" s="238"/>
      <c r="AX2" s="238"/>
      <c r="AY2" s="238"/>
      <c r="AZ2" s="238"/>
      <c r="BA2" s="238"/>
      <c r="BB2" s="238"/>
      <c r="BC2" s="238"/>
      <c r="BD2" s="238"/>
      <c r="BE2" s="238"/>
      <c r="BF2" s="239"/>
      <c r="BG2" s="239"/>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row>
    <row r="3" spans="1:94"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1"/>
      <c r="AL3" s="238"/>
      <c r="AM3" s="238"/>
      <c r="AN3" s="238"/>
      <c r="AO3" s="238"/>
      <c r="AP3" s="238"/>
      <c r="AQ3" s="238"/>
      <c r="AR3" s="238"/>
      <c r="AS3" s="238"/>
      <c r="AT3" s="238"/>
      <c r="AU3" s="238"/>
      <c r="AV3" s="238"/>
      <c r="AW3" s="238"/>
      <c r="AX3" s="238"/>
      <c r="AY3" s="238"/>
      <c r="AZ3" s="238"/>
      <c r="BA3" s="238"/>
      <c r="BB3" s="238"/>
      <c r="BC3" s="238"/>
      <c r="BD3" s="238"/>
      <c r="BE3" s="238"/>
      <c r="BF3" s="239"/>
      <c r="BG3" s="239"/>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row>
    <row r="4" spans="1:94"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4"/>
      <c r="AL4" s="238"/>
      <c r="AM4" s="241"/>
      <c r="AN4" s="241"/>
      <c r="AO4" s="241"/>
      <c r="AP4" s="242" t="s">
        <v>576</v>
      </c>
      <c r="AQ4" s="242" t="s">
        <v>577</v>
      </c>
      <c r="AR4" s="242" t="s">
        <v>578</v>
      </c>
      <c r="AS4" s="241"/>
      <c r="AT4" s="241"/>
      <c r="AU4" s="241"/>
      <c r="AV4" s="241"/>
      <c r="AW4" s="241"/>
      <c r="AX4" s="238"/>
      <c r="AY4" s="238"/>
      <c r="AZ4" s="238"/>
      <c r="BA4" s="238"/>
      <c r="BB4" s="238"/>
      <c r="BC4" s="238"/>
      <c r="BD4" s="238"/>
      <c r="BE4" s="238"/>
      <c r="BF4" s="239"/>
      <c r="BG4" s="239"/>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row>
    <row r="5" spans="1:94" ht="15" customHeight="1">
      <c r="A5" s="875" t="s">
        <v>22</v>
      </c>
      <c r="B5" s="876"/>
      <c r="C5" s="876"/>
      <c r="D5" s="876"/>
      <c r="E5" s="876"/>
      <c r="F5" s="876"/>
      <c r="G5" s="876"/>
      <c r="H5" s="27" t="str">
        <f>'Emiss. Ops'!$C$2</f>
        <v>OMVP</v>
      </c>
      <c r="I5" s="27"/>
      <c r="J5" s="27"/>
      <c r="K5" s="27"/>
      <c r="L5" s="27"/>
      <c r="M5" s="27"/>
      <c r="N5" s="27"/>
      <c r="O5" s="27"/>
      <c r="P5" s="27"/>
      <c r="Q5" s="27"/>
      <c r="R5" s="27"/>
      <c r="S5" s="27"/>
      <c r="T5" s="27"/>
      <c r="U5" s="27"/>
      <c r="V5" s="27"/>
      <c r="W5" s="27"/>
      <c r="X5" s="27"/>
      <c r="Y5" s="876" t="s">
        <v>23</v>
      </c>
      <c r="Z5" s="876"/>
      <c r="AA5" s="876"/>
      <c r="AB5" s="876"/>
      <c r="AC5" s="877" t="str">
        <f>Effluents!$K$2</f>
        <v>PRJ-001030</v>
      </c>
      <c r="AD5" s="877"/>
      <c r="AE5" s="877"/>
      <c r="AF5" s="877"/>
      <c r="AG5" s="877"/>
      <c r="AH5" s="877"/>
      <c r="AI5" s="877"/>
      <c r="AJ5" s="877"/>
      <c r="AK5" s="878"/>
      <c r="AL5" s="243"/>
      <c r="AM5" s="244"/>
      <c r="AN5" s="244"/>
      <c r="AO5" s="244"/>
      <c r="AP5" s="245" t="s">
        <v>386</v>
      </c>
      <c r="AQ5" s="245" t="s">
        <v>729</v>
      </c>
      <c r="AR5" s="242">
        <v>1020</v>
      </c>
      <c r="AS5" s="244"/>
      <c r="AT5" s="244"/>
      <c r="AU5" s="244"/>
      <c r="AV5" s="244"/>
      <c r="AW5" s="244"/>
      <c r="AX5" s="238"/>
      <c r="AY5" s="238"/>
      <c r="AZ5" s="238"/>
      <c r="BA5" s="243"/>
      <c r="BB5" s="243"/>
      <c r="BC5" s="243"/>
      <c r="BD5" s="243"/>
      <c r="BE5" s="243"/>
      <c r="BF5" s="246"/>
      <c r="BG5" s="246"/>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row>
    <row r="6" spans="1:94" ht="15" customHeight="1">
      <c r="A6" s="862" t="s">
        <v>24</v>
      </c>
      <c r="B6" s="863"/>
      <c r="C6" s="863"/>
      <c r="D6" s="863"/>
      <c r="E6" s="863"/>
      <c r="F6" s="863"/>
      <c r="G6" s="863"/>
      <c r="H6" s="30" t="str">
        <f>'Emiss. Ops'!$C$3</f>
        <v>OMV Neptun BAT Study &amp; ESIA</v>
      </c>
      <c r="I6" s="30"/>
      <c r="J6" s="30"/>
      <c r="K6" s="30"/>
      <c r="L6" s="30"/>
      <c r="M6" s="30"/>
      <c r="N6" s="30"/>
      <c r="O6" s="30"/>
      <c r="P6" s="30"/>
      <c r="Q6" s="30"/>
      <c r="R6" s="30"/>
      <c r="S6" s="30"/>
      <c r="T6" s="30"/>
      <c r="U6" s="30"/>
      <c r="V6" s="30"/>
      <c r="W6" s="30"/>
      <c r="X6" s="30"/>
      <c r="Y6" s="863" t="s">
        <v>25</v>
      </c>
      <c r="Z6" s="863"/>
      <c r="AA6" s="863"/>
      <c r="AB6" s="863"/>
      <c r="AC6" s="860"/>
      <c r="AD6" s="860"/>
      <c r="AE6" s="860"/>
      <c r="AF6" s="860"/>
      <c r="AG6" s="860"/>
      <c r="AH6" s="860"/>
      <c r="AI6" s="860"/>
      <c r="AJ6" s="860"/>
      <c r="AK6" s="861"/>
      <c r="AL6" s="243"/>
      <c r="AM6" s="244"/>
      <c r="AN6" s="244"/>
      <c r="AO6" s="242"/>
      <c r="AP6" s="245" t="s">
        <v>406</v>
      </c>
      <c r="AQ6" s="245" t="s">
        <v>339</v>
      </c>
      <c r="AR6" s="245">
        <v>0.45400000000000001</v>
      </c>
      <c r="AS6" s="242"/>
      <c r="AT6" s="244"/>
      <c r="AU6" s="244"/>
      <c r="AV6" s="244"/>
      <c r="AW6" s="244"/>
      <c r="AX6" s="238"/>
      <c r="AY6" s="238"/>
      <c r="AZ6" s="238"/>
      <c r="BA6" s="243"/>
      <c r="BB6" s="243"/>
      <c r="BC6" s="243"/>
      <c r="BD6" s="243"/>
      <c r="BE6" s="243"/>
      <c r="BF6" s="246"/>
      <c r="BG6" s="246"/>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row>
    <row r="7" spans="1:94" ht="15" customHeight="1">
      <c r="A7" s="862" t="s">
        <v>26</v>
      </c>
      <c r="B7" s="863"/>
      <c r="C7" s="863"/>
      <c r="D7" s="863"/>
      <c r="E7" s="863"/>
      <c r="F7" s="863"/>
      <c r="G7" s="863"/>
      <c r="H7" s="30" t="str">
        <f>'Emiss. Ops'!$C$4</f>
        <v>Emissions Inventory</v>
      </c>
      <c r="I7" s="30"/>
      <c r="J7" s="30"/>
      <c r="K7" s="30"/>
      <c r="L7" s="30"/>
      <c r="M7" s="30"/>
      <c r="N7" s="30"/>
      <c r="O7" s="30"/>
      <c r="P7" s="30"/>
      <c r="Q7" s="30"/>
      <c r="R7" s="30"/>
      <c r="S7" s="30"/>
      <c r="T7" s="30"/>
      <c r="U7" s="30"/>
      <c r="V7" s="30"/>
      <c r="W7" s="30"/>
      <c r="X7" s="30"/>
      <c r="Y7" s="863" t="s">
        <v>27</v>
      </c>
      <c r="Z7" s="863"/>
      <c r="AA7" s="863"/>
      <c r="AB7" s="863"/>
      <c r="AC7" s="30" t="str">
        <f>'Emiss. Ops'!$I$4</f>
        <v>Normal Operations</v>
      </c>
      <c r="AD7" s="31"/>
      <c r="AE7" s="31"/>
      <c r="AF7" s="31"/>
      <c r="AG7" s="31"/>
      <c r="AH7" s="31"/>
      <c r="AI7" s="31"/>
      <c r="AJ7" s="31"/>
      <c r="AK7" s="32"/>
      <c r="AL7" s="243"/>
      <c r="AM7" s="244"/>
      <c r="AN7" s="244"/>
      <c r="AO7" s="242"/>
      <c r="AP7" s="245" t="s">
        <v>407</v>
      </c>
      <c r="AQ7" s="245" t="s">
        <v>730</v>
      </c>
      <c r="AR7" s="248">
        <f>0.305^3</f>
        <v>2.8372624999999999E-2</v>
      </c>
      <c r="AS7" s="242"/>
      <c r="AT7" s="244"/>
      <c r="AU7" s="244"/>
      <c r="AV7" s="244"/>
      <c r="AW7" s="244"/>
      <c r="AX7" s="238"/>
      <c r="AY7" s="238"/>
      <c r="AZ7" s="238"/>
      <c r="BA7" s="243"/>
      <c r="BB7" s="243"/>
      <c r="BC7" s="243"/>
      <c r="BD7" s="243"/>
      <c r="BE7" s="243"/>
      <c r="BF7" s="246"/>
      <c r="BG7" s="246"/>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row>
    <row r="8" spans="1:94"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8"/>
      <c r="AH8" s="1288"/>
      <c r="AI8" s="1288"/>
      <c r="AJ8" s="1288"/>
      <c r="AK8" s="1289"/>
      <c r="AL8" s="243"/>
      <c r="AM8" s="244"/>
      <c r="AN8" s="244"/>
      <c r="AO8" s="242"/>
      <c r="AP8" s="245" t="s">
        <v>729</v>
      </c>
      <c r="AQ8" s="245" t="s">
        <v>731</v>
      </c>
      <c r="AR8" s="249">
        <f>AR6/AR7 * ((AN18+273.15)/(AN20+273.15))</f>
        <v>16.912595854908194</v>
      </c>
      <c r="AS8" s="242"/>
      <c r="AT8" s="244"/>
      <c r="AU8" s="244"/>
      <c r="AV8" s="244"/>
      <c r="AW8" s="244"/>
      <c r="AX8" s="238"/>
      <c r="AY8" s="238"/>
      <c r="AZ8" s="238"/>
      <c r="BA8" s="243"/>
      <c r="BB8" s="243"/>
      <c r="BC8" s="243"/>
      <c r="BD8" s="243"/>
      <c r="BE8" s="243"/>
      <c r="BF8" s="246"/>
      <c r="BG8" s="246"/>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row>
    <row r="9" spans="1:94"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8"/>
      <c r="AH9" s="1288"/>
      <c r="AI9" s="1288"/>
      <c r="AJ9" s="1288"/>
      <c r="AK9" s="1289"/>
      <c r="AL9" s="243"/>
      <c r="AM9" s="244"/>
      <c r="AN9" s="244"/>
      <c r="AO9" s="242"/>
      <c r="AP9" s="242" t="s">
        <v>409</v>
      </c>
      <c r="AQ9" s="242" t="s">
        <v>410</v>
      </c>
      <c r="AR9" s="242">
        <v>947</v>
      </c>
      <c r="AS9" s="242"/>
      <c r="AT9" s="244"/>
      <c r="AU9" s="244"/>
      <c r="AV9" s="244"/>
      <c r="AW9" s="244"/>
      <c r="AX9" s="238"/>
      <c r="AY9" s="238"/>
      <c r="AZ9" s="238"/>
      <c r="BA9" s="243"/>
      <c r="BB9" s="243"/>
      <c r="BC9" s="243"/>
      <c r="BD9" s="243"/>
      <c r="BE9" s="243"/>
      <c r="BF9" s="246"/>
      <c r="BG9" s="246"/>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row>
    <row r="10" spans="1:94"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1283"/>
      <c r="V10" s="1283"/>
      <c r="W10" s="1283"/>
      <c r="X10" s="1283"/>
      <c r="Y10" s="859" t="s">
        <v>28</v>
      </c>
      <c r="Z10" s="859"/>
      <c r="AA10" s="859"/>
      <c r="AB10" s="859"/>
      <c r="AC10" s="1284"/>
      <c r="AD10" s="1284"/>
      <c r="AE10" s="1284"/>
      <c r="AF10" s="1285"/>
      <c r="AG10" s="1285"/>
      <c r="AH10" s="1285"/>
      <c r="AI10" s="1286"/>
      <c r="AJ10" s="1286"/>
      <c r="AK10" s="1287"/>
      <c r="AL10" s="238"/>
      <c r="AM10" s="241"/>
      <c r="AN10" s="241"/>
      <c r="AO10" s="245"/>
      <c r="AP10" s="245" t="s">
        <v>710</v>
      </c>
      <c r="AQ10" s="245" t="s">
        <v>709</v>
      </c>
      <c r="AR10" s="245">
        <v>1E-3</v>
      </c>
      <c r="AS10" s="245"/>
      <c r="AT10" s="241"/>
      <c r="AU10" s="241"/>
      <c r="AV10" s="241"/>
      <c r="AW10" s="241"/>
      <c r="AX10" s="238"/>
      <c r="AY10" s="238"/>
      <c r="AZ10" s="238"/>
      <c r="BA10" s="238"/>
      <c r="BB10" s="238"/>
      <c r="BC10" s="238"/>
      <c r="BD10" s="238"/>
      <c r="BE10" s="238"/>
      <c r="BF10" s="239"/>
      <c r="BG10" s="239"/>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row>
    <row r="11" spans="1:94" s="240" customFormat="1" ht="14.25" customHeight="1">
      <c r="A11" s="1271" t="s">
        <v>769</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3"/>
      <c r="AL11" s="238"/>
      <c r="AM11" s="241"/>
      <c r="AN11" s="241"/>
      <c r="AO11" s="245"/>
      <c r="AP11" s="245" t="s">
        <v>732</v>
      </c>
      <c r="AQ11" s="245" t="s">
        <v>409</v>
      </c>
      <c r="AR11" s="245">
        <f>1/(AR9/1000000)</f>
        <v>1055.9662090813094</v>
      </c>
      <c r="AS11" s="245"/>
      <c r="AT11" s="241"/>
      <c r="AU11" s="241"/>
      <c r="AV11" s="241"/>
      <c r="AW11" s="241"/>
      <c r="AX11" s="238"/>
      <c r="AY11" s="238"/>
      <c r="AZ11" s="238"/>
      <c r="BA11" s="238"/>
      <c r="BB11" s="238"/>
      <c r="BC11" s="238"/>
      <c r="BD11" s="238"/>
      <c r="BE11" s="238"/>
      <c r="BF11" s="239"/>
      <c r="BG11" s="239"/>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row>
    <row r="12" spans="1:94" s="240" customFormat="1" ht="14.25" customHeight="1">
      <c r="A12" s="1274"/>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5"/>
      <c r="AH12" s="1275"/>
      <c r="AI12" s="1275"/>
      <c r="AJ12" s="1275"/>
      <c r="AK12" s="1276"/>
      <c r="AL12" s="238"/>
      <c r="AM12" s="241"/>
      <c r="AN12" s="241"/>
      <c r="AO12" s="245"/>
      <c r="AP12" s="245"/>
      <c r="AQ12" s="245"/>
      <c r="AR12" s="245"/>
      <c r="AS12" s="245"/>
      <c r="AT12" s="241"/>
      <c r="AU12" s="241"/>
      <c r="AV12" s="241"/>
      <c r="AW12" s="241"/>
      <c r="AX12" s="238"/>
      <c r="AY12" s="238"/>
      <c r="AZ12" s="238"/>
      <c r="BA12" s="238"/>
      <c r="BB12" s="238"/>
      <c r="BC12" s="238"/>
      <c r="BD12" s="238"/>
      <c r="BE12" s="238"/>
      <c r="BF12" s="239"/>
      <c r="BG12" s="239"/>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row>
    <row r="13" spans="1:94" s="240" customFormat="1" ht="14.25" customHeight="1">
      <c r="A13" s="1277" t="s">
        <v>587</v>
      </c>
      <c r="B13" s="1278"/>
      <c r="C13" s="1278"/>
      <c r="D13" s="1278"/>
      <c r="E13" s="1278"/>
      <c r="F13" s="1278"/>
      <c r="G13" s="1279"/>
      <c r="H13" s="1280" t="s">
        <v>733</v>
      </c>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2"/>
      <c r="AL13" s="238"/>
      <c r="AM13" s="241"/>
      <c r="AN13" s="241"/>
      <c r="AO13" s="241"/>
      <c r="AP13" s="241"/>
      <c r="AQ13" s="241"/>
      <c r="AR13" s="241"/>
      <c r="AS13" s="241"/>
      <c r="AT13" s="241"/>
      <c r="AU13" s="241"/>
      <c r="AV13" s="241"/>
      <c r="AW13" s="241"/>
      <c r="AX13" s="241"/>
      <c r="AY13" s="241"/>
      <c r="AZ13" s="241"/>
      <c r="BA13" s="238"/>
      <c r="BB13" s="238"/>
      <c r="BC13" s="238"/>
      <c r="BD13" s="238"/>
      <c r="BE13" s="238"/>
      <c r="BF13" s="239"/>
      <c r="BG13" s="239"/>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row>
    <row r="14" spans="1:94" s="240" customFormat="1" ht="14.25" customHeight="1">
      <c r="A14" s="279" t="s">
        <v>589</v>
      </c>
      <c r="B14" s="429"/>
      <c r="C14" s="429"/>
      <c r="D14" s="429"/>
      <c r="E14" s="429"/>
      <c r="F14" s="429"/>
      <c r="G14" s="429"/>
      <c r="H14" s="1271" t="s">
        <v>590</v>
      </c>
      <c r="I14" s="1272"/>
      <c r="J14" s="1273"/>
      <c r="K14" s="1271" t="s">
        <v>591</v>
      </c>
      <c r="L14" s="1272"/>
      <c r="M14" s="1273"/>
      <c r="N14" s="1271" t="s">
        <v>592</v>
      </c>
      <c r="O14" s="1272"/>
      <c r="P14" s="1273"/>
      <c r="Q14" s="1271" t="s">
        <v>400</v>
      </c>
      <c r="R14" s="1272"/>
      <c r="S14" s="1273"/>
      <c r="T14" s="1271" t="s">
        <v>593</v>
      </c>
      <c r="U14" s="1272"/>
      <c r="V14" s="1273"/>
      <c r="W14" s="1271" t="s">
        <v>593</v>
      </c>
      <c r="X14" s="1272"/>
      <c r="Y14" s="1273"/>
      <c r="Z14" s="1271" t="s">
        <v>115</v>
      </c>
      <c r="AA14" s="1272"/>
      <c r="AB14" s="1273"/>
      <c r="AC14" s="1271" t="s">
        <v>115</v>
      </c>
      <c r="AD14" s="1272"/>
      <c r="AE14" s="1273"/>
      <c r="AF14" s="1271" t="s">
        <v>116</v>
      </c>
      <c r="AG14" s="1272"/>
      <c r="AH14" s="1273"/>
      <c r="AI14" s="1271" t="s">
        <v>116</v>
      </c>
      <c r="AJ14" s="1272"/>
      <c r="AK14" s="1273"/>
      <c r="AL14" s="238"/>
      <c r="AM14" s="241"/>
      <c r="AN14" s="241"/>
      <c r="AO14" s="241"/>
      <c r="AP14" s="241"/>
      <c r="AQ14" s="430"/>
      <c r="AR14" s="241"/>
      <c r="AS14" s="241"/>
      <c r="AT14" s="241"/>
      <c r="AU14" s="241"/>
      <c r="AV14" s="241"/>
      <c r="AW14" s="241"/>
      <c r="AX14" s="238"/>
      <c r="AY14" s="238"/>
      <c r="AZ14" s="238"/>
      <c r="BA14" s="238"/>
      <c r="BB14" s="238"/>
      <c r="BC14" s="238"/>
      <c r="BD14" s="238"/>
      <c r="BE14" s="238"/>
      <c r="BF14" s="239"/>
      <c r="BG14" s="239"/>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row>
    <row r="15" spans="1:94" s="240" customFormat="1" ht="14.25" customHeight="1">
      <c r="A15" s="250"/>
      <c r="B15" s="251"/>
      <c r="C15" s="251"/>
      <c r="D15" s="251"/>
      <c r="E15" s="251"/>
      <c r="F15" s="251"/>
      <c r="G15" s="251"/>
      <c r="H15" s="1302" t="s">
        <v>594</v>
      </c>
      <c r="I15" s="1283"/>
      <c r="J15" s="1303"/>
      <c r="K15" s="1302" t="s">
        <v>595</v>
      </c>
      <c r="L15" s="1283"/>
      <c r="M15" s="1303"/>
      <c r="N15" s="1302" t="s">
        <v>596</v>
      </c>
      <c r="O15" s="1283"/>
      <c r="P15" s="1303"/>
      <c r="Q15" s="1302" t="s">
        <v>597</v>
      </c>
      <c r="R15" s="1283"/>
      <c r="S15" s="1303"/>
      <c r="T15" s="1302" t="s">
        <v>734</v>
      </c>
      <c r="U15" s="1283"/>
      <c r="V15" s="1303"/>
      <c r="W15" s="1302" t="s">
        <v>599</v>
      </c>
      <c r="X15" s="1283"/>
      <c r="Y15" s="1303"/>
      <c r="Z15" s="1302" t="s">
        <v>734</v>
      </c>
      <c r="AA15" s="1283"/>
      <c r="AB15" s="1303"/>
      <c r="AC15" s="1302" t="s">
        <v>599</v>
      </c>
      <c r="AD15" s="1283"/>
      <c r="AE15" s="1303"/>
      <c r="AF15" s="1302" t="s">
        <v>734</v>
      </c>
      <c r="AG15" s="1283"/>
      <c r="AH15" s="1303"/>
      <c r="AI15" s="1302" t="s">
        <v>599</v>
      </c>
      <c r="AJ15" s="1283"/>
      <c r="AK15" s="1303"/>
      <c r="AL15" s="238"/>
      <c r="AM15" s="241"/>
      <c r="AN15" s="241"/>
      <c r="AO15" s="241"/>
      <c r="AP15" s="431" t="s">
        <v>393</v>
      </c>
      <c r="AQ15" s="432"/>
      <c r="AR15" s="433"/>
      <c r="AS15" s="431" t="s">
        <v>115</v>
      </c>
      <c r="AT15" s="432"/>
      <c r="AU15" s="433"/>
      <c r="AY15" s="238"/>
      <c r="AZ15" s="238"/>
      <c r="BA15" s="238"/>
      <c r="BB15" s="238"/>
      <c r="BC15" s="238"/>
      <c r="BD15" s="238"/>
      <c r="BE15" s="238"/>
      <c r="BF15" s="239"/>
      <c r="BG15" s="239"/>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row>
    <row r="16" spans="1:94" s="240" customFormat="1" ht="14.25" customHeight="1">
      <c r="A16" s="596" t="s">
        <v>735</v>
      </c>
      <c r="B16" s="597"/>
      <c r="C16" s="597"/>
      <c r="D16" s="597"/>
      <c r="E16" s="597"/>
      <c r="F16" s="597"/>
      <c r="G16" s="598"/>
      <c r="H16" s="1316"/>
      <c r="I16" s="1317"/>
      <c r="J16" s="1318"/>
      <c r="K16" s="1404"/>
      <c r="L16" s="1405"/>
      <c r="M16" s="1406"/>
      <c r="N16" s="1316"/>
      <c r="O16" s="1317"/>
      <c r="P16" s="1318"/>
      <c r="Q16" s="1310">
        <f>GTGs!Q15</f>
        <v>37.956295834166582</v>
      </c>
      <c r="R16" s="1311"/>
      <c r="S16" s="1312"/>
      <c r="T16" s="1313">
        <f>AR17</f>
        <v>1173.0576484964322</v>
      </c>
      <c r="U16" s="1314"/>
      <c r="V16" s="1315"/>
      <c r="W16" s="1316"/>
      <c r="X16" s="1317"/>
      <c r="Y16" s="1318"/>
      <c r="Z16" s="1313">
        <f>AU17</f>
        <v>6382.8136756423519</v>
      </c>
      <c r="AA16" s="1314"/>
      <c r="AB16" s="1315"/>
      <c r="AC16" s="1316"/>
      <c r="AD16" s="1317"/>
      <c r="AE16" s="1318"/>
      <c r="AF16" s="1319">
        <f>AR21</f>
        <v>40</v>
      </c>
      <c r="AG16" s="1320"/>
      <c r="AH16" s="1321"/>
      <c r="AI16" s="1316" t="s">
        <v>604</v>
      </c>
      <c r="AJ16" s="1317"/>
      <c r="AK16" s="1318"/>
      <c r="AL16" s="238"/>
      <c r="AM16" s="241" t="s">
        <v>605</v>
      </c>
      <c r="AN16" s="241"/>
      <c r="AO16" s="241"/>
      <c r="AP16" s="437" t="s">
        <v>386</v>
      </c>
      <c r="AQ16" s="437" t="s">
        <v>714</v>
      </c>
      <c r="AR16" s="437" t="s">
        <v>715</v>
      </c>
      <c r="AS16" s="437" t="s">
        <v>386</v>
      </c>
      <c r="AT16" s="437" t="s">
        <v>714</v>
      </c>
      <c r="AU16" s="437" t="s">
        <v>715</v>
      </c>
      <c r="AY16" s="238"/>
      <c r="AZ16" s="238"/>
      <c r="BA16" s="238"/>
      <c r="BB16" s="238"/>
      <c r="BC16" s="238"/>
      <c r="BD16" s="238"/>
      <c r="BE16" s="238"/>
      <c r="BF16" s="239"/>
      <c r="BG16" s="239"/>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row>
    <row r="17" spans="1:94" s="240" customFormat="1" ht="14.25" customHeight="1">
      <c r="A17" s="438" t="s">
        <v>736</v>
      </c>
      <c r="B17" s="439"/>
      <c r="C17" s="439"/>
      <c r="D17" s="439"/>
      <c r="E17" s="439"/>
      <c r="F17" s="439"/>
      <c r="G17" s="440"/>
      <c r="H17" s="1421">
        <v>17.98</v>
      </c>
      <c r="I17" s="1422"/>
      <c r="J17" s="1423"/>
      <c r="K17" s="1424">
        <f>CO2eEF!S12</f>
        <v>0.76100000000000001</v>
      </c>
      <c r="L17" s="1425"/>
      <c r="M17" s="1426"/>
      <c r="N17" s="1421">
        <v>0.70299999999999996</v>
      </c>
      <c r="O17" s="1427"/>
      <c r="P17" s="1428"/>
      <c r="Q17" s="1421">
        <v>2.641</v>
      </c>
      <c r="R17" s="1427"/>
      <c r="S17" s="1428"/>
      <c r="T17" s="1340">
        <f>Q17/Q16*T16</f>
        <v>81.621380105546393</v>
      </c>
      <c r="U17" s="1341"/>
      <c r="V17" s="1342"/>
      <c r="W17" s="1476">
        <f>T17/1000000/K17</f>
        <v>1.0725542720833955E-4</v>
      </c>
      <c r="X17" s="1477"/>
      <c r="Y17" s="1478"/>
      <c r="Z17" s="1340">
        <f>Q17/Q16*Z16</f>
        <v>444.11633292723769</v>
      </c>
      <c r="AA17" s="1341"/>
      <c r="AB17" s="1342"/>
      <c r="AC17" s="1476">
        <f>Z17/$K17/1000000</f>
        <v>5.835957068689063E-4</v>
      </c>
      <c r="AD17" s="1477"/>
      <c r="AE17" s="1478"/>
      <c r="AF17" s="1299">
        <f>Q17/Q16*AF16</f>
        <v>2.7832009862487039</v>
      </c>
      <c r="AG17" s="1300"/>
      <c r="AH17" s="1301"/>
      <c r="AI17" s="1473">
        <f>AF17/$K17/1000000</f>
        <v>3.6572943314700444E-6</v>
      </c>
      <c r="AJ17" s="1474"/>
      <c r="AK17" s="1475"/>
      <c r="AL17" s="238"/>
      <c r="AM17" s="441" t="s">
        <v>606</v>
      </c>
      <c r="AN17" s="241">
        <v>60</v>
      </c>
      <c r="AO17" s="241" t="s">
        <v>607</v>
      </c>
      <c r="AP17" s="442">
        <v>6.8000000000000005E-2</v>
      </c>
      <c r="AQ17" s="443">
        <f>AR5*$AP$17</f>
        <v>69.36</v>
      </c>
      <c r="AR17" s="443">
        <f>$AR$8*AQ17</f>
        <v>1173.0576484964322</v>
      </c>
      <c r="AS17" s="444">
        <v>0.37</v>
      </c>
      <c r="AT17" s="445">
        <f>AS17*AR5</f>
        <v>377.4</v>
      </c>
      <c r="AU17" s="446">
        <f>AT17*AR8</f>
        <v>6382.8136756423519</v>
      </c>
      <c r="AY17" s="238"/>
      <c r="AZ17" s="238"/>
      <c r="BA17" s="238"/>
      <c r="BB17" s="238"/>
      <c r="BC17" s="238"/>
      <c r="BD17" s="238"/>
      <c r="BE17" s="238"/>
      <c r="BF17" s="239"/>
      <c r="BG17" s="239"/>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row>
    <row r="18" spans="1:94" s="240" customFormat="1" ht="14.25" customHeight="1">
      <c r="A18" s="133"/>
      <c r="B18" s="251"/>
      <c r="C18" s="251"/>
      <c r="D18" s="251"/>
      <c r="E18" s="251"/>
      <c r="F18" s="251"/>
      <c r="G18" s="251"/>
      <c r="H18" s="1325"/>
      <c r="I18" s="1326"/>
      <c r="J18" s="1327"/>
      <c r="K18" s="1328"/>
      <c r="L18" s="1329"/>
      <c r="M18" s="1330"/>
      <c r="N18" s="1331"/>
      <c r="O18" s="1332"/>
      <c r="P18" s="1333"/>
      <c r="Q18" s="1334"/>
      <c r="R18" s="1335"/>
      <c r="S18" s="1336"/>
      <c r="T18" s="1337"/>
      <c r="U18" s="1338"/>
      <c r="V18" s="1339"/>
      <c r="W18" s="1302"/>
      <c r="X18" s="1283"/>
      <c r="Y18" s="1303"/>
      <c r="Z18" s="1337"/>
      <c r="AA18" s="1338"/>
      <c r="AB18" s="1339"/>
      <c r="AC18" s="1302"/>
      <c r="AD18" s="1283"/>
      <c r="AE18" s="1303"/>
      <c r="AF18" s="1343"/>
      <c r="AG18" s="1344"/>
      <c r="AH18" s="1345"/>
      <c r="AI18" s="1302"/>
      <c r="AJ18" s="1283"/>
      <c r="AK18" s="1303"/>
      <c r="AL18" s="238"/>
      <c r="AM18" s="441" t="s">
        <v>608</v>
      </c>
      <c r="AN18" s="447">
        <f>(AN17 - 32) * 5/9</f>
        <v>15.555555555555555</v>
      </c>
      <c r="AO18" s="241" t="s">
        <v>609</v>
      </c>
      <c r="AP18" s="444"/>
      <c r="AQ18" s="448"/>
      <c r="AR18" s="446"/>
      <c r="AS18" s="444"/>
      <c r="AT18" s="445"/>
      <c r="AU18" s="446"/>
      <c r="AY18" s="238"/>
      <c r="AZ18" s="238"/>
      <c r="BA18" s="238"/>
      <c r="BB18" s="238"/>
      <c r="BC18" s="238"/>
      <c r="BD18" s="238"/>
      <c r="BE18" s="238"/>
      <c r="BF18" s="239"/>
      <c r="BG18" s="239"/>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row>
    <row r="19" spans="1:94" s="240" customFormat="1" ht="14.25" customHeight="1">
      <c r="A19" s="279" t="s">
        <v>589</v>
      </c>
      <c r="B19" s="429"/>
      <c r="C19" s="429"/>
      <c r="D19" s="429"/>
      <c r="E19" s="429"/>
      <c r="F19" s="429"/>
      <c r="G19" s="449"/>
      <c r="H19" s="1271" t="s">
        <v>122</v>
      </c>
      <c r="I19" s="1272"/>
      <c r="J19" s="1273"/>
      <c r="K19" s="1271" t="s">
        <v>122</v>
      </c>
      <c r="L19" s="1272"/>
      <c r="M19" s="1273"/>
      <c r="N19" s="1271" t="s">
        <v>124</v>
      </c>
      <c r="O19" s="1272"/>
      <c r="P19" s="1273"/>
      <c r="Q19" s="1271" t="s">
        <v>124</v>
      </c>
      <c r="R19" s="1272"/>
      <c r="S19" s="1273"/>
      <c r="T19" s="1117" t="s">
        <v>123</v>
      </c>
      <c r="U19" s="1118"/>
      <c r="V19" s="1119"/>
      <c r="W19" s="1117" t="s">
        <v>123</v>
      </c>
      <c r="X19" s="1118"/>
      <c r="Y19" s="1119"/>
      <c r="Z19" s="1117" t="s">
        <v>716</v>
      </c>
      <c r="AA19" s="1118"/>
      <c r="AB19" s="1119"/>
      <c r="AC19" s="1117" t="s">
        <v>125</v>
      </c>
      <c r="AD19" s="1118"/>
      <c r="AE19" s="1119"/>
      <c r="AF19" s="30"/>
      <c r="AG19" s="30"/>
      <c r="AH19" s="30"/>
      <c r="AI19" s="30"/>
      <c r="AJ19" s="30"/>
      <c r="AK19" s="280"/>
      <c r="AL19" s="238"/>
      <c r="AM19" s="241"/>
      <c r="AN19" s="241"/>
      <c r="AO19" s="241"/>
      <c r="AP19" s="431" t="s">
        <v>116</v>
      </c>
      <c r="AQ19" s="432"/>
      <c r="AR19" s="433"/>
      <c r="AS19" s="431" t="s">
        <v>122</v>
      </c>
      <c r="AT19" s="432"/>
      <c r="AU19" s="433"/>
      <c r="AV19" s="238"/>
      <c r="AW19" s="238"/>
      <c r="AX19" s="238"/>
      <c r="AY19" s="238"/>
      <c r="AZ19" s="238"/>
      <c r="BA19" s="238"/>
      <c r="BB19" s="238"/>
      <c r="BC19" s="238"/>
      <c r="BD19" s="238"/>
      <c r="BE19" s="238"/>
      <c r="BF19" s="239"/>
      <c r="BG19" s="239"/>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row>
    <row r="20" spans="1:94" s="240" customFormat="1" ht="14.25" customHeight="1">
      <c r="A20" s="250"/>
      <c r="B20" s="251"/>
      <c r="C20" s="251"/>
      <c r="D20" s="251"/>
      <c r="E20" s="251"/>
      <c r="F20" s="251"/>
      <c r="G20" s="450"/>
      <c r="H20" s="1302" t="s">
        <v>734</v>
      </c>
      <c r="I20" s="1283"/>
      <c r="J20" s="1303"/>
      <c r="K20" s="1302" t="s">
        <v>599</v>
      </c>
      <c r="L20" s="1283"/>
      <c r="M20" s="1303"/>
      <c r="N20" s="1302" t="s">
        <v>734</v>
      </c>
      <c r="O20" s="1283"/>
      <c r="P20" s="1303"/>
      <c r="Q20" s="1302" t="s">
        <v>599</v>
      </c>
      <c r="R20" s="1283"/>
      <c r="S20" s="1303"/>
      <c r="T20" s="1089" t="s">
        <v>598</v>
      </c>
      <c r="U20" s="1090"/>
      <c r="V20" s="1091"/>
      <c r="W20" s="1089" t="s">
        <v>599</v>
      </c>
      <c r="X20" s="1090"/>
      <c r="Y20" s="1091"/>
      <c r="Z20" s="1089" t="s">
        <v>598</v>
      </c>
      <c r="AA20" s="1090"/>
      <c r="AB20" s="1091"/>
      <c r="AC20" s="1089" t="s">
        <v>599</v>
      </c>
      <c r="AD20" s="1090"/>
      <c r="AE20" s="1091"/>
      <c r="AF20" s="30"/>
      <c r="AG20" s="30"/>
      <c r="AH20" s="30"/>
      <c r="AI20" s="30"/>
      <c r="AJ20" s="30"/>
      <c r="AK20" s="253"/>
      <c r="AL20" s="238"/>
      <c r="AM20" s="441"/>
      <c r="AN20" s="241"/>
      <c r="AO20" s="241"/>
      <c r="AP20" s="437" t="s">
        <v>737</v>
      </c>
      <c r="AQ20" s="451" t="s">
        <v>738</v>
      </c>
      <c r="AR20" s="451" t="s">
        <v>731</v>
      </c>
      <c r="AS20" s="437" t="s">
        <v>386</v>
      </c>
      <c r="AT20" s="437" t="s">
        <v>714</v>
      </c>
      <c r="AU20" s="437" t="s">
        <v>715</v>
      </c>
      <c r="AV20" s="238"/>
      <c r="AW20" s="238"/>
      <c r="AX20" s="238"/>
      <c r="AY20" s="238"/>
      <c r="AZ20" s="238"/>
      <c r="BA20" s="238"/>
      <c r="BB20" s="238"/>
      <c r="BC20" s="238"/>
      <c r="BD20" s="238"/>
      <c r="BE20" s="238"/>
      <c r="BF20" s="239"/>
      <c r="BG20" s="239"/>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row>
    <row r="21" spans="1:94" s="240" customFormat="1" ht="14.25" customHeight="1">
      <c r="A21" s="596" t="s">
        <v>735</v>
      </c>
      <c r="B21" s="597"/>
      <c r="C21" s="597"/>
      <c r="D21" s="597"/>
      <c r="E21" s="597"/>
      <c r="F21" s="597"/>
      <c r="G21" s="598"/>
      <c r="H21" s="1313">
        <f>AU21</f>
        <v>2415.11868808089</v>
      </c>
      <c r="I21" s="1314"/>
      <c r="J21" s="1315"/>
      <c r="K21" s="1316"/>
      <c r="L21" s="1317"/>
      <c r="M21" s="1318"/>
      <c r="N21" s="1456"/>
      <c r="O21" s="1457"/>
      <c r="P21" s="1458"/>
      <c r="Q21" s="1459"/>
      <c r="R21" s="1460"/>
      <c r="S21" s="1461"/>
      <c r="T21" s="1450"/>
      <c r="U21" s="1451"/>
      <c r="V21" s="1452"/>
      <c r="W21" s="1462"/>
      <c r="X21" s="1463"/>
      <c r="Y21" s="1464"/>
      <c r="Z21" s="1450"/>
      <c r="AA21" s="1451"/>
      <c r="AB21" s="1452"/>
      <c r="AC21" s="1453"/>
      <c r="AD21" s="1454"/>
      <c r="AE21" s="1455"/>
      <c r="AF21" s="30"/>
      <c r="AG21" s="30"/>
      <c r="AH21" s="30"/>
      <c r="AI21" s="30"/>
      <c r="AJ21" s="30"/>
      <c r="AK21" s="253"/>
      <c r="AL21" s="238"/>
      <c r="AM21" s="241"/>
      <c r="AN21" s="241"/>
      <c r="AO21" s="241"/>
      <c r="AP21" s="444">
        <v>40</v>
      </c>
      <c r="AQ21" s="452">
        <f>AP21/1000000/1000/AR10</f>
        <v>4.0000000000000003E-5</v>
      </c>
      <c r="AR21" s="446">
        <f>AQ21*1000000</f>
        <v>40</v>
      </c>
      <c r="AS21" s="444">
        <v>0.14000000000000001</v>
      </c>
      <c r="AT21" s="443">
        <f>AS21*$AR$5</f>
        <v>142.80000000000001</v>
      </c>
      <c r="AU21" s="443">
        <f>$AR$8*AT21</f>
        <v>2415.11868808089</v>
      </c>
      <c r="AV21" s="238"/>
      <c r="AW21" s="238"/>
      <c r="AX21" s="238"/>
      <c r="AY21" s="238"/>
      <c r="AZ21" s="238"/>
      <c r="BA21" s="238"/>
      <c r="BB21" s="238"/>
      <c r="BC21" s="238"/>
      <c r="BD21" s="238"/>
      <c r="BE21" s="238"/>
      <c r="BF21" s="239"/>
      <c r="BG21" s="239"/>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row>
    <row r="22" spans="1:94" s="240" customFormat="1" ht="14.25" customHeight="1">
      <c r="A22" s="438" t="str">
        <f>A17</f>
        <v>Flare - Fuel Gas</v>
      </c>
      <c r="B22" s="439"/>
      <c r="C22" s="439"/>
      <c r="D22" s="439"/>
      <c r="E22" s="439"/>
      <c r="F22" s="439"/>
      <c r="G22" s="440"/>
      <c r="H22" s="1340">
        <f>Q17/Q16*H21</f>
        <v>168.04401786436023</v>
      </c>
      <c r="I22" s="1341"/>
      <c r="J22" s="1342"/>
      <c r="K22" s="1479">
        <f>H22/1000000/$K17</f>
        <v>2.2081999719364024E-4</v>
      </c>
      <c r="L22" s="1480"/>
      <c r="M22" s="1481"/>
      <c r="N22" s="1346"/>
      <c r="O22" s="1347"/>
      <c r="P22" s="1348"/>
      <c r="Q22" s="1349"/>
      <c r="R22" s="1350"/>
      <c r="S22" s="1351"/>
      <c r="T22" s="1256"/>
      <c r="U22" s="1257"/>
      <c r="V22" s="1258"/>
      <c r="W22" s="1253"/>
      <c r="X22" s="1254"/>
      <c r="Y22" s="1255"/>
      <c r="Z22" s="1250"/>
      <c r="AA22" s="1251"/>
      <c r="AB22" s="1252"/>
      <c r="AC22" s="1253"/>
      <c r="AD22" s="1254"/>
      <c r="AE22" s="1255"/>
      <c r="AF22" s="30"/>
      <c r="AG22" s="30"/>
      <c r="AH22" s="30"/>
      <c r="AI22" s="30"/>
      <c r="AJ22" s="30"/>
      <c r="AK22" s="253"/>
      <c r="AL22" s="238"/>
      <c r="AM22" s="241"/>
      <c r="AN22" s="241"/>
      <c r="AO22" s="241"/>
      <c r="AP22" s="444"/>
      <c r="AQ22" s="452"/>
      <c r="AR22" s="446"/>
      <c r="AS22" s="444"/>
      <c r="AT22" s="445"/>
      <c r="AU22" s="446"/>
      <c r="AV22" s="238"/>
      <c r="AW22" s="238"/>
      <c r="AX22" s="238"/>
      <c r="AY22" s="238"/>
      <c r="AZ22" s="238"/>
      <c r="BA22" s="238"/>
      <c r="BB22" s="238"/>
      <c r="BC22" s="238"/>
      <c r="BD22" s="238"/>
      <c r="BE22" s="238"/>
      <c r="BF22" s="239"/>
      <c r="BG22" s="239"/>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row>
    <row r="23" spans="1:94" s="240" customFormat="1" ht="14.25" customHeight="1">
      <c r="A23" s="133"/>
      <c r="B23" s="30"/>
      <c r="C23" s="30"/>
      <c r="D23" s="30"/>
      <c r="E23" s="30"/>
      <c r="F23" s="30"/>
      <c r="G23" s="253"/>
      <c r="H23" s="1352"/>
      <c r="I23" s="1353"/>
      <c r="J23" s="1354"/>
      <c r="K23" s="1355"/>
      <c r="L23" s="1356"/>
      <c r="M23" s="1357"/>
      <c r="N23" s="1358"/>
      <c r="O23" s="1359"/>
      <c r="P23" s="1360"/>
      <c r="Q23" s="1361"/>
      <c r="R23" s="1362"/>
      <c r="S23" s="1363"/>
      <c r="T23" s="1256"/>
      <c r="U23" s="1257"/>
      <c r="V23" s="1258"/>
      <c r="W23" s="1259"/>
      <c r="X23" s="1260"/>
      <c r="Y23" s="1261"/>
      <c r="Z23" s="1259"/>
      <c r="AA23" s="1260"/>
      <c r="AB23" s="1261"/>
      <c r="AC23" s="1259"/>
      <c r="AD23" s="1260"/>
      <c r="AE23" s="1261"/>
      <c r="AF23" s="30"/>
      <c r="AG23" s="30"/>
      <c r="AH23" s="30"/>
      <c r="AI23" s="30"/>
      <c r="AJ23" s="30"/>
      <c r="AK23" s="253"/>
      <c r="AL23" s="238"/>
      <c r="AM23" s="453">
        <f>X25/K17</f>
        <v>268.287341217696</v>
      </c>
      <c r="AN23" s="241"/>
      <c r="AO23" s="241"/>
      <c r="AS23" s="245"/>
      <c r="AT23" s="454"/>
      <c r="AU23" s="455"/>
      <c r="AV23" s="238"/>
      <c r="AW23" s="238"/>
      <c r="AX23" s="238"/>
      <c r="AY23" s="238"/>
      <c r="AZ23" s="238"/>
      <c r="BA23" s="238"/>
      <c r="BB23" s="238"/>
      <c r="BC23" s="238"/>
      <c r="BD23" s="238"/>
      <c r="BE23" s="238"/>
      <c r="BF23" s="239"/>
      <c r="BG23" s="239"/>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row>
    <row r="24" spans="1:94" s="240" customFormat="1" ht="14.25" customHeight="1">
      <c r="A24" s="456" t="s">
        <v>612</v>
      </c>
      <c r="B24" s="457"/>
      <c r="C24" s="457"/>
      <c r="D24" s="457"/>
      <c r="E24" s="457"/>
      <c r="F24" s="457"/>
      <c r="G24" s="457"/>
      <c r="H24" s="457"/>
      <c r="I24" s="457"/>
      <c r="J24" s="457"/>
      <c r="K24" s="457"/>
      <c r="L24" s="457"/>
      <c r="M24" s="457"/>
      <c r="N24" s="457"/>
      <c r="O24" s="457"/>
      <c r="P24" s="457"/>
      <c r="Q24" s="457"/>
      <c r="R24" s="457"/>
      <c r="S24" s="458"/>
      <c r="T24" s="459" t="s">
        <v>613</v>
      </c>
      <c r="U24" s="460"/>
      <c r="V24" s="460"/>
      <c r="W24" s="460"/>
      <c r="X24" s="460"/>
      <c r="Y24" s="460"/>
      <c r="Z24" s="460"/>
      <c r="AA24" s="460"/>
      <c r="AB24" s="460"/>
      <c r="AC24" s="460"/>
      <c r="AD24" s="460"/>
      <c r="AE24" s="460"/>
      <c r="AF24" s="460"/>
      <c r="AG24" s="460"/>
      <c r="AH24" s="460"/>
      <c r="AI24" s="460"/>
      <c r="AJ24" s="460"/>
      <c r="AK24" s="461"/>
      <c r="AL24" s="238"/>
      <c r="AM24" s="241"/>
      <c r="AN24" s="241"/>
      <c r="AO24" s="241"/>
      <c r="AP24" s="241"/>
      <c r="AQ24" s="241"/>
      <c r="AR24" s="241"/>
      <c r="AS24" s="241"/>
      <c r="AT24" s="241"/>
      <c r="AU24" s="241"/>
      <c r="AV24" s="241"/>
      <c r="AW24" s="241"/>
      <c r="AX24" s="238"/>
      <c r="AY24" s="238"/>
      <c r="AZ24" s="238"/>
      <c r="BA24" s="238"/>
      <c r="BB24" s="238"/>
      <c r="BC24" s="238"/>
      <c r="BD24" s="238"/>
      <c r="BE24" s="238"/>
      <c r="BF24" s="239"/>
      <c r="BG24" s="239"/>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row>
    <row r="25" spans="1:94" s="240" customFormat="1" ht="14.25" customHeight="1">
      <c r="A25" s="462" t="s">
        <v>614</v>
      </c>
      <c r="B25" s="463"/>
      <c r="C25" s="463"/>
      <c r="D25" s="463"/>
      <c r="E25" s="463"/>
      <c r="F25" s="463"/>
      <c r="G25" s="463"/>
      <c r="H25" s="464"/>
      <c r="I25" s="463" t="s">
        <v>590</v>
      </c>
      <c r="J25" s="463"/>
      <c r="K25" s="463"/>
      <c r="L25" s="463" t="s">
        <v>615</v>
      </c>
      <c r="M25" s="463"/>
      <c r="N25" s="463"/>
      <c r="O25" s="463"/>
      <c r="P25" s="463"/>
      <c r="Q25" s="463"/>
      <c r="R25" s="463"/>
      <c r="S25" s="465" t="s">
        <v>616</v>
      </c>
      <c r="T25" s="1433" t="s">
        <v>757</v>
      </c>
      <c r="U25" s="1434"/>
      <c r="V25" s="1434"/>
      <c r="W25" s="1434"/>
      <c r="X25" s="1296">
        <f>1789.725*1000/365.25/24</f>
        <v>204.16666666666666</v>
      </c>
      <c r="Y25" s="1296"/>
      <c r="Z25" s="1296"/>
      <c r="AA25" s="1434" t="s">
        <v>617</v>
      </c>
      <c r="AB25" s="1434"/>
      <c r="AC25" s="1435">
        <f>X25/H17</f>
        <v>11.355209492028179</v>
      </c>
      <c r="AD25" s="1435"/>
      <c r="AE25" s="1434" t="s">
        <v>618</v>
      </c>
      <c r="AF25" s="1434"/>
      <c r="AG25" s="1434"/>
      <c r="AH25" s="1429">
        <f>X25*N17/3600</f>
        <v>3.9869212962962954E-2</v>
      </c>
      <c r="AI25" s="1429"/>
      <c r="AJ25" s="466" t="s">
        <v>590</v>
      </c>
      <c r="AK25" s="467"/>
      <c r="AL25" s="238"/>
      <c r="AM25" s="254">
        <f>X25*W22</f>
        <v>0</v>
      </c>
      <c r="AN25" s="241"/>
      <c r="AO25" s="241"/>
      <c r="AP25" s="241"/>
      <c r="AQ25" s="241"/>
      <c r="AR25" s="241"/>
      <c r="AS25" s="241"/>
      <c r="AT25" s="241"/>
      <c r="AU25" s="241"/>
      <c r="AV25" s="241"/>
      <c r="AW25" s="241"/>
      <c r="AX25" s="238"/>
      <c r="AY25" s="238"/>
      <c r="AZ25" s="238"/>
      <c r="BA25" s="238"/>
      <c r="BB25" s="238"/>
      <c r="BC25" s="238"/>
      <c r="BD25" s="238"/>
      <c r="BE25" s="238"/>
      <c r="BF25" s="239"/>
      <c r="BG25" s="239"/>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row>
    <row r="26" spans="1:94" s="240" customFormat="1" ht="14.25" customHeight="1">
      <c r="A26" s="468" t="s">
        <v>619</v>
      </c>
      <c r="B26" s="469"/>
      <c r="C26" s="469"/>
      <c r="D26" s="469"/>
      <c r="E26" s="469"/>
      <c r="F26" s="469"/>
      <c r="G26" s="469"/>
      <c r="H26" s="470"/>
      <c r="I26" s="469" t="s">
        <v>590</v>
      </c>
      <c r="J26" s="469"/>
      <c r="K26" s="469"/>
      <c r="L26" s="469"/>
      <c r="M26" s="469"/>
      <c r="N26" s="469"/>
      <c r="O26" s="469"/>
      <c r="P26" s="469"/>
      <c r="Q26" s="469"/>
      <c r="R26" s="469"/>
      <c r="S26" s="471"/>
      <c r="T26" s="1430"/>
      <c r="U26" s="1431"/>
      <c r="V26" s="1431"/>
      <c r="W26" s="1431"/>
      <c r="X26" s="1432"/>
      <c r="Y26" s="1432"/>
      <c r="Z26" s="1432"/>
      <c r="AA26" s="1431"/>
      <c r="AB26" s="1431"/>
      <c r="AC26" s="1432"/>
      <c r="AD26" s="1432"/>
      <c r="AE26" s="1431"/>
      <c r="AF26" s="1431"/>
      <c r="AG26" s="1431"/>
      <c r="AH26" s="1432"/>
      <c r="AI26" s="1432"/>
      <c r="AJ26" s="469"/>
      <c r="AK26" s="471"/>
      <c r="AL26" s="238"/>
      <c r="AM26" s="254">
        <f>W22*SUM(N34:O43)</f>
        <v>0</v>
      </c>
      <c r="AN26" s="241"/>
      <c r="AO26" s="241"/>
      <c r="AP26" s="241"/>
      <c r="AQ26" s="241"/>
      <c r="AR26" s="241"/>
      <c r="AS26" s="241"/>
      <c r="AT26" s="241"/>
      <c r="AU26" s="241"/>
      <c r="AV26" s="241"/>
      <c r="AW26" s="241"/>
      <c r="AX26" s="238"/>
      <c r="AY26" s="238"/>
      <c r="AZ26" s="238"/>
      <c r="BA26" s="238"/>
      <c r="BB26" s="238"/>
      <c r="BC26" s="238"/>
      <c r="BD26" s="238"/>
      <c r="BE26" s="238"/>
      <c r="BF26" s="239"/>
      <c r="BG26" s="239"/>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row>
    <row r="27" spans="1:94" s="240" customFormat="1" ht="14.25" customHeight="1">
      <c r="A27" s="250"/>
      <c r="B27" s="251"/>
      <c r="C27" s="251"/>
      <c r="D27" s="251"/>
      <c r="E27" s="251"/>
      <c r="F27" s="251"/>
      <c r="G27" s="251"/>
      <c r="H27" s="252"/>
      <c r="I27" s="251"/>
      <c r="J27" s="251"/>
      <c r="K27" s="251"/>
      <c r="L27" s="251"/>
      <c r="M27" s="251"/>
      <c r="N27" s="251"/>
      <c r="O27" s="251"/>
      <c r="P27" s="251"/>
      <c r="Q27" s="251"/>
      <c r="R27" s="251"/>
      <c r="S27" s="251"/>
      <c r="T27" s="472"/>
      <c r="U27" s="472"/>
      <c r="V27" s="473"/>
      <c r="W27" s="473"/>
      <c r="X27" s="474"/>
      <c r="Y27" s="474"/>
      <c r="Z27" s="474"/>
      <c r="AA27" s="473"/>
      <c r="AB27" s="473"/>
      <c r="AC27" s="474"/>
      <c r="AD27" s="474"/>
      <c r="AE27" s="473"/>
      <c r="AF27" s="473"/>
      <c r="AG27" s="473"/>
      <c r="AH27" s="474"/>
      <c r="AI27" s="474"/>
      <c r="AJ27" s="30"/>
      <c r="AK27" s="253"/>
      <c r="AL27" s="238"/>
      <c r="AM27" s="254"/>
      <c r="AN27" s="241"/>
      <c r="AO27" s="241"/>
      <c r="AP27" s="241"/>
      <c r="AQ27" s="241"/>
      <c r="AR27" s="241"/>
      <c r="AS27" s="241"/>
      <c r="AT27" s="241"/>
      <c r="AU27" s="241"/>
      <c r="AV27" s="241"/>
      <c r="AW27" s="241"/>
      <c r="AX27" s="238"/>
      <c r="AY27" s="238"/>
      <c r="AZ27" s="238"/>
      <c r="BA27" s="238"/>
      <c r="BB27" s="238"/>
      <c r="BC27" s="238"/>
      <c r="BD27" s="238"/>
      <c r="BE27" s="238"/>
      <c r="BF27" s="239"/>
      <c r="BG27" s="239"/>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row>
    <row r="28" spans="1:94" s="240" customFormat="1" ht="14.25" customHeight="1">
      <c r="A28" s="1370" t="s">
        <v>718</v>
      </c>
      <c r="B28" s="1370"/>
      <c r="C28" s="1370"/>
      <c r="D28" s="1370"/>
      <c r="E28" s="1370"/>
      <c r="F28" s="1371" t="str">
        <f>A17</f>
        <v>Flare - Fuel Gas</v>
      </c>
      <c r="G28" s="1372"/>
      <c r="H28" s="1372"/>
      <c r="I28" s="1372"/>
      <c r="J28" s="1372"/>
      <c r="K28" s="1372"/>
      <c r="L28" s="1372"/>
      <c r="M28" s="1372"/>
      <c r="N28" s="1372"/>
      <c r="O28" s="1372"/>
      <c r="P28" s="1372"/>
      <c r="Q28" s="1372"/>
      <c r="R28" s="1372"/>
      <c r="S28" s="1372"/>
      <c r="T28" s="1372"/>
      <c r="U28" s="1373"/>
      <c r="V28" s="30"/>
      <c r="W28" s="1402" t="s">
        <v>770</v>
      </c>
      <c r="X28" s="1184"/>
      <c r="Y28" s="1184"/>
      <c r="Z28" s="1184"/>
      <c r="AA28" s="1184"/>
      <c r="AB28" s="1184"/>
      <c r="AC28" s="1184"/>
      <c r="AD28" s="1184"/>
      <c r="AE28" s="1184"/>
      <c r="AF28" s="1184"/>
      <c r="AG28" s="1184"/>
      <c r="AH28" s="1184"/>
      <c r="AI28" s="1184"/>
      <c r="AJ28" s="1184"/>
      <c r="AK28" s="253"/>
      <c r="AL28" s="255"/>
      <c r="AM28" s="241"/>
      <c r="AN28" s="241"/>
      <c r="AO28" s="241"/>
      <c r="AP28" s="241"/>
      <c r="AQ28" s="241"/>
      <c r="AR28" s="241"/>
      <c r="AS28" s="241"/>
      <c r="AT28" s="241"/>
      <c r="AU28" s="241"/>
      <c r="AV28" s="241"/>
      <c r="AW28" s="241"/>
      <c r="AX28" s="241"/>
      <c r="AY28" s="241"/>
      <c r="AZ28" s="238"/>
      <c r="BA28" s="238"/>
      <c r="BB28" s="238"/>
      <c r="BC28" s="238"/>
      <c r="BD28" s="238"/>
      <c r="BE28" s="238"/>
      <c r="BF28" s="239"/>
      <c r="BG28" s="239"/>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38"/>
      <c r="CN28" s="238"/>
      <c r="CO28" s="238"/>
      <c r="CP28" s="238"/>
    </row>
    <row r="29" spans="1:94" s="240" customFormat="1" ht="14.25" customHeight="1">
      <c r="A29" s="256" t="s">
        <v>620</v>
      </c>
      <c r="B29" s="30"/>
      <c r="C29" s="30"/>
      <c r="D29" s="30"/>
      <c r="E29" s="30"/>
      <c r="F29" s="1374"/>
      <c r="G29" s="1374"/>
      <c r="H29" s="1374"/>
      <c r="I29" s="1374"/>
      <c r="J29" s="1375" t="s">
        <v>120</v>
      </c>
      <c r="K29" s="1375"/>
      <c r="L29" s="1375"/>
      <c r="M29" s="1375"/>
      <c r="N29" s="1374" t="s">
        <v>621</v>
      </c>
      <c r="O29" s="1374"/>
      <c r="P29" s="1375" t="s">
        <v>622</v>
      </c>
      <c r="Q29" s="1375"/>
      <c r="R29" s="1375"/>
      <c r="S29" s="1375"/>
      <c r="T29" s="1375"/>
      <c r="U29" s="1375"/>
      <c r="V29" s="257"/>
      <c r="W29" s="1184"/>
      <c r="X29" s="1184"/>
      <c r="Y29" s="1184"/>
      <c r="Z29" s="1184"/>
      <c r="AA29" s="1184"/>
      <c r="AB29" s="1184"/>
      <c r="AC29" s="1184"/>
      <c r="AD29" s="1184"/>
      <c r="AE29" s="1184"/>
      <c r="AF29" s="1184"/>
      <c r="AG29" s="1184"/>
      <c r="AH29" s="1184"/>
      <c r="AI29" s="1184"/>
      <c r="AJ29" s="1184"/>
      <c r="AK29" s="253"/>
      <c r="AL29" s="255"/>
      <c r="AM29" s="241"/>
      <c r="AN29" s="241"/>
      <c r="AO29" s="241"/>
      <c r="AP29" s="241"/>
      <c r="AQ29" s="241"/>
      <c r="AR29" s="241"/>
      <c r="AS29" s="241"/>
      <c r="AT29" s="241"/>
      <c r="AU29" s="241"/>
      <c r="AV29" s="241"/>
      <c r="AW29" s="241"/>
      <c r="AX29" s="241"/>
      <c r="AY29" s="241"/>
      <c r="AZ29" s="238"/>
      <c r="BA29" s="238"/>
      <c r="BB29" s="238"/>
      <c r="BC29" s="238"/>
      <c r="BD29" s="238"/>
      <c r="BE29" s="238"/>
      <c r="BF29" s="239"/>
      <c r="BG29" s="239"/>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row>
    <row r="30" spans="1:94" s="240" customFormat="1" ht="14.25" customHeight="1">
      <c r="A30" s="133"/>
      <c r="B30" s="30"/>
      <c r="C30" s="30"/>
      <c r="D30" s="30"/>
      <c r="E30" s="30"/>
      <c r="F30" s="1374"/>
      <c r="G30" s="1374"/>
      <c r="H30" s="1374"/>
      <c r="I30" s="1374"/>
      <c r="J30" s="1375" t="s">
        <v>624</v>
      </c>
      <c r="K30" s="1375"/>
      <c r="L30" s="1375" t="s">
        <v>625</v>
      </c>
      <c r="M30" s="1375"/>
      <c r="N30" s="1374"/>
      <c r="O30" s="1374"/>
      <c r="P30" s="1375"/>
      <c r="Q30" s="1375"/>
      <c r="R30" s="1375"/>
      <c r="S30" s="1375"/>
      <c r="T30" s="1375"/>
      <c r="U30" s="1375"/>
      <c r="V30" s="257"/>
      <c r="W30" s="1184"/>
      <c r="X30" s="1184"/>
      <c r="Y30" s="1184"/>
      <c r="Z30" s="1184"/>
      <c r="AA30" s="1184"/>
      <c r="AB30" s="1184"/>
      <c r="AC30" s="1184"/>
      <c r="AD30" s="1184"/>
      <c r="AE30" s="1184"/>
      <c r="AF30" s="1184"/>
      <c r="AG30" s="1184"/>
      <c r="AH30" s="1184"/>
      <c r="AI30" s="1184"/>
      <c r="AJ30" s="1184"/>
      <c r="AK30" s="253"/>
      <c r="AL30" s="258"/>
      <c r="AM30" s="259" t="s">
        <v>740</v>
      </c>
      <c r="AN30" s="259"/>
      <c r="AO30" s="259"/>
      <c r="AP30" s="259"/>
      <c r="AQ30" s="259"/>
      <c r="AR30" s="259"/>
      <c r="AS30" s="259" t="s">
        <v>741</v>
      </c>
      <c r="AT30" s="259"/>
      <c r="AU30" s="259" t="s">
        <v>742</v>
      </c>
      <c r="AV30" s="259"/>
      <c r="AW30" s="259"/>
      <c r="AX30" s="259"/>
      <c r="AY30" s="258"/>
      <c r="AZ30" s="238"/>
      <c r="BA30" s="238"/>
      <c r="BB30" s="238"/>
      <c r="BC30" s="238"/>
      <c r="BD30" s="238"/>
      <c r="BE30" s="238"/>
      <c r="BF30" s="239"/>
      <c r="BG30" s="239"/>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row>
    <row r="31" spans="1:94" s="240" customFormat="1" ht="14.25" customHeight="1">
      <c r="A31" s="1376" t="s">
        <v>630</v>
      </c>
      <c r="B31" s="1376"/>
      <c r="C31" s="1376"/>
      <c r="D31" s="1376"/>
      <c r="E31" s="1376"/>
      <c r="F31" s="1375" t="s">
        <v>631</v>
      </c>
      <c r="G31" s="1375"/>
      <c r="H31" s="1375" t="s">
        <v>618</v>
      </c>
      <c r="I31" s="1375"/>
      <c r="J31" s="1373" t="s">
        <v>618</v>
      </c>
      <c r="K31" s="1375"/>
      <c r="L31" s="1375" t="s">
        <v>618</v>
      </c>
      <c r="M31" s="1375"/>
      <c r="N31" s="1375" t="s">
        <v>617</v>
      </c>
      <c r="O31" s="1375"/>
      <c r="P31" s="1375" t="s">
        <v>631</v>
      </c>
      <c r="Q31" s="1375"/>
      <c r="R31" s="1371" t="s">
        <v>618</v>
      </c>
      <c r="S31" s="1373"/>
      <c r="T31" s="1371" t="s">
        <v>617</v>
      </c>
      <c r="U31" s="1373"/>
      <c r="V31" s="30"/>
      <c r="W31" s="1184"/>
      <c r="X31" s="1184"/>
      <c r="Y31" s="1184"/>
      <c r="Z31" s="1184"/>
      <c r="AA31" s="1184"/>
      <c r="AB31" s="1184"/>
      <c r="AC31" s="1184"/>
      <c r="AD31" s="1184"/>
      <c r="AE31" s="1184"/>
      <c r="AF31" s="1184"/>
      <c r="AG31" s="1184"/>
      <c r="AH31" s="1184"/>
      <c r="AI31" s="1184"/>
      <c r="AJ31" s="1184"/>
      <c r="AK31" s="253"/>
      <c r="AL31" s="258"/>
      <c r="AM31" s="259" t="s">
        <v>633</v>
      </c>
      <c r="AN31" s="259" t="s">
        <v>634</v>
      </c>
      <c r="AO31" s="259" t="s">
        <v>635</v>
      </c>
      <c r="AP31" s="259" t="s">
        <v>636</v>
      </c>
      <c r="AQ31" s="259" t="s">
        <v>637</v>
      </c>
      <c r="AR31" s="259" t="s">
        <v>590</v>
      </c>
      <c r="AS31" s="259" t="s">
        <v>428</v>
      </c>
      <c r="AT31" s="259" t="s">
        <v>429</v>
      </c>
      <c r="AU31" s="259" t="s">
        <v>126</v>
      </c>
      <c r="AV31" s="259" t="s">
        <v>431</v>
      </c>
      <c r="AW31" s="259" t="s">
        <v>429</v>
      </c>
      <c r="AX31" s="259" t="s">
        <v>124</v>
      </c>
      <c r="AY31" s="258"/>
      <c r="AZ31" s="238"/>
      <c r="BA31" s="238"/>
      <c r="BB31" s="238"/>
      <c r="BC31" s="238"/>
      <c r="BD31" s="238"/>
      <c r="BE31" s="238"/>
      <c r="BF31" s="239" t="s">
        <v>128</v>
      </c>
      <c r="BG31" s="239" t="s">
        <v>743</v>
      </c>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row>
    <row r="32" spans="1:94" s="240" customFormat="1" ht="14.25" customHeight="1">
      <c r="A32" s="260" t="s">
        <v>638</v>
      </c>
      <c r="B32" s="261"/>
      <c r="C32" s="261"/>
      <c r="D32" s="261"/>
      <c r="E32" s="262"/>
      <c r="F32" s="1377">
        <f>0</f>
        <v>0</v>
      </c>
      <c r="G32" s="1378"/>
      <c r="H32" s="1379">
        <f t="shared" ref="H32:H52" si="0">F32*$AC$25</f>
        <v>0</v>
      </c>
      <c r="I32" s="1381"/>
      <c r="J32" s="1380"/>
      <c r="K32" s="1380"/>
      <c r="L32" s="1379"/>
      <c r="M32" s="1380"/>
      <c r="N32" s="1379">
        <f t="shared" ref="N32:N52" si="1">SUM(H32,J32,L32)*AR32</f>
        <v>0</v>
      </c>
      <c r="O32" s="1380"/>
      <c r="P32" s="1379"/>
      <c r="Q32" s="1381"/>
      <c r="R32" s="1379"/>
      <c r="S32" s="1380"/>
      <c r="T32" s="1379"/>
      <c r="U32" s="1381"/>
      <c r="V32" s="263"/>
      <c r="W32" s="263"/>
      <c r="X32" s="263"/>
      <c r="Y32" s="263"/>
      <c r="Z32" s="263"/>
      <c r="AA32" s="263"/>
      <c r="AB32" s="263"/>
      <c r="AC32" s="263"/>
      <c r="AD32" s="263"/>
      <c r="AE32" s="263"/>
      <c r="AF32" s="263"/>
      <c r="AG32" s="263"/>
      <c r="AH32" s="263"/>
      <c r="AI32" s="263"/>
      <c r="AJ32" s="263"/>
      <c r="AK32" s="264"/>
      <c r="AL32" s="258"/>
      <c r="AM32" s="259"/>
      <c r="AN32" s="259">
        <v>2</v>
      </c>
      <c r="AO32" s="259"/>
      <c r="AP32" s="259"/>
      <c r="AQ32" s="259"/>
      <c r="AR32" s="265">
        <f>AM32*12.01+AN32*1.008+AO32*16+AP32*14+AQ32*32</f>
        <v>2.016</v>
      </c>
      <c r="AS32" s="259">
        <f>AM32*1+AN32*0.25+AQ32*1</f>
        <v>0.5</v>
      </c>
      <c r="AT32" s="266">
        <f>0.79/0.21*AS32</f>
        <v>1.8809523809523812</v>
      </c>
      <c r="AU32" s="259">
        <f>1*AM32</f>
        <v>0</v>
      </c>
      <c r="AV32" s="259">
        <f>AN32/2</f>
        <v>1</v>
      </c>
      <c r="AW32" s="266">
        <f>AP32*0.5+AT32</f>
        <v>1.8809523809523812</v>
      </c>
      <c r="AX32" s="259">
        <f>AQ32*1</f>
        <v>0</v>
      </c>
      <c r="AY32" s="258"/>
      <c r="AZ32" s="238"/>
      <c r="BA32" s="238"/>
      <c r="BB32" s="238"/>
      <c r="BC32" s="238"/>
      <c r="BD32" s="238"/>
      <c r="BE32" s="239" t="s">
        <v>639</v>
      </c>
      <c r="BF32" s="239">
        <v>1.4200000000000001E-2</v>
      </c>
      <c r="BG32" s="239">
        <v>2.9999999999999997E-4</v>
      </c>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row>
    <row r="33" spans="1:94" s="240" customFormat="1" ht="14.25" customHeight="1">
      <c r="A33" s="267" t="s">
        <v>122</v>
      </c>
      <c r="B33" s="268"/>
      <c r="C33" s="268"/>
      <c r="D33" s="268"/>
      <c r="E33" s="269"/>
      <c r="F33" s="1377">
        <f>CO2eEF!T26</f>
        <v>98.14</v>
      </c>
      <c r="G33" s="1378"/>
      <c r="H33" s="1299">
        <f>F33*$AC$25</f>
        <v>1114.4002595476454</v>
      </c>
      <c r="I33" s="1301"/>
      <c r="J33" s="1300"/>
      <c r="K33" s="1300"/>
      <c r="L33" s="1299"/>
      <c r="M33" s="1300"/>
      <c r="N33" s="1299">
        <f t="shared" si="1"/>
        <v>17877.208963663328</v>
      </c>
      <c r="O33" s="1301"/>
      <c r="P33" s="1299">
        <f>R33/$R$53</f>
        <v>2.3920436960497024E-7</v>
      </c>
      <c r="Q33" s="1301"/>
      <c r="R33" s="1299">
        <f>T33/$AR33</f>
        <v>2.8103779304555674E-3</v>
      </c>
      <c r="S33" s="1300"/>
      <c r="T33" s="1299">
        <f>$K22*$X25</f>
        <v>4.5084082760368217E-2</v>
      </c>
      <c r="U33" s="1301"/>
      <c r="V33" s="263"/>
      <c r="W33" s="263"/>
      <c r="X33" s="263"/>
      <c r="Y33" s="263"/>
      <c r="Z33" s="263"/>
      <c r="AA33" s="263"/>
      <c r="AB33" s="263"/>
      <c r="AC33" s="263"/>
      <c r="AD33" s="263"/>
      <c r="AE33" s="263"/>
      <c r="AF33" s="263"/>
      <c r="AG33" s="263"/>
      <c r="AH33" s="263"/>
      <c r="AI33" s="263"/>
      <c r="AJ33" s="263"/>
      <c r="AK33" s="264"/>
      <c r="AL33" s="258"/>
      <c r="AM33" s="259">
        <v>1</v>
      </c>
      <c r="AN33" s="259">
        <v>4</v>
      </c>
      <c r="AO33" s="259"/>
      <c r="AP33" s="259"/>
      <c r="AQ33" s="259"/>
      <c r="AR33" s="265">
        <f t="shared" ref="AR33:AR48" si="2">AM33*12.01+AN33*1.008+AO33*16+AP33*14+AQ33*32</f>
        <v>16.042000000000002</v>
      </c>
      <c r="AS33" s="259">
        <f t="shared" ref="AS33:AS47" si="3">AM33*1+AN33*0.25+AQ33*1</f>
        <v>2</v>
      </c>
      <c r="AT33" s="266">
        <f t="shared" ref="AT33:AT47" si="4">0.79/0.21*AS33</f>
        <v>7.5238095238095246</v>
      </c>
      <c r="AU33" s="259">
        <f t="shared" ref="AU33:AU47" si="5">1*AM33</f>
        <v>1</v>
      </c>
      <c r="AV33" s="259">
        <f t="shared" ref="AV33:AV47" si="6">AN33/2</f>
        <v>2</v>
      </c>
      <c r="AW33" s="266">
        <f t="shared" ref="AW33:AW47" si="7">AP33*0.5+AT33</f>
        <v>7.5238095238095246</v>
      </c>
      <c r="AX33" s="259">
        <f t="shared" ref="AX33:AX47" si="8">AQ33*1</f>
        <v>0</v>
      </c>
      <c r="AY33" s="258"/>
      <c r="AZ33" s="238"/>
      <c r="BA33" s="238"/>
      <c r="BB33" s="238"/>
      <c r="BC33" s="238"/>
      <c r="BD33" s="238"/>
      <c r="BE33" s="239" t="s">
        <v>126</v>
      </c>
      <c r="BF33" s="239">
        <v>9.5999999999999992E-3</v>
      </c>
      <c r="BG33" s="239">
        <v>0.77539999999999998</v>
      </c>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row>
    <row r="34" spans="1:94" s="240" customFormat="1" ht="14.25" customHeight="1">
      <c r="A34" s="267" t="s">
        <v>641</v>
      </c>
      <c r="B34" s="268"/>
      <c r="C34" s="268"/>
      <c r="D34" s="268"/>
      <c r="E34" s="269"/>
      <c r="F34" s="1377">
        <f>CO2eEF!T27</f>
        <v>0</v>
      </c>
      <c r="G34" s="1378"/>
      <c r="H34" s="1299">
        <f t="shared" si="0"/>
        <v>0</v>
      </c>
      <c r="I34" s="1301"/>
      <c r="J34" s="1300"/>
      <c r="K34" s="1300"/>
      <c r="L34" s="1299"/>
      <c r="M34" s="1300"/>
      <c r="N34" s="1299">
        <f t="shared" si="1"/>
        <v>0</v>
      </c>
      <c r="O34" s="1301"/>
      <c r="P34" s="1299"/>
      <c r="Q34" s="1301"/>
      <c r="R34" s="1300"/>
      <c r="S34" s="1300"/>
      <c r="T34" s="1299"/>
      <c r="U34" s="1301"/>
      <c r="V34" s="263"/>
      <c r="W34" s="263"/>
      <c r="X34" s="270">
        <f>AH25</f>
        <v>3.9869212962962954E-2</v>
      </c>
      <c r="Y34" s="31" t="s">
        <v>590</v>
      </c>
      <c r="Z34" s="270"/>
      <c r="AA34" s="263"/>
      <c r="AB34" s="263"/>
      <c r="AC34" s="263"/>
      <c r="AD34" s="263"/>
      <c r="AE34" s="263"/>
      <c r="AF34" s="263"/>
      <c r="AG34" s="263"/>
      <c r="AH34" s="263"/>
      <c r="AI34" s="263"/>
      <c r="AJ34" s="263"/>
      <c r="AK34" s="264"/>
      <c r="AL34" s="258"/>
      <c r="AM34" s="259">
        <v>2</v>
      </c>
      <c r="AN34" s="259">
        <v>4</v>
      </c>
      <c r="AO34" s="259"/>
      <c r="AP34" s="259"/>
      <c r="AQ34" s="259"/>
      <c r="AR34" s="265">
        <f t="shared" si="2"/>
        <v>28.052</v>
      </c>
      <c r="AS34" s="259">
        <f t="shared" si="3"/>
        <v>3</v>
      </c>
      <c r="AT34" s="266">
        <f t="shared" si="4"/>
        <v>11.285714285714286</v>
      </c>
      <c r="AU34" s="259">
        <f t="shared" si="5"/>
        <v>2</v>
      </c>
      <c r="AV34" s="259">
        <f t="shared" si="6"/>
        <v>2</v>
      </c>
      <c r="AW34" s="266">
        <f t="shared" si="7"/>
        <v>11.285714285714286</v>
      </c>
      <c r="AX34" s="259">
        <f t="shared" si="8"/>
        <v>0</v>
      </c>
      <c r="AY34" s="258"/>
      <c r="AZ34" s="238"/>
      <c r="BA34" s="238"/>
      <c r="BB34" s="238"/>
      <c r="BC34" s="238"/>
      <c r="BD34" s="238"/>
      <c r="BE34" s="239" t="s">
        <v>642</v>
      </c>
      <c r="BF34" s="239">
        <v>0.60499999999999998</v>
      </c>
      <c r="BG34" s="239">
        <v>1.43E-2</v>
      </c>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38"/>
      <c r="CN34" s="238"/>
      <c r="CO34" s="238"/>
      <c r="CP34" s="238"/>
    </row>
    <row r="35" spans="1:94" s="240" customFormat="1" ht="14.25" customHeight="1">
      <c r="A35" s="267" t="s">
        <v>643</v>
      </c>
      <c r="B35" s="268"/>
      <c r="C35" s="268"/>
      <c r="D35" s="268"/>
      <c r="E35" s="269"/>
      <c r="F35" s="1377">
        <f>CO2eEF!T28</f>
        <v>0</v>
      </c>
      <c r="G35" s="1378"/>
      <c r="H35" s="1299">
        <f t="shared" si="0"/>
        <v>0</v>
      </c>
      <c r="I35" s="1301"/>
      <c r="J35" s="1300"/>
      <c r="K35" s="1300"/>
      <c r="L35" s="1299"/>
      <c r="M35" s="1300"/>
      <c r="N35" s="1299">
        <f t="shared" si="1"/>
        <v>0</v>
      </c>
      <c r="O35" s="1301"/>
      <c r="P35" s="1299">
        <f>R35/$R$53</f>
        <v>0</v>
      </c>
      <c r="Q35" s="1301"/>
      <c r="R35" s="1300">
        <f>T35/$AR35</f>
        <v>0</v>
      </c>
      <c r="S35" s="1300"/>
      <c r="T35" s="1299">
        <f>$Q$22*N35</f>
        <v>0</v>
      </c>
      <c r="U35" s="1301"/>
      <c r="V35" s="263"/>
      <c r="W35" s="263"/>
      <c r="X35" s="31">
        <f>365*24</f>
        <v>8760</v>
      </c>
      <c r="Y35" s="31" t="s">
        <v>623</v>
      </c>
      <c r="Z35" s="270"/>
      <c r="AA35" s="263"/>
      <c r="AB35" s="263"/>
      <c r="AC35" s="263"/>
      <c r="AD35" s="263"/>
      <c r="AE35" s="263"/>
      <c r="AF35" s="263"/>
      <c r="AG35" s="263"/>
      <c r="AH35" s="263"/>
      <c r="AI35" s="263"/>
      <c r="AJ35" s="263"/>
      <c r="AK35" s="264"/>
      <c r="AL35" s="258"/>
      <c r="AM35" s="259">
        <v>2</v>
      </c>
      <c r="AN35" s="259">
        <v>6</v>
      </c>
      <c r="AO35" s="259"/>
      <c r="AP35" s="259"/>
      <c r="AQ35" s="259"/>
      <c r="AR35" s="265">
        <f t="shared" si="2"/>
        <v>30.067999999999998</v>
      </c>
      <c r="AS35" s="259">
        <f t="shared" si="3"/>
        <v>3.5</v>
      </c>
      <c r="AT35" s="266">
        <f t="shared" si="4"/>
        <v>13.166666666666668</v>
      </c>
      <c r="AU35" s="259">
        <f t="shared" si="5"/>
        <v>2</v>
      </c>
      <c r="AV35" s="259">
        <f t="shared" si="6"/>
        <v>3</v>
      </c>
      <c r="AW35" s="266">
        <f t="shared" si="7"/>
        <v>13.166666666666668</v>
      </c>
      <c r="AX35" s="259">
        <f t="shared" si="8"/>
        <v>0</v>
      </c>
      <c r="AY35" s="258"/>
      <c r="AZ35" s="238"/>
      <c r="BA35" s="238"/>
      <c r="BB35" s="238"/>
      <c r="BC35" s="238"/>
      <c r="BD35" s="238"/>
      <c r="BE35" s="239" t="s">
        <v>644</v>
      </c>
      <c r="BF35" s="239">
        <v>0.17519999999999999</v>
      </c>
      <c r="BG35" s="239">
        <v>1.9E-3</v>
      </c>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row>
    <row r="36" spans="1:94" s="240" customFormat="1" ht="14.25" customHeight="1">
      <c r="A36" s="267" t="s">
        <v>418</v>
      </c>
      <c r="B36" s="268"/>
      <c r="C36" s="268"/>
      <c r="D36" s="268"/>
      <c r="E36" s="269"/>
      <c r="F36" s="1377">
        <f>0</f>
        <v>0</v>
      </c>
      <c r="G36" s="1378"/>
      <c r="H36" s="1299">
        <f t="shared" si="0"/>
        <v>0</v>
      </c>
      <c r="I36" s="1301"/>
      <c r="J36" s="1300"/>
      <c r="K36" s="1300"/>
      <c r="L36" s="1299"/>
      <c r="M36" s="1300"/>
      <c r="N36" s="1299">
        <f t="shared" si="1"/>
        <v>0</v>
      </c>
      <c r="O36" s="1301"/>
      <c r="P36" s="1299"/>
      <c r="Q36" s="1301"/>
      <c r="R36" s="1300"/>
      <c r="S36" s="1300"/>
      <c r="T36" s="1299"/>
      <c r="U36" s="1301"/>
      <c r="V36" s="263"/>
      <c r="W36" s="263"/>
      <c r="X36" s="272">
        <f>X34*X35</f>
        <v>349.25430555555545</v>
      </c>
      <c r="Y36" s="31" t="s">
        <v>626</v>
      </c>
      <c r="Z36" s="270"/>
      <c r="AA36" s="263"/>
      <c r="AB36" s="263"/>
      <c r="AC36" s="263"/>
      <c r="AD36" s="263"/>
      <c r="AE36" s="263"/>
      <c r="AF36" s="263"/>
      <c r="AG36" s="263"/>
      <c r="AH36" s="263"/>
      <c r="AI36" s="263"/>
      <c r="AJ36" s="263"/>
      <c r="AK36" s="264"/>
      <c r="AL36" s="258"/>
      <c r="AM36" s="259">
        <v>3</v>
      </c>
      <c r="AN36" s="259">
        <v>6</v>
      </c>
      <c r="AO36" s="259"/>
      <c r="AP36" s="259"/>
      <c r="AQ36" s="259"/>
      <c r="AR36" s="265">
        <f t="shared" si="2"/>
        <v>42.078000000000003</v>
      </c>
      <c r="AS36" s="259">
        <f t="shared" si="3"/>
        <v>4.5</v>
      </c>
      <c r="AT36" s="266">
        <f t="shared" si="4"/>
        <v>16.928571428571431</v>
      </c>
      <c r="AU36" s="259">
        <f t="shared" si="5"/>
        <v>3</v>
      </c>
      <c r="AV36" s="259">
        <f t="shared" si="6"/>
        <v>3</v>
      </c>
      <c r="AW36" s="266">
        <f t="shared" si="7"/>
        <v>16.928571428571431</v>
      </c>
      <c r="AX36" s="259">
        <f t="shared" si="8"/>
        <v>0</v>
      </c>
      <c r="AY36" s="258"/>
      <c r="AZ36" s="238"/>
      <c r="BA36" s="238"/>
      <c r="BB36" s="238"/>
      <c r="BC36" s="238"/>
      <c r="BD36" s="238"/>
      <c r="BE36" s="239" t="s">
        <v>645</v>
      </c>
      <c r="BF36" s="239">
        <v>0.1139</v>
      </c>
      <c r="BG36" s="239">
        <v>3.5999999999999999E-3</v>
      </c>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row>
    <row r="37" spans="1:94" s="240" customFormat="1" ht="14.25" customHeight="1">
      <c r="A37" s="267" t="s">
        <v>419</v>
      </c>
      <c r="B37" s="268"/>
      <c r="C37" s="268"/>
      <c r="D37" s="268"/>
      <c r="E37" s="269"/>
      <c r="F37" s="1377">
        <f>0</f>
        <v>0</v>
      </c>
      <c r="G37" s="1378"/>
      <c r="H37" s="1299">
        <f t="shared" si="0"/>
        <v>0</v>
      </c>
      <c r="I37" s="1301"/>
      <c r="J37" s="1300"/>
      <c r="K37" s="1300"/>
      <c r="L37" s="1299"/>
      <c r="M37" s="1300"/>
      <c r="N37" s="1299">
        <f t="shared" si="1"/>
        <v>0</v>
      </c>
      <c r="O37" s="1301"/>
      <c r="P37" s="1299">
        <f>R37/$R$53</f>
        <v>0</v>
      </c>
      <c r="Q37" s="1301"/>
      <c r="R37" s="1300">
        <f>T37/$AR37</f>
        <v>0</v>
      </c>
      <c r="S37" s="1300"/>
      <c r="T37" s="1299">
        <f>$Q$22*N37</f>
        <v>0</v>
      </c>
      <c r="U37" s="1301"/>
      <c r="V37" s="263"/>
      <c r="W37" s="263"/>
      <c r="X37" s="272">
        <f>X36*3600/1000</f>
        <v>1257.3154999999995</v>
      </c>
      <c r="Y37" s="31" t="s">
        <v>632</v>
      </c>
      <c r="Z37" s="270"/>
      <c r="AA37" s="263"/>
      <c r="AB37" s="263"/>
      <c r="AC37" s="263"/>
      <c r="AD37" s="263"/>
      <c r="AE37" s="263"/>
      <c r="AF37" s="263"/>
      <c r="AG37" s="263"/>
      <c r="AH37" s="263"/>
      <c r="AI37" s="263"/>
      <c r="AJ37" s="263"/>
      <c r="AK37" s="264"/>
      <c r="AL37" s="258"/>
      <c r="AM37" s="259">
        <v>3</v>
      </c>
      <c r="AN37" s="259">
        <v>8</v>
      </c>
      <c r="AO37" s="259"/>
      <c r="AP37" s="259"/>
      <c r="AQ37" s="259"/>
      <c r="AR37" s="265">
        <f t="shared" si="2"/>
        <v>44.094000000000001</v>
      </c>
      <c r="AS37" s="259">
        <f t="shared" si="3"/>
        <v>5</v>
      </c>
      <c r="AT37" s="266">
        <f t="shared" si="4"/>
        <v>18.80952380952381</v>
      </c>
      <c r="AU37" s="259">
        <f t="shared" si="5"/>
        <v>3</v>
      </c>
      <c r="AV37" s="259">
        <f t="shared" si="6"/>
        <v>4</v>
      </c>
      <c r="AW37" s="266">
        <f t="shared" si="7"/>
        <v>18.80952380952381</v>
      </c>
      <c r="AX37" s="259">
        <f t="shared" si="8"/>
        <v>0</v>
      </c>
      <c r="AY37" s="258"/>
      <c r="AZ37" s="238"/>
      <c r="BA37" s="238"/>
      <c r="BB37" s="238"/>
      <c r="BC37" s="238"/>
      <c r="BD37" s="238"/>
      <c r="BE37" s="239" t="s">
        <v>646</v>
      </c>
      <c r="BF37" s="239">
        <v>1.7100000000000001E-2</v>
      </c>
      <c r="BG37" s="239">
        <v>1E-3</v>
      </c>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row>
    <row r="38" spans="1:94" s="240" customFormat="1" ht="14.25" customHeight="1">
      <c r="A38" s="267" t="s">
        <v>420</v>
      </c>
      <c r="B38" s="268"/>
      <c r="C38" s="268"/>
      <c r="D38" s="268"/>
      <c r="E38" s="269"/>
      <c r="F38" s="1377">
        <f>CO2eEF!T29</f>
        <v>0</v>
      </c>
      <c r="G38" s="1378"/>
      <c r="H38" s="1299">
        <f t="shared" si="0"/>
        <v>0</v>
      </c>
      <c r="I38" s="1301"/>
      <c r="J38" s="1300"/>
      <c r="K38" s="1300"/>
      <c r="L38" s="1299"/>
      <c r="M38" s="1300"/>
      <c r="N38" s="1299">
        <f t="shared" si="1"/>
        <v>0</v>
      </c>
      <c r="O38" s="1301"/>
      <c r="P38" s="1299"/>
      <c r="Q38" s="1301"/>
      <c r="R38" s="1300"/>
      <c r="S38" s="1300"/>
      <c r="T38" s="1299"/>
      <c r="U38" s="1301"/>
      <c r="V38" s="263"/>
      <c r="W38" s="263"/>
      <c r="X38" s="263"/>
      <c r="Y38" s="263"/>
      <c r="Z38" s="263"/>
      <c r="AA38" s="263"/>
      <c r="AB38" s="263"/>
      <c r="AC38" s="263"/>
      <c r="AD38" s="263"/>
      <c r="AE38" s="263"/>
      <c r="AF38" s="263"/>
      <c r="AG38" s="263"/>
      <c r="AH38" s="263"/>
      <c r="AI38" s="263"/>
      <c r="AJ38" s="263"/>
      <c r="AK38" s="264"/>
      <c r="AL38" s="258"/>
      <c r="AM38" s="259">
        <v>4</v>
      </c>
      <c r="AN38" s="259">
        <v>8</v>
      </c>
      <c r="AO38" s="259"/>
      <c r="AP38" s="259"/>
      <c r="AQ38" s="259"/>
      <c r="AR38" s="265">
        <f t="shared" si="2"/>
        <v>56.103999999999999</v>
      </c>
      <c r="AS38" s="259">
        <f t="shared" si="3"/>
        <v>6</v>
      </c>
      <c r="AT38" s="266">
        <f t="shared" si="4"/>
        <v>22.571428571428573</v>
      </c>
      <c r="AU38" s="259">
        <f t="shared" si="5"/>
        <v>4</v>
      </c>
      <c r="AV38" s="259">
        <f t="shared" si="6"/>
        <v>4</v>
      </c>
      <c r="AW38" s="266">
        <f t="shared" si="7"/>
        <v>22.571428571428573</v>
      </c>
      <c r="AX38" s="259">
        <f t="shared" si="8"/>
        <v>0</v>
      </c>
      <c r="AY38" s="258"/>
      <c r="AZ38" s="238"/>
      <c r="BA38" s="238"/>
      <c r="BB38" s="238"/>
      <c r="BC38" s="238"/>
      <c r="BD38" s="238"/>
      <c r="BE38" s="239" t="s">
        <v>647</v>
      </c>
      <c r="BF38" s="239">
        <v>4.5900000000000003E-2</v>
      </c>
      <c r="BG38" s="239">
        <v>2.3999999999999998E-3</v>
      </c>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row>
    <row r="39" spans="1:94" s="240" customFormat="1" ht="14.25" customHeight="1">
      <c r="A39" s="267" t="s">
        <v>421</v>
      </c>
      <c r="B39" s="268"/>
      <c r="C39" s="268"/>
      <c r="D39" s="268"/>
      <c r="E39" s="269"/>
      <c r="F39" s="1377">
        <v>0</v>
      </c>
      <c r="G39" s="1378"/>
      <c r="H39" s="1299">
        <f t="shared" si="0"/>
        <v>0</v>
      </c>
      <c r="I39" s="1301"/>
      <c r="J39" s="1300"/>
      <c r="K39" s="1300"/>
      <c r="L39" s="1299"/>
      <c r="M39" s="1300"/>
      <c r="N39" s="1299">
        <f t="shared" si="1"/>
        <v>0</v>
      </c>
      <c r="O39" s="1301"/>
      <c r="P39" s="1299">
        <f>R39/$R$53</f>
        <v>0</v>
      </c>
      <c r="Q39" s="1301"/>
      <c r="R39" s="1300">
        <f>T39/$AR39</f>
        <v>0</v>
      </c>
      <c r="S39" s="1300"/>
      <c r="T39" s="1299">
        <f>$Q$22*N39</f>
        <v>0</v>
      </c>
      <c r="U39" s="1301"/>
      <c r="V39" s="263"/>
      <c r="W39" s="263"/>
      <c r="X39" s="263"/>
      <c r="Y39" s="263"/>
      <c r="Z39" s="263"/>
      <c r="AA39" s="263"/>
      <c r="AB39" s="263"/>
      <c r="AC39" s="263"/>
      <c r="AD39" s="263"/>
      <c r="AE39" s="263"/>
      <c r="AF39" s="263"/>
      <c r="AG39" s="263"/>
      <c r="AH39" s="263"/>
      <c r="AI39" s="263"/>
      <c r="AJ39" s="263"/>
      <c r="AK39" s="264"/>
      <c r="AL39" s="258"/>
      <c r="AM39" s="259">
        <v>4</v>
      </c>
      <c r="AN39" s="259">
        <v>10</v>
      </c>
      <c r="AO39" s="259"/>
      <c r="AP39" s="259"/>
      <c r="AQ39" s="259"/>
      <c r="AR39" s="265">
        <f>AM39*12.01+AN39*1.008+AO39*16+AP39*14+AQ39*32</f>
        <v>58.12</v>
      </c>
      <c r="AS39" s="259">
        <f t="shared" si="3"/>
        <v>6.5</v>
      </c>
      <c r="AT39" s="266">
        <f t="shared" si="4"/>
        <v>24.452380952380956</v>
      </c>
      <c r="AU39" s="259">
        <f t="shared" si="5"/>
        <v>4</v>
      </c>
      <c r="AV39" s="259">
        <f t="shared" si="6"/>
        <v>5</v>
      </c>
      <c r="AW39" s="266">
        <f t="shared" si="7"/>
        <v>24.452380952380956</v>
      </c>
      <c r="AX39" s="259">
        <f t="shared" si="8"/>
        <v>0</v>
      </c>
      <c r="AY39" s="258"/>
      <c r="AZ39" s="238"/>
      <c r="BA39" s="238"/>
      <c r="BB39" s="238"/>
      <c r="BC39" s="238"/>
      <c r="BD39" s="238"/>
      <c r="BE39" s="239" t="s">
        <v>648</v>
      </c>
      <c r="BF39" s="239">
        <v>8.2000000000000007E-3</v>
      </c>
      <c r="BG39" s="239">
        <v>1.6000000000000001E-3</v>
      </c>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38"/>
      <c r="CN39" s="238"/>
      <c r="CO39" s="238"/>
      <c r="CP39" s="238"/>
    </row>
    <row r="40" spans="1:94" s="240" customFormat="1" ht="14.25" customHeight="1">
      <c r="A40" s="267" t="s">
        <v>422</v>
      </c>
      <c r="B40" s="268"/>
      <c r="C40" s="268"/>
      <c r="D40" s="268"/>
      <c r="E40" s="269"/>
      <c r="F40" s="1377">
        <v>0</v>
      </c>
      <c r="G40" s="1378"/>
      <c r="H40" s="1299">
        <f t="shared" si="0"/>
        <v>0</v>
      </c>
      <c r="I40" s="1301"/>
      <c r="J40" s="1300"/>
      <c r="K40" s="1300"/>
      <c r="L40" s="1299"/>
      <c r="M40" s="1300"/>
      <c r="N40" s="1299">
        <f t="shared" si="1"/>
        <v>0</v>
      </c>
      <c r="O40" s="1301"/>
      <c r="P40" s="1299">
        <f>R40/$R$53</f>
        <v>0</v>
      </c>
      <c r="Q40" s="1301"/>
      <c r="R40" s="1300">
        <f>T40/$AR40</f>
        <v>0</v>
      </c>
      <c r="S40" s="1300"/>
      <c r="T40" s="1299">
        <f>$Q$22*N40</f>
        <v>0</v>
      </c>
      <c r="U40" s="1301"/>
      <c r="V40" s="263"/>
      <c r="W40" s="263"/>
      <c r="X40" s="263" t="s">
        <v>771</v>
      </c>
      <c r="Y40" s="263"/>
      <c r="Z40" s="263"/>
      <c r="AA40" s="263"/>
      <c r="AB40" s="263"/>
      <c r="AC40" s="263"/>
      <c r="AD40" s="263"/>
      <c r="AE40" s="263"/>
      <c r="AF40" s="263"/>
      <c r="AG40" s="263"/>
      <c r="AH40" s="263"/>
      <c r="AI40" s="263"/>
      <c r="AJ40" s="263"/>
      <c r="AK40" s="264"/>
      <c r="AL40" s="258"/>
      <c r="AM40" s="259">
        <v>4</v>
      </c>
      <c r="AN40" s="259">
        <v>10</v>
      </c>
      <c r="AO40" s="259"/>
      <c r="AP40" s="259"/>
      <c r="AQ40" s="259"/>
      <c r="AR40" s="265">
        <f t="shared" si="2"/>
        <v>58.12</v>
      </c>
      <c r="AS40" s="259">
        <f t="shared" si="3"/>
        <v>6.5</v>
      </c>
      <c r="AT40" s="266">
        <f t="shared" si="4"/>
        <v>24.452380952380956</v>
      </c>
      <c r="AU40" s="259">
        <f t="shared" si="5"/>
        <v>4</v>
      </c>
      <c r="AV40" s="259">
        <f t="shared" si="6"/>
        <v>5</v>
      </c>
      <c r="AW40" s="266">
        <f t="shared" si="7"/>
        <v>24.452380952380956</v>
      </c>
      <c r="AX40" s="259">
        <f t="shared" si="8"/>
        <v>0</v>
      </c>
      <c r="AY40" s="258"/>
      <c r="AZ40" s="238"/>
      <c r="BA40" s="238"/>
      <c r="BB40" s="238"/>
      <c r="BC40" s="238"/>
      <c r="BD40" s="238"/>
      <c r="BE40" s="239" t="s">
        <v>649</v>
      </c>
      <c r="BF40" s="239">
        <v>2.0000000000000001E-4</v>
      </c>
      <c r="BG40" s="239">
        <v>0</v>
      </c>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row>
    <row r="41" spans="1:94" s="240" customFormat="1" ht="14.25" customHeight="1">
      <c r="A41" s="267" t="s">
        <v>423</v>
      </c>
      <c r="B41" s="268"/>
      <c r="C41" s="268"/>
      <c r="D41" s="268"/>
      <c r="E41" s="269"/>
      <c r="F41" s="1377">
        <v>0</v>
      </c>
      <c r="G41" s="1378"/>
      <c r="H41" s="1299">
        <f t="shared" si="0"/>
        <v>0</v>
      </c>
      <c r="I41" s="1301"/>
      <c r="J41" s="1300"/>
      <c r="K41" s="1300"/>
      <c r="L41" s="1299"/>
      <c r="M41" s="1300"/>
      <c r="N41" s="1299">
        <f t="shared" si="1"/>
        <v>0</v>
      </c>
      <c r="O41" s="1301"/>
      <c r="P41" s="1299">
        <f>R41/$R$53</f>
        <v>0</v>
      </c>
      <c r="Q41" s="1301"/>
      <c r="R41" s="1300">
        <f>T41/$AR41</f>
        <v>0</v>
      </c>
      <c r="S41" s="1300"/>
      <c r="T41" s="1299">
        <f>$Q$22*N41</f>
        <v>0</v>
      </c>
      <c r="U41" s="1301"/>
      <c r="V41" s="263"/>
      <c r="W41" s="263"/>
      <c r="X41" s="263"/>
      <c r="Y41" s="263"/>
      <c r="Z41" s="263"/>
      <c r="AA41" s="263"/>
      <c r="AB41" s="263"/>
      <c r="AC41" s="263"/>
      <c r="AD41" s="263"/>
      <c r="AE41" s="263"/>
      <c r="AF41" s="263"/>
      <c r="AG41" s="263"/>
      <c r="AH41" s="263"/>
      <c r="AI41" s="263"/>
      <c r="AJ41" s="263"/>
      <c r="AK41" s="264"/>
      <c r="AL41" s="258"/>
      <c r="AM41" s="259">
        <v>5</v>
      </c>
      <c r="AN41" s="259">
        <v>12</v>
      </c>
      <c r="AO41" s="259"/>
      <c r="AP41" s="259"/>
      <c r="AQ41" s="259"/>
      <c r="AR41" s="265">
        <f t="shared" si="2"/>
        <v>72.146000000000001</v>
      </c>
      <c r="AS41" s="259">
        <f t="shared" si="3"/>
        <v>8</v>
      </c>
      <c r="AT41" s="266">
        <f t="shared" si="4"/>
        <v>30.095238095238098</v>
      </c>
      <c r="AU41" s="259">
        <f t="shared" si="5"/>
        <v>5</v>
      </c>
      <c r="AV41" s="259">
        <f t="shared" si="6"/>
        <v>6</v>
      </c>
      <c r="AW41" s="266">
        <f t="shared" si="7"/>
        <v>30.095238095238098</v>
      </c>
      <c r="AX41" s="259">
        <f t="shared" si="8"/>
        <v>0</v>
      </c>
      <c r="AY41" s="258"/>
      <c r="AZ41" s="238"/>
      <c r="BA41" s="238"/>
      <c r="BB41" s="238"/>
      <c r="BC41" s="238"/>
      <c r="BD41" s="238"/>
      <c r="BE41" s="239" t="s">
        <v>650</v>
      </c>
      <c r="BF41" s="239">
        <v>8.8999999999999999E-3</v>
      </c>
      <c r="BG41" s="239">
        <v>1.9E-3</v>
      </c>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row>
    <row r="42" spans="1:94" s="240" customFormat="1" ht="14.25" customHeight="1">
      <c r="A42" s="267" t="s">
        <v>424</v>
      </c>
      <c r="B42" s="268"/>
      <c r="C42" s="268"/>
      <c r="D42" s="268"/>
      <c r="E42" s="269"/>
      <c r="F42" s="1377">
        <v>0</v>
      </c>
      <c r="G42" s="1378"/>
      <c r="H42" s="1299">
        <f t="shared" si="0"/>
        <v>0</v>
      </c>
      <c r="I42" s="1301"/>
      <c r="J42" s="1300"/>
      <c r="K42" s="1300"/>
      <c r="L42" s="1299"/>
      <c r="M42" s="1300"/>
      <c r="N42" s="1299">
        <f t="shared" si="1"/>
        <v>0</v>
      </c>
      <c r="O42" s="1301"/>
      <c r="P42" s="1299">
        <f>R42/$R$53</f>
        <v>0</v>
      </c>
      <c r="Q42" s="1301"/>
      <c r="R42" s="1300">
        <f>T42/$AR42</f>
        <v>0</v>
      </c>
      <c r="S42" s="1300"/>
      <c r="T42" s="1299">
        <f>$Q$22*N42</f>
        <v>0</v>
      </c>
      <c r="U42" s="1301"/>
      <c r="V42" s="263"/>
      <c r="W42" s="263"/>
      <c r="X42" s="589">
        <f>X44*X43</f>
        <v>1788.2639999999999</v>
      </c>
      <c r="Y42" s="589" t="s">
        <v>744</v>
      </c>
      <c r="Z42" s="263" t="s">
        <v>768</v>
      </c>
      <c r="AA42" s="263"/>
      <c r="AB42" s="263"/>
      <c r="AC42" s="263"/>
      <c r="AD42" s="263"/>
      <c r="AE42" s="263"/>
      <c r="AF42" s="263"/>
      <c r="AG42" s="263"/>
      <c r="AH42" s="263"/>
      <c r="AI42" s="263"/>
      <c r="AJ42" s="263"/>
      <c r="AK42" s="264"/>
      <c r="AL42" s="258"/>
      <c r="AM42" s="259">
        <v>5</v>
      </c>
      <c r="AN42" s="259">
        <v>12</v>
      </c>
      <c r="AO42" s="259"/>
      <c r="AP42" s="259"/>
      <c r="AQ42" s="259"/>
      <c r="AR42" s="265">
        <f t="shared" si="2"/>
        <v>72.146000000000001</v>
      </c>
      <c r="AS42" s="259">
        <f t="shared" si="3"/>
        <v>8</v>
      </c>
      <c r="AT42" s="266">
        <f t="shared" si="4"/>
        <v>30.095238095238098</v>
      </c>
      <c r="AU42" s="259">
        <f t="shared" si="5"/>
        <v>5</v>
      </c>
      <c r="AV42" s="259">
        <f t="shared" si="6"/>
        <v>6</v>
      </c>
      <c r="AW42" s="266">
        <f t="shared" si="7"/>
        <v>30.095238095238098</v>
      </c>
      <c r="AX42" s="259">
        <f t="shared" si="8"/>
        <v>0</v>
      </c>
      <c r="AY42" s="258"/>
      <c r="AZ42" s="238"/>
      <c r="BA42" s="238"/>
      <c r="BB42" s="238"/>
      <c r="BC42" s="238"/>
      <c r="BD42" s="238"/>
      <c r="BE42" s="239" t="s">
        <v>651</v>
      </c>
      <c r="BF42" s="239">
        <v>2.0000000000000001E-4</v>
      </c>
      <c r="BG42" s="239">
        <v>2.9999999999999997E-4</v>
      </c>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row>
    <row r="43" spans="1:94" s="240" customFormat="1" ht="14.25" customHeight="1">
      <c r="A43" s="267" t="s">
        <v>721</v>
      </c>
      <c r="B43" s="268"/>
      <c r="C43" s="268"/>
      <c r="D43" s="268"/>
      <c r="E43" s="269"/>
      <c r="F43" s="1377">
        <v>0</v>
      </c>
      <c r="G43" s="1378"/>
      <c r="H43" s="1299">
        <f t="shared" si="0"/>
        <v>0</v>
      </c>
      <c r="I43" s="1301"/>
      <c r="J43" s="1300"/>
      <c r="K43" s="1300"/>
      <c r="L43" s="1299"/>
      <c r="M43" s="1300"/>
      <c r="N43" s="1299">
        <f t="shared" si="1"/>
        <v>0</v>
      </c>
      <c r="O43" s="1301"/>
      <c r="P43" s="1299">
        <f>R43/$R$53</f>
        <v>0</v>
      </c>
      <c r="Q43" s="1301"/>
      <c r="R43" s="1300">
        <f>T43/$AR43</f>
        <v>0</v>
      </c>
      <c r="S43" s="1300"/>
      <c r="T43" s="1299">
        <f>$Q$22*N43</f>
        <v>0</v>
      </c>
      <c r="U43" s="1301"/>
      <c r="V43" s="263"/>
      <c r="W43" s="263"/>
      <c r="X43" s="599">
        <v>365.25</v>
      </c>
      <c r="Y43" s="589" t="s">
        <v>745</v>
      </c>
      <c r="Z43" s="263"/>
      <c r="AA43" s="263"/>
      <c r="AB43" s="263"/>
      <c r="AC43" s="263"/>
      <c r="AD43" s="263"/>
      <c r="AE43" s="263"/>
      <c r="AF43" s="263"/>
      <c r="AG43" s="263"/>
      <c r="AH43" s="263"/>
      <c r="AI43" s="263"/>
      <c r="AJ43" s="263"/>
      <c r="AK43" s="264"/>
      <c r="AL43" s="258"/>
      <c r="AM43" s="259">
        <v>6</v>
      </c>
      <c r="AN43" s="259">
        <v>14</v>
      </c>
      <c r="AO43" s="259"/>
      <c r="AP43" s="259"/>
      <c r="AQ43" s="259"/>
      <c r="AR43" s="265">
        <f t="shared" si="2"/>
        <v>86.171999999999997</v>
      </c>
      <c r="AS43" s="259">
        <f t="shared" si="3"/>
        <v>9.5</v>
      </c>
      <c r="AT43" s="266">
        <f t="shared" si="4"/>
        <v>35.738095238095241</v>
      </c>
      <c r="AU43" s="259">
        <f t="shared" si="5"/>
        <v>6</v>
      </c>
      <c r="AV43" s="259">
        <f t="shared" si="6"/>
        <v>7</v>
      </c>
      <c r="AW43" s="266">
        <f t="shared" si="7"/>
        <v>35.738095238095241</v>
      </c>
      <c r="AX43" s="259">
        <f t="shared" si="8"/>
        <v>0</v>
      </c>
      <c r="AY43" s="258"/>
      <c r="AZ43" s="238"/>
      <c r="BA43" s="238"/>
      <c r="BB43" s="238"/>
      <c r="BC43" s="238"/>
      <c r="BD43" s="238"/>
      <c r="BE43" s="239" t="s">
        <v>652</v>
      </c>
      <c r="BF43" s="239">
        <v>0</v>
      </c>
      <c r="BG43" s="239">
        <v>5.0000000000000001E-4</v>
      </c>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38"/>
      <c r="CN43" s="238"/>
      <c r="CO43" s="238"/>
      <c r="CP43" s="238"/>
    </row>
    <row r="44" spans="1:94" s="240" customFormat="1" ht="14.25" customHeight="1">
      <c r="A44" s="267" t="s">
        <v>426</v>
      </c>
      <c r="B44" s="268"/>
      <c r="C44" s="268"/>
      <c r="D44" s="268"/>
      <c r="E44" s="269"/>
      <c r="F44" s="1377">
        <v>0</v>
      </c>
      <c r="G44" s="1378"/>
      <c r="H44" s="1299">
        <f>F44*$AC$25</f>
        <v>0</v>
      </c>
      <c r="I44" s="1301"/>
      <c r="J44" s="1300"/>
      <c r="K44" s="1300"/>
      <c r="L44" s="1299"/>
      <c r="M44" s="1300"/>
      <c r="N44" s="1299">
        <f t="shared" si="1"/>
        <v>0</v>
      </c>
      <c r="O44" s="1301"/>
      <c r="P44" s="1299"/>
      <c r="Q44" s="1301"/>
      <c r="R44" s="1300"/>
      <c r="S44" s="1300"/>
      <c r="T44" s="1299"/>
      <c r="U44" s="1301"/>
      <c r="V44" s="263"/>
      <c r="W44" s="263"/>
      <c r="X44" s="590">
        <f>X45/1000*24</f>
        <v>4.8959999999999999</v>
      </c>
      <c r="Y44" s="589" t="s">
        <v>746</v>
      </c>
      <c r="Z44" s="263"/>
      <c r="AA44" s="263"/>
      <c r="AB44" s="263"/>
      <c r="AC44" s="263"/>
      <c r="AD44" s="263"/>
      <c r="AE44" s="263"/>
      <c r="AF44" s="263"/>
      <c r="AG44" s="263"/>
      <c r="AH44" s="263"/>
      <c r="AI44" s="263"/>
      <c r="AJ44" s="263"/>
      <c r="AK44" s="264"/>
      <c r="AL44" s="258"/>
      <c r="AM44" s="259"/>
      <c r="AN44" s="259"/>
      <c r="AO44" s="259"/>
      <c r="AP44" s="259"/>
      <c r="AQ44" s="259"/>
      <c r="AR44" s="265">
        <v>4.0030000000000001</v>
      </c>
      <c r="AS44" s="259"/>
      <c r="AT44" s="266"/>
      <c r="AU44" s="259"/>
      <c r="AV44" s="259"/>
      <c r="AW44" s="266"/>
      <c r="AX44" s="259"/>
      <c r="AY44" s="258"/>
      <c r="AZ44" s="238"/>
      <c r="BA44" s="238"/>
      <c r="BB44" s="238"/>
      <c r="BC44" s="238"/>
      <c r="BD44" s="238"/>
      <c r="BE44" s="239" t="s">
        <v>653</v>
      </c>
      <c r="BF44" s="239">
        <v>0</v>
      </c>
      <c r="BG44" s="239">
        <v>1E-4</v>
      </c>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row>
    <row r="45" spans="1:94" s="240" customFormat="1" ht="14.25" customHeight="1">
      <c r="A45" s="267" t="s">
        <v>427</v>
      </c>
      <c r="B45" s="268"/>
      <c r="C45" s="268"/>
      <c r="D45" s="268"/>
      <c r="E45" s="269"/>
      <c r="F45" s="1377">
        <v>0</v>
      </c>
      <c r="G45" s="1378"/>
      <c r="H45" s="1299">
        <f t="shared" si="0"/>
        <v>0</v>
      </c>
      <c r="I45" s="1301"/>
      <c r="J45" s="1300"/>
      <c r="K45" s="1300"/>
      <c r="L45" s="1299"/>
      <c r="M45" s="1300"/>
      <c r="N45" s="1299">
        <f t="shared" si="1"/>
        <v>0</v>
      </c>
      <c r="O45" s="1301"/>
      <c r="P45" s="1299"/>
      <c r="Q45" s="1301"/>
      <c r="R45" s="1299"/>
      <c r="S45" s="1301"/>
      <c r="T45" s="1299"/>
      <c r="U45" s="1301"/>
      <c r="V45" s="263"/>
      <c r="W45" s="263"/>
      <c r="X45" s="590">
        <v>204</v>
      </c>
      <c r="Y45" s="589" t="s">
        <v>617</v>
      </c>
      <c r="Z45" s="263"/>
      <c r="AA45" s="263"/>
      <c r="AB45" s="263"/>
      <c r="AC45" s="263"/>
      <c r="AD45" s="263"/>
      <c r="AE45" s="263"/>
      <c r="AF45" s="263"/>
      <c r="AG45" s="263"/>
      <c r="AH45" s="263"/>
      <c r="AI45" s="263"/>
      <c r="AJ45" s="263"/>
      <c r="AK45" s="264"/>
      <c r="AL45" s="258"/>
      <c r="AM45" s="259"/>
      <c r="AN45" s="259">
        <v>2</v>
      </c>
      <c r="AO45" s="259"/>
      <c r="AP45" s="259"/>
      <c r="AQ45" s="259">
        <v>1</v>
      </c>
      <c r="AR45" s="265">
        <f t="shared" si="2"/>
        <v>34.015999999999998</v>
      </c>
      <c r="AS45" s="259">
        <f t="shared" si="3"/>
        <v>1.5</v>
      </c>
      <c r="AT45" s="266">
        <f t="shared" si="4"/>
        <v>5.6428571428571432</v>
      </c>
      <c r="AU45" s="259">
        <f t="shared" si="5"/>
        <v>0</v>
      </c>
      <c r="AV45" s="259">
        <f t="shared" si="6"/>
        <v>1</v>
      </c>
      <c r="AW45" s="266">
        <f t="shared" si="7"/>
        <v>5.6428571428571432</v>
      </c>
      <c r="AX45" s="259">
        <f t="shared" si="8"/>
        <v>1</v>
      </c>
      <c r="AY45" s="258"/>
      <c r="AZ45" s="238"/>
      <c r="BA45" s="238"/>
      <c r="BB45" s="238"/>
      <c r="BC45" s="238"/>
      <c r="BD45" s="238"/>
      <c r="BE45" s="239" t="s">
        <v>654</v>
      </c>
      <c r="BF45" s="239">
        <v>0</v>
      </c>
      <c r="BG45" s="239">
        <v>4.0000000000000002E-4</v>
      </c>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row>
    <row r="46" spans="1:94" s="240" customFormat="1" ht="14.25" customHeight="1">
      <c r="A46" s="267" t="s">
        <v>428</v>
      </c>
      <c r="B46" s="268"/>
      <c r="C46" s="268"/>
      <c r="D46" s="268"/>
      <c r="E46" s="269"/>
      <c r="F46" s="1377">
        <v>0</v>
      </c>
      <c r="G46" s="1378"/>
      <c r="H46" s="1299">
        <f t="shared" si="0"/>
        <v>0</v>
      </c>
      <c r="I46" s="1301"/>
      <c r="J46" s="1300">
        <f>SUMPRODUCT(H32:H52,AS32:AS52)-H46</f>
        <v>2228.8005190952908</v>
      </c>
      <c r="K46" s="1300"/>
      <c r="L46" s="1299">
        <v>0</v>
      </c>
      <c r="M46" s="1300"/>
      <c r="N46" s="1299">
        <f t="shared" si="1"/>
        <v>71321.616611049307</v>
      </c>
      <c r="O46" s="1301"/>
      <c r="P46" s="1299">
        <f t="shared" ref="P46:P52" si="9">R46/$R$53</f>
        <v>4.7840873920994049E-7</v>
      </c>
      <c r="Q46" s="1301"/>
      <c r="R46" s="1300">
        <f>L46+SUMPRODUCT(R33:R45,$AS33:$AS45)</f>
        <v>5.6207558609111348E-3</v>
      </c>
      <c r="S46" s="1300"/>
      <c r="T46" s="1299">
        <f>R46*$AR46</f>
        <v>0.17986418754915631</v>
      </c>
      <c r="U46" s="1301"/>
      <c r="V46" s="263"/>
      <c r="W46" s="263"/>
      <c r="X46" s="263"/>
      <c r="Y46" s="263"/>
      <c r="Z46" s="263"/>
      <c r="AA46" s="263"/>
      <c r="AB46" s="263"/>
      <c r="AC46" s="263"/>
      <c r="AD46" s="263"/>
      <c r="AE46" s="263"/>
      <c r="AF46" s="263"/>
      <c r="AG46" s="263"/>
      <c r="AH46" s="263"/>
      <c r="AI46" s="263"/>
      <c r="AJ46" s="263"/>
      <c r="AK46" s="264"/>
      <c r="AL46" s="258"/>
      <c r="AM46" s="259"/>
      <c r="AN46" s="259"/>
      <c r="AO46" s="259">
        <v>2</v>
      </c>
      <c r="AP46" s="259"/>
      <c r="AQ46" s="259"/>
      <c r="AR46" s="265">
        <f t="shared" si="2"/>
        <v>32</v>
      </c>
      <c r="AS46" s="259">
        <f t="shared" si="3"/>
        <v>0</v>
      </c>
      <c r="AT46" s="266">
        <f t="shared" si="4"/>
        <v>0</v>
      </c>
      <c r="AU46" s="259">
        <f t="shared" si="5"/>
        <v>0</v>
      </c>
      <c r="AV46" s="259">
        <f t="shared" si="6"/>
        <v>0</v>
      </c>
      <c r="AW46" s="266">
        <f t="shared" si="7"/>
        <v>0</v>
      </c>
      <c r="AX46" s="259">
        <f t="shared" si="8"/>
        <v>0</v>
      </c>
      <c r="AY46" s="258"/>
      <c r="AZ46" s="238"/>
      <c r="BA46" s="238"/>
      <c r="BB46" s="238"/>
      <c r="BC46" s="238"/>
      <c r="BD46" s="238"/>
      <c r="BE46" s="239" t="s">
        <v>655</v>
      </c>
      <c r="BF46" s="239">
        <v>0</v>
      </c>
      <c r="BG46" s="239">
        <v>2.0000000000000001E-4</v>
      </c>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row>
    <row r="47" spans="1:94" s="240" customFormat="1" ht="14.25" customHeight="1">
      <c r="A47" s="267" t="s">
        <v>429</v>
      </c>
      <c r="B47" s="268"/>
      <c r="C47" s="268"/>
      <c r="D47" s="268"/>
      <c r="E47" s="269"/>
      <c r="F47" s="1377">
        <v>0</v>
      </c>
      <c r="G47" s="1378"/>
      <c r="H47" s="1299">
        <f t="shared" si="0"/>
        <v>0</v>
      </c>
      <c r="I47" s="1301"/>
      <c r="J47" s="1300">
        <f>0.79/0.21*J46</f>
        <v>8384.535286120381</v>
      </c>
      <c r="K47" s="1301"/>
      <c r="L47" s="1299">
        <f>0.71/0.29*L46</f>
        <v>0</v>
      </c>
      <c r="M47" s="1300"/>
      <c r="N47" s="1299">
        <f t="shared" si="1"/>
        <v>234766.98801137067</v>
      </c>
      <c r="O47" s="1301"/>
      <c r="P47" s="1299">
        <f t="shared" si="9"/>
        <v>0.71364687249950909</v>
      </c>
      <c r="Q47" s="1301"/>
      <c r="R47" s="1299">
        <f>$H47+J47+L47-R50/2</f>
        <v>8384.5350480988254</v>
      </c>
      <c r="S47" s="1301"/>
      <c r="T47" s="1340">
        <f>R47*$AR47</f>
        <v>234766.9813467671</v>
      </c>
      <c r="U47" s="1342"/>
      <c r="V47" s="263"/>
      <c r="W47" s="263"/>
      <c r="X47" s="263"/>
      <c r="Y47" s="263"/>
      <c r="Z47" s="263"/>
      <c r="AA47" s="263"/>
      <c r="AB47" s="263"/>
      <c r="AC47" s="263"/>
      <c r="AD47" s="263"/>
      <c r="AE47" s="263"/>
      <c r="AF47" s="263"/>
      <c r="AG47" s="263"/>
      <c r="AH47" s="263"/>
      <c r="AI47" s="263"/>
      <c r="AJ47" s="263"/>
      <c r="AK47" s="264"/>
      <c r="AL47" s="258"/>
      <c r="AM47" s="259"/>
      <c r="AN47" s="259"/>
      <c r="AO47" s="259"/>
      <c r="AP47" s="259">
        <v>2</v>
      </c>
      <c r="AQ47" s="259"/>
      <c r="AR47" s="265">
        <f t="shared" si="2"/>
        <v>28</v>
      </c>
      <c r="AS47" s="259">
        <f t="shared" si="3"/>
        <v>0</v>
      </c>
      <c r="AT47" s="266">
        <f t="shared" si="4"/>
        <v>0</v>
      </c>
      <c r="AU47" s="259">
        <f t="shared" si="5"/>
        <v>0</v>
      </c>
      <c r="AV47" s="259">
        <f t="shared" si="6"/>
        <v>0</v>
      </c>
      <c r="AW47" s="266">
        <f t="shared" si="7"/>
        <v>1</v>
      </c>
      <c r="AX47" s="259">
        <f t="shared" si="8"/>
        <v>0</v>
      </c>
      <c r="AY47" s="258"/>
      <c r="AZ47" s="238"/>
      <c r="BA47" s="238"/>
      <c r="BB47" s="238"/>
      <c r="BC47" s="238"/>
      <c r="BD47" s="238"/>
      <c r="BE47" s="239" t="s">
        <v>656</v>
      </c>
      <c r="BF47" s="239">
        <v>1.5E-3</v>
      </c>
      <c r="BG47" s="239">
        <v>0</v>
      </c>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row>
    <row r="48" spans="1:94" s="240" customFormat="1" ht="14.25" customHeight="1">
      <c r="A48" s="267" t="s">
        <v>115</v>
      </c>
      <c r="B48" s="268"/>
      <c r="C48" s="268"/>
      <c r="D48" s="268"/>
      <c r="E48" s="269"/>
      <c r="F48" s="1377">
        <v>0</v>
      </c>
      <c r="G48" s="1378"/>
      <c r="H48" s="1299">
        <f t="shared" si="0"/>
        <v>0</v>
      </c>
      <c r="I48" s="1301"/>
      <c r="J48" s="1300"/>
      <c r="K48" s="1300"/>
      <c r="L48" s="1299"/>
      <c r="M48" s="1300"/>
      <c r="N48" s="1299">
        <f t="shared" si="1"/>
        <v>0</v>
      </c>
      <c r="O48" s="1301"/>
      <c r="P48" s="1299">
        <f t="shared" si="9"/>
        <v>3.6206638036545237E-7</v>
      </c>
      <c r="Q48" s="1301"/>
      <c r="R48" s="1300">
        <f>T48/$AR$48</f>
        <v>4.2538661246841018E-3</v>
      </c>
      <c r="S48" s="1300"/>
      <c r="T48" s="1299">
        <f>$AC17*$X25</f>
        <v>0.11915079015240169</v>
      </c>
      <c r="U48" s="1301"/>
      <c r="V48" s="263"/>
      <c r="W48" s="263"/>
      <c r="X48" s="263"/>
      <c r="Y48" s="263"/>
      <c r="Z48" s="263"/>
      <c r="AA48" s="263"/>
      <c r="AB48" s="263"/>
      <c r="AC48" s="263"/>
      <c r="AD48" s="263"/>
      <c r="AE48" s="263"/>
      <c r="AF48" s="263"/>
      <c r="AG48" s="263"/>
      <c r="AH48" s="263"/>
      <c r="AI48" s="263"/>
      <c r="AJ48" s="263"/>
      <c r="AK48" s="264"/>
      <c r="AL48" s="258"/>
      <c r="AM48" s="258">
        <v>1</v>
      </c>
      <c r="AN48" s="258"/>
      <c r="AO48" s="258">
        <v>1</v>
      </c>
      <c r="AP48" s="258"/>
      <c r="AQ48" s="258"/>
      <c r="AR48" s="265">
        <f t="shared" si="2"/>
        <v>28.009999999999998</v>
      </c>
      <c r="AS48" s="259"/>
      <c r="AT48" s="258"/>
      <c r="AU48" s="258"/>
      <c r="AV48" s="258"/>
      <c r="AW48" s="258"/>
      <c r="AX48" s="258"/>
      <c r="AY48" s="258"/>
      <c r="AZ48" s="238"/>
      <c r="BA48" s="238"/>
      <c r="BB48" s="238"/>
      <c r="BC48" s="238"/>
      <c r="BD48" s="238"/>
      <c r="BE48" s="239" t="s">
        <v>657</v>
      </c>
      <c r="BF48" s="239">
        <v>1E-4</v>
      </c>
      <c r="BG48" s="239">
        <v>0</v>
      </c>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38"/>
      <c r="CN48" s="238"/>
      <c r="CO48" s="238"/>
      <c r="CP48" s="238"/>
    </row>
    <row r="49" spans="1:94" s="240" customFormat="1" ht="14.25" customHeight="1">
      <c r="A49" s="267" t="s">
        <v>126</v>
      </c>
      <c r="B49" s="268"/>
      <c r="C49" s="268"/>
      <c r="D49" s="268"/>
      <c r="E49" s="269"/>
      <c r="F49" s="1377">
        <v>0</v>
      </c>
      <c r="G49" s="1378"/>
      <c r="H49" s="1299">
        <f t="shared" si="0"/>
        <v>0</v>
      </c>
      <c r="I49" s="1301"/>
      <c r="J49" s="1300"/>
      <c r="K49" s="1300"/>
      <c r="L49" s="1299"/>
      <c r="M49" s="1300"/>
      <c r="N49" s="1299">
        <f t="shared" si="1"/>
        <v>0</v>
      </c>
      <c r="O49" s="1301"/>
      <c r="P49" s="1299">
        <f t="shared" si="9"/>
        <v>9.4851200931346885E-2</v>
      </c>
      <c r="Q49" s="1301"/>
      <c r="R49" s="1300">
        <f>SUMPRODUCT($H32:$H52,$AU32:$AU52)+$H49-R48-SUMPRODUCT(R33:R43,$AU33:$AU43)</f>
        <v>1114.3931953035903</v>
      </c>
      <c r="S49" s="1300"/>
      <c r="T49" s="1299">
        <f>R49*$AR49</f>
        <v>49044.44452531101</v>
      </c>
      <c r="U49" s="1301"/>
      <c r="V49" s="263"/>
      <c r="W49" s="263"/>
      <c r="X49" s="263"/>
      <c r="Y49" s="263"/>
      <c r="Z49" s="263"/>
      <c r="AA49" s="263"/>
      <c r="AB49" s="263"/>
      <c r="AC49" s="263"/>
      <c r="AD49" s="263"/>
      <c r="AE49" s="263"/>
      <c r="AF49" s="263"/>
      <c r="AG49" s="263"/>
      <c r="AH49" s="263"/>
      <c r="AI49" s="263"/>
      <c r="AJ49" s="263"/>
      <c r="AK49" s="264"/>
      <c r="AL49" s="258"/>
      <c r="AM49" s="259">
        <v>1</v>
      </c>
      <c r="AN49" s="259"/>
      <c r="AO49" s="259">
        <v>2</v>
      </c>
      <c r="AP49" s="259"/>
      <c r="AQ49" s="259"/>
      <c r="AR49" s="265">
        <f>AM49*12.01+AN49*1.008+AO49*16+AP49*14+AQ49*32</f>
        <v>44.01</v>
      </c>
      <c r="AS49" s="259"/>
      <c r="AT49" s="259"/>
      <c r="AU49" s="259"/>
      <c r="AV49" s="259"/>
      <c r="AW49" s="259"/>
      <c r="AX49" s="259"/>
      <c r="AY49" s="258"/>
      <c r="AZ49" s="238"/>
      <c r="BA49" s="238"/>
      <c r="BB49" s="238"/>
      <c r="BC49" s="238"/>
      <c r="BD49" s="238"/>
      <c r="BE49" s="239" t="s">
        <v>658</v>
      </c>
      <c r="BF49" s="239">
        <v>0</v>
      </c>
      <c r="BG49" s="239">
        <v>0</v>
      </c>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row>
    <row r="50" spans="1:94" s="240" customFormat="1" ht="14.25" customHeight="1">
      <c r="A50" s="267" t="s">
        <v>430</v>
      </c>
      <c r="B50" s="268"/>
      <c r="C50" s="268"/>
      <c r="D50" s="268"/>
      <c r="E50" s="269"/>
      <c r="F50" s="1377">
        <v>0</v>
      </c>
      <c r="G50" s="1378"/>
      <c r="H50" s="1299">
        <f t="shared" si="0"/>
        <v>0</v>
      </c>
      <c r="I50" s="1301"/>
      <c r="J50" s="1300"/>
      <c r="K50" s="1300"/>
      <c r="L50" s="1299"/>
      <c r="M50" s="1300"/>
      <c r="N50" s="1299">
        <f t="shared" si="1"/>
        <v>0</v>
      </c>
      <c r="O50" s="1301"/>
      <c r="P50" s="1299">
        <f t="shared" si="9"/>
        <v>4.0518248728229726E-8</v>
      </c>
      <c r="Q50" s="1301"/>
      <c r="R50" s="1300">
        <f>T50/$AR50</f>
        <v>4.7604310989208669E-4</v>
      </c>
      <c r="S50" s="1300"/>
      <c r="T50" s="1299">
        <f>$W17*$X25</f>
        <v>2.1897983055035989E-2</v>
      </c>
      <c r="U50" s="1301"/>
      <c r="V50" s="263"/>
      <c r="W50" s="263"/>
      <c r="X50" s="263"/>
      <c r="Y50" s="263"/>
      <c r="Z50" s="263"/>
      <c r="AA50" s="263"/>
      <c r="AB50" s="263"/>
      <c r="AC50" s="263"/>
      <c r="AD50" s="263"/>
      <c r="AE50" s="263"/>
      <c r="AF50" s="263"/>
      <c r="AG50" s="263"/>
      <c r="AH50" s="263"/>
      <c r="AI50" s="263"/>
      <c r="AJ50" s="263"/>
      <c r="AK50" s="264"/>
      <c r="AL50" s="258"/>
      <c r="AM50" s="258"/>
      <c r="AN50" s="258"/>
      <c r="AO50" s="258">
        <v>2</v>
      </c>
      <c r="AP50" s="258">
        <v>1</v>
      </c>
      <c r="AQ50" s="258"/>
      <c r="AR50" s="265">
        <f>AM50*12.01+AN50*1.008+AO50*16+AP50*14+AQ50*32</f>
        <v>46</v>
      </c>
      <c r="AS50" s="259"/>
      <c r="AT50" s="258"/>
      <c r="AU50" s="258"/>
      <c r="AV50" s="258"/>
      <c r="AW50" s="258"/>
      <c r="AX50" s="258"/>
      <c r="AY50" s="258"/>
      <c r="AZ50" s="238"/>
      <c r="BA50" s="238"/>
      <c r="BB50" s="238"/>
      <c r="BC50" s="238"/>
      <c r="BD50" s="238"/>
      <c r="BE50" s="239" t="s">
        <v>659</v>
      </c>
      <c r="BF50" s="239">
        <v>0</v>
      </c>
      <c r="BG50" s="239">
        <v>0</v>
      </c>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38"/>
      <c r="CN50" s="238"/>
      <c r="CO50" s="238"/>
      <c r="CP50" s="238"/>
    </row>
    <row r="51" spans="1:94" s="240" customFormat="1" ht="14.25" customHeight="1">
      <c r="A51" s="267" t="s">
        <v>124</v>
      </c>
      <c r="B51" s="268"/>
      <c r="C51" s="268"/>
      <c r="D51" s="268"/>
      <c r="E51" s="269"/>
      <c r="F51" s="1377">
        <v>0</v>
      </c>
      <c r="G51" s="1378"/>
      <c r="H51" s="1299">
        <f t="shared" si="0"/>
        <v>0</v>
      </c>
      <c r="I51" s="1301"/>
      <c r="J51" s="1300"/>
      <c r="K51" s="1300"/>
      <c r="L51" s="1299"/>
      <c r="M51" s="1300"/>
      <c r="N51" s="1299">
        <f t="shared" si="1"/>
        <v>0</v>
      </c>
      <c r="O51" s="1301"/>
      <c r="P51" s="1299">
        <f t="shared" si="9"/>
        <v>0</v>
      </c>
      <c r="Q51" s="1301"/>
      <c r="R51" s="1299">
        <f>SUMPRODUCT(H32:H52,$AX32:$AX52)+H51</f>
        <v>0</v>
      </c>
      <c r="S51" s="1300"/>
      <c r="T51" s="1299">
        <f>R51*$AR51</f>
        <v>0</v>
      </c>
      <c r="U51" s="1301"/>
      <c r="V51" s="263"/>
      <c r="W51" s="263"/>
      <c r="X51" s="263"/>
      <c r="Y51" s="263"/>
      <c r="Z51" s="263"/>
      <c r="AA51" s="263"/>
      <c r="AB51" s="263"/>
      <c r="AC51" s="263"/>
      <c r="AD51" s="263"/>
      <c r="AE51" s="263"/>
      <c r="AF51" s="263"/>
      <c r="AG51" s="263"/>
      <c r="AH51" s="263"/>
      <c r="AI51" s="263"/>
      <c r="AJ51" s="263"/>
      <c r="AK51" s="264"/>
      <c r="AL51" s="258"/>
      <c r="AM51" s="258"/>
      <c r="AN51" s="258"/>
      <c r="AO51" s="258">
        <v>2</v>
      </c>
      <c r="AP51" s="258"/>
      <c r="AQ51" s="258">
        <v>1</v>
      </c>
      <c r="AR51" s="265">
        <f>AM51*12.01+AN51*1.008+AO51*16+AP51*14+AQ51*32</f>
        <v>64</v>
      </c>
      <c r="AS51" s="259"/>
      <c r="AT51" s="258"/>
      <c r="AU51" s="258"/>
      <c r="AV51" s="258"/>
      <c r="AW51" s="258"/>
      <c r="AX51" s="258"/>
      <c r="AY51" s="258"/>
      <c r="AZ51" s="238"/>
      <c r="BA51" s="238"/>
      <c r="BB51" s="238"/>
      <c r="BC51" s="238"/>
      <c r="BD51" s="238"/>
      <c r="BE51" s="239" t="s">
        <v>660</v>
      </c>
      <c r="BF51" s="239">
        <v>0</v>
      </c>
      <c r="BG51" s="239">
        <v>0</v>
      </c>
      <c r="BH51" s="238"/>
      <c r="BI51" s="238"/>
      <c r="BJ51" s="238"/>
      <c r="BK51" s="238"/>
      <c r="BL51" s="238"/>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38"/>
      <c r="CN51" s="238"/>
      <c r="CO51" s="238"/>
      <c r="CP51" s="238"/>
    </row>
    <row r="52" spans="1:94" s="240" customFormat="1" ht="14.25" customHeight="1">
      <c r="A52" s="273" t="s">
        <v>431</v>
      </c>
      <c r="B52" s="274"/>
      <c r="C52" s="274"/>
      <c r="D52" s="274"/>
      <c r="E52" s="274"/>
      <c r="F52" s="1377">
        <f>CO2eEF!T47</f>
        <v>1.8599999999999999</v>
      </c>
      <c r="G52" s="1378"/>
      <c r="H52" s="1299">
        <f t="shared" si="0"/>
        <v>21.120689655172409</v>
      </c>
      <c r="I52" s="1301"/>
      <c r="J52" s="1384"/>
      <c r="K52" s="1384"/>
      <c r="L52" s="1382"/>
      <c r="M52" s="1384"/>
      <c r="N52" s="1299">
        <f t="shared" si="1"/>
        <v>380.5103448275861</v>
      </c>
      <c r="O52" s="1301"/>
      <c r="P52" s="1343">
        <f t="shared" si="9"/>
        <v>0.19150080637140618</v>
      </c>
      <c r="Q52" s="1345"/>
      <c r="R52" s="1300">
        <f>SUMPRODUCT(H32:H52,$AV32:$AV52)+H52-SUMPRODUCT(R33:R43,$AV33:$AV43)</f>
        <v>2249.9155879946024</v>
      </c>
      <c r="S52" s="1300"/>
      <c r="T52" s="1382">
        <f>R52*$AR52</f>
        <v>40534.479233310754</v>
      </c>
      <c r="U52" s="1383"/>
      <c r="V52" s="263"/>
      <c r="W52" s="263"/>
      <c r="X52" s="263"/>
      <c r="Y52" s="263"/>
      <c r="Z52" s="263"/>
      <c r="AA52" s="263"/>
      <c r="AB52" s="263"/>
      <c r="AC52" s="263"/>
      <c r="AD52" s="263"/>
      <c r="AE52" s="263"/>
      <c r="AF52" s="263"/>
      <c r="AG52" s="263"/>
      <c r="AH52" s="263"/>
      <c r="AI52" s="263"/>
      <c r="AJ52" s="263"/>
      <c r="AK52" s="264"/>
      <c r="AL52" s="258"/>
      <c r="AM52" s="258"/>
      <c r="AN52" s="258">
        <v>2</v>
      </c>
      <c r="AO52" s="258">
        <v>1</v>
      </c>
      <c r="AP52" s="258"/>
      <c r="AQ52" s="258"/>
      <c r="AR52" s="265">
        <f>AM52*12.01+AN52*1.008+AO52*16+AP52*14+AQ52*32</f>
        <v>18.015999999999998</v>
      </c>
      <c r="AS52" s="259"/>
      <c r="AT52" s="258"/>
      <c r="AU52" s="258"/>
      <c r="AV52" s="258"/>
      <c r="AW52" s="258"/>
      <c r="AX52" s="258"/>
      <c r="AY52" s="258"/>
      <c r="AZ52" s="238"/>
      <c r="BA52" s="238"/>
      <c r="BB52" s="238"/>
      <c r="BC52" s="238"/>
      <c r="BD52" s="238"/>
      <c r="BE52" s="239" t="s">
        <v>661</v>
      </c>
      <c r="BF52" s="239">
        <v>0</v>
      </c>
      <c r="BG52" s="239">
        <v>0</v>
      </c>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row>
    <row r="53" spans="1:94" s="240" customFormat="1" ht="14.25" customHeight="1">
      <c r="A53" s="1391" t="s">
        <v>663</v>
      </c>
      <c r="B53" s="1392"/>
      <c r="C53" s="1392"/>
      <c r="D53" s="1392"/>
      <c r="E53" s="1393"/>
      <c r="F53" s="1394">
        <f>SUM(F32:F52)</f>
        <v>100</v>
      </c>
      <c r="G53" s="1395"/>
      <c r="H53" s="1371">
        <f>SUM(H32:H52)</f>
        <v>1135.5209492028177</v>
      </c>
      <c r="I53" s="1373"/>
      <c r="J53" s="1396">
        <f>SUM(J32:J52)</f>
        <v>10613.335805215673</v>
      </c>
      <c r="K53" s="1396"/>
      <c r="L53" s="1371">
        <f>SUM(L32:L52)</f>
        <v>0</v>
      </c>
      <c r="M53" s="1372"/>
      <c r="N53" s="1385">
        <f>SUM(N32:N52)</f>
        <v>324346.3239309109</v>
      </c>
      <c r="O53" s="1386"/>
      <c r="P53" s="1385">
        <f>SUM(P32:P52)</f>
        <v>1</v>
      </c>
      <c r="Q53" s="1386"/>
      <c r="R53" s="1371">
        <f>SUM(R32:R52)</f>
        <v>11748.856992440044</v>
      </c>
      <c r="S53" s="1373"/>
      <c r="T53" s="1387">
        <f>SUM(T32:T52)</f>
        <v>324346.27110243234</v>
      </c>
      <c r="U53" s="1388"/>
      <c r="V53" s="275"/>
      <c r="W53" s="275"/>
      <c r="X53" s="30"/>
      <c r="Y53" s="30"/>
      <c r="Z53" s="276"/>
      <c r="AA53" s="276"/>
      <c r="AB53" s="30"/>
      <c r="AC53" s="30"/>
      <c r="AD53" s="277"/>
      <c r="AE53" s="277"/>
      <c r="AF53" s="263"/>
      <c r="AG53" s="263"/>
      <c r="AH53" s="30"/>
      <c r="AI53" s="30"/>
      <c r="AJ53" s="277"/>
      <c r="AK53" s="278"/>
      <c r="AL53" s="238"/>
      <c r="AM53" s="238"/>
      <c r="AN53" s="238"/>
      <c r="AO53" s="238"/>
      <c r="AP53" s="238"/>
      <c r="AQ53" s="238"/>
      <c r="AR53" s="238"/>
      <c r="AS53" s="238"/>
      <c r="AT53" s="238"/>
      <c r="AU53" s="238"/>
      <c r="AV53" s="238"/>
      <c r="AW53" s="238"/>
      <c r="AX53" s="238"/>
      <c r="AY53" s="238"/>
      <c r="AZ53" s="238"/>
      <c r="BA53" s="238"/>
      <c r="BB53" s="238"/>
      <c r="BC53" s="238"/>
      <c r="BD53" s="238"/>
      <c r="BE53" s="239" t="s">
        <v>662</v>
      </c>
      <c r="BF53" s="239">
        <v>0</v>
      </c>
      <c r="BG53" s="239">
        <v>0</v>
      </c>
      <c r="BH53" s="238"/>
      <c r="BI53" s="238"/>
      <c r="BJ53" s="238"/>
      <c r="BK53" s="238"/>
      <c r="BL53" s="238"/>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38"/>
      <c r="CN53" s="238"/>
      <c r="CO53" s="238"/>
      <c r="CP53" s="238"/>
    </row>
    <row r="54" spans="1:94" s="240" customFormat="1" ht="14.25" customHeight="1">
      <c r="A54" s="475" t="s">
        <v>665</v>
      </c>
      <c r="B54" s="476"/>
      <c r="C54" s="476"/>
      <c r="D54" s="476"/>
      <c r="E54" s="435"/>
      <c r="F54" s="435"/>
      <c r="G54" s="435"/>
      <c r="H54" s="435"/>
      <c r="I54" s="435"/>
      <c r="J54" s="435"/>
      <c r="K54" s="435"/>
      <c r="L54" s="1189" t="s">
        <v>666</v>
      </c>
      <c r="M54" s="1190"/>
      <c r="N54" s="477"/>
      <c r="O54" s="30" t="s">
        <v>617</v>
      </c>
      <c r="P54" s="473" t="s">
        <v>332</v>
      </c>
      <c r="Q54" s="477"/>
      <c r="S54" s="477"/>
      <c r="T54" s="477"/>
      <c r="U54" s="477"/>
      <c r="V54" s="479"/>
      <c r="W54" s="479"/>
      <c r="X54" s="1482"/>
      <c r="Y54" s="1482"/>
      <c r="Z54" s="1482"/>
      <c r="AA54" s="1482"/>
      <c r="AB54" s="1482"/>
      <c r="AC54" s="1482"/>
      <c r="AD54" s="1482"/>
      <c r="AE54" s="1482"/>
      <c r="AF54" s="1482"/>
      <c r="AG54" s="479"/>
      <c r="AH54" s="479"/>
      <c r="AI54" s="479"/>
      <c r="AJ54" s="479"/>
      <c r="AK54" s="480"/>
      <c r="AL54" s="481"/>
      <c r="AM54" s="238"/>
      <c r="AN54" s="238"/>
      <c r="AO54" s="238"/>
      <c r="AP54" s="238"/>
      <c r="AQ54" s="238"/>
      <c r="AR54" s="238"/>
      <c r="AS54" s="238"/>
      <c r="AT54" s="238"/>
      <c r="AU54" s="238"/>
      <c r="AV54" s="238"/>
      <c r="AW54" s="238"/>
      <c r="AX54" s="238"/>
      <c r="AY54" s="238"/>
      <c r="AZ54" s="238"/>
      <c r="BA54" s="238"/>
      <c r="BB54" s="238"/>
      <c r="BC54" s="238"/>
      <c r="BD54" s="238"/>
      <c r="BE54" s="239" t="s">
        <v>664</v>
      </c>
      <c r="BF54" s="239">
        <v>0</v>
      </c>
      <c r="BG54" s="239">
        <v>0</v>
      </c>
      <c r="BH54" s="238"/>
      <c r="BI54" s="238"/>
      <c r="BJ54" s="238"/>
      <c r="BK54" s="238"/>
      <c r="BL54" s="238"/>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38"/>
      <c r="CN54" s="238"/>
      <c r="CO54" s="238"/>
      <c r="CP54" s="238"/>
    </row>
    <row r="55" spans="1:94" s="240" customFormat="1" ht="14.25" customHeight="1">
      <c r="A55" s="273" t="s">
        <v>668</v>
      </c>
      <c r="B55" s="30"/>
      <c r="C55" s="30"/>
      <c r="D55" s="30"/>
      <c r="E55" s="30"/>
      <c r="F55" s="30"/>
      <c r="G55" s="30"/>
      <c r="H55" s="30"/>
      <c r="I55" s="30"/>
      <c r="J55" s="30"/>
      <c r="K55" s="30"/>
      <c r="L55" s="1185">
        <f>N55*1000/3600</f>
        <v>6.0827730708433309E-3</v>
      </c>
      <c r="M55" s="1186"/>
      <c r="N55" s="1403">
        <f>W17*$X$25</f>
        <v>2.1897983055035989E-2</v>
      </c>
      <c r="O55" s="1403"/>
      <c r="P55" s="600">
        <f t="shared" ref="P55:P62" si="10">N55*365.25*24/1000</f>
        <v>0.19195771946044549</v>
      </c>
      <c r="Q55" s="30"/>
      <c r="S55" s="600"/>
      <c r="T55" s="860"/>
      <c r="U55" s="860"/>
      <c r="V55" s="30"/>
      <c r="W55" s="30"/>
      <c r="X55" s="30"/>
      <c r="Y55" s="1485"/>
      <c r="Z55" s="1485"/>
      <c r="AA55" s="30"/>
      <c r="AB55" s="30"/>
      <c r="AC55" s="1486"/>
      <c r="AD55" s="1486"/>
      <c r="AE55" s="860"/>
      <c r="AF55" s="860"/>
      <c r="AG55" s="30"/>
      <c r="AH55" s="30"/>
      <c r="AI55" s="30"/>
      <c r="AJ55" s="30"/>
      <c r="AK55" s="253"/>
      <c r="AL55" s="238"/>
      <c r="AM55" s="238"/>
      <c r="AN55" s="238"/>
      <c r="AO55" s="482"/>
      <c r="AP55" s="238"/>
      <c r="AQ55" s="238"/>
      <c r="AR55" s="238"/>
      <c r="AS55" s="238"/>
      <c r="AT55" s="238"/>
      <c r="AU55" s="238"/>
      <c r="AV55" s="238"/>
      <c r="AW55" s="238"/>
      <c r="AX55" s="238"/>
      <c r="AY55" s="238"/>
      <c r="AZ55" s="238"/>
      <c r="BA55" s="238"/>
      <c r="BB55" s="238"/>
      <c r="BC55" s="238"/>
      <c r="BD55" s="238"/>
      <c r="BE55" s="239" t="s">
        <v>669</v>
      </c>
      <c r="BF55" s="239">
        <v>0</v>
      </c>
      <c r="BG55" s="239">
        <v>1.5800000000000002E-2</v>
      </c>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38"/>
      <c r="CN55" s="238"/>
      <c r="CO55" s="238"/>
      <c r="CP55" s="238"/>
    </row>
    <row r="56" spans="1:94" s="240" customFormat="1" ht="14.25" customHeight="1">
      <c r="A56" s="273" t="s">
        <v>670</v>
      </c>
      <c r="B56" s="30"/>
      <c r="C56" s="30"/>
      <c r="D56" s="30"/>
      <c r="E56" s="30"/>
      <c r="F56" s="30"/>
      <c r="G56" s="30"/>
      <c r="H56" s="30"/>
      <c r="I56" s="30"/>
      <c r="J56" s="30"/>
      <c r="K56" s="30"/>
      <c r="L56" s="1185">
        <f>N56*1000/3600</f>
        <v>3.3097441709000475E-2</v>
      </c>
      <c r="M56" s="1186"/>
      <c r="N56" s="1403">
        <f>AC17*$X$25</f>
        <v>0.11915079015240169</v>
      </c>
      <c r="O56" s="1403"/>
      <c r="P56" s="600">
        <f t="shared" si="10"/>
        <v>1.0444758264759533</v>
      </c>
      <c r="Q56" s="30"/>
      <c r="S56" s="600"/>
      <c r="U56" s="473"/>
      <c r="V56" s="30"/>
      <c r="W56" s="30"/>
      <c r="X56" s="30"/>
      <c r="Y56" s="1485"/>
      <c r="Z56" s="1485"/>
      <c r="AA56" s="30"/>
      <c r="AB56" s="30"/>
      <c r="AC56" s="1486"/>
      <c r="AD56" s="1486"/>
      <c r="AE56" s="473"/>
      <c r="AF56" s="473"/>
      <c r="AG56" s="30"/>
      <c r="AH56" s="30"/>
      <c r="AI56" s="30"/>
      <c r="AJ56" s="30"/>
      <c r="AK56" s="253"/>
      <c r="AL56" s="238"/>
      <c r="AM56" s="238"/>
      <c r="AN56" s="238"/>
      <c r="AO56" s="482"/>
      <c r="AP56" s="238"/>
      <c r="AQ56" s="238"/>
      <c r="AR56" s="238"/>
      <c r="AS56" s="238"/>
      <c r="AT56" s="238"/>
      <c r="AU56" s="238"/>
      <c r="AV56" s="238"/>
      <c r="AW56" s="238"/>
      <c r="AX56" s="238"/>
      <c r="AY56" s="238"/>
      <c r="AZ56" s="238"/>
      <c r="BA56" s="238"/>
      <c r="BB56" s="238"/>
      <c r="BC56" s="238"/>
      <c r="BD56" s="238"/>
      <c r="BE56" s="239"/>
      <c r="BF56" s="239"/>
      <c r="BG56" s="239"/>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38"/>
      <c r="CN56" s="238"/>
      <c r="CO56" s="238"/>
      <c r="CP56" s="238"/>
    </row>
    <row r="57" spans="1:94" s="240" customFormat="1" ht="14.25" customHeight="1">
      <c r="A57" s="483" t="s">
        <v>748</v>
      </c>
      <c r="B57" s="484"/>
      <c r="C57" s="484"/>
      <c r="D57" s="484"/>
      <c r="E57" s="484"/>
      <c r="F57" s="484"/>
      <c r="G57" s="484"/>
      <c r="H57" s="484"/>
      <c r="I57" s="484"/>
      <c r="J57" s="484"/>
      <c r="K57" s="484"/>
      <c r="L57" s="1185">
        <f>N57*1000/3600</f>
        <v>2.0741599796531501E-4</v>
      </c>
      <c r="M57" s="1186"/>
      <c r="N57" s="1389">
        <f>AI17*X25</f>
        <v>7.4669759267513406E-4</v>
      </c>
      <c r="O57" s="1389"/>
      <c r="P57" s="600">
        <f t="shared" si="10"/>
        <v>6.5455510973902254E-3</v>
      </c>
      <c r="Q57" s="484"/>
      <c r="S57" s="600"/>
      <c r="T57" s="1390"/>
      <c r="U57" s="1390"/>
      <c r="V57" s="484"/>
      <c r="W57" s="484"/>
      <c r="X57" s="484"/>
      <c r="Y57" s="1483"/>
      <c r="Z57" s="1483"/>
      <c r="AA57" s="484"/>
      <c r="AB57" s="484"/>
      <c r="AC57" s="1484"/>
      <c r="AD57" s="1484"/>
      <c r="AE57" s="1390"/>
      <c r="AF57" s="1390"/>
      <c r="AG57" s="484"/>
      <c r="AH57" s="484"/>
      <c r="AI57" s="484"/>
      <c r="AJ57" s="485"/>
      <c r="AK57" s="486"/>
      <c r="AL57" s="238"/>
      <c r="AM57" s="238"/>
      <c r="AN57" s="281"/>
      <c r="AO57" s="238"/>
      <c r="AP57" s="238"/>
      <c r="AQ57" s="238"/>
      <c r="AR57" s="238"/>
      <c r="AS57" s="238"/>
      <c r="AT57" s="238"/>
      <c r="AU57" s="238"/>
      <c r="AV57" s="238"/>
      <c r="AW57" s="238"/>
      <c r="AX57" s="238"/>
      <c r="AY57" s="238"/>
      <c r="AZ57" s="238"/>
      <c r="BA57" s="238"/>
      <c r="BB57" s="238"/>
      <c r="BC57" s="238"/>
      <c r="BD57" s="238"/>
      <c r="BE57" s="239" t="s">
        <v>667</v>
      </c>
      <c r="BF57" s="239">
        <v>0</v>
      </c>
      <c r="BG57" s="239">
        <v>4.4999999999999997E-3</v>
      </c>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38"/>
      <c r="CN57" s="238"/>
      <c r="CO57" s="238"/>
      <c r="CP57" s="238"/>
    </row>
    <row r="58" spans="1:94" s="240" customFormat="1" ht="14.25" customHeight="1">
      <c r="A58" s="273" t="s">
        <v>672</v>
      </c>
      <c r="B58" s="30"/>
      <c r="C58" s="30"/>
      <c r="D58" s="30"/>
      <c r="E58" s="30"/>
      <c r="F58" s="30"/>
      <c r="G58" s="30"/>
      <c r="H58" s="30"/>
      <c r="I58" s="30"/>
      <c r="J58" s="30"/>
      <c r="K58" s="30"/>
      <c r="L58" s="1185">
        <f>N58*1000/3600</f>
        <v>1.2523356322324505E-2</v>
      </c>
      <c r="M58" s="1186"/>
      <c r="N58" s="1407">
        <f>K22*$X$25</f>
        <v>4.5084082760368217E-2</v>
      </c>
      <c r="O58" s="1407"/>
      <c r="P58" s="600">
        <f t="shared" si="10"/>
        <v>0.39520706947738782</v>
      </c>
      <c r="Q58" s="30"/>
      <c r="S58" s="600"/>
      <c r="T58" s="473"/>
      <c r="U58" s="473"/>
      <c r="V58" s="30"/>
      <c r="W58" s="30"/>
      <c r="X58" s="30"/>
      <c r="Y58" s="1485"/>
      <c r="Z58" s="1485"/>
      <c r="AA58" s="30"/>
      <c r="AB58" s="30"/>
      <c r="AC58" s="1486"/>
      <c r="AD58" s="1486"/>
      <c r="AE58" s="473"/>
      <c r="AF58" s="473"/>
      <c r="AG58" s="30"/>
      <c r="AH58" s="30"/>
      <c r="AI58" s="30"/>
      <c r="AJ58" s="30"/>
      <c r="AK58" s="253"/>
      <c r="AL58" s="238"/>
      <c r="AM58" s="238"/>
      <c r="AN58" s="238"/>
      <c r="AO58" s="482"/>
      <c r="AP58" s="238"/>
      <c r="AQ58" s="238"/>
      <c r="AR58" s="238"/>
      <c r="AS58" s="238"/>
      <c r="AT58" s="238"/>
      <c r="AU58" s="238"/>
      <c r="AV58" s="238"/>
      <c r="AW58" s="238"/>
      <c r="AX58" s="238"/>
      <c r="AY58" s="238"/>
      <c r="AZ58" s="238"/>
      <c r="BA58" s="238"/>
      <c r="BB58" s="238"/>
      <c r="BC58" s="238"/>
      <c r="BD58" s="238"/>
      <c r="BE58" s="239"/>
      <c r="BF58" s="239"/>
      <c r="BG58" s="239"/>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row>
    <row r="59" spans="1:94" s="240" customFormat="1" ht="14.25" customHeight="1">
      <c r="A59" s="273" t="s">
        <v>673</v>
      </c>
      <c r="B59" s="30"/>
      <c r="C59" s="30"/>
      <c r="D59" s="30"/>
      <c r="E59" s="30"/>
      <c r="F59" s="30"/>
      <c r="G59" s="30"/>
      <c r="H59" s="30"/>
      <c r="I59" s="30"/>
      <c r="J59" s="30"/>
      <c r="K59" s="30"/>
      <c r="L59" s="1187">
        <f>N59*1000/3600</f>
        <v>0</v>
      </c>
      <c r="M59" s="1408"/>
      <c r="N59" s="1409">
        <f>W22*$X$25</f>
        <v>0</v>
      </c>
      <c r="O59" s="1409"/>
      <c r="P59" s="601">
        <f t="shared" si="10"/>
        <v>0</v>
      </c>
      <c r="Q59" s="602"/>
      <c r="S59" s="601"/>
      <c r="T59" s="860"/>
      <c r="U59" s="860"/>
      <c r="V59" s="30"/>
      <c r="W59" s="30"/>
      <c r="X59" s="30"/>
      <c r="Y59" s="1485"/>
      <c r="Z59" s="1485"/>
      <c r="AA59" s="30"/>
      <c r="AB59" s="30"/>
      <c r="AC59" s="1486"/>
      <c r="AD59" s="1486"/>
      <c r="AE59" s="860"/>
      <c r="AF59" s="860"/>
      <c r="AG59" s="30"/>
      <c r="AH59" s="30"/>
      <c r="AI59" s="30"/>
      <c r="AJ59" s="30"/>
      <c r="AK59" s="253"/>
      <c r="AL59" s="238"/>
      <c r="AM59" s="238"/>
      <c r="AN59" s="238"/>
      <c r="AO59" s="482"/>
      <c r="AP59" s="238"/>
      <c r="AQ59" s="238"/>
      <c r="AR59" s="238"/>
      <c r="AS59" s="238"/>
      <c r="AT59" s="238"/>
      <c r="AU59" s="238"/>
      <c r="AV59" s="238"/>
      <c r="AW59" s="238"/>
      <c r="AX59" s="238"/>
      <c r="AY59" s="238"/>
      <c r="AZ59" s="238"/>
      <c r="BA59" s="238"/>
      <c r="BB59" s="238"/>
      <c r="BC59" s="238"/>
      <c r="BD59" s="238"/>
      <c r="BE59" s="239"/>
      <c r="BF59" s="239"/>
      <c r="BG59" s="239"/>
      <c r="BH59" s="238"/>
      <c r="BI59" s="238"/>
      <c r="BJ59" s="238"/>
      <c r="BK59" s="238"/>
      <c r="BL59" s="238"/>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38"/>
      <c r="CN59" s="238"/>
      <c r="CO59" s="238"/>
      <c r="CP59" s="238"/>
    </row>
    <row r="60" spans="1:94" s="240" customFormat="1" ht="14.25" customHeight="1">
      <c r="A60" s="273" t="s">
        <v>675</v>
      </c>
      <c r="B60" s="30"/>
      <c r="C60" s="30"/>
      <c r="D60" s="30"/>
      <c r="E60" s="30"/>
      <c r="F60" s="30"/>
      <c r="G60" s="30"/>
      <c r="H60" s="30"/>
      <c r="I60" s="30"/>
      <c r="J60" s="30"/>
      <c r="K60" s="30"/>
      <c r="L60" s="1187">
        <f t="shared" ref="L60:L61" si="11">N60*1000/3600</f>
        <v>0</v>
      </c>
      <c r="M60" s="1408"/>
      <c r="N60" s="1414"/>
      <c r="O60" s="1414"/>
      <c r="P60" s="601">
        <f t="shared" si="10"/>
        <v>0</v>
      </c>
      <c r="Q60" s="602"/>
      <c r="S60" s="601"/>
      <c r="T60" s="473"/>
      <c r="U60" s="473"/>
      <c r="V60" s="30"/>
      <c r="W60" s="30"/>
      <c r="X60" s="30"/>
      <c r="Y60" s="1485"/>
      <c r="Z60" s="1485"/>
      <c r="AA60" s="30"/>
      <c r="AB60" s="30"/>
      <c r="AC60" s="1486"/>
      <c r="AD60" s="1486"/>
      <c r="AE60" s="473"/>
      <c r="AF60" s="473"/>
      <c r="AG60" s="30"/>
      <c r="AH60" s="30"/>
      <c r="AI60" s="30"/>
      <c r="AJ60" s="30"/>
      <c r="AK60" s="253"/>
      <c r="AL60" s="238"/>
      <c r="AM60" s="238"/>
      <c r="AN60" s="238"/>
      <c r="AO60" s="482"/>
      <c r="AP60" s="238"/>
      <c r="AQ60" s="238"/>
      <c r="AR60" s="238"/>
      <c r="AS60" s="238"/>
      <c r="AT60" s="238"/>
      <c r="AU60" s="238"/>
      <c r="AV60" s="238"/>
      <c r="AW60" s="238"/>
      <c r="AX60" s="238"/>
      <c r="AY60" s="238"/>
      <c r="AZ60" s="238"/>
      <c r="BA60" s="238"/>
      <c r="BB60" s="238"/>
      <c r="BC60" s="238"/>
      <c r="BD60" s="238"/>
      <c r="BE60" s="239"/>
      <c r="BF60" s="239"/>
      <c r="BG60" s="239"/>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row>
    <row r="61" spans="1:94" s="240" customFormat="1" ht="14.25" customHeight="1">
      <c r="A61" s="273" t="s">
        <v>676</v>
      </c>
      <c r="B61" s="30"/>
      <c r="C61" s="30"/>
      <c r="D61" s="30"/>
      <c r="E61" s="30"/>
      <c r="F61" s="30"/>
      <c r="G61" s="30"/>
      <c r="H61" s="30"/>
      <c r="I61" s="30"/>
      <c r="J61" s="30"/>
      <c r="K61" s="30"/>
      <c r="L61" s="1187">
        <f t="shared" si="11"/>
        <v>0</v>
      </c>
      <c r="M61" s="1408"/>
      <c r="N61" s="1414"/>
      <c r="O61" s="1414"/>
      <c r="P61" s="601">
        <f t="shared" si="10"/>
        <v>0</v>
      </c>
      <c r="Q61" s="602"/>
      <c r="S61" s="601"/>
      <c r="T61" s="30"/>
      <c r="U61" s="30"/>
      <c r="V61" s="30"/>
      <c r="W61" s="30"/>
      <c r="X61" s="30"/>
      <c r="Y61" s="1485"/>
      <c r="Z61" s="1485"/>
      <c r="AA61" s="30"/>
      <c r="AB61" s="30"/>
      <c r="AC61" s="1486"/>
      <c r="AD61" s="1486"/>
      <c r="AE61" s="30"/>
      <c r="AF61" s="30"/>
      <c r="AG61" s="30"/>
      <c r="AH61" s="30"/>
      <c r="AI61" s="30"/>
      <c r="AJ61" s="30"/>
      <c r="AK61" s="253"/>
      <c r="AL61" s="238"/>
      <c r="AM61" s="238"/>
      <c r="AN61" s="238"/>
      <c r="AO61" s="281"/>
      <c r="AP61" s="238"/>
      <c r="AQ61" s="238"/>
      <c r="AR61" s="238"/>
      <c r="AS61" s="238"/>
      <c r="AT61" s="238"/>
      <c r="AU61" s="238"/>
      <c r="AV61" s="238"/>
      <c r="AW61" s="238"/>
      <c r="AX61" s="238"/>
      <c r="AY61" s="238"/>
      <c r="AZ61" s="238"/>
      <c r="BA61" s="238"/>
      <c r="BB61" s="238"/>
      <c r="BC61" s="238"/>
      <c r="BD61" s="238"/>
      <c r="BE61" s="239"/>
      <c r="BF61" s="239"/>
      <c r="BG61" s="239"/>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row>
    <row r="62" spans="1:94" s="240" customFormat="1" ht="14.25" customHeight="1">
      <c r="A62" s="273" t="s">
        <v>677</v>
      </c>
      <c r="B62" s="30"/>
      <c r="C62" s="30"/>
      <c r="D62" s="30"/>
      <c r="E62" s="30"/>
      <c r="F62" s="30"/>
      <c r="G62" s="30"/>
      <c r="H62" s="30"/>
      <c r="I62" s="30"/>
      <c r="J62" s="30"/>
      <c r="K62" s="30"/>
      <c r="L62" s="1436">
        <f>N62*1000/3600</f>
        <v>154.98780344275497</v>
      </c>
      <c r="M62" s="1437"/>
      <c r="N62" s="1438">
        <f>X25*CO2eEF!I28</f>
        <v>557.95609239391786</v>
      </c>
      <c r="O62" s="1438"/>
      <c r="P62" s="603">
        <f t="shared" si="10"/>
        <v>4891.0431059250841</v>
      </c>
      <c r="Q62" s="284"/>
      <c r="S62" s="604"/>
      <c r="T62" s="284"/>
      <c r="U62" s="284"/>
      <c r="V62" s="284"/>
      <c r="W62" s="284"/>
      <c r="X62" s="284"/>
      <c r="Y62" s="1487"/>
      <c r="Z62" s="1487"/>
      <c r="AA62" s="593"/>
      <c r="AB62" s="594"/>
      <c r="AC62" s="1488"/>
      <c r="AD62" s="1488"/>
      <c r="AE62" s="30"/>
      <c r="AF62" s="30"/>
      <c r="AG62" s="30"/>
      <c r="AH62" s="30"/>
      <c r="AI62" s="30"/>
      <c r="AJ62" s="30"/>
      <c r="AK62" s="253"/>
      <c r="AL62" s="238"/>
      <c r="AM62" s="238"/>
      <c r="AN62" s="238"/>
      <c r="AO62" s="281"/>
      <c r="AP62" s="238"/>
      <c r="AQ62" s="238"/>
      <c r="AR62" s="238"/>
      <c r="AS62" s="238"/>
      <c r="AT62" s="238"/>
      <c r="AU62" s="238"/>
      <c r="AV62" s="238"/>
      <c r="AW62" s="238"/>
      <c r="AX62" s="238"/>
      <c r="AY62" s="238"/>
      <c r="AZ62" s="238"/>
      <c r="BA62" s="238"/>
      <c r="BB62" s="238"/>
      <c r="BC62" s="238"/>
      <c r="BD62" s="238"/>
      <c r="BE62" s="239"/>
      <c r="BF62" s="239"/>
      <c r="BG62" s="239"/>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row>
    <row r="63" spans="1:94" s="240" customFormat="1" ht="14.25" customHeight="1">
      <c r="A63" s="279" t="s">
        <v>749</v>
      </c>
      <c r="B63" s="132"/>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c r="AJ63" s="132"/>
      <c r="AK63" s="280"/>
      <c r="AL63" s="238"/>
      <c r="AM63" s="238"/>
      <c r="AN63" s="238"/>
      <c r="AO63" s="281"/>
      <c r="AP63" s="238"/>
      <c r="AQ63" s="238"/>
      <c r="AR63" s="238"/>
      <c r="AS63" s="238"/>
      <c r="AT63" s="238"/>
      <c r="AU63" s="238"/>
      <c r="AV63" s="238"/>
      <c r="AW63" s="238"/>
      <c r="AX63" s="238"/>
      <c r="AY63" s="238"/>
      <c r="AZ63" s="238"/>
      <c r="BA63" s="238"/>
      <c r="BB63" s="238"/>
      <c r="BC63" s="238"/>
      <c r="BD63" s="238"/>
      <c r="BE63" s="239"/>
      <c r="BF63" s="239"/>
      <c r="BG63" s="239"/>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row>
    <row r="64" spans="1:94" s="240" customFormat="1" ht="14.25" customHeight="1">
      <c r="A64" s="282" t="s">
        <v>31</v>
      </c>
      <c r="B64" s="30" t="s">
        <v>750</v>
      </c>
      <c r="C64" s="30"/>
      <c r="D64" s="30"/>
      <c r="E64" s="30"/>
      <c r="F64" s="30"/>
      <c r="G64" s="30"/>
      <c r="H64" s="30"/>
      <c r="I64" s="30"/>
      <c r="J64" s="30"/>
      <c r="K64" s="30"/>
      <c r="L64" s="30"/>
      <c r="M64" s="30"/>
      <c r="N64" s="283"/>
      <c r="O64" s="283"/>
      <c r="P64" s="283"/>
      <c r="Q64" s="30"/>
      <c r="R64" s="30"/>
      <c r="S64" s="30"/>
      <c r="T64" s="30"/>
      <c r="U64" s="30"/>
      <c r="V64" s="30"/>
      <c r="W64" s="30"/>
      <c r="X64" s="30"/>
      <c r="Y64" s="30"/>
      <c r="Z64" s="30"/>
      <c r="AA64" s="30"/>
      <c r="AB64" s="30"/>
      <c r="AC64" s="30"/>
      <c r="AD64" s="30"/>
      <c r="AE64" s="30"/>
      <c r="AF64" s="30"/>
      <c r="AG64" s="30"/>
      <c r="AH64" s="30"/>
      <c r="AI64" s="30"/>
      <c r="AJ64" s="30"/>
      <c r="AK64" s="253"/>
      <c r="AL64" s="238"/>
      <c r="AM64" s="238"/>
      <c r="AN64" s="238"/>
      <c r="AO64" s="238"/>
      <c r="AP64" s="238"/>
      <c r="AQ64" s="238"/>
      <c r="AR64" s="238"/>
      <c r="AS64" s="238"/>
      <c r="AT64" s="238"/>
      <c r="AU64" s="238"/>
      <c r="AV64" s="238"/>
      <c r="AW64" s="238"/>
      <c r="AX64" s="238"/>
      <c r="AY64" s="238"/>
      <c r="AZ64" s="238"/>
      <c r="BA64" s="238"/>
      <c r="BB64" s="238"/>
      <c r="BC64" s="238"/>
      <c r="BD64" s="238"/>
      <c r="BE64" s="239" t="s">
        <v>679</v>
      </c>
      <c r="BF64" s="239">
        <v>0</v>
      </c>
      <c r="BG64" s="239">
        <v>0</v>
      </c>
      <c r="BH64" s="238"/>
      <c r="BI64" s="238"/>
      <c r="BJ64" s="238"/>
      <c r="BK64" s="238"/>
      <c r="BL64" s="238"/>
      <c r="BM64" s="238"/>
      <c r="BN64" s="238"/>
      <c r="BO64" s="238"/>
      <c r="BP64" s="238"/>
      <c r="BQ64" s="238"/>
      <c r="BR64" s="238"/>
      <c r="BS64" s="238"/>
      <c r="BT64" s="238"/>
      <c r="BU64" s="238"/>
      <c r="BV64" s="238"/>
      <c r="BW64" s="238"/>
      <c r="BX64" s="238"/>
      <c r="BY64" s="238"/>
      <c r="BZ64" s="238"/>
      <c r="CA64" s="238"/>
      <c r="CB64" s="238"/>
      <c r="CC64" s="238"/>
      <c r="CD64" s="238"/>
      <c r="CE64" s="238"/>
      <c r="CF64" s="238"/>
      <c r="CG64" s="238"/>
      <c r="CH64" s="238"/>
      <c r="CI64" s="238"/>
      <c r="CJ64" s="238"/>
      <c r="CK64" s="238"/>
      <c r="CL64" s="238"/>
      <c r="CM64" s="238"/>
      <c r="CN64" s="238"/>
      <c r="CO64" s="238"/>
      <c r="CP64" s="238"/>
    </row>
    <row r="65" spans="1:94" ht="14.25" customHeight="1">
      <c r="A65" s="282" t="s">
        <v>33</v>
      </c>
      <c r="B65" s="31" t="s">
        <v>751</v>
      </c>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6"/>
      <c r="AL65" s="243"/>
      <c r="AM65" s="243"/>
      <c r="AN65" s="243"/>
      <c r="AO65" s="243"/>
      <c r="AP65" s="243"/>
      <c r="AQ65" s="243"/>
      <c r="AR65" s="243"/>
      <c r="AS65" s="243"/>
      <c r="AT65" s="243"/>
      <c r="AU65" s="243"/>
      <c r="AV65" s="243"/>
      <c r="AW65" s="243"/>
      <c r="AX65" s="243"/>
      <c r="AY65" s="243"/>
      <c r="AZ65" s="243"/>
      <c r="BA65" s="243"/>
      <c r="BB65" s="243"/>
      <c r="BC65" s="243"/>
      <c r="BD65" s="243"/>
      <c r="BE65" s="246" t="s">
        <v>681</v>
      </c>
      <c r="BF65" s="246">
        <v>0</v>
      </c>
      <c r="BG65" s="246">
        <v>0</v>
      </c>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c r="CM65" s="243"/>
      <c r="CN65" s="243"/>
      <c r="CO65" s="243"/>
      <c r="CP65" s="243"/>
    </row>
    <row r="66" spans="1:94" ht="14.25" customHeight="1">
      <c r="A66" s="282" t="s">
        <v>752</v>
      </c>
      <c r="B66" s="30" t="s">
        <v>753</v>
      </c>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6"/>
      <c r="AL66" s="243"/>
      <c r="AM66" s="243"/>
      <c r="AN66" s="243"/>
      <c r="AO66" s="243"/>
      <c r="AP66" s="243"/>
      <c r="AQ66" s="243"/>
      <c r="AR66" s="243"/>
      <c r="AS66" s="243"/>
      <c r="AT66" s="243"/>
      <c r="AU66" s="243"/>
      <c r="AV66" s="243"/>
      <c r="AW66" s="243"/>
      <c r="AX66" s="243"/>
      <c r="AY66" s="243"/>
      <c r="AZ66" s="243"/>
      <c r="BA66" s="243"/>
      <c r="BB66" s="243"/>
      <c r="BC66" s="243"/>
      <c r="BD66" s="243"/>
      <c r="BE66" s="246" t="s">
        <v>684</v>
      </c>
      <c r="BF66" s="246">
        <v>0</v>
      </c>
      <c r="BG66" s="246">
        <v>0</v>
      </c>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row>
    <row r="67" spans="1:94" ht="14.25" customHeight="1">
      <c r="A67" s="282" t="s">
        <v>38</v>
      </c>
      <c r="B67" s="31" t="s">
        <v>725</v>
      </c>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6"/>
      <c r="AL67" s="243"/>
      <c r="AM67" s="243"/>
      <c r="AN67" s="243"/>
      <c r="AO67" s="243"/>
      <c r="AP67" s="243"/>
      <c r="AQ67" s="243"/>
      <c r="AR67" s="243"/>
      <c r="AS67" s="243"/>
      <c r="AT67" s="243"/>
      <c r="AU67" s="243"/>
      <c r="AV67" s="243"/>
      <c r="AW67" s="243"/>
      <c r="AX67" s="243"/>
      <c r="AY67" s="243"/>
      <c r="AZ67" s="243"/>
      <c r="BA67" s="243"/>
      <c r="BB67" s="243"/>
      <c r="BC67" s="243"/>
      <c r="BD67" s="243"/>
      <c r="BE67" s="246"/>
      <c r="BF67" s="246"/>
      <c r="BG67" s="246"/>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c r="CM67" s="243"/>
      <c r="CN67" s="243"/>
      <c r="CO67" s="243"/>
      <c r="CP67" s="243"/>
    </row>
    <row r="68" spans="1:94" ht="13.15" customHeight="1">
      <c r="A68" s="282" t="s">
        <v>41</v>
      </c>
      <c r="B68" s="284" t="s">
        <v>726</v>
      </c>
      <c r="C68" s="487"/>
      <c r="D68" s="487"/>
      <c r="E68" s="487"/>
      <c r="F68" s="487"/>
      <c r="G68" s="487"/>
      <c r="H68" s="487"/>
      <c r="I68" s="487"/>
      <c r="J68" s="487"/>
      <c r="K68" s="487"/>
      <c r="L68" s="487"/>
      <c r="M68" s="487"/>
      <c r="N68" s="487"/>
      <c r="O68" s="487"/>
      <c r="P68" s="487"/>
      <c r="Q68" s="487"/>
      <c r="R68" s="487"/>
      <c r="S68" s="487"/>
      <c r="T68" s="487"/>
      <c r="U68" s="487"/>
      <c r="V68" s="487"/>
      <c r="W68" s="487"/>
      <c r="X68" s="487"/>
      <c r="Y68" s="487"/>
      <c r="Z68" s="487"/>
      <c r="AA68" s="487"/>
      <c r="AB68" s="487"/>
      <c r="AC68" s="487"/>
      <c r="AD68" s="487"/>
      <c r="AE68" s="487"/>
      <c r="AF68" s="487"/>
      <c r="AG68" s="487"/>
      <c r="AH68" s="487"/>
      <c r="AI68" s="487"/>
      <c r="AJ68" s="487"/>
      <c r="AK68" s="488"/>
      <c r="AL68" s="243"/>
      <c r="AM68" s="243"/>
      <c r="AN68" s="243"/>
      <c r="AO68" s="243"/>
      <c r="AP68" s="243"/>
      <c r="AQ68" s="243"/>
      <c r="AR68" s="243"/>
      <c r="AS68" s="243"/>
      <c r="AT68" s="243"/>
      <c r="AU68" s="243"/>
      <c r="AV68" s="243"/>
      <c r="AW68" s="243"/>
      <c r="AX68" s="243"/>
      <c r="AY68" s="243"/>
      <c r="AZ68" s="243"/>
      <c r="BA68" s="243"/>
      <c r="BB68" s="243"/>
      <c r="BC68" s="243"/>
      <c r="BD68" s="243"/>
      <c r="BE68" s="246" t="s">
        <v>686</v>
      </c>
      <c r="BF68" s="246">
        <v>0</v>
      </c>
      <c r="BG68" s="246">
        <v>0</v>
      </c>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c r="CM68" s="243"/>
      <c r="CN68" s="243"/>
      <c r="CO68" s="243"/>
      <c r="CP68" s="243"/>
    </row>
    <row r="69" spans="1:94">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9"/>
      <c r="AL69" s="289"/>
      <c r="AM69" s="289"/>
      <c r="AN69" s="289"/>
      <c r="AO69" s="289"/>
      <c r="AP69" s="289"/>
      <c r="AQ69" s="289"/>
      <c r="AR69" s="243"/>
      <c r="AS69" s="243"/>
      <c r="AT69" s="243"/>
      <c r="AU69" s="243"/>
      <c r="AV69" s="243"/>
      <c r="AW69" s="243"/>
      <c r="AX69" s="243"/>
      <c r="AY69" s="243"/>
      <c r="AZ69" s="243"/>
      <c r="BA69" s="243"/>
      <c r="BB69" s="243"/>
      <c r="BC69" s="243"/>
      <c r="BD69" s="243"/>
      <c r="BE69" s="246" t="s">
        <v>690</v>
      </c>
      <c r="BF69" s="246">
        <v>2.9999999999999997E-4</v>
      </c>
      <c r="BG69" s="246">
        <v>0</v>
      </c>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row>
    <row r="70" spans="1:94">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9"/>
      <c r="AL70" s="289"/>
      <c r="AM70" s="289"/>
      <c r="AN70" s="289"/>
      <c r="AO70" s="289"/>
      <c r="AP70" s="289"/>
      <c r="AQ70" s="289"/>
      <c r="AR70" s="243"/>
      <c r="AS70" s="243"/>
      <c r="AT70" s="243"/>
      <c r="AU70" s="243"/>
      <c r="AV70" s="243"/>
      <c r="AW70" s="243"/>
      <c r="AX70" s="243"/>
      <c r="AY70" s="243"/>
      <c r="AZ70" s="243"/>
      <c r="BA70" s="243"/>
      <c r="BB70" s="243"/>
      <c r="BC70" s="243"/>
      <c r="BD70" s="243"/>
      <c r="BE70" s="246" t="s">
        <v>691</v>
      </c>
      <c r="BF70" s="246">
        <v>0</v>
      </c>
      <c r="BG70" s="246">
        <v>0</v>
      </c>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row>
    <row r="71" spans="1:94">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9"/>
      <c r="AL71" s="289"/>
      <c r="AM71" s="289"/>
      <c r="AN71" s="289"/>
      <c r="AO71" s="289"/>
      <c r="AP71" s="289"/>
      <c r="AQ71" s="289"/>
      <c r="AR71" s="243"/>
      <c r="AS71" s="243"/>
      <c r="AT71" s="243"/>
      <c r="AU71" s="243"/>
      <c r="AV71" s="243"/>
      <c r="AW71" s="243"/>
      <c r="AX71" s="243"/>
      <c r="AY71" s="243"/>
      <c r="AZ71" s="243"/>
      <c r="BA71" s="243"/>
      <c r="BB71" s="243"/>
      <c r="BC71" s="243"/>
      <c r="BD71" s="243"/>
      <c r="BE71" s="246" t="s">
        <v>692</v>
      </c>
      <c r="BF71" s="246">
        <v>0</v>
      </c>
      <c r="BG71" s="246">
        <v>0</v>
      </c>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row>
    <row r="72" spans="1:94">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9"/>
      <c r="AL72" s="289"/>
      <c r="AM72" s="289"/>
      <c r="AN72" s="289"/>
      <c r="AO72" s="289"/>
      <c r="AP72" s="289"/>
      <c r="AQ72" s="289"/>
      <c r="AR72" s="243"/>
      <c r="AS72" s="243"/>
      <c r="AT72" s="243"/>
      <c r="AU72" s="243"/>
      <c r="AV72" s="243"/>
      <c r="AW72" s="243"/>
      <c r="AX72" s="243"/>
      <c r="AY72" s="243"/>
      <c r="AZ72" s="243"/>
      <c r="BA72" s="243"/>
      <c r="BB72" s="243"/>
      <c r="BC72" s="243"/>
      <c r="BD72" s="243"/>
      <c r="BE72" s="246" t="s">
        <v>693</v>
      </c>
      <c r="BF72" s="246">
        <v>0</v>
      </c>
      <c r="BG72" s="246">
        <v>0</v>
      </c>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row>
    <row r="73" spans="1:94">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9"/>
      <c r="AL73" s="289"/>
      <c r="AM73" s="289"/>
      <c r="AN73" s="289"/>
      <c r="AO73" s="289"/>
      <c r="AP73" s="289"/>
      <c r="AQ73" s="289"/>
      <c r="AR73" s="243"/>
      <c r="AS73" s="243"/>
      <c r="AT73" s="243"/>
      <c r="AU73" s="243"/>
      <c r="AV73" s="243"/>
      <c r="AW73" s="243"/>
      <c r="AX73" s="243"/>
      <c r="AY73" s="243"/>
      <c r="AZ73" s="243"/>
      <c r="BA73" s="243"/>
      <c r="BB73" s="243"/>
      <c r="BC73" s="243"/>
      <c r="BD73" s="243"/>
      <c r="BE73" s="246" t="s">
        <v>694</v>
      </c>
      <c r="BF73" s="246">
        <v>0</v>
      </c>
      <c r="BG73" s="246">
        <v>0</v>
      </c>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243"/>
      <c r="CO73" s="243"/>
      <c r="CP73" s="243"/>
    </row>
    <row r="74" spans="1:94">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9"/>
      <c r="AL74" s="289"/>
      <c r="AM74" s="289"/>
      <c r="AN74" s="289"/>
      <c r="AO74" s="289"/>
      <c r="AP74" s="289"/>
      <c r="AQ74" s="289"/>
      <c r="AR74" s="243"/>
      <c r="AS74" s="243"/>
      <c r="AT74" s="243"/>
      <c r="AU74" s="243"/>
      <c r="AV74" s="243"/>
      <c r="AW74" s="243"/>
      <c r="AX74" s="243"/>
      <c r="AY74" s="243"/>
      <c r="AZ74" s="243"/>
      <c r="BA74" s="243"/>
      <c r="BB74" s="243"/>
      <c r="BC74" s="243"/>
      <c r="BD74" s="243"/>
      <c r="BE74" s="246" t="s">
        <v>695</v>
      </c>
      <c r="BF74" s="246">
        <v>0</v>
      </c>
      <c r="BG74" s="246">
        <v>0</v>
      </c>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row>
    <row r="75" spans="1:94">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9"/>
      <c r="AL75" s="289"/>
      <c r="AM75" s="289"/>
      <c r="AN75" s="289"/>
      <c r="AO75" s="289"/>
      <c r="AP75" s="289"/>
      <c r="AQ75" s="289"/>
      <c r="AR75" s="243"/>
      <c r="AS75" s="243"/>
      <c r="AT75" s="243"/>
      <c r="AU75" s="243"/>
      <c r="AV75" s="243"/>
      <c r="AW75" s="243"/>
      <c r="AX75" s="243"/>
      <c r="AY75" s="243"/>
      <c r="AZ75" s="243"/>
      <c r="BA75" s="243"/>
      <c r="BB75" s="243"/>
      <c r="BC75" s="243"/>
      <c r="BD75" s="243"/>
      <c r="BE75" s="246" t="s">
        <v>696</v>
      </c>
      <c r="BF75" s="246">
        <v>0</v>
      </c>
      <c r="BG75" s="246">
        <v>0</v>
      </c>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row>
    <row r="76" spans="1:94">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8"/>
      <c r="AH76" s="288"/>
      <c r="AI76" s="288"/>
      <c r="AJ76" s="288"/>
      <c r="AK76" s="289"/>
      <c r="AL76" s="289"/>
      <c r="AM76" s="289"/>
      <c r="AN76" s="289"/>
      <c r="AO76" s="289"/>
      <c r="AP76" s="289"/>
      <c r="AQ76" s="289"/>
      <c r="AR76" s="243"/>
      <c r="AS76" s="243"/>
      <c r="AT76" s="243"/>
      <c r="AU76" s="243"/>
      <c r="AV76" s="243"/>
      <c r="AW76" s="243"/>
      <c r="AX76" s="243"/>
      <c r="AY76" s="243"/>
      <c r="AZ76" s="243"/>
      <c r="BA76" s="243"/>
      <c r="BB76" s="243"/>
      <c r="BC76" s="243"/>
      <c r="BD76" s="243"/>
      <c r="BE76" s="246" t="s">
        <v>697</v>
      </c>
      <c r="BF76" s="246">
        <v>0</v>
      </c>
      <c r="BG76" s="246">
        <v>0</v>
      </c>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c r="CM76" s="243"/>
      <c r="CN76" s="243"/>
      <c r="CO76" s="243"/>
      <c r="CP76" s="243"/>
    </row>
    <row r="77" spans="1:94" s="290" customForma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9"/>
      <c r="AL77" s="289"/>
      <c r="AM77" s="289"/>
      <c r="AN77" s="289"/>
      <c r="AO77" s="289"/>
      <c r="AP77" s="289"/>
      <c r="AQ77" s="289"/>
      <c r="AR77" s="243"/>
      <c r="AS77" s="243"/>
      <c r="AT77" s="243"/>
      <c r="AU77" s="243"/>
      <c r="AV77" s="243"/>
      <c r="AW77" s="243"/>
      <c r="AX77" s="243"/>
      <c r="AY77" s="243"/>
      <c r="AZ77" s="243"/>
      <c r="BA77" s="243"/>
      <c r="BB77" s="243"/>
      <c r="BC77" s="243"/>
      <c r="BD77" s="243"/>
      <c r="BE77" s="246" t="s">
        <v>431</v>
      </c>
      <c r="BF77" s="246">
        <v>1E-4</v>
      </c>
      <c r="BG77" s="246">
        <v>0.17530000000000001</v>
      </c>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c r="CM77" s="243"/>
      <c r="CN77" s="243"/>
      <c r="CO77" s="243"/>
      <c r="CP77" s="243"/>
    </row>
    <row r="78" spans="1:94" s="290" customForma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9"/>
      <c r="AL78" s="289"/>
      <c r="AM78" s="289"/>
      <c r="AN78" s="289"/>
      <c r="AO78" s="289"/>
      <c r="AP78" s="289"/>
      <c r="AQ78" s="289"/>
      <c r="AR78" s="243"/>
      <c r="AS78" s="243"/>
      <c r="AT78" s="243"/>
      <c r="AU78" s="243"/>
      <c r="AV78" s="243"/>
      <c r="AW78" s="243"/>
      <c r="AX78" s="243"/>
      <c r="AY78" s="243"/>
      <c r="AZ78" s="243"/>
      <c r="BA78" s="243"/>
      <c r="BB78" s="243"/>
      <c r="BC78" s="243"/>
      <c r="BD78" s="243"/>
      <c r="BE78" s="243"/>
      <c r="BF78" s="246"/>
      <c r="BG78" s="246"/>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c r="CM78" s="243"/>
      <c r="CN78" s="243"/>
      <c r="CO78" s="243"/>
      <c r="CP78" s="243"/>
    </row>
    <row r="79" spans="1:94" s="290" customForma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9"/>
      <c r="AL79" s="289"/>
      <c r="AM79" s="289"/>
      <c r="AN79" s="289"/>
      <c r="AO79" s="289"/>
      <c r="AP79" s="289"/>
      <c r="AQ79" s="289"/>
      <c r="AR79" s="243"/>
      <c r="AS79" s="243"/>
      <c r="AT79" s="243"/>
      <c r="AU79" s="243"/>
      <c r="AV79" s="243"/>
      <c r="AW79" s="243"/>
      <c r="AX79" s="243"/>
      <c r="AY79" s="243"/>
      <c r="AZ79" s="243"/>
      <c r="BA79" s="243"/>
      <c r="BB79" s="243"/>
      <c r="BC79" s="243"/>
      <c r="BD79" s="243"/>
      <c r="BE79" s="243"/>
      <c r="BF79" s="246"/>
      <c r="BG79" s="246"/>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c r="CM79" s="243"/>
      <c r="CN79" s="243"/>
      <c r="CO79" s="243"/>
      <c r="CP79" s="243"/>
    </row>
    <row r="80" spans="1:94" s="290" customForma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9"/>
      <c r="AL80" s="289"/>
      <c r="AM80" s="289"/>
      <c r="AN80" s="289"/>
      <c r="AO80" s="289"/>
      <c r="AP80" s="289"/>
      <c r="AQ80" s="289"/>
      <c r="AR80" s="243"/>
      <c r="AS80" s="243"/>
      <c r="AT80" s="243"/>
      <c r="AU80" s="243"/>
      <c r="AV80" s="243"/>
      <c r="AW80" s="243"/>
      <c r="AX80" s="243"/>
      <c r="AY80" s="243"/>
      <c r="AZ80" s="243"/>
      <c r="BA80" s="243"/>
      <c r="BB80" s="243"/>
      <c r="BC80" s="243"/>
      <c r="BD80" s="243"/>
      <c r="BE80" s="243"/>
      <c r="BF80" s="246"/>
      <c r="BG80" s="246"/>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c r="CM80" s="243"/>
      <c r="CN80" s="243"/>
      <c r="CO80" s="243"/>
      <c r="CP80" s="243"/>
    </row>
    <row r="81" spans="1:94" s="290" customForma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9"/>
      <c r="AL81" s="289"/>
      <c r="AM81" s="289"/>
      <c r="AN81" s="289"/>
      <c r="AO81" s="289"/>
      <c r="AP81" s="289"/>
      <c r="AQ81" s="289"/>
      <c r="AR81" s="243"/>
      <c r="AS81" s="243"/>
      <c r="AT81" s="243"/>
      <c r="AU81" s="243"/>
      <c r="AV81" s="243"/>
      <c r="AW81" s="243"/>
      <c r="AX81" s="243"/>
      <c r="AY81" s="243"/>
      <c r="AZ81" s="243"/>
      <c r="BA81" s="243"/>
      <c r="BB81" s="243"/>
      <c r="BC81" s="243"/>
      <c r="BD81" s="243"/>
      <c r="BE81" s="243"/>
      <c r="BF81" s="246"/>
      <c r="BG81" s="246"/>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c r="CM81" s="243"/>
      <c r="CN81" s="243"/>
      <c r="CO81" s="243"/>
      <c r="CP81" s="243"/>
    </row>
    <row r="82" spans="1:94" s="290" customForma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9"/>
      <c r="AL82" s="289"/>
      <c r="AM82" s="289"/>
      <c r="AN82" s="289"/>
      <c r="AO82" s="289"/>
      <c r="AP82" s="289"/>
      <c r="AQ82" s="289"/>
      <c r="AR82" s="243"/>
      <c r="AS82" s="243"/>
      <c r="AT82" s="243"/>
      <c r="AU82" s="243"/>
      <c r="AV82" s="243"/>
      <c r="AW82" s="243"/>
      <c r="AX82" s="243"/>
      <c r="AY82" s="243"/>
      <c r="AZ82" s="243"/>
      <c r="BA82" s="243"/>
      <c r="BB82" s="243"/>
      <c r="BC82" s="243"/>
      <c r="BD82" s="243"/>
      <c r="BE82" s="243"/>
      <c r="BF82" s="246"/>
      <c r="BG82" s="246"/>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c r="CM82" s="243"/>
      <c r="CN82" s="243"/>
      <c r="CO82" s="243"/>
      <c r="CP82" s="243"/>
    </row>
    <row r="83" spans="1:94" s="290" customForma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9"/>
      <c r="AL83" s="289"/>
      <c r="AM83" s="289"/>
      <c r="AN83" s="289"/>
      <c r="AO83" s="289"/>
      <c r="AP83" s="289"/>
      <c r="AQ83" s="289"/>
      <c r="AR83" s="243"/>
      <c r="AS83" s="243"/>
      <c r="AT83" s="243"/>
      <c r="AU83" s="243"/>
      <c r="AV83" s="243"/>
      <c r="AW83" s="243"/>
      <c r="AX83" s="243"/>
      <c r="AY83" s="243"/>
      <c r="AZ83" s="243"/>
      <c r="BA83" s="243"/>
      <c r="BB83" s="243"/>
      <c r="BC83" s="243"/>
      <c r="BD83" s="243"/>
      <c r="BE83" s="243"/>
      <c r="BF83" s="246"/>
      <c r="BG83" s="246"/>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c r="CM83" s="243"/>
      <c r="CN83" s="243"/>
      <c r="CO83" s="243"/>
      <c r="CP83" s="243"/>
    </row>
    <row r="84" spans="1:94" s="290" customForma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9"/>
      <c r="AL84" s="289"/>
      <c r="AM84" s="289"/>
      <c r="AN84" s="289"/>
      <c r="AO84" s="289"/>
      <c r="AP84" s="289"/>
      <c r="AQ84" s="289"/>
      <c r="AR84" s="243"/>
      <c r="AS84" s="243"/>
      <c r="AT84" s="243"/>
      <c r="AU84" s="243"/>
      <c r="AV84" s="243"/>
      <c r="AW84" s="243"/>
      <c r="AX84" s="243"/>
      <c r="AY84" s="243"/>
      <c r="AZ84" s="243"/>
      <c r="BA84" s="243"/>
      <c r="BB84" s="243"/>
      <c r="BC84" s="243"/>
      <c r="BD84" s="243"/>
      <c r="BE84" s="243"/>
      <c r="BF84" s="246"/>
      <c r="BG84" s="246"/>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c r="CM84" s="243"/>
      <c r="CN84" s="243"/>
      <c r="CO84" s="243"/>
      <c r="CP84" s="243"/>
    </row>
    <row r="85" spans="1:94" s="290" customForma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9"/>
      <c r="AL85" s="289"/>
      <c r="AM85" s="289"/>
      <c r="AN85" s="289"/>
      <c r="AO85" s="289"/>
      <c r="AP85" s="289"/>
      <c r="AQ85" s="289"/>
      <c r="AR85" s="243"/>
      <c r="AS85" s="243"/>
      <c r="AT85" s="243"/>
      <c r="AU85" s="243"/>
      <c r="AV85" s="243"/>
      <c r="AW85" s="243"/>
      <c r="AX85" s="243"/>
      <c r="AY85" s="243"/>
      <c r="AZ85" s="243"/>
      <c r="BA85" s="243"/>
      <c r="BB85" s="243"/>
      <c r="BC85" s="243"/>
      <c r="BD85" s="243"/>
      <c r="BE85" s="243"/>
      <c r="BF85" s="246"/>
      <c r="BG85" s="246"/>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c r="CM85" s="243"/>
      <c r="CN85" s="243"/>
      <c r="CO85" s="243"/>
      <c r="CP85" s="243"/>
    </row>
    <row r="86" spans="1:94" s="290" customForma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9"/>
      <c r="AL86" s="289"/>
      <c r="AM86" s="289"/>
      <c r="AN86" s="289"/>
      <c r="AO86" s="289"/>
      <c r="AP86" s="289"/>
      <c r="AQ86" s="289"/>
      <c r="AR86" s="243"/>
      <c r="AS86" s="243"/>
      <c r="AT86" s="243"/>
      <c r="AU86" s="243"/>
      <c r="AV86" s="243"/>
      <c r="AW86" s="243"/>
      <c r="AX86" s="243"/>
      <c r="AY86" s="243"/>
      <c r="AZ86" s="243"/>
      <c r="BA86" s="243"/>
      <c r="BB86" s="243"/>
      <c r="BC86" s="243"/>
      <c r="BD86" s="243"/>
      <c r="BE86" s="243"/>
      <c r="BF86" s="246"/>
      <c r="BG86" s="246"/>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row>
    <row r="87" spans="1:94" s="290" customForma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9"/>
      <c r="AL87" s="289"/>
      <c r="AM87" s="289"/>
      <c r="AN87" s="289"/>
      <c r="AO87" s="289"/>
      <c r="AP87" s="289"/>
      <c r="AQ87" s="289"/>
      <c r="AR87" s="243"/>
      <c r="AS87" s="243"/>
      <c r="AT87" s="243"/>
      <c r="AU87" s="243"/>
      <c r="AV87" s="243"/>
      <c r="AW87" s="243"/>
      <c r="AX87" s="243"/>
      <c r="AY87" s="243"/>
      <c r="AZ87" s="243"/>
      <c r="BA87" s="243"/>
      <c r="BB87" s="243"/>
      <c r="BC87" s="243"/>
      <c r="BD87" s="243"/>
      <c r="BE87" s="243"/>
      <c r="BF87" s="246"/>
      <c r="BG87" s="246"/>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c r="CM87" s="243"/>
      <c r="CN87" s="243"/>
      <c r="CO87" s="243"/>
      <c r="CP87" s="243"/>
    </row>
    <row r="88" spans="1:94" s="290" customForma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9"/>
      <c r="AL88" s="289"/>
      <c r="AM88" s="289"/>
      <c r="AN88" s="289"/>
      <c r="AO88" s="289"/>
      <c r="AP88" s="289"/>
      <c r="AQ88" s="289"/>
      <c r="AR88" s="243"/>
      <c r="AS88" s="243"/>
      <c r="AT88" s="243"/>
      <c r="AU88" s="243"/>
      <c r="AV88" s="243"/>
      <c r="AW88" s="243"/>
      <c r="AX88" s="243"/>
      <c r="AY88" s="243"/>
      <c r="AZ88" s="243"/>
      <c r="BA88" s="243"/>
      <c r="BB88" s="243"/>
      <c r="BC88" s="243"/>
      <c r="BD88" s="243"/>
      <c r="BE88" s="243"/>
      <c r="BF88" s="246"/>
      <c r="BG88" s="246"/>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c r="CM88" s="243"/>
      <c r="CN88" s="243"/>
      <c r="CO88" s="243"/>
      <c r="CP88" s="243"/>
    </row>
    <row r="89" spans="1:94" s="290" customForma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9"/>
      <c r="AL89" s="289"/>
      <c r="AM89" s="289"/>
      <c r="AN89" s="289"/>
      <c r="AO89" s="289"/>
      <c r="AP89" s="289"/>
      <c r="AQ89" s="289"/>
      <c r="AR89" s="243"/>
      <c r="AS89" s="243"/>
      <c r="AT89" s="243"/>
      <c r="AU89" s="243"/>
      <c r="AV89" s="243"/>
      <c r="AW89" s="243"/>
      <c r="AX89" s="243"/>
      <c r="AY89" s="243"/>
      <c r="AZ89" s="243"/>
      <c r="BA89" s="243"/>
      <c r="BB89" s="243"/>
      <c r="BC89" s="243"/>
      <c r="BD89" s="243"/>
      <c r="BE89" s="243"/>
      <c r="BF89" s="246"/>
      <c r="BG89" s="246"/>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row>
    <row r="90" spans="1:94" s="290" customForma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9"/>
      <c r="AL90" s="289"/>
      <c r="AM90" s="289"/>
      <c r="AN90" s="289"/>
      <c r="AO90" s="289"/>
      <c r="AP90" s="289"/>
      <c r="AQ90" s="289"/>
      <c r="AR90" s="243"/>
      <c r="AS90" s="243"/>
      <c r="AT90" s="243"/>
      <c r="AU90" s="243"/>
      <c r="AV90" s="243"/>
      <c r="AW90" s="243"/>
      <c r="AX90" s="243"/>
      <c r="AY90" s="243"/>
      <c r="AZ90" s="243"/>
      <c r="BA90" s="243"/>
      <c r="BB90" s="243"/>
      <c r="BC90" s="243"/>
      <c r="BD90" s="243"/>
      <c r="BE90" s="243"/>
      <c r="BF90" s="246"/>
      <c r="BG90" s="246"/>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row>
    <row r="91" spans="1:94" s="290" customFormat="1">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9"/>
      <c r="AL91" s="289"/>
      <c r="AM91" s="289"/>
      <c r="AN91" s="289"/>
      <c r="AO91" s="289"/>
      <c r="AP91" s="289"/>
      <c r="AQ91" s="289"/>
      <c r="AR91" s="243"/>
      <c r="AS91" s="243"/>
      <c r="AT91" s="243"/>
      <c r="AU91" s="243"/>
      <c r="AV91" s="243"/>
      <c r="AW91" s="243"/>
      <c r="AX91" s="243"/>
      <c r="AY91" s="243"/>
      <c r="AZ91" s="243"/>
      <c r="BA91" s="243"/>
      <c r="BB91" s="243"/>
      <c r="BC91" s="243"/>
      <c r="BD91" s="243"/>
      <c r="BE91" s="243"/>
      <c r="BF91" s="246"/>
      <c r="BG91" s="246"/>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row>
    <row r="92" spans="1:94" s="290" customFormat="1">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9"/>
      <c r="AL92" s="289"/>
      <c r="AM92" s="289"/>
      <c r="AN92" s="289"/>
      <c r="AO92" s="289"/>
      <c r="AP92" s="289"/>
      <c r="AQ92" s="289"/>
      <c r="AR92" s="243"/>
      <c r="AS92" s="243"/>
      <c r="AT92" s="243"/>
      <c r="AU92" s="243"/>
      <c r="AV92" s="243"/>
      <c r="AW92" s="243"/>
      <c r="AX92" s="243"/>
      <c r="AY92" s="243"/>
      <c r="AZ92" s="243"/>
      <c r="BA92" s="243"/>
      <c r="BB92" s="243"/>
      <c r="BC92" s="243"/>
      <c r="BD92" s="243"/>
      <c r="BE92" s="243"/>
      <c r="BF92" s="246"/>
      <c r="BG92" s="246"/>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row>
    <row r="93" spans="1:94">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9"/>
      <c r="AL93" s="289"/>
      <c r="AM93" s="289"/>
      <c r="AN93" s="289"/>
      <c r="AO93" s="289"/>
      <c r="AP93" s="289"/>
      <c r="AQ93" s="289"/>
      <c r="AR93" s="243"/>
      <c r="AS93" s="243"/>
      <c r="AT93" s="243"/>
      <c r="AU93" s="243"/>
      <c r="AV93" s="243"/>
      <c r="AW93" s="243"/>
      <c r="AX93" s="243"/>
      <c r="AY93" s="243"/>
      <c r="AZ93" s="243"/>
      <c r="BA93" s="243"/>
      <c r="BB93" s="243"/>
      <c r="BC93" s="243"/>
      <c r="BD93" s="243"/>
      <c r="BE93" s="243"/>
      <c r="BF93" s="246"/>
      <c r="BG93" s="246"/>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row>
    <row r="94" spans="1:94">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9"/>
      <c r="AL94" s="289"/>
      <c r="AM94" s="289"/>
      <c r="AN94" s="289"/>
      <c r="AO94" s="289"/>
      <c r="AP94" s="289"/>
      <c r="AQ94" s="289"/>
      <c r="AR94" s="243"/>
      <c r="AS94" s="243"/>
      <c r="AT94" s="243"/>
      <c r="AU94" s="243"/>
      <c r="AV94" s="243"/>
      <c r="AW94" s="243"/>
      <c r="AX94" s="243"/>
      <c r="AY94" s="243"/>
      <c r="AZ94" s="243"/>
      <c r="BA94" s="243"/>
      <c r="BB94" s="243"/>
      <c r="BC94" s="243"/>
      <c r="BD94" s="243"/>
      <c r="BE94" s="243"/>
      <c r="BF94" s="246"/>
      <c r="BG94" s="246"/>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row>
    <row r="95" spans="1:94">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9"/>
      <c r="AL95" s="289"/>
      <c r="AM95" s="289"/>
      <c r="AN95" s="289"/>
      <c r="AO95" s="289"/>
      <c r="AP95" s="289"/>
      <c r="AQ95" s="289"/>
      <c r="AR95" s="243"/>
      <c r="AS95" s="243"/>
      <c r="AT95" s="243"/>
      <c r="AU95" s="243"/>
      <c r="AV95" s="243"/>
      <c r="AW95" s="243"/>
      <c r="AX95" s="243"/>
      <c r="AY95" s="243"/>
      <c r="AZ95" s="243"/>
      <c r="BA95" s="243"/>
      <c r="BB95" s="243"/>
      <c r="BC95" s="243"/>
      <c r="BD95" s="243"/>
      <c r="BE95" s="243"/>
      <c r="BF95" s="246"/>
      <c r="BG95" s="246"/>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row>
    <row r="96" spans="1:94">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9"/>
      <c r="AL96" s="289"/>
      <c r="AM96" s="289"/>
      <c r="AN96" s="289"/>
      <c r="AO96" s="289"/>
      <c r="AP96" s="289"/>
      <c r="AQ96" s="289"/>
      <c r="AR96" s="243"/>
      <c r="AS96" s="243"/>
      <c r="AT96" s="243"/>
      <c r="AU96" s="243"/>
      <c r="AV96" s="243"/>
      <c r="AW96" s="243"/>
      <c r="AX96" s="243"/>
      <c r="AY96" s="243"/>
      <c r="AZ96" s="243"/>
      <c r="BA96" s="243"/>
      <c r="BB96" s="243"/>
      <c r="BC96" s="243"/>
      <c r="BD96" s="243"/>
      <c r="BE96" s="243"/>
      <c r="BF96" s="246"/>
      <c r="BG96" s="246"/>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row>
    <row r="97" spans="1:94">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9"/>
      <c r="AL97" s="289"/>
      <c r="AM97" s="289"/>
      <c r="AN97" s="289"/>
      <c r="AO97" s="289"/>
      <c r="AP97" s="289"/>
      <c r="AQ97" s="289"/>
      <c r="AR97" s="243"/>
      <c r="AS97" s="243"/>
      <c r="AT97" s="243"/>
      <c r="AU97" s="243"/>
      <c r="AV97" s="243"/>
      <c r="AW97" s="243"/>
      <c r="AX97" s="243"/>
      <c r="AY97" s="243"/>
      <c r="AZ97" s="243"/>
      <c r="BA97" s="243"/>
      <c r="BB97" s="243"/>
      <c r="BC97" s="243"/>
      <c r="BD97" s="243"/>
      <c r="BE97" s="243"/>
      <c r="BF97" s="246"/>
      <c r="BG97" s="246"/>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c r="CM97" s="243"/>
      <c r="CN97" s="243"/>
      <c r="CO97" s="243"/>
      <c r="CP97" s="243"/>
    </row>
    <row r="98" spans="1:94">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9"/>
      <c r="AL98" s="289"/>
      <c r="AM98" s="289"/>
      <c r="AN98" s="289"/>
      <c r="AO98" s="289"/>
      <c r="AP98" s="289"/>
      <c r="AQ98" s="289"/>
      <c r="AR98" s="243"/>
      <c r="AS98" s="243"/>
      <c r="AT98" s="243"/>
      <c r="AU98" s="243"/>
      <c r="AV98" s="243"/>
      <c r="AW98" s="243"/>
      <c r="AX98" s="243"/>
      <c r="AY98" s="243"/>
      <c r="AZ98" s="243"/>
      <c r="BA98" s="243"/>
      <c r="BB98" s="243"/>
      <c r="BC98" s="243"/>
      <c r="BD98" s="243"/>
      <c r="BE98" s="243"/>
      <c r="BF98" s="246"/>
      <c r="BG98" s="246"/>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c r="CM98" s="243"/>
      <c r="CN98" s="243"/>
      <c r="CO98" s="243"/>
      <c r="CP98" s="243"/>
    </row>
    <row r="99" spans="1:94">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9"/>
      <c r="AL99" s="289"/>
      <c r="AM99" s="289"/>
      <c r="AN99" s="289"/>
      <c r="AO99" s="289"/>
      <c r="AP99" s="289"/>
      <c r="AQ99" s="289"/>
      <c r="AR99" s="243"/>
      <c r="AS99" s="243"/>
      <c r="AT99" s="243"/>
      <c r="AU99" s="243"/>
      <c r="AV99" s="243"/>
      <c r="AW99" s="243"/>
      <c r="AX99" s="243"/>
      <c r="AY99" s="243"/>
      <c r="AZ99" s="243"/>
      <c r="BA99" s="243"/>
      <c r="BB99" s="243"/>
      <c r="BC99" s="243"/>
      <c r="BD99" s="243"/>
      <c r="BE99" s="243"/>
      <c r="BF99" s="246"/>
      <c r="BG99" s="246"/>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c r="CM99" s="243"/>
      <c r="CN99" s="243"/>
      <c r="CO99" s="243"/>
      <c r="CP99" s="243"/>
    </row>
    <row r="100" spans="1:94">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9"/>
      <c r="AL100" s="289"/>
      <c r="AM100" s="289"/>
      <c r="AN100" s="289"/>
      <c r="AO100" s="289"/>
      <c r="AP100" s="289"/>
      <c r="AQ100" s="289"/>
      <c r="AR100" s="243"/>
      <c r="AS100" s="243"/>
      <c r="AT100" s="243"/>
      <c r="AU100" s="243"/>
      <c r="AV100" s="243"/>
      <c r="AW100" s="243"/>
      <c r="AX100" s="243"/>
      <c r="AY100" s="243"/>
      <c r="AZ100" s="243"/>
      <c r="BA100" s="243"/>
      <c r="BB100" s="243"/>
      <c r="BC100" s="243"/>
      <c r="BD100" s="243"/>
      <c r="BE100" s="243"/>
      <c r="BF100" s="246"/>
      <c r="BG100" s="246"/>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c r="CM100" s="243"/>
      <c r="CN100" s="243"/>
      <c r="CO100" s="243"/>
      <c r="CP100" s="243"/>
    </row>
    <row r="101" spans="1:94">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9"/>
      <c r="AL101" s="289"/>
      <c r="AM101" s="289"/>
      <c r="AN101" s="289"/>
      <c r="AO101" s="289"/>
      <c r="AP101" s="289"/>
      <c r="AQ101" s="289"/>
      <c r="AR101" s="243"/>
      <c r="AS101" s="243"/>
      <c r="AT101" s="243"/>
      <c r="AU101" s="243"/>
      <c r="AV101" s="243"/>
      <c r="AW101" s="243"/>
      <c r="AX101" s="243"/>
      <c r="AY101" s="243"/>
      <c r="AZ101" s="243"/>
      <c r="BA101" s="243"/>
      <c r="BB101" s="243"/>
      <c r="BC101" s="243"/>
      <c r="BD101" s="243"/>
      <c r="BE101" s="243"/>
      <c r="BF101" s="246"/>
      <c r="BG101" s="246"/>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c r="CM101" s="243"/>
      <c r="CN101" s="243"/>
      <c r="CO101" s="243"/>
      <c r="CP101" s="243"/>
    </row>
    <row r="102" spans="1:94">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9"/>
      <c r="AL102" s="289"/>
      <c r="AM102" s="289"/>
      <c r="AN102" s="289"/>
      <c r="AO102" s="289"/>
      <c r="AP102" s="289"/>
      <c r="AQ102" s="289"/>
      <c r="AR102" s="243"/>
      <c r="AS102" s="243"/>
      <c r="AT102" s="243"/>
      <c r="AU102" s="243"/>
      <c r="AV102" s="243"/>
      <c r="AW102" s="243"/>
      <c r="AX102" s="243"/>
      <c r="AY102" s="243"/>
      <c r="AZ102" s="243"/>
      <c r="BA102" s="243"/>
      <c r="BB102" s="243"/>
      <c r="BC102" s="243"/>
      <c r="BD102" s="243"/>
      <c r="BE102" s="243"/>
      <c r="BF102" s="246"/>
      <c r="BG102" s="246"/>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row>
    <row r="103" spans="1:94">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9"/>
      <c r="AL103" s="289"/>
      <c r="AM103" s="289"/>
      <c r="AN103" s="289"/>
      <c r="AO103" s="289"/>
      <c r="AP103" s="289"/>
      <c r="AQ103" s="289"/>
      <c r="AR103" s="243"/>
      <c r="AS103" s="243"/>
      <c r="AT103" s="243"/>
      <c r="AU103" s="243"/>
      <c r="AV103" s="243"/>
      <c r="AW103" s="243"/>
      <c r="AX103" s="243"/>
      <c r="AY103" s="243"/>
      <c r="AZ103" s="243"/>
      <c r="BA103" s="243"/>
      <c r="BB103" s="243"/>
      <c r="BC103" s="243"/>
      <c r="BD103" s="243"/>
      <c r="BE103" s="243"/>
      <c r="BF103" s="246"/>
      <c r="BG103" s="246"/>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row>
    <row r="104" spans="1:94">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9"/>
      <c r="AL104" s="289"/>
      <c r="AM104" s="289"/>
      <c r="AN104" s="289"/>
      <c r="AO104" s="289"/>
      <c r="AP104" s="289"/>
      <c r="AQ104" s="289"/>
      <c r="AR104" s="243"/>
      <c r="AS104" s="243"/>
      <c r="AT104" s="243"/>
      <c r="AU104" s="243"/>
      <c r="AV104" s="243"/>
      <c r="AW104" s="243"/>
      <c r="AX104" s="243"/>
      <c r="AY104" s="243"/>
      <c r="AZ104" s="243"/>
      <c r="BA104" s="243"/>
      <c r="BB104" s="243"/>
      <c r="BC104" s="243"/>
      <c r="BD104" s="243"/>
      <c r="BE104" s="243"/>
      <c r="BF104" s="246"/>
      <c r="BG104" s="246"/>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row>
    <row r="105" spans="1:94">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9"/>
      <c r="AL105" s="289"/>
      <c r="AM105" s="289"/>
      <c r="AN105" s="289"/>
      <c r="AO105" s="289"/>
      <c r="AP105" s="289"/>
      <c r="AQ105" s="289"/>
      <c r="AR105" s="243"/>
      <c r="AS105" s="243"/>
      <c r="AT105" s="243"/>
      <c r="AU105" s="243"/>
      <c r="AV105" s="243"/>
      <c r="AW105" s="243"/>
      <c r="AX105" s="243"/>
      <c r="AY105" s="243"/>
      <c r="AZ105" s="243"/>
      <c r="BA105" s="243"/>
      <c r="BB105" s="243"/>
      <c r="BC105" s="243"/>
      <c r="BD105" s="243"/>
      <c r="BE105" s="243"/>
      <c r="BF105" s="246"/>
      <c r="BG105" s="246"/>
      <c r="BH105" s="243"/>
      <c r="BI105" s="243"/>
      <c r="BJ105" s="243"/>
      <c r="BK105" s="243"/>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row>
    <row r="106" spans="1:94">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9"/>
      <c r="AL106" s="289"/>
      <c r="AM106" s="289"/>
      <c r="AN106" s="289"/>
      <c r="AO106" s="289"/>
      <c r="AP106" s="289"/>
      <c r="AQ106" s="289"/>
      <c r="AR106" s="243"/>
      <c r="AS106" s="243"/>
      <c r="AT106" s="243"/>
      <c r="AU106" s="243"/>
      <c r="AV106" s="243"/>
      <c r="AW106" s="243"/>
      <c r="AX106" s="243"/>
      <c r="AY106" s="243"/>
      <c r="AZ106" s="243"/>
      <c r="BA106" s="243"/>
      <c r="BB106" s="243"/>
      <c r="BC106" s="243"/>
      <c r="BD106" s="243"/>
      <c r="BE106" s="243"/>
      <c r="BF106" s="246"/>
      <c r="BG106" s="246"/>
      <c r="BH106" s="243"/>
      <c r="BI106" s="243"/>
      <c r="BJ106" s="243"/>
      <c r="BK106" s="243"/>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row>
    <row r="107" spans="1:94">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9"/>
      <c r="AL107" s="289"/>
      <c r="AM107" s="289"/>
      <c r="AN107" s="289"/>
      <c r="AO107" s="289"/>
      <c r="AP107" s="289"/>
      <c r="AQ107" s="289"/>
      <c r="AR107" s="243"/>
      <c r="AS107" s="243"/>
      <c r="AT107" s="243"/>
      <c r="AU107" s="243"/>
      <c r="AV107" s="243"/>
      <c r="AW107" s="243"/>
      <c r="AX107" s="243"/>
      <c r="AY107" s="243"/>
      <c r="AZ107" s="243"/>
      <c r="BA107" s="243"/>
      <c r="BB107" s="243"/>
      <c r="BC107" s="243"/>
      <c r="BD107" s="243"/>
      <c r="BE107" s="243"/>
      <c r="BF107" s="246"/>
      <c r="BG107" s="246"/>
      <c r="BH107" s="243"/>
      <c r="BI107" s="243"/>
      <c r="BJ107" s="243"/>
      <c r="BK107" s="243"/>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row>
    <row r="108" spans="1:94">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9"/>
      <c r="AL108" s="289"/>
      <c r="AM108" s="289"/>
      <c r="AN108" s="289"/>
      <c r="AO108" s="289"/>
      <c r="AP108" s="289"/>
      <c r="AQ108" s="289"/>
      <c r="AR108" s="243"/>
      <c r="AS108" s="243"/>
      <c r="AT108" s="243"/>
      <c r="AU108" s="243"/>
      <c r="AV108" s="243"/>
      <c r="AW108" s="243"/>
      <c r="AX108" s="243"/>
      <c r="AY108" s="243"/>
      <c r="AZ108" s="243"/>
      <c r="BA108" s="243"/>
      <c r="BB108" s="243"/>
      <c r="BC108" s="243"/>
      <c r="BD108" s="243"/>
      <c r="BE108" s="243"/>
      <c r="BF108" s="246"/>
      <c r="BG108" s="246"/>
      <c r="BH108" s="243"/>
      <c r="BI108" s="243"/>
      <c r="BJ108" s="243"/>
      <c r="BK108" s="243"/>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row>
    <row r="109" spans="1:94">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9"/>
      <c r="AL109" s="289"/>
      <c r="AM109" s="289"/>
      <c r="AN109" s="289"/>
      <c r="AO109" s="289"/>
      <c r="AP109" s="289"/>
      <c r="AQ109" s="289"/>
      <c r="AR109" s="243"/>
      <c r="AS109" s="243"/>
      <c r="AT109" s="243"/>
      <c r="AU109" s="243"/>
      <c r="AV109" s="243"/>
      <c r="AW109" s="243"/>
      <c r="AX109" s="243"/>
      <c r="AY109" s="243"/>
      <c r="AZ109" s="243"/>
      <c r="BA109" s="243"/>
      <c r="BB109" s="243"/>
      <c r="BC109" s="243"/>
      <c r="BD109" s="243"/>
      <c r="BE109" s="243"/>
      <c r="BF109" s="246"/>
      <c r="BG109" s="246"/>
      <c r="BH109" s="243"/>
      <c r="BI109" s="243"/>
      <c r="BJ109" s="243"/>
      <c r="BK109" s="243"/>
      <c r="BL109" s="243"/>
      <c r="BM109" s="243"/>
      <c r="BN109" s="243"/>
      <c r="BO109" s="243"/>
      <c r="BP109" s="243"/>
      <c r="BQ109" s="243"/>
      <c r="BR109" s="243"/>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c r="CM109" s="243"/>
      <c r="CN109" s="243"/>
      <c r="CO109" s="243"/>
      <c r="CP109" s="243"/>
    </row>
    <row r="110" spans="1:94">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9"/>
      <c r="AL110" s="289"/>
      <c r="AM110" s="289"/>
      <c r="AN110" s="289"/>
      <c r="AO110" s="289"/>
      <c r="AP110" s="289"/>
      <c r="AQ110" s="289"/>
      <c r="AR110" s="243"/>
      <c r="AS110" s="243"/>
      <c r="AT110" s="243"/>
      <c r="AU110" s="243"/>
      <c r="AV110" s="243"/>
      <c r="AW110" s="243"/>
      <c r="AX110" s="243"/>
      <c r="AY110" s="243"/>
      <c r="AZ110" s="243"/>
      <c r="BA110" s="243"/>
      <c r="BB110" s="243"/>
      <c r="BC110" s="243"/>
      <c r="BD110" s="243"/>
      <c r="BE110" s="243"/>
      <c r="BF110" s="246"/>
      <c r="BG110" s="246"/>
      <c r="BH110" s="243"/>
      <c r="BI110" s="243"/>
      <c r="BJ110" s="243"/>
      <c r="BK110" s="243"/>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row>
    <row r="111" spans="1:94">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9"/>
      <c r="AL111" s="289"/>
      <c r="AM111" s="289"/>
      <c r="AN111" s="289"/>
      <c r="AO111" s="289"/>
      <c r="AP111" s="289"/>
      <c r="AQ111" s="289"/>
      <c r="AR111" s="243"/>
      <c r="AS111" s="243"/>
      <c r="AT111" s="243"/>
      <c r="AU111" s="243"/>
      <c r="AV111" s="243"/>
      <c r="AW111" s="243"/>
      <c r="AX111" s="243"/>
      <c r="AY111" s="243"/>
      <c r="AZ111" s="243"/>
      <c r="BA111" s="243"/>
      <c r="BB111" s="243"/>
      <c r="BC111" s="243"/>
      <c r="BD111" s="243"/>
      <c r="BE111" s="243"/>
      <c r="BF111" s="246"/>
      <c r="BG111" s="246"/>
      <c r="BH111" s="243"/>
      <c r="BI111" s="243"/>
      <c r="BJ111" s="243"/>
      <c r="BK111" s="243"/>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row>
    <row r="112" spans="1:94">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9"/>
      <c r="AL112" s="289"/>
      <c r="AM112" s="289"/>
      <c r="AN112" s="289"/>
      <c r="AO112" s="289"/>
      <c r="AP112" s="289"/>
      <c r="AQ112" s="289"/>
      <c r="AR112" s="243"/>
      <c r="AS112" s="243"/>
      <c r="AT112" s="243"/>
      <c r="AU112" s="243"/>
      <c r="AV112" s="243"/>
      <c r="AW112" s="243"/>
      <c r="AX112" s="243"/>
      <c r="AY112" s="243"/>
      <c r="AZ112" s="243"/>
      <c r="BA112" s="243"/>
      <c r="BB112" s="243"/>
      <c r="BC112" s="243"/>
      <c r="BD112" s="243"/>
      <c r="BE112" s="243"/>
      <c r="BF112" s="246"/>
      <c r="BG112" s="246"/>
      <c r="BH112" s="243"/>
      <c r="BI112" s="243"/>
      <c r="BJ112" s="243"/>
      <c r="BK112" s="243"/>
      <c r="BL112" s="243"/>
      <c r="BM112" s="243"/>
      <c r="BN112" s="243"/>
      <c r="BO112" s="243"/>
      <c r="BP112" s="243"/>
      <c r="BQ112" s="243"/>
      <c r="BR112" s="243"/>
      <c r="BS112" s="243"/>
      <c r="BT112" s="243"/>
      <c r="BU112" s="243"/>
      <c r="BV112" s="243"/>
      <c r="BW112" s="243"/>
      <c r="BX112" s="243"/>
      <c r="BY112" s="243"/>
      <c r="BZ112" s="243"/>
      <c r="CA112" s="243"/>
      <c r="CB112" s="243"/>
      <c r="CC112" s="243"/>
      <c r="CD112" s="243"/>
      <c r="CE112" s="243"/>
      <c r="CF112" s="243"/>
      <c r="CG112" s="243"/>
      <c r="CH112" s="243"/>
      <c r="CI112" s="243"/>
      <c r="CJ112" s="243"/>
      <c r="CK112" s="243"/>
      <c r="CL112" s="243"/>
      <c r="CM112" s="243"/>
      <c r="CN112" s="243"/>
      <c r="CO112" s="243"/>
      <c r="CP112" s="243"/>
    </row>
    <row r="113" spans="1:94">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9"/>
      <c r="AL113" s="289"/>
      <c r="AM113" s="289"/>
      <c r="AN113" s="289"/>
      <c r="AO113" s="289"/>
      <c r="AP113" s="289"/>
      <c r="AQ113" s="289"/>
      <c r="AR113" s="243"/>
      <c r="AS113" s="243"/>
      <c r="AT113" s="243"/>
      <c r="AU113" s="243"/>
      <c r="AV113" s="243"/>
      <c r="AW113" s="243"/>
      <c r="AX113" s="243"/>
      <c r="AY113" s="243"/>
      <c r="AZ113" s="243"/>
      <c r="BA113" s="243"/>
      <c r="BB113" s="243"/>
      <c r="BC113" s="243"/>
      <c r="BD113" s="243"/>
      <c r="BE113" s="243"/>
      <c r="BF113" s="246"/>
      <c r="BG113" s="246"/>
      <c r="BH113" s="243"/>
      <c r="BI113" s="243"/>
      <c r="BJ113" s="243"/>
      <c r="BK113" s="243"/>
      <c r="BL113" s="243"/>
      <c r="BM113" s="243"/>
      <c r="BN113" s="243"/>
      <c r="BO113" s="243"/>
      <c r="BP113" s="243"/>
      <c r="BQ113" s="243"/>
      <c r="BR113" s="243"/>
      <c r="BS113" s="243"/>
      <c r="BT113" s="243"/>
      <c r="BU113" s="243"/>
      <c r="BV113" s="243"/>
      <c r="BW113" s="243"/>
      <c r="BX113" s="243"/>
      <c r="BY113" s="243"/>
      <c r="BZ113" s="243"/>
      <c r="CA113" s="243"/>
      <c r="CB113" s="243"/>
      <c r="CC113" s="243"/>
      <c r="CD113" s="243"/>
      <c r="CE113" s="243"/>
      <c r="CF113" s="243"/>
      <c r="CG113" s="243"/>
      <c r="CH113" s="243"/>
      <c r="CI113" s="243"/>
      <c r="CJ113" s="243"/>
      <c r="CK113" s="243"/>
      <c r="CL113" s="243"/>
      <c r="CM113" s="243"/>
      <c r="CN113" s="243"/>
      <c r="CO113" s="243"/>
      <c r="CP113" s="243"/>
    </row>
    <row r="114" spans="1:94">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9"/>
      <c r="AL114" s="289"/>
      <c r="AM114" s="289"/>
      <c r="AN114" s="289"/>
      <c r="AO114" s="289"/>
      <c r="AP114" s="289"/>
      <c r="AQ114" s="289"/>
      <c r="AR114" s="243"/>
      <c r="AS114" s="243"/>
      <c r="AT114" s="243"/>
      <c r="AU114" s="243"/>
      <c r="AV114" s="243"/>
      <c r="AW114" s="243"/>
      <c r="AX114" s="243"/>
      <c r="AY114" s="243"/>
      <c r="AZ114" s="243"/>
      <c r="BA114" s="243"/>
      <c r="BB114" s="243"/>
      <c r="BC114" s="243"/>
      <c r="BD114" s="243"/>
      <c r="BE114" s="243"/>
      <c r="BF114" s="246"/>
      <c r="BG114" s="246"/>
      <c r="BH114" s="243"/>
      <c r="BI114" s="243"/>
      <c r="BJ114" s="243"/>
      <c r="BK114" s="243"/>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row>
    <row r="115" spans="1:94">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9"/>
      <c r="AL115" s="289"/>
      <c r="AM115" s="289"/>
      <c r="AN115" s="289"/>
      <c r="AO115" s="289"/>
      <c r="AP115" s="289"/>
      <c r="AQ115" s="289"/>
      <c r="AR115" s="243"/>
      <c r="AS115" s="243"/>
      <c r="AT115" s="243"/>
      <c r="AU115" s="243"/>
      <c r="AV115" s="243"/>
      <c r="AW115" s="243"/>
      <c r="AX115" s="243"/>
      <c r="AY115" s="243"/>
      <c r="AZ115" s="243"/>
      <c r="BA115" s="243"/>
      <c r="BB115" s="243"/>
      <c r="BC115" s="243"/>
      <c r="BD115" s="243"/>
      <c r="BE115" s="243"/>
      <c r="BF115" s="246"/>
      <c r="BG115" s="246"/>
      <c r="BH115" s="243"/>
      <c r="BI115" s="243"/>
      <c r="BJ115" s="243"/>
      <c r="BK115" s="243"/>
      <c r="BL115" s="243"/>
      <c r="BM115" s="243"/>
      <c r="BN115" s="243"/>
      <c r="BO115" s="243"/>
      <c r="BP115" s="243"/>
      <c r="BQ115" s="243"/>
      <c r="BR115" s="243"/>
      <c r="BS115" s="243"/>
      <c r="BT115" s="243"/>
      <c r="BU115" s="243"/>
      <c r="BV115" s="243"/>
      <c r="BW115" s="243"/>
      <c r="BX115" s="243"/>
      <c r="BY115" s="243"/>
      <c r="BZ115" s="243"/>
      <c r="CA115" s="243"/>
      <c r="CB115" s="243"/>
      <c r="CC115" s="243"/>
      <c r="CD115" s="243"/>
      <c r="CE115" s="243"/>
      <c r="CF115" s="243"/>
      <c r="CG115" s="243"/>
      <c r="CH115" s="243"/>
      <c r="CI115" s="243"/>
      <c r="CJ115" s="243"/>
      <c r="CK115" s="243"/>
      <c r="CL115" s="243"/>
      <c r="CM115" s="243"/>
      <c r="CN115" s="243"/>
      <c r="CO115" s="243"/>
      <c r="CP115" s="243"/>
    </row>
    <row r="116" spans="1:94">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9"/>
      <c r="AL116" s="289"/>
      <c r="AM116" s="289"/>
      <c r="AN116" s="289"/>
      <c r="AO116" s="289"/>
      <c r="AP116" s="289"/>
      <c r="AQ116" s="289"/>
      <c r="AR116" s="243"/>
      <c r="AS116" s="243"/>
      <c r="AT116" s="243"/>
      <c r="AU116" s="243"/>
      <c r="AV116" s="243"/>
      <c r="AW116" s="243"/>
      <c r="AX116" s="243"/>
      <c r="AY116" s="243"/>
      <c r="AZ116" s="243"/>
      <c r="BA116" s="243"/>
      <c r="BB116" s="243"/>
      <c r="BC116" s="243"/>
      <c r="BD116" s="243"/>
      <c r="BE116" s="243"/>
      <c r="BF116" s="246"/>
      <c r="BG116" s="246"/>
      <c r="BH116" s="243"/>
      <c r="BI116" s="243"/>
      <c r="BJ116" s="243"/>
      <c r="BK116" s="243"/>
      <c r="BL116" s="243"/>
      <c r="BM116" s="243"/>
      <c r="BN116" s="243"/>
      <c r="BO116" s="243"/>
      <c r="BP116" s="243"/>
      <c r="BQ116" s="243"/>
      <c r="BR116" s="243"/>
      <c r="BS116" s="243"/>
      <c r="BT116" s="243"/>
      <c r="BU116" s="243"/>
      <c r="BV116" s="243"/>
      <c r="BW116" s="243"/>
      <c r="BX116" s="243"/>
      <c r="BY116" s="243"/>
      <c r="BZ116" s="243"/>
      <c r="CA116" s="243"/>
      <c r="CB116" s="243"/>
      <c r="CC116" s="243"/>
      <c r="CD116" s="243"/>
      <c r="CE116" s="243"/>
      <c r="CF116" s="243"/>
      <c r="CG116" s="243"/>
      <c r="CH116" s="243"/>
      <c r="CI116" s="243"/>
      <c r="CJ116" s="243"/>
      <c r="CK116" s="243"/>
      <c r="CL116" s="243"/>
      <c r="CM116" s="243"/>
      <c r="CN116" s="243"/>
      <c r="CO116" s="243"/>
      <c r="CP116" s="243"/>
    </row>
    <row r="117" spans="1:94">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9"/>
      <c r="AL117" s="289"/>
      <c r="AM117" s="289"/>
      <c r="AN117" s="289"/>
      <c r="AO117" s="289"/>
      <c r="AP117" s="289"/>
      <c r="AQ117" s="289"/>
      <c r="AR117" s="243"/>
      <c r="AS117" s="243"/>
      <c r="AT117" s="243"/>
      <c r="AU117" s="243"/>
      <c r="AV117" s="243"/>
      <c r="AW117" s="243"/>
      <c r="AX117" s="243"/>
      <c r="AY117" s="243"/>
      <c r="AZ117" s="243"/>
      <c r="BA117" s="243"/>
      <c r="BB117" s="243"/>
      <c r="BC117" s="243"/>
      <c r="BD117" s="243"/>
      <c r="BE117" s="243"/>
      <c r="BF117" s="246"/>
      <c r="BG117" s="246"/>
      <c r="BH117" s="243"/>
      <c r="BI117" s="243"/>
      <c r="BJ117" s="243"/>
      <c r="BK117" s="243"/>
      <c r="BL117" s="243"/>
      <c r="BM117" s="243"/>
      <c r="BN117" s="243"/>
      <c r="BO117" s="243"/>
      <c r="BP117" s="243"/>
      <c r="BQ117" s="243"/>
      <c r="BR117" s="243"/>
      <c r="BS117" s="243"/>
      <c r="BT117" s="243"/>
      <c r="BU117" s="243"/>
      <c r="BV117" s="243"/>
      <c r="BW117" s="243"/>
      <c r="BX117" s="243"/>
      <c r="BY117" s="243"/>
      <c r="BZ117" s="243"/>
      <c r="CA117" s="243"/>
      <c r="CB117" s="243"/>
      <c r="CC117" s="243"/>
      <c r="CD117" s="243"/>
      <c r="CE117" s="243"/>
      <c r="CF117" s="243"/>
      <c r="CG117" s="243"/>
      <c r="CH117" s="243"/>
      <c r="CI117" s="243"/>
      <c r="CJ117" s="243"/>
      <c r="CK117" s="243"/>
      <c r="CL117" s="243"/>
      <c r="CM117" s="243"/>
      <c r="CN117" s="243"/>
      <c r="CO117" s="243"/>
      <c r="CP117" s="243"/>
    </row>
    <row r="118" spans="1:94">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9"/>
      <c r="AL118" s="289"/>
      <c r="AM118" s="289"/>
      <c r="AN118" s="289"/>
      <c r="AO118" s="289"/>
      <c r="AP118" s="289"/>
      <c r="AQ118" s="289"/>
      <c r="AR118" s="243"/>
      <c r="AS118" s="243"/>
      <c r="AT118" s="243"/>
      <c r="AU118" s="243"/>
      <c r="AV118" s="243"/>
      <c r="AW118" s="243"/>
      <c r="AX118" s="243"/>
      <c r="AY118" s="243"/>
      <c r="AZ118" s="243"/>
      <c r="BA118" s="243"/>
      <c r="BB118" s="243"/>
      <c r="BC118" s="243"/>
      <c r="BD118" s="243"/>
      <c r="BE118" s="243"/>
      <c r="BF118" s="246"/>
      <c r="BG118" s="246"/>
      <c r="BH118" s="243"/>
      <c r="BI118" s="243"/>
      <c r="BJ118" s="243"/>
      <c r="BK118" s="243"/>
      <c r="BL118" s="243"/>
      <c r="BM118" s="243"/>
      <c r="BN118" s="243"/>
      <c r="BO118" s="243"/>
      <c r="BP118" s="243"/>
      <c r="BQ118" s="243"/>
      <c r="BR118" s="243"/>
      <c r="BS118" s="243"/>
      <c r="BT118" s="243"/>
      <c r="BU118" s="243"/>
      <c r="BV118" s="243"/>
      <c r="BW118" s="243"/>
      <c r="BX118" s="243"/>
      <c r="BY118" s="243"/>
      <c r="BZ118" s="243"/>
      <c r="CA118" s="243"/>
      <c r="CB118" s="243"/>
      <c r="CC118" s="243"/>
      <c r="CD118" s="243"/>
      <c r="CE118" s="243"/>
      <c r="CF118" s="243"/>
      <c r="CG118" s="243"/>
      <c r="CH118" s="243"/>
      <c r="CI118" s="243"/>
      <c r="CJ118" s="243"/>
      <c r="CK118" s="243"/>
      <c r="CL118" s="243"/>
      <c r="CM118" s="243"/>
      <c r="CN118" s="243"/>
      <c r="CO118" s="243"/>
      <c r="CP118" s="243"/>
    </row>
    <row r="119" spans="1:94">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9"/>
      <c r="AL119" s="289"/>
      <c r="AM119" s="289"/>
      <c r="AN119" s="289"/>
      <c r="AO119" s="289"/>
      <c r="AP119" s="289"/>
      <c r="AQ119" s="289"/>
      <c r="AR119" s="243"/>
      <c r="AS119" s="243"/>
      <c r="AT119" s="243"/>
      <c r="AU119" s="243"/>
      <c r="AV119" s="243"/>
      <c r="AW119" s="243"/>
      <c r="AX119" s="243"/>
      <c r="AY119" s="243"/>
      <c r="AZ119" s="243"/>
      <c r="BA119" s="243"/>
      <c r="BB119" s="243"/>
      <c r="BC119" s="243"/>
      <c r="BD119" s="243"/>
      <c r="BE119" s="243"/>
      <c r="BF119" s="246"/>
      <c r="BG119" s="246"/>
      <c r="BH119" s="243"/>
      <c r="BI119" s="243"/>
      <c r="BJ119" s="243"/>
      <c r="BK119" s="243"/>
      <c r="BL119" s="243"/>
      <c r="BM119" s="243"/>
      <c r="BN119" s="243"/>
      <c r="BO119" s="243"/>
      <c r="BP119" s="243"/>
      <c r="BQ119" s="243"/>
      <c r="BR119" s="243"/>
      <c r="BS119" s="243"/>
      <c r="BT119" s="243"/>
      <c r="BU119" s="243"/>
      <c r="BV119" s="243"/>
      <c r="BW119" s="243"/>
      <c r="BX119" s="243"/>
      <c r="BY119" s="243"/>
      <c r="BZ119" s="243"/>
      <c r="CA119" s="243"/>
      <c r="CB119" s="243"/>
      <c r="CC119" s="243"/>
      <c r="CD119" s="243"/>
      <c r="CE119" s="243"/>
      <c r="CF119" s="243"/>
      <c r="CG119" s="243"/>
      <c r="CH119" s="243"/>
      <c r="CI119" s="243"/>
      <c r="CJ119" s="243"/>
      <c r="CK119" s="243"/>
      <c r="CL119" s="243"/>
      <c r="CM119" s="243"/>
      <c r="CN119" s="243"/>
      <c r="CO119" s="243"/>
      <c r="CP119" s="243"/>
    </row>
    <row r="120" spans="1:94">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9"/>
      <c r="AL120" s="289"/>
      <c r="AM120" s="289"/>
      <c r="AN120" s="289"/>
      <c r="AO120" s="289"/>
      <c r="AP120" s="289"/>
      <c r="AQ120" s="289"/>
      <c r="AR120" s="243"/>
      <c r="AS120" s="243"/>
      <c r="AT120" s="243"/>
      <c r="AU120" s="243"/>
      <c r="AV120" s="243"/>
      <c r="AW120" s="243"/>
      <c r="AX120" s="243"/>
      <c r="AY120" s="243"/>
      <c r="AZ120" s="243"/>
      <c r="BA120" s="243"/>
      <c r="BB120" s="243"/>
      <c r="BC120" s="243"/>
      <c r="BD120" s="243"/>
      <c r="BE120" s="243"/>
      <c r="BF120" s="246"/>
      <c r="BG120" s="246"/>
      <c r="BH120" s="243"/>
      <c r="BI120" s="243"/>
      <c r="BJ120" s="243"/>
      <c r="BK120" s="243"/>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row>
    <row r="121" spans="1:94">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9"/>
      <c r="AL121" s="289"/>
      <c r="AM121" s="289"/>
      <c r="AN121" s="289"/>
      <c r="AO121" s="289"/>
      <c r="AP121" s="289"/>
      <c r="AQ121" s="289"/>
      <c r="AR121" s="243"/>
      <c r="AS121" s="243"/>
      <c r="AT121" s="243"/>
      <c r="AU121" s="243"/>
      <c r="AV121" s="243"/>
      <c r="AW121" s="243"/>
      <c r="AX121" s="243"/>
      <c r="AY121" s="243"/>
      <c r="AZ121" s="243"/>
      <c r="BA121" s="243"/>
      <c r="BB121" s="243"/>
      <c r="BC121" s="243"/>
      <c r="BD121" s="243"/>
      <c r="BE121" s="243"/>
      <c r="BF121" s="246"/>
      <c r="BG121" s="246"/>
      <c r="BH121" s="243"/>
      <c r="BI121" s="243"/>
      <c r="BJ121" s="243"/>
      <c r="BK121" s="243"/>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row>
    <row r="122" spans="1:94">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9"/>
      <c r="AL122" s="289"/>
      <c r="AM122" s="289"/>
      <c r="AN122" s="289"/>
      <c r="AO122" s="289"/>
      <c r="AP122" s="289"/>
      <c r="AQ122" s="289"/>
      <c r="AR122" s="243"/>
      <c r="AS122" s="243"/>
      <c r="AT122" s="243"/>
      <c r="AU122" s="243"/>
      <c r="AV122" s="243"/>
      <c r="AW122" s="243"/>
      <c r="AX122" s="243"/>
      <c r="AY122" s="243"/>
      <c r="AZ122" s="243"/>
      <c r="BA122" s="243"/>
      <c r="BB122" s="243"/>
      <c r="BC122" s="243"/>
      <c r="BD122" s="243"/>
      <c r="BE122" s="243"/>
      <c r="BF122" s="246"/>
      <c r="BG122" s="246"/>
      <c r="BH122" s="243"/>
      <c r="BI122" s="243"/>
      <c r="BJ122" s="243"/>
      <c r="BK122" s="243"/>
      <c r="BL122" s="243"/>
      <c r="BM122" s="243"/>
      <c r="BN122" s="243"/>
      <c r="BO122" s="243"/>
      <c r="BP122" s="243"/>
      <c r="BQ122" s="243"/>
      <c r="BR122" s="243"/>
      <c r="BS122" s="243"/>
      <c r="BT122" s="243"/>
      <c r="BU122" s="243"/>
      <c r="BV122" s="243"/>
      <c r="BW122" s="243"/>
      <c r="BX122" s="243"/>
      <c r="BY122" s="243"/>
      <c r="BZ122" s="243"/>
      <c r="CA122" s="243"/>
      <c r="CB122" s="243"/>
      <c r="CC122" s="243"/>
      <c r="CD122" s="243"/>
      <c r="CE122" s="243"/>
      <c r="CF122" s="243"/>
      <c r="CG122" s="243"/>
      <c r="CH122" s="243"/>
      <c r="CI122" s="243"/>
      <c r="CJ122" s="243"/>
      <c r="CK122" s="243"/>
      <c r="CL122" s="243"/>
      <c r="CM122" s="243"/>
      <c r="CN122" s="243"/>
      <c r="CO122" s="243"/>
      <c r="CP122" s="243"/>
    </row>
    <row r="123" spans="1:94">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9"/>
      <c r="AL123" s="289"/>
      <c r="AM123" s="289"/>
      <c r="AN123" s="289"/>
      <c r="AO123" s="289"/>
      <c r="AP123" s="289"/>
      <c r="AQ123" s="289"/>
      <c r="AR123" s="243"/>
      <c r="AS123" s="243"/>
      <c r="AT123" s="243"/>
      <c r="AU123" s="243"/>
      <c r="AV123" s="243"/>
      <c r="AW123" s="243"/>
      <c r="AX123" s="243"/>
      <c r="AY123" s="243"/>
      <c r="AZ123" s="243"/>
      <c r="BA123" s="243"/>
      <c r="BB123" s="243"/>
      <c r="BC123" s="243"/>
      <c r="BD123" s="243"/>
      <c r="BE123" s="243"/>
      <c r="BF123" s="246"/>
      <c r="BG123" s="246"/>
      <c r="BH123" s="243"/>
      <c r="BI123" s="243"/>
      <c r="BJ123" s="243"/>
      <c r="BK123" s="243"/>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row>
    <row r="124" spans="1:94">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9"/>
      <c r="AL124" s="289"/>
      <c r="AM124" s="289"/>
      <c r="AN124" s="289"/>
      <c r="AO124" s="289"/>
      <c r="AP124" s="289"/>
      <c r="AQ124" s="289"/>
      <c r="AR124" s="243"/>
      <c r="AS124" s="243"/>
      <c r="AT124" s="243"/>
      <c r="AU124" s="243"/>
      <c r="AV124" s="243"/>
      <c r="AW124" s="243"/>
      <c r="AX124" s="243"/>
      <c r="AY124" s="243"/>
      <c r="AZ124" s="243"/>
      <c r="BA124" s="243"/>
      <c r="BB124" s="243"/>
      <c r="BC124" s="243"/>
      <c r="BD124" s="243"/>
      <c r="BE124" s="243"/>
      <c r="BF124" s="246"/>
      <c r="BG124" s="246"/>
      <c r="BH124" s="243"/>
      <c r="BI124" s="243"/>
      <c r="BJ124" s="243"/>
      <c r="BK124" s="243"/>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row>
    <row r="125" spans="1:94">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c r="AD125" s="288"/>
      <c r="AE125" s="288"/>
      <c r="AF125" s="288"/>
      <c r="AG125" s="288"/>
      <c r="AH125" s="288"/>
      <c r="AI125" s="288"/>
      <c r="AJ125" s="288"/>
      <c r="AK125" s="289"/>
      <c r="AL125" s="289"/>
      <c r="AM125" s="289"/>
      <c r="AN125" s="289"/>
      <c r="AO125" s="289"/>
      <c r="AP125" s="289"/>
      <c r="AQ125" s="289"/>
      <c r="AR125" s="243"/>
      <c r="AS125" s="243"/>
      <c r="AT125" s="243"/>
      <c r="AU125" s="243"/>
      <c r="AV125" s="243"/>
      <c r="AW125" s="243"/>
      <c r="AX125" s="243"/>
      <c r="AY125" s="243"/>
      <c r="AZ125" s="243"/>
      <c r="BA125" s="243"/>
      <c r="BB125" s="243"/>
      <c r="BC125" s="243"/>
      <c r="BD125" s="243"/>
      <c r="BE125" s="243"/>
      <c r="BF125" s="246"/>
      <c r="BG125" s="246"/>
      <c r="BH125" s="243"/>
      <c r="BI125" s="243"/>
      <c r="BJ125" s="243"/>
      <c r="BK125" s="243"/>
      <c r="BL125" s="243"/>
      <c r="BM125" s="243"/>
      <c r="BN125" s="243"/>
      <c r="BO125" s="243"/>
      <c r="BP125" s="243"/>
      <c r="BQ125" s="243"/>
      <c r="BR125" s="243"/>
      <c r="BS125" s="243"/>
      <c r="BT125" s="243"/>
      <c r="BU125" s="243"/>
      <c r="BV125" s="243"/>
      <c r="BW125" s="243"/>
      <c r="BX125" s="243"/>
      <c r="BY125" s="243"/>
      <c r="BZ125" s="243"/>
      <c r="CA125" s="243"/>
      <c r="CB125" s="243"/>
      <c r="CC125" s="243"/>
      <c r="CD125" s="243"/>
      <c r="CE125" s="243"/>
      <c r="CF125" s="243"/>
      <c r="CG125" s="243"/>
      <c r="CH125" s="243"/>
      <c r="CI125" s="243"/>
      <c r="CJ125" s="243"/>
      <c r="CK125" s="243"/>
      <c r="CL125" s="243"/>
      <c r="CM125" s="243"/>
      <c r="CN125" s="243"/>
      <c r="CO125" s="243"/>
      <c r="CP125" s="243"/>
    </row>
  </sheetData>
  <sheetProtection algorithmName="SHA-512" hashValue="SDzDXuzFkWZwsKyc5XBGpJ+gAWmVl07xsOp+LkmrkyQDMkd82Zpu9XQQPo+RlnrV1RA6VKqHZ9jzi3KVhhMJvg==" saltValue="kpvJmwT+xe3rcZf6j46qDA==" spinCount="100000" sheet="1" objects="1" scenarios="1" selectLockedCells="1" selectUnlockedCells="1"/>
  <mergeCells count="357">
    <mergeCell ref="L62:M62"/>
    <mergeCell ref="N62:O62"/>
    <mergeCell ref="Y62:Z62"/>
    <mergeCell ref="AC62:AD62"/>
    <mergeCell ref="L60:M60"/>
    <mergeCell ref="N60:O60"/>
    <mergeCell ref="Y60:Z60"/>
    <mergeCell ref="AC60:AD60"/>
    <mergeCell ref="L61:M61"/>
    <mergeCell ref="N61:O61"/>
    <mergeCell ref="Y61:Z61"/>
    <mergeCell ref="AC61:AD61"/>
    <mergeCell ref="AC59:AD59"/>
    <mergeCell ref="AE59:AF59"/>
    <mergeCell ref="L58:M58"/>
    <mergeCell ref="N58:O58"/>
    <mergeCell ref="Y58:Z58"/>
    <mergeCell ref="AC58:AD58"/>
    <mergeCell ref="L56:M56"/>
    <mergeCell ref="N56:O56"/>
    <mergeCell ref="Y56:Z56"/>
    <mergeCell ref="AC56:AD56"/>
    <mergeCell ref="L59:M59"/>
    <mergeCell ref="N59:O59"/>
    <mergeCell ref="T59:U59"/>
    <mergeCell ref="Y59:Z59"/>
    <mergeCell ref="T53:U53"/>
    <mergeCell ref="L54:M54"/>
    <mergeCell ref="X54:AF54"/>
    <mergeCell ref="L57:M57"/>
    <mergeCell ref="N57:O57"/>
    <mergeCell ref="T57:U57"/>
    <mergeCell ref="Y57:Z57"/>
    <mergeCell ref="AC57:AD57"/>
    <mergeCell ref="AE57:AF57"/>
    <mergeCell ref="L55:M55"/>
    <mergeCell ref="N55:O55"/>
    <mergeCell ref="T55:U55"/>
    <mergeCell ref="Y55:Z55"/>
    <mergeCell ref="AC55:AD55"/>
    <mergeCell ref="AE55:AF55"/>
    <mergeCell ref="A53:E53"/>
    <mergeCell ref="F53:G53"/>
    <mergeCell ref="H53:I53"/>
    <mergeCell ref="J53:K53"/>
    <mergeCell ref="L53:M53"/>
    <mergeCell ref="N53:O53"/>
    <mergeCell ref="R51:S51"/>
    <mergeCell ref="T51:U51"/>
    <mergeCell ref="F52:G52"/>
    <mergeCell ref="H52:I52"/>
    <mergeCell ref="J52:K52"/>
    <mergeCell ref="L52:M52"/>
    <mergeCell ref="N52:O52"/>
    <mergeCell ref="P52:Q52"/>
    <mergeCell ref="R52:S52"/>
    <mergeCell ref="T52:U52"/>
    <mergeCell ref="F51:G51"/>
    <mergeCell ref="H51:I51"/>
    <mergeCell ref="J51:K51"/>
    <mergeCell ref="L51:M51"/>
    <mergeCell ref="N51:O51"/>
    <mergeCell ref="P51:Q51"/>
    <mergeCell ref="P53:Q53"/>
    <mergeCell ref="R53:S53"/>
    <mergeCell ref="R49:S49"/>
    <mergeCell ref="T49:U49"/>
    <mergeCell ref="F50:G50"/>
    <mergeCell ref="H50:I50"/>
    <mergeCell ref="J50:K50"/>
    <mergeCell ref="L50:M50"/>
    <mergeCell ref="N50:O50"/>
    <mergeCell ref="P50:Q50"/>
    <mergeCell ref="R50:S50"/>
    <mergeCell ref="T50:U50"/>
    <mergeCell ref="F49:G49"/>
    <mergeCell ref="H49:I49"/>
    <mergeCell ref="J49:K49"/>
    <mergeCell ref="L49:M49"/>
    <mergeCell ref="N49:O49"/>
    <mergeCell ref="P49:Q49"/>
    <mergeCell ref="R47:S47"/>
    <mergeCell ref="T47:U47"/>
    <mergeCell ref="F48:G48"/>
    <mergeCell ref="H48:I48"/>
    <mergeCell ref="J48:K48"/>
    <mergeCell ref="L48:M48"/>
    <mergeCell ref="N48:O48"/>
    <mergeCell ref="P48:Q48"/>
    <mergeCell ref="R48:S48"/>
    <mergeCell ref="T48:U48"/>
    <mergeCell ref="F47:G47"/>
    <mergeCell ref="H47:I47"/>
    <mergeCell ref="J47:K47"/>
    <mergeCell ref="L47:M47"/>
    <mergeCell ref="N47:O47"/>
    <mergeCell ref="P47:Q47"/>
    <mergeCell ref="R45:S45"/>
    <mergeCell ref="T45:U45"/>
    <mergeCell ref="F46:G46"/>
    <mergeCell ref="H46:I46"/>
    <mergeCell ref="J46:K46"/>
    <mergeCell ref="L46:M46"/>
    <mergeCell ref="N46:O46"/>
    <mergeCell ref="P46:Q46"/>
    <mergeCell ref="R46:S46"/>
    <mergeCell ref="T46:U46"/>
    <mergeCell ref="F45:G45"/>
    <mergeCell ref="H45:I45"/>
    <mergeCell ref="J45:K45"/>
    <mergeCell ref="L45:M45"/>
    <mergeCell ref="N45:O45"/>
    <mergeCell ref="P45:Q45"/>
    <mergeCell ref="R43:S43"/>
    <mergeCell ref="T43:U43"/>
    <mergeCell ref="F44:G44"/>
    <mergeCell ref="H44:I44"/>
    <mergeCell ref="J44:K44"/>
    <mergeCell ref="L44:M44"/>
    <mergeCell ref="N44:O44"/>
    <mergeCell ref="P44:Q44"/>
    <mergeCell ref="R44:S44"/>
    <mergeCell ref="T44:U44"/>
    <mergeCell ref="F43:G43"/>
    <mergeCell ref="H43:I43"/>
    <mergeCell ref="J43:K43"/>
    <mergeCell ref="L43:M43"/>
    <mergeCell ref="N43:O43"/>
    <mergeCell ref="P43:Q43"/>
    <mergeCell ref="R41:S41"/>
    <mergeCell ref="T41:U41"/>
    <mergeCell ref="F42:G42"/>
    <mergeCell ref="H42:I42"/>
    <mergeCell ref="J42:K42"/>
    <mergeCell ref="L42:M42"/>
    <mergeCell ref="N42:O42"/>
    <mergeCell ref="P42:Q42"/>
    <mergeCell ref="R42:S42"/>
    <mergeCell ref="T42:U42"/>
    <mergeCell ref="F41:G41"/>
    <mergeCell ref="H41:I41"/>
    <mergeCell ref="J41:K41"/>
    <mergeCell ref="L41:M41"/>
    <mergeCell ref="N41:O41"/>
    <mergeCell ref="P41:Q41"/>
    <mergeCell ref="R39:S39"/>
    <mergeCell ref="T39:U39"/>
    <mergeCell ref="F40:G40"/>
    <mergeCell ref="H40:I40"/>
    <mergeCell ref="J40:K40"/>
    <mergeCell ref="L40:M40"/>
    <mergeCell ref="N40:O40"/>
    <mergeCell ref="P40:Q40"/>
    <mergeCell ref="R40:S40"/>
    <mergeCell ref="T40:U40"/>
    <mergeCell ref="F39:G39"/>
    <mergeCell ref="H39:I39"/>
    <mergeCell ref="J39:K39"/>
    <mergeCell ref="L39:M39"/>
    <mergeCell ref="N39:O39"/>
    <mergeCell ref="P39:Q39"/>
    <mergeCell ref="R37:S37"/>
    <mergeCell ref="T37:U37"/>
    <mergeCell ref="F38:G38"/>
    <mergeCell ref="H38:I38"/>
    <mergeCell ref="J38:K38"/>
    <mergeCell ref="L38:M38"/>
    <mergeCell ref="N38:O38"/>
    <mergeCell ref="P38:Q38"/>
    <mergeCell ref="R38:S38"/>
    <mergeCell ref="T38:U38"/>
    <mergeCell ref="F37:G37"/>
    <mergeCell ref="H37:I37"/>
    <mergeCell ref="J37:K37"/>
    <mergeCell ref="L37:M37"/>
    <mergeCell ref="N37:O37"/>
    <mergeCell ref="P37:Q37"/>
    <mergeCell ref="R35:S35"/>
    <mergeCell ref="T35:U35"/>
    <mergeCell ref="F36:G36"/>
    <mergeCell ref="H36:I36"/>
    <mergeCell ref="J36:K36"/>
    <mergeCell ref="L36:M36"/>
    <mergeCell ref="N36:O36"/>
    <mergeCell ref="P36:Q36"/>
    <mergeCell ref="R36:S36"/>
    <mergeCell ref="T36:U36"/>
    <mergeCell ref="F35:G35"/>
    <mergeCell ref="H35:I35"/>
    <mergeCell ref="J35:K35"/>
    <mergeCell ref="L35:M35"/>
    <mergeCell ref="N35:O35"/>
    <mergeCell ref="P35:Q35"/>
    <mergeCell ref="R33:S33"/>
    <mergeCell ref="T33:U33"/>
    <mergeCell ref="F34:G34"/>
    <mergeCell ref="H34:I34"/>
    <mergeCell ref="J34:K34"/>
    <mergeCell ref="L34:M34"/>
    <mergeCell ref="N34:O34"/>
    <mergeCell ref="P34:Q34"/>
    <mergeCell ref="R34:S34"/>
    <mergeCell ref="T34:U34"/>
    <mergeCell ref="F33:G33"/>
    <mergeCell ref="H33:I33"/>
    <mergeCell ref="J33:K33"/>
    <mergeCell ref="L33:M33"/>
    <mergeCell ref="N33:O33"/>
    <mergeCell ref="P33:Q33"/>
    <mergeCell ref="F32:G32"/>
    <mergeCell ref="H32:I32"/>
    <mergeCell ref="J32:K32"/>
    <mergeCell ref="L32:M32"/>
    <mergeCell ref="N32:O32"/>
    <mergeCell ref="P32:Q32"/>
    <mergeCell ref="R32:S32"/>
    <mergeCell ref="T32:U32"/>
    <mergeCell ref="F31:G31"/>
    <mergeCell ref="H31:I31"/>
    <mergeCell ref="J31:K31"/>
    <mergeCell ref="L31:M31"/>
    <mergeCell ref="N31:O31"/>
    <mergeCell ref="P31:Q31"/>
    <mergeCell ref="A28:E28"/>
    <mergeCell ref="F28:U28"/>
    <mergeCell ref="W28:AJ31"/>
    <mergeCell ref="F29:I30"/>
    <mergeCell ref="J29:M29"/>
    <mergeCell ref="N29:O30"/>
    <mergeCell ref="P29:U30"/>
    <mergeCell ref="J30:K30"/>
    <mergeCell ref="L30:M30"/>
    <mergeCell ref="A31:E31"/>
    <mergeCell ref="R31:S31"/>
    <mergeCell ref="T31:U31"/>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F53:M53 P53:S53 P55:P61 S55:S61 AC58 AC60">
    <cfRule type="expression" dxfId="257" priority="8" stopIfTrue="1">
      <formula>F53=0</formula>
    </cfRule>
  </conditionalFormatting>
  <conditionalFormatting sqref="H32:AK33 H34:W37 AA34:AK37">
    <cfRule type="expression" dxfId="256" priority="7">
      <formula>H32=0</formula>
    </cfRule>
  </conditionalFormatting>
  <conditionalFormatting sqref="H38:AK52">
    <cfRule type="expression" dxfId="255" priority="1">
      <formula>H38=0</formula>
    </cfRule>
  </conditionalFormatting>
  <conditionalFormatting sqref="V53:AC53">
    <cfRule type="expression" dxfId="254" priority="9" stopIfTrue="1">
      <formula>V53=0</formula>
    </cfRule>
  </conditionalFormatting>
  <conditionalFormatting sqref="Z34:Z37">
    <cfRule type="expression" dxfId="253" priority="5">
      <formula>(Z34&lt;&gt;0)</formula>
    </cfRule>
    <cfRule type="expression" dxfId="252" priority="6">
      <formula>(Z34=0)</formula>
    </cfRule>
  </conditionalFormatting>
  <conditionalFormatting sqref="AF53:AI53 AC56 N57 AC57:AD57 N59 AC59:AD59">
    <cfRule type="expression" dxfId="251" priority="10" stopIfTrue="1">
      <formula>N53=0</formula>
    </cfRule>
  </conditionalFormatting>
  <pageMargins left="0.74803149606299213" right="0.19685039370078741" top="0.39370078740157483" bottom="0.39370078740157483" header="0.19685039370078741" footer="0.19685039370078741"/>
  <pageSetup paperSize="9" scale="61"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83D9D-EEBF-4FF4-88E7-B09D747EACEF}">
  <sheetPr>
    <tabColor rgb="FF92D050"/>
    <pageSetUpPr fitToPage="1"/>
  </sheetPr>
  <dimension ref="A1:AR103"/>
  <sheetViews>
    <sheetView showGridLines="0" view="pageBreakPreview" zoomScaleNormal="100" zoomScaleSheetLayoutView="100" workbookViewId="0">
      <selection sqref="A1:P4"/>
    </sheetView>
  </sheetViews>
  <sheetFormatPr defaultColWidth="9.28515625" defaultRowHeight="11.25"/>
  <cols>
    <col min="1" max="4" width="3.5703125" style="137" customWidth="1"/>
    <col min="5" max="5" width="2.5703125" style="137" customWidth="1"/>
    <col min="6" max="7" width="3.5703125" style="137" customWidth="1"/>
    <col min="8" max="11" width="10" style="137" customWidth="1"/>
    <col min="12" max="12" width="9.28515625" style="137" customWidth="1"/>
    <col min="13" max="13" width="11.28515625" style="137" customWidth="1"/>
    <col min="14" max="14" width="10.42578125" style="137" customWidth="1"/>
    <col min="15" max="15" width="7.28515625" style="137" customWidth="1"/>
    <col min="16" max="16" width="1.42578125" style="137" customWidth="1"/>
    <col min="17" max="22" width="8" style="137" customWidth="1"/>
    <col min="23" max="23" width="8" style="134" customWidth="1"/>
    <col min="24" max="29" width="8" style="137" customWidth="1"/>
    <col min="30" max="35" width="8" style="136" customWidth="1"/>
    <col min="36" max="16384" width="9.28515625" style="136"/>
  </cols>
  <sheetData>
    <row r="1" spans="1:43" s="129" customFormat="1" ht="14.25" customHeight="1">
      <c r="A1" s="1517" t="s">
        <v>21</v>
      </c>
      <c r="B1" s="1518"/>
      <c r="C1" s="1518"/>
      <c r="D1" s="1518"/>
      <c r="E1" s="1518"/>
      <c r="F1" s="1518"/>
      <c r="G1" s="1518"/>
      <c r="H1" s="1518"/>
      <c r="I1" s="1518"/>
      <c r="J1" s="1518"/>
      <c r="K1" s="1518"/>
      <c r="L1" s="1518"/>
      <c r="M1" s="1518"/>
      <c r="N1" s="1518"/>
      <c r="O1" s="1518"/>
      <c r="P1" s="1519"/>
      <c r="Q1" s="127"/>
      <c r="R1" s="127"/>
      <c r="S1" s="127"/>
      <c r="T1" s="127"/>
      <c r="U1" s="127"/>
      <c r="V1" s="127"/>
      <c r="W1" s="128"/>
      <c r="X1" s="127"/>
      <c r="Y1" s="127"/>
      <c r="Z1" s="127"/>
      <c r="AA1" s="127"/>
      <c r="AB1" s="127"/>
      <c r="AC1" s="127"/>
      <c r="AD1" s="127"/>
      <c r="AE1" s="127"/>
      <c r="AF1" s="127"/>
      <c r="AG1" s="127"/>
      <c r="AH1" s="127"/>
      <c r="AI1" s="127"/>
      <c r="AJ1" s="56"/>
      <c r="AK1" s="56"/>
      <c r="AL1" s="56"/>
      <c r="AM1" s="56"/>
      <c r="AN1" s="56"/>
      <c r="AO1" s="56"/>
      <c r="AP1" s="56"/>
      <c r="AQ1" s="56"/>
    </row>
    <row r="2" spans="1:43" s="129" customFormat="1" ht="14.25" customHeight="1">
      <c r="A2" s="1520"/>
      <c r="B2" s="1521"/>
      <c r="C2" s="1521"/>
      <c r="D2" s="1521"/>
      <c r="E2" s="1521"/>
      <c r="F2" s="1521"/>
      <c r="G2" s="1521"/>
      <c r="H2" s="1521"/>
      <c r="I2" s="1521"/>
      <c r="J2" s="1521"/>
      <c r="K2" s="1521"/>
      <c r="L2" s="1521"/>
      <c r="M2" s="1521"/>
      <c r="N2" s="1521"/>
      <c r="O2" s="1521"/>
      <c r="P2" s="1522"/>
      <c r="Q2" s="127"/>
      <c r="R2" s="127"/>
      <c r="S2" s="127"/>
      <c r="T2" s="127"/>
      <c r="U2" s="127"/>
      <c r="V2" s="127"/>
      <c r="W2" s="128"/>
      <c r="X2" s="127"/>
      <c r="Y2" s="127"/>
      <c r="Z2" s="127"/>
      <c r="AA2" s="127"/>
      <c r="AB2" s="127"/>
      <c r="AC2" s="127"/>
      <c r="AD2" s="127"/>
      <c r="AE2" s="127"/>
      <c r="AF2" s="127"/>
      <c r="AG2" s="127"/>
      <c r="AH2" s="127"/>
      <c r="AI2" s="127"/>
      <c r="AJ2" s="56"/>
      <c r="AK2" s="56"/>
      <c r="AL2" s="56"/>
      <c r="AM2" s="56"/>
      <c r="AN2" s="56"/>
      <c r="AO2" s="56"/>
      <c r="AP2" s="56"/>
      <c r="AQ2" s="56"/>
    </row>
    <row r="3" spans="1:43" s="129" customFormat="1" ht="14.25" customHeight="1">
      <c r="A3" s="1520"/>
      <c r="B3" s="1521"/>
      <c r="C3" s="1521"/>
      <c r="D3" s="1521"/>
      <c r="E3" s="1521"/>
      <c r="F3" s="1521"/>
      <c r="G3" s="1521"/>
      <c r="H3" s="1521"/>
      <c r="I3" s="1521"/>
      <c r="J3" s="1521"/>
      <c r="K3" s="1521"/>
      <c r="L3" s="1521"/>
      <c r="M3" s="1521"/>
      <c r="N3" s="1521"/>
      <c r="O3" s="1521"/>
      <c r="P3" s="1522"/>
      <c r="Q3" s="127"/>
      <c r="R3" s="127"/>
      <c r="S3" s="127"/>
      <c r="T3" s="127"/>
      <c r="U3" s="127"/>
      <c r="V3" s="127"/>
      <c r="W3" s="128"/>
      <c r="X3" s="127"/>
      <c r="Y3" s="127"/>
      <c r="Z3" s="127"/>
      <c r="AA3" s="127"/>
      <c r="AB3" s="127"/>
      <c r="AC3" s="127"/>
      <c r="AD3" s="127"/>
      <c r="AE3" s="127"/>
      <c r="AF3" s="127"/>
      <c r="AG3" s="127"/>
      <c r="AH3" s="127"/>
      <c r="AI3" s="127"/>
      <c r="AJ3" s="56"/>
      <c r="AK3" s="56"/>
      <c r="AL3" s="56"/>
      <c r="AM3" s="56"/>
      <c r="AN3" s="56"/>
      <c r="AO3" s="56"/>
      <c r="AP3" s="56"/>
      <c r="AQ3" s="56"/>
    </row>
    <row r="4" spans="1:43" s="129" customFormat="1" ht="14.25" customHeight="1">
      <c r="A4" s="1523"/>
      <c r="B4" s="1524"/>
      <c r="C4" s="1524"/>
      <c r="D4" s="1524"/>
      <c r="E4" s="1524"/>
      <c r="F4" s="1524"/>
      <c r="G4" s="1524"/>
      <c r="H4" s="1524"/>
      <c r="I4" s="1524"/>
      <c r="J4" s="1524"/>
      <c r="K4" s="1524"/>
      <c r="L4" s="1524"/>
      <c r="M4" s="1524"/>
      <c r="N4" s="1524"/>
      <c r="O4" s="1524"/>
      <c r="P4" s="1525"/>
      <c r="Q4" s="127"/>
      <c r="R4" s="127"/>
      <c r="S4" s="127"/>
      <c r="T4" s="127"/>
      <c r="U4" s="127"/>
      <c r="V4" s="127"/>
      <c r="W4" s="128"/>
      <c r="X4" s="127"/>
      <c r="Y4" s="127"/>
      <c r="Z4" s="127"/>
      <c r="AA4" s="127"/>
      <c r="AB4" s="127"/>
      <c r="AC4" s="127"/>
      <c r="AD4" s="127"/>
      <c r="AE4" s="127"/>
      <c r="AF4" s="127"/>
      <c r="AG4" s="127"/>
      <c r="AH4" s="127"/>
      <c r="AI4" s="127"/>
      <c r="AJ4" s="56"/>
      <c r="AK4" s="56"/>
      <c r="AL4" s="56"/>
      <c r="AM4" s="56"/>
      <c r="AN4" s="56"/>
      <c r="AO4" s="56"/>
      <c r="AP4" s="56"/>
      <c r="AQ4" s="56"/>
    </row>
    <row r="5" spans="1:43" ht="15" customHeight="1">
      <c r="A5" s="1167" t="s">
        <v>22</v>
      </c>
      <c r="B5" s="1168"/>
      <c r="C5" s="1168"/>
      <c r="D5" s="1168"/>
      <c r="E5" s="1168"/>
      <c r="F5" s="27" t="str">
        <f>'Emiss. Ops'!$C$2</f>
        <v>OMVP</v>
      </c>
      <c r="G5" s="27"/>
      <c r="H5" s="27"/>
      <c r="I5" s="27"/>
      <c r="J5" s="27"/>
      <c r="K5" s="130"/>
      <c r="L5" s="130"/>
      <c r="M5" s="131" t="s">
        <v>23</v>
      </c>
      <c r="N5" s="27" t="str">
        <f>Effluents!$K$2</f>
        <v>PRJ-001030</v>
      </c>
      <c r="O5" s="27"/>
      <c r="P5" s="226"/>
      <c r="Q5" s="31"/>
      <c r="R5" s="31"/>
      <c r="S5" s="31"/>
      <c r="T5" s="31"/>
      <c r="U5" s="31"/>
      <c r="V5" s="31"/>
      <c r="X5" s="135"/>
      <c r="Y5" s="135"/>
      <c r="Z5" s="135"/>
      <c r="AA5" s="1494"/>
      <c r="AB5" s="1494"/>
      <c r="AC5" s="1494"/>
      <c r="AD5" s="1494"/>
      <c r="AE5" s="1494"/>
      <c r="AF5" s="1494"/>
      <c r="AG5" s="1494"/>
      <c r="AH5" s="1494"/>
      <c r="AI5" s="1494"/>
      <c r="AJ5" s="105"/>
    </row>
    <row r="6" spans="1:43" ht="15" customHeight="1">
      <c r="A6" s="1171" t="s">
        <v>24</v>
      </c>
      <c r="B6" s="1172"/>
      <c r="C6" s="1172"/>
      <c r="D6" s="1172"/>
      <c r="E6" s="1172"/>
      <c r="F6" s="30" t="str">
        <f>'Emiss. Ops'!$C$3</f>
        <v>OMV Neptun BAT Study &amp; ESIA</v>
      </c>
      <c r="G6" s="31"/>
      <c r="H6" s="31"/>
      <c r="I6" s="31"/>
      <c r="J6" s="31"/>
      <c r="M6" s="138" t="s">
        <v>25</v>
      </c>
      <c r="N6" s="31"/>
      <c r="O6" s="31"/>
      <c r="P6" s="32"/>
      <c r="Q6" s="31"/>
      <c r="R6" s="31"/>
      <c r="S6" s="31"/>
      <c r="T6" s="31"/>
      <c r="U6" s="31"/>
      <c r="V6" s="31"/>
      <c r="X6" s="135"/>
      <c r="Y6" s="135"/>
      <c r="Z6" s="135"/>
      <c r="AA6" s="1494"/>
      <c r="AB6" s="1494"/>
      <c r="AC6" s="1494"/>
      <c r="AD6" s="1494"/>
      <c r="AE6" s="1494"/>
      <c r="AF6" s="1494"/>
      <c r="AG6" s="1494"/>
      <c r="AH6" s="1494"/>
      <c r="AI6" s="1494"/>
      <c r="AJ6" s="105"/>
    </row>
    <row r="7" spans="1:43" ht="15" customHeight="1">
      <c r="A7" s="1171" t="s">
        <v>26</v>
      </c>
      <c r="B7" s="1172"/>
      <c r="C7" s="1172"/>
      <c r="D7" s="1172"/>
      <c r="E7" s="1172"/>
      <c r="F7" s="30" t="str">
        <f>'Emiss. Ops'!$C$4</f>
        <v>Emissions Inventory</v>
      </c>
      <c r="G7" s="31"/>
      <c r="H7" s="31"/>
      <c r="I7" s="31"/>
      <c r="J7" s="31"/>
      <c r="M7" s="139" t="s">
        <v>27</v>
      </c>
      <c r="N7" s="31"/>
      <c r="O7" s="30" t="s">
        <v>772</v>
      </c>
      <c r="P7" s="31"/>
      <c r="Q7" s="31"/>
      <c r="R7" s="31"/>
      <c r="S7" s="31"/>
      <c r="T7" s="31"/>
      <c r="U7" s="31"/>
      <c r="V7" s="31"/>
      <c r="X7" s="135"/>
      <c r="Y7" s="135"/>
      <c r="Z7" s="135"/>
      <c r="AA7" s="1494"/>
      <c r="AB7" s="1494"/>
      <c r="AC7" s="1494"/>
      <c r="AD7" s="1494"/>
      <c r="AE7" s="1494"/>
      <c r="AF7" s="1494"/>
      <c r="AG7" s="1494"/>
      <c r="AH7" s="1494"/>
      <c r="AI7" s="1494"/>
      <c r="AJ7" s="105"/>
    </row>
    <row r="8" spans="1:43" ht="14.25" customHeight="1">
      <c r="A8" s="1171" t="s">
        <v>98</v>
      </c>
      <c r="B8" s="1172"/>
      <c r="C8" s="1172"/>
      <c r="D8" s="1172"/>
      <c r="E8" s="1172"/>
      <c r="F8" s="140"/>
      <c r="G8" s="140"/>
      <c r="H8" s="140"/>
      <c r="I8" s="140"/>
      <c r="J8" s="140"/>
      <c r="K8" s="140"/>
      <c r="L8" s="140"/>
      <c r="M8" s="138" t="s">
        <v>28</v>
      </c>
      <c r="N8" s="140"/>
      <c r="O8" s="140"/>
      <c r="P8" s="141"/>
      <c r="X8" s="142"/>
      <c r="Y8" s="142"/>
      <c r="Z8" s="142"/>
      <c r="AA8" s="142"/>
      <c r="AB8" s="142"/>
      <c r="AC8" s="142"/>
      <c r="AD8" s="142"/>
      <c r="AE8" s="142"/>
      <c r="AF8" s="142"/>
      <c r="AG8" s="142"/>
      <c r="AH8" s="142"/>
      <c r="AI8" s="142"/>
      <c r="AJ8" s="105"/>
    </row>
    <row r="9" spans="1:43" ht="12" customHeight="1">
      <c r="A9" s="143"/>
      <c r="B9" s="144"/>
      <c r="C9" s="144"/>
      <c r="D9" s="144"/>
      <c r="E9" s="144"/>
      <c r="F9" s="140"/>
      <c r="G9" s="140"/>
      <c r="H9" s="140"/>
      <c r="I9" s="140"/>
      <c r="J9" s="140"/>
      <c r="K9" s="140"/>
      <c r="L9" s="140"/>
      <c r="M9" s="140"/>
      <c r="N9" s="140"/>
      <c r="O9" s="140"/>
      <c r="P9" s="141"/>
      <c r="X9" s="142"/>
      <c r="Y9" s="142"/>
      <c r="Z9" s="142"/>
      <c r="AA9" s="142"/>
      <c r="AB9" s="142"/>
      <c r="AC9" s="142"/>
      <c r="AD9" s="142"/>
      <c r="AE9" s="142"/>
      <c r="AF9" s="142"/>
      <c r="AG9" s="142"/>
      <c r="AH9" s="142"/>
      <c r="AI9" s="142"/>
      <c r="AJ9" s="105"/>
    </row>
    <row r="10" spans="1:43" s="129" customFormat="1" ht="15" customHeight="1">
      <c r="A10" s="145" t="s">
        <v>99</v>
      </c>
      <c r="B10" s="146"/>
      <c r="C10" s="146"/>
      <c r="D10" s="146"/>
      <c r="E10" s="146"/>
      <c r="F10" s="146"/>
      <c r="G10" s="146"/>
      <c r="H10" s="146"/>
      <c r="I10" s="147"/>
      <c r="J10" s="147"/>
      <c r="K10" s="148"/>
      <c r="L10" s="147"/>
      <c r="M10" s="147"/>
      <c r="N10" s="147"/>
      <c r="O10" s="147"/>
      <c r="P10" s="149"/>
      <c r="W10" s="150"/>
      <c r="X10" s="135"/>
      <c r="Y10" s="135"/>
      <c r="Z10" s="135"/>
      <c r="AA10" s="1526"/>
      <c r="AB10" s="1526"/>
      <c r="AC10" s="1526"/>
      <c r="AD10" s="1527"/>
      <c r="AE10" s="1527"/>
      <c r="AF10" s="1527"/>
      <c r="AG10" s="1494"/>
      <c r="AH10" s="1494"/>
      <c r="AI10" s="1494"/>
      <c r="AJ10" s="56"/>
    </row>
    <row r="11" spans="1:43" s="129" customFormat="1" ht="14.25" customHeight="1">
      <c r="A11" s="1117" t="s">
        <v>188</v>
      </c>
      <c r="B11" s="1118"/>
      <c r="C11" s="1118"/>
      <c r="D11" s="1118"/>
      <c r="E11" s="1118"/>
      <c r="F11" s="1118"/>
      <c r="G11" s="1118"/>
      <c r="H11" s="1118"/>
      <c r="I11" s="1118"/>
      <c r="J11" s="1118"/>
      <c r="K11" s="1118"/>
      <c r="L11" s="1118"/>
      <c r="M11" s="1118"/>
      <c r="N11" s="1118"/>
      <c r="O11" s="1118"/>
      <c r="P11" s="152"/>
      <c r="Q11" s="127"/>
      <c r="R11" s="127"/>
      <c r="S11" s="127"/>
      <c r="T11" s="127"/>
      <c r="U11" s="127"/>
      <c r="V11" s="127"/>
      <c r="W11" s="128"/>
      <c r="X11" s="127"/>
      <c r="Y11" s="127"/>
      <c r="Z11" s="127"/>
      <c r="AA11" s="127"/>
      <c r="AB11" s="127"/>
      <c r="AC11" s="127"/>
      <c r="AD11" s="127"/>
      <c r="AE11" s="127"/>
      <c r="AF11" s="127"/>
      <c r="AG11" s="127"/>
      <c r="AH11" s="127"/>
      <c r="AI11" s="127"/>
      <c r="AJ11" s="56"/>
      <c r="AK11" s="56"/>
      <c r="AL11" s="56"/>
      <c r="AM11" s="56"/>
      <c r="AN11" s="56"/>
      <c r="AO11" s="56"/>
      <c r="AP11" s="56"/>
      <c r="AQ11" s="56"/>
    </row>
    <row r="12" spans="1:43" s="129" customFormat="1" ht="14.25" customHeight="1">
      <c r="A12" s="1149"/>
      <c r="B12" s="1150"/>
      <c r="C12" s="1150"/>
      <c r="D12" s="1150"/>
      <c r="E12" s="1150"/>
      <c r="F12" s="1150"/>
      <c r="G12" s="1150"/>
      <c r="H12" s="1150"/>
      <c r="I12" s="1150"/>
      <c r="J12" s="1150"/>
      <c r="K12" s="1150"/>
      <c r="L12" s="1150"/>
      <c r="M12" s="1150"/>
      <c r="N12" s="1150"/>
      <c r="O12" s="1150"/>
      <c r="P12" s="154"/>
      <c r="Q12" s="127"/>
      <c r="R12" s="127"/>
      <c r="S12" s="127"/>
      <c r="T12" s="127"/>
      <c r="U12" s="127"/>
      <c r="V12" s="127"/>
      <c r="W12" s="128"/>
      <c r="X12" s="127"/>
      <c r="Y12" s="127"/>
      <c r="Z12" s="127"/>
      <c r="AA12" s="127"/>
      <c r="AB12" s="127"/>
      <c r="AC12" s="127"/>
      <c r="AD12" s="127"/>
      <c r="AE12" s="127"/>
      <c r="AF12" s="127"/>
      <c r="AG12" s="127"/>
      <c r="AH12" s="127"/>
      <c r="AI12" s="127"/>
      <c r="AJ12" s="56"/>
      <c r="AK12" s="56"/>
      <c r="AL12" s="56"/>
      <c r="AM12" s="56"/>
      <c r="AN12" s="56"/>
      <c r="AO12" s="56"/>
      <c r="AP12" s="56"/>
      <c r="AQ12" s="56"/>
    </row>
    <row r="13" spans="1:43" s="129" customFormat="1" ht="14.25" customHeight="1">
      <c r="A13" s="155"/>
      <c r="B13" s="156"/>
      <c r="C13" s="156"/>
      <c r="D13" s="156"/>
      <c r="E13" s="156"/>
      <c r="F13" s="156"/>
      <c r="G13" s="156"/>
      <c r="H13" s="156"/>
      <c r="I13" s="156"/>
      <c r="J13" s="156"/>
      <c r="K13" s="156"/>
      <c r="L13" s="156"/>
      <c r="M13" s="156"/>
      <c r="N13" s="156"/>
      <c r="O13" s="156"/>
      <c r="P13" s="157"/>
      <c r="Q13" s="127"/>
      <c r="R13" s="127"/>
      <c r="S13" s="127"/>
      <c r="T13" s="127"/>
      <c r="U13" s="127"/>
      <c r="V13" s="127"/>
      <c r="W13" s="128"/>
      <c r="X13" s="127"/>
      <c r="Y13" s="127"/>
      <c r="Z13" s="127"/>
      <c r="AA13" s="127"/>
      <c r="AB13" s="127"/>
      <c r="AC13" s="127"/>
      <c r="AD13" s="127"/>
      <c r="AE13" s="127"/>
      <c r="AF13" s="127"/>
      <c r="AG13" s="127"/>
      <c r="AH13" s="127"/>
      <c r="AI13" s="127"/>
      <c r="AJ13" s="56"/>
      <c r="AK13" s="56"/>
      <c r="AL13" s="56"/>
      <c r="AM13" s="56"/>
      <c r="AN13" s="56"/>
      <c r="AO13" s="56"/>
      <c r="AP13" s="56"/>
      <c r="AQ13" s="56"/>
    </row>
    <row r="14" spans="1:43" s="129" customFormat="1" ht="33.75" customHeight="1">
      <c r="A14" s="1117" t="s">
        <v>589</v>
      </c>
      <c r="B14" s="1118"/>
      <c r="C14" s="1118"/>
      <c r="D14" s="1118"/>
      <c r="E14" s="1118"/>
      <c r="F14" s="1118"/>
      <c r="G14" s="1119"/>
      <c r="H14" s="1515" t="s">
        <v>773</v>
      </c>
      <c r="I14" s="1516"/>
      <c r="J14" s="1516"/>
      <c r="K14" s="1516"/>
      <c r="L14" s="1516"/>
      <c r="M14" s="1516"/>
      <c r="N14" s="1516"/>
      <c r="O14" s="1516"/>
      <c r="P14" s="141"/>
      <c r="Q14" s="142"/>
      <c r="W14" s="150"/>
      <c r="AB14" s="142"/>
      <c r="AC14" s="142"/>
      <c r="AJ14" s="56"/>
      <c r="AK14" s="56"/>
      <c r="AL14" s="56"/>
      <c r="AM14" s="56"/>
      <c r="AN14" s="56"/>
      <c r="AO14" s="56"/>
      <c r="AP14" s="56"/>
      <c r="AQ14" s="56"/>
    </row>
    <row r="15" spans="1:43" s="129" customFormat="1" ht="34.5" customHeight="1">
      <c r="A15" s="1149"/>
      <c r="B15" s="1150"/>
      <c r="C15" s="1150"/>
      <c r="D15" s="1150"/>
      <c r="E15" s="1150"/>
      <c r="F15" s="1150"/>
      <c r="G15" s="1151"/>
      <c r="H15" s="158"/>
      <c r="I15" s="158" t="s">
        <v>774</v>
      </c>
      <c r="J15" s="405"/>
      <c r="K15" s="159"/>
      <c r="L15" s="159"/>
      <c r="M15" s="159"/>
      <c r="N15" s="159"/>
      <c r="O15" s="159"/>
      <c r="P15" s="141"/>
      <c r="Q15" s="142"/>
      <c r="W15" s="150"/>
      <c r="AB15" s="142"/>
      <c r="AC15" s="142"/>
      <c r="AJ15" s="56"/>
      <c r="AK15" s="56"/>
      <c r="AL15" s="56"/>
      <c r="AM15" s="56"/>
      <c r="AN15" s="56"/>
      <c r="AO15" s="56"/>
      <c r="AP15" s="56"/>
      <c r="AQ15" s="56"/>
    </row>
    <row r="16" spans="1:43" s="129" customFormat="1" ht="14.25" customHeight="1">
      <c r="A16" s="1499" t="s">
        <v>393</v>
      </c>
      <c r="B16" s="1500"/>
      <c r="C16" s="1500"/>
      <c r="D16" s="1500"/>
      <c r="E16" s="1500"/>
      <c r="F16" s="1510" t="s">
        <v>775</v>
      </c>
      <c r="G16" s="1511"/>
      <c r="H16" s="161"/>
      <c r="I16" s="406">
        <v>7.22E-2</v>
      </c>
      <c r="J16" s="162"/>
      <c r="K16" s="162"/>
      <c r="L16" s="162"/>
      <c r="M16" s="162"/>
      <c r="N16" s="162"/>
      <c r="O16" s="162"/>
      <c r="P16" s="141"/>
      <c r="Q16" s="142"/>
      <c r="R16" s="164"/>
      <c r="S16" s="165"/>
      <c r="T16" s="165"/>
      <c r="U16" s="165"/>
      <c r="V16" s="165"/>
      <c r="W16" s="165"/>
      <c r="X16" s="165"/>
      <c r="Y16" s="165"/>
      <c r="Z16" s="165"/>
      <c r="AB16" s="142"/>
      <c r="AC16" s="142"/>
      <c r="AJ16" s="56"/>
      <c r="AK16" s="56"/>
      <c r="AL16" s="56"/>
      <c r="AM16" s="56"/>
      <c r="AN16" s="56"/>
      <c r="AO16" s="56"/>
      <c r="AP16" s="56"/>
      <c r="AQ16" s="56"/>
    </row>
    <row r="17" spans="1:44" s="129" customFormat="1" ht="14.25" customHeight="1">
      <c r="A17" s="168" t="s">
        <v>115</v>
      </c>
      <c r="B17" s="169"/>
      <c r="C17" s="169"/>
      <c r="D17" s="169"/>
      <c r="E17" s="169"/>
      <c r="F17" s="1510" t="s">
        <v>775</v>
      </c>
      <c r="G17" s="1511"/>
      <c r="H17" s="161"/>
      <c r="I17" s="407">
        <v>3.8400000000000001E-3</v>
      </c>
      <c r="J17" s="162"/>
      <c r="K17" s="162"/>
      <c r="L17" s="162"/>
      <c r="M17" s="162"/>
      <c r="N17" s="162"/>
      <c r="O17" s="162"/>
      <c r="P17" s="141"/>
      <c r="Q17" s="142"/>
      <c r="R17" s="165"/>
      <c r="S17" s="165"/>
      <c r="T17" s="165"/>
      <c r="U17" s="165"/>
      <c r="V17" s="165"/>
      <c r="W17" s="165"/>
      <c r="X17" s="165"/>
      <c r="Y17" s="165"/>
      <c r="Z17" s="165"/>
      <c r="AA17" s="142"/>
      <c r="AB17" s="142"/>
      <c r="AC17" s="142"/>
      <c r="AJ17" s="56"/>
      <c r="AK17" s="56"/>
      <c r="AL17" s="56"/>
      <c r="AM17" s="56"/>
      <c r="AN17" s="56"/>
      <c r="AO17" s="56"/>
      <c r="AP17" s="56"/>
      <c r="AQ17" s="56"/>
    </row>
    <row r="18" spans="1:44" s="129" customFormat="1" ht="14.25" customHeight="1">
      <c r="A18" s="1499" t="s">
        <v>123</v>
      </c>
      <c r="B18" s="1500"/>
      <c r="C18" s="1500"/>
      <c r="D18" s="1500"/>
      <c r="E18" s="1500"/>
      <c r="F18" s="1510" t="s">
        <v>775</v>
      </c>
      <c r="G18" s="1511"/>
      <c r="H18" s="161"/>
      <c r="I18" s="407">
        <v>1.75E-3</v>
      </c>
      <c r="J18" s="162"/>
      <c r="K18" s="162"/>
      <c r="L18" s="162"/>
      <c r="M18" s="162"/>
      <c r="N18" s="162"/>
      <c r="O18" s="162"/>
      <c r="P18" s="141"/>
      <c r="Q18" s="142"/>
      <c r="R18" s="165"/>
      <c r="S18" s="165"/>
      <c r="T18" s="166"/>
      <c r="U18" s="167"/>
      <c r="V18" s="166"/>
      <c r="W18" s="166"/>
      <c r="X18" s="166"/>
      <c r="Y18" s="166"/>
      <c r="Z18" s="166"/>
      <c r="AA18" s="142"/>
      <c r="AB18" s="142"/>
      <c r="AC18" s="142"/>
      <c r="AJ18" s="56"/>
      <c r="AK18" s="56"/>
      <c r="AL18" s="56"/>
      <c r="AM18" s="56"/>
      <c r="AN18" s="56"/>
      <c r="AO18" s="56"/>
      <c r="AP18" s="56"/>
      <c r="AQ18" s="56"/>
    </row>
    <row r="19" spans="1:44" s="129" customFormat="1" ht="14.25" customHeight="1">
      <c r="A19" s="1499" t="s">
        <v>124</v>
      </c>
      <c r="B19" s="1500"/>
      <c r="C19" s="1500"/>
      <c r="D19" s="1500"/>
      <c r="E19" s="1500"/>
      <c r="F19" s="1510" t="s">
        <v>775</v>
      </c>
      <c r="G19" s="1511"/>
      <c r="H19" s="161"/>
      <c r="I19" s="407">
        <v>1.82E-3</v>
      </c>
      <c r="J19" s="162"/>
      <c r="K19" s="162"/>
      <c r="L19" s="162"/>
      <c r="M19" s="162"/>
      <c r="N19" s="162"/>
      <c r="O19" s="162"/>
      <c r="P19" s="141"/>
      <c r="Q19" s="142"/>
      <c r="R19" s="165"/>
      <c r="S19" s="165"/>
      <c r="T19" s="170"/>
      <c r="U19" s="170"/>
      <c r="V19" s="170"/>
      <c r="W19" s="170"/>
      <c r="X19" s="170"/>
      <c r="Y19" s="170"/>
      <c r="Z19" s="170"/>
      <c r="AA19" s="142"/>
      <c r="AB19" s="142"/>
      <c r="AC19" s="142"/>
      <c r="AJ19" s="56"/>
      <c r="AK19" s="56"/>
      <c r="AL19" s="56"/>
      <c r="AM19" s="56"/>
      <c r="AN19" s="56"/>
      <c r="AO19" s="56"/>
      <c r="AP19" s="56"/>
      <c r="AQ19" s="56"/>
    </row>
    <row r="20" spans="1:44" s="129" customFormat="1" ht="14.25" customHeight="1">
      <c r="A20" s="1499" t="s">
        <v>126</v>
      </c>
      <c r="B20" s="1500"/>
      <c r="C20" s="1500"/>
      <c r="D20" s="1500"/>
      <c r="E20" s="1500"/>
      <c r="F20" s="1510" t="s">
        <v>775</v>
      </c>
      <c r="G20" s="1511"/>
      <c r="H20" s="173"/>
      <c r="I20" s="161">
        <v>3.206</v>
      </c>
      <c r="J20" s="172"/>
      <c r="K20" s="162"/>
      <c r="L20" s="162"/>
      <c r="M20" s="162"/>
      <c r="N20" s="162"/>
      <c r="O20" s="162"/>
      <c r="P20" s="141"/>
      <c r="Q20" s="142"/>
      <c r="R20" s="165"/>
      <c r="S20" s="165"/>
      <c r="T20" s="170"/>
      <c r="U20" s="170"/>
      <c r="V20" s="170"/>
      <c r="W20" s="170"/>
      <c r="X20" s="170"/>
      <c r="Y20" s="170"/>
      <c r="Z20" s="170"/>
      <c r="AA20" s="142"/>
      <c r="AB20" s="142"/>
      <c r="AC20" s="142"/>
      <c r="AJ20" s="56"/>
      <c r="AK20" s="56"/>
      <c r="AL20" s="56"/>
      <c r="AM20" s="56"/>
      <c r="AN20" s="56"/>
      <c r="AO20" s="56"/>
      <c r="AP20" s="56"/>
      <c r="AQ20" s="56"/>
    </row>
    <row r="21" spans="1:44" s="129" customFormat="1" ht="14.25" customHeight="1">
      <c r="A21" s="175"/>
      <c r="B21" s="176"/>
      <c r="C21" s="176"/>
      <c r="D21" s="176"/>
      <c r="E21" s="176"/>
      <c r="F21" s="177"/>
      <c r="G21" s="177"/>
      <c r="H21" s="178"/>
      <c r="I21" s="179"/>
      <c r="J21" s="180"/>
      <c r="K21" s="179"/>
      <c r="L21" s="179"/>
      <c r="M21" s="179"/>
      <c r="N21" s="179"/>
      <c r="O21" s="179"/>
      <c r="P21" s="141"/>
      <c r="Q21" s="142"/>
      <c r="R21" s="165"/>
      <c r="S21" s="165"/>
      <c r="T21" s="170"/>
      <c r="U21" s="170"/>
      <c r="V21" s="170"/>
      <c r="W21" s="170"/>
      <c r="X21" s="170"/>
      <c r="Y21" s="170"/>
      <c r="Z21" s="170"/>
      <c r="AA21" s="142"/>
      <c r="AB21" s="142"/>
      <c r="AC21" s="142"/>
      <c r="AJ21" s="56"/>
      <c r="AK21" s="56"/>
      <c r="AL21" s="56"/>
      <c r="AM21" s="56"/>
      <c r="AN21" s="56"/>
      <c r="AO21" s="56"/>
      <c r="AP21" s="56"/>
      <c r="AQ21" s="56"/>
    </row>
    <row r="22" spans="1:44" s="129" customFormat="1" ht="50.25" customHeight="1">
      <c r="A22" s="1512" t="s">
        <v>776</v>
      </c>
      <c r="B22" s="1513"/>
      <c r="C22" s="1513"/>
      <c r="D22" s="1513"/>
      <c r="E22" s="1513"/>
      <c r="F22" s="1513"/>
      <c r="G22" s="1514"/>
      <c r="H22" s="408" t="s">
        <v>777</v>
      </c>
      <c r="I22" s="408" t="s">
        <v>778</v>
      </c>
      <c r="J22" s="408"/>
      <c r="K22" s="408"/>
      <c r="L22" s="408" t="s">
        <v>663</v>
      </c>
      <c r="M22" s="214"/>
      <c r="N22" s="214"/>
      <c r="O22" s="214"/>
      <c r="P22" s="185"/>
      <c r="Q22" s="186"/>
      <c r="R22" s="1498"/>
      <c r="S22" s="1497"/>
      <c r="T22" s="1497"/>
      <c r="U22" s="1497"/>
      <c r="V22" s="1497"/>
      <c r="W22" s="1497"/>
      <c r="X22" s="1497"/>
      <c r="Y22" s="1497"/>
      <c r="Z22" s="170"/>
      <c r="AA22" s="186"/>
      <c r="AB22" s="186"/>
      <c r="AC22" s="186"/>
      <c r="AD22" s="186"/>
      <c r="AE22" s="186"/>
      <c r="AF22" s="186"/>
      <c r="AG22" s="186"/>
      <c r="AH22" s="186"/>
      <c r="AI22" s="186"/>
    </row>
    <row r="23" spans="1:44" s="129" customFormat="1" ht="14.25" customHeight="1">
      <c r="A23" s="1499" t="s">
        <v>779</v>
      </c>
      <c r="B23" s="1500"/>
      <c r="C23" s="1500"/>
      <c r="D23" s="1500"/>
      <c r="E23" s="1500"/>
      <c r="F23" s="409"/>
      <c r="G23" s="307"/>
      <c r="H23" s="181">
        <v>90</v>
      </c>
      <c r="I23" s="191">
        <v>30</v>
      </c>
      <c r="J23" s="191"/>
      <c r="K23" s="191"/>
      <c r="L23" s="191"/>
      <c r="M23" s="214"/>
      <c r="N23" s="214"/>
      <c r="O23" s="214"/>
      <c r="P23" s="185"/>
      <c r="Q23" s="186"/>
      <c r="R23" s="142"/>
      <c r="S23" s="410"/>
      <c r="T23" s="410"/>
      <c r="U23" s="410"/>
      <c r="V23" s="410"/>
      <c r="W23" s="410"/>
      <c r="X23" s="410"/>
      <c r="Y23" s="410"/>
      <c r="Z23" s="170"/>
      <c r="AA23" s="186"/>
      <c r="AB23" s="186"/>
      <c r="AC23" s="186"/>
      <c r="AD23" s="186"/>
      <c r="AE23" s="186"/>
      <c r="AF23" s="186"/>
      <c r="AG23" s="186"/>
      <c r="AH23" s="186"/>
      <c r="AI23" s="186"/>
    </row>
    <row r="24" spans="1:44" s="129" customFormat="1" ht="14.25" customHeight="1">
      <c r="A24" s="1499" t="s">
        <v>780</v>
      </c>
      <c r="B24" s="1500"/>
      <c r="C24" s="1500"/>
      <c r="D24" s="1500"/>
      <c r="E24" s="1500"/>
      <c r="F24" s="1502" t="s">
        <v>781</v>
      </c>
      <c r="G24" s="1503"/>
      <c r="H24" s="181">
        <v>20</v>
      </c>
      <c r="I24" s="191">
        <v>20</v>
      </c>
      <c r="J24" s="191"/>
      <c r="K24" s="191"/>
      <c r="L24" s="191"/>
      <c r="M24" s="214"/>
      <c r="N24" s="214"/>
      <c r="O24" s="214"/>
      <c r="P24" s="185"/>
      <c r="Q24" s="186"/>
      <c r="R24" s="142"/>
      <c r="S24" s="410"/>
      <c r="T24" s="410"/>
      <c r="U24" s="410"/>
      <c r="V24" s="410"/>
      <c r="W24" s="410"/>
      <c r="X24" s="410"/>
      <c r="Y24" s="410"/>
      <c r="Z24" s="170"/>
      <c r="AA24" s="186"/>
      <c r="AB24" s="186"/>
      <c r="AC24" s="186"/>
      <c r="AD24" s="186"/>
      <c r="AE24" s="186"/>
      <c r="AF24" s="186"/>
      <c r="AG24" s="186"/>
      <c r="AH24" s="186"/>
      <c r="AI24" s="186"/>
    </row>
    <row r="25" spans="1:44" s="129" customFormat="1" ht="14.25" customHeight="1">
      <c r="A25" s="168" t="s">
        <v>780</v>
      </c>
      <c r="B25" s="169"/>
      <c r="C25" s="169"/>
      <c r="D25" s="169"/>
      <c r="E25" s="169"/>
      <c r="F25" s="187"/>
      <c r="G25" s="411" t="s">
        <v>233</v>
      </c>
      <c r="H25" s="181">
        <f>H23*H24</f>
        <v>1800</v>
      </c>
      <c r="I25" s="191">
        <f>I23*I24</f>
        <v>600</v>
      </c>
      <c r="J25" s="191"/>
      <c r="K25" s="191"/>
      <c r="L25" s="190">
        <f t="shared" ref="L25:L30" si="0">SUM(H25:K25)</f>
        <v>2400</v>
      </c>
      <c r="M25" s="214"/>
      <c r="N25" s="214"/>
      <c r="O25" s="214"/>
      <c r="P25" s="185"/>
      <c r="Q25" s="186"/>
      <c r="R25" s="142"/>
      <c r="S25" s="410"/>
      <c r="T25" s="410"/>
      <c r="U25" s="410"/>
      <c r="V25" s="410"/>
      <c r="W25" s="410"/>
      <c r="X25" s="410"/>
      <c r="Y25" s="410"/>
      <c r="Z25" s="170"/>
      <c r="AA25" s="186"/>
      <c r="AB25" s="186"/>
      <c r="AC25" s="186"/>
      <c r="AD25" s="186"/>
      <c r="AE25" s="186"/>
      <c r="AF25" s="186"/>
      <c r="AG25" s="186"/>
      <c r="AH25" s="186"/>
      <c r="AI25" s="186"/>
    </row>
    <row r="26" spans="1:44" s="129" customFormat="1" ht="14.25" customHeight="1">
      <c r="A26" s="1499" t="s">
        <v>393</v>
      </c>
      <c r="B26" s="1500"/>
      <c r="C26" s="1500"/>
      <c r="D26" s="1500"/>
      <c r="E26" s="1500"/>
      <c r="F26" s="1502" t="s">
        <v>332</v>
      </c>
      <c r="G26" s="1503"/>
      <c r="H26" s="191">
        <f>H25*$I$16</f>
        <v>129.96</v>
      </c>
      <c r="I26" s="191">
        <f>I25*$I$16</f>
        <v>43.32</v>
      </c>
      <c r="J26" s="191"/>
      <c r="K26" s="191"/>
      <c r="L26" s="190">
        <f t="shared" si="0"/>
        <v>173.28</v>
      </c>
      <c r="M26" s="214"/>
      <c r="N26" s="214"/>
      <c r="O26" s="214"/>
      <c r="P26" s="204"/>
      <c r="Q26" s="205"/>
      <c r="R26" s="1504"/>
      <c r="S26" s="1497"/>
      <c r="T26" s="1497"/>
      <c r="U26" s="1497"/>
      <c r="V26" s="1497"/>
      <c r="W26" s="1497"/>
      <c r="X26" s="1497"/>
      <c r="Y26" s="1497"/>
      <c r="Z26" s="142"/>
      <c r="AA26" s="216"/>
      <c r="AB26" s="216"/>
      <c r="AC26" s="216"/>
      <c r="AD26" s="216"/>
      <c r="AE26" s="205"/>
      <c r="AF26" s="205"/>
      <c r="AG26" s="205"/>
      <c r="AH26" s="205"/>
      <c r="AI26" s="205"/>
      <c r="AJ26" s="142"/>
      <c r="AK26" s="56"/>
      <c r="AL26" s="56"/>
      <c r="AM26" s="56"/>
      <c r="AN26" s="56"/>
      <c r="AO26" s="56"/>
      <c r="AP26" s="56"/>
      <c r="AQ26" s="56"/>
      <c r="AR26" s="56"/>
    </row>
    <row r="27" spans="1:44" s="129" customFormat="1" ht="14.25" customHeight="1">
      <c r="A27" s="168" t="s">
        <v>115</v>
      </c>
      <c r="B27" s="169"/>
      <c r="C27" s="169"/>
      <c r="D27" s="169"/>
      <c r="E27" s="169"/>
      <c r="F27" s="1502" t="s">
        <v>332</v>
      </c>
      <c r="G27" s="1503"/>
      <c r="H27" s="191">
        <f>H25*$I$17</f>
        <v>6.9119999999999999</v>
      </c>
      <c r="I27" s="191">
        <f>I25*$I$17</f>
        <v>2.3040000000000003</v>
      </c>
      <c r="J27" s="191"/>
      <c r="K27" s="191"/>
      <c r="L27" s="190">
        <f t="shared" si="0"/>
        <v>9.2160000000000011</v>
      </c>
      <c r="M27" s="214"/>
      <c r="N27" s="214"/>
      <c r="O27" s="214"/>
      <c r="P27" s="208"/>
      <c r="Q27" s="209"/>
      <c r="R27" s="1504"/>
      <c r="S27" s="1497"/>
      <c r="T27" s="1497"/>
      <c r="U27" s="1497"/>
      <c r="V27" s="1497"/>
      <c r="W27" s="1497"/>
      <c r="X27" s="1497"/>
      <c r="Y27" s="1497"/>
      <c r="Z27" s="142"/>
      <c r="AA27" s="216"/>
      <c r="AB27" s="216"/>
      <c r="AC27" s="216"/>
      <c r="AD27" s="216"/>
      <c r="AE27" s="209"/>
      <c r="AF27" s="209"/>
      <c r="AG27" s="209"/>
      <c r="AH27" s="209"/>
      <c r="AI27" s="209"/>
      <c r="AJ27" s="142"/>
      <c r="AK27" s="56"/>
      <c r="AL27" s="56"/>
      <c r="AM27" s="56"/>
      <c r="AN27" s="56"/>
      <c r="AO27" s="56"/>
      <c r="AP27" s="56"/>
      <c r="AQ27" s="56"/>
      <c r="AR27" s="56"/>
    </row>
    <row r="28" spans="1:44" s="129" customFormat="1" ht="14.25" customHeight="1">
      <c r="A28" s="1499" t="s">
        <v>123</v>
      </c>
      <c r="B28" s="1500"/>
      <c r="C28" s="1500"/>
      <c r="D28" s="1500"/>
      <c r="E28" s="1500"/>
      <c r="F28" s="1502" t="s">
        <v>332</v>
      </c>
      <c r="G28" s="1503"/>
      <c r="H28" s="191">
        <f>H25*$I$18</f>
        <v>3.15</v>
      </c>
      <c r="I28" s="191">
        <f>I25*$I$18</f>
        <v>1.05</v>
      </c>
      <c r="J28" s="191"/>
      <c r="K28" s="191"/>
      <c r="L28" s="190">
        <f t="shared" si="0"/>
        <v>4.2</v>
      </c>
      <c r="M28" s="214"/>
      <c r="N28" s="214"/>
      <c r="O28" s="214"/>
      <c r="P28" s="208"/>
      <c r="Q28" s="209"/>
      <c r="R28" s="1505"/>
      <c r="S28" s="1506"/>
      <c r="T28" s="1506"/>
      <c r="U28" s="1506"/>
      <c r="V28" s="1506"/>
      <c r="W28" s="1506"/>
      <c r="X28" s="1506"/>
      <c r="Y28" s="1506"/>
      <c r="Z28" s="142"/>
      <c r="AA28" s="216"/>
      <c r="AB28" s="216"/>
      <c r="AC28" s="216"/>
      <c r="AD28" s="216"/>
      <c r="AE28" s="209"/>
      <c r="AF28" s="209"/>
      <c r="AG28" s="209"/>
      <c r="AH28" s="209"/>
      <c r="AI28" s="209"/>
      <c r="AJ28" s="142"/>
      <c r="AK28" s="56"/>
      <c r="AL28" s="56"/>
      <c r="AM28" s="56"/>
      <c r="AN28" s="56"/>
      <c r="AO28" s="56"/>
      <c r="AP28" s="56"/>
      <c r="AQ28" s="56"/>
      <c r="AR28" s="56"/>
    </row>
    <row r="29" spans="1:44" s="129" customFormat="1" ht="14.25" customHeight="1">
      <c r="A29" s="1499" t="s">
        <v>124</v>
      </c>
      <c r="B29" s="1500"/>
      <c r="C29" s="1500"/>
      <c r="D29" s="1500"/>
      <c r="E29" s="1500"/>
      <c r="F29" s="1502" t="s">
        <v>332</v>
      </c>
      <c r="G29" s="1503"/>
      <c r="H29" s="191">
        <f>H25*$I$19</f>
        <v>3.2759999999999998</v>
      </c>
      <c r="I29" s="191">
        <f>I25*$I$19</f>
        <v>1.0920000000000001</v>
      </c>
      <c r="J29" s="191"/>
      <c r="K29" s="191"/>
      <c r="L29" s="190">
        <f t="shared" si="0"/>
        <v>4.3680000000000003</v>
      </c>
      <c r="M29" s="214"/>
      <c r="N29" s="214"/>
      <c r="O29" s="214"/>
      <c r="P29" s="208"/>
      <c r="Q29" s="209"/>
      <c r="R29" s="1506"/>
      <c r="S29" s="1506"/>
      <c r="T29" s="1506"/>
      <c r="U29" s="1506"/>
      <c r="V29" s="1506"/>
      <c r="W29" s="1506"/>
      <c r="X29" s="1506"/>
      <c r="Y29" s="1506"/>
      <c r="Z29" s="142"/>
      <c r="AA29" s="216"/>
      <c r="AB29" s="216"/>
      <c r="AC29" s="216"/>
      <c r="AD29" s="216"/>
      <c r="AE29" s="209"/>
      <c r="AF29" s="209"/>
      <c r="AG29" s="209"/>
      <c r="AH29" s="209"/>
      <c r="AI29" s="209"/>
      <c r="AJ29" s="142"/>
      <c r="AK29" s="56"/>
      <c r="AL29" s="56"/>
      <c r="AM29" s="56"/>
      <c r="AN29" s="56"/>
      <c r="AO29" s="56"/>
      <c r="AP29" s="56"/>
      <c r="AQ29" s="56"/>
      <c r="AR29" s="56"/>
    </row>
    <row r="30" spans="1:44" s="129" customFormat="1" ht="14.25" customHeight="1">
      <c r="A30" s="1499" t="s">
        <v>126</v>
      </c>
      <c r="B30" s="1500"/>
      <c r="C30" s="1500"/>
      <c r="D30" s="1500"/>
      <c r="E30" s="1500"/>
      <c r="F30" s="1502" t="s">
        <v>332</v>
      </c>
      <c r="G30" s="1503"/>
      <c r="H30" s="191">
        <f>H25*$I$20</f>
        <v>5770.8</v>
      </c>
      <c r="I30" s="191">
        <f>I25*$I$20</f>
        <v>1923.6</v>
      </c>
      <c r="J30" s="191"/>
      <c r="K30" s="191"/>
      <c r="L30" s="190">
        <f t="shared" si="0"/>
        <v>7694.4</v>
      </c>
      <c r="M30" s="214"/>
      <c r="N30" s="214"/>
      <c r="O30" s="214"/>
      <c r="P30" s="208"/>
      <c r="Q30" s="209"/>
      <c r="R30" s="1507"/>
      <c r="S30" s="1507"/>
      <c r="T30" s="1507"/>
      <c r="U30" s="1507"/>
      <c r="V30" s="1507"/>
      <c r="W30" s="1507"/>
      <c r="X30" s="1507"/>
      <c r="Y30" s="1507"/>
      <c r="Z30" s="186"/>
      <c r="AA30" s="209"/>
      <c r="AB30" s="209"/>
      <c r="AC30" s="209"/>
      <c r="AD30" s="209"/>
      <c r="AE30" s="209"/>
      <c r="AF30" s="209"/>
      <c r="AG30" s="209"/>
      <c r="AH30" s="209"/>
      <c r="AI30" s="209"/>
      <c r="AJ30" s="142"/>
      <c r="AK30" s="56"/>
      <c r="AL30" s="56"/>
      <c r="AM30" s="56"/>
      <c r="AN30" s="56"/>
      <c r="AO30" s="56"/>
      <c r="AP30" s="56"/>
      <c r="AQ30" s="56"/>
      <c r="AR30" s="56"/>
    </row>
    <row r="31" spans="1:44" s="129" customFormat="1" ht="14.25" customHeight="1">
      <c r="A31" s="1508"/>
      <c r="B31" s="1509"/>
      <c r="C31" s="1509"/>
      <c r="D31" s="1509"/>
      <c r="E31" s="1509"/>
      <c r="F31" s="1495"/>
      <c r="G31" s="1495"/>
      <c r="H31" s="214"/>
      <c r="I31" s="214"/>
      <c r="J31" s="214"/>
      <c r="K31" s="214"/>
      <c r="L31" s="214"/>
      <c r="M31" s="214"/>
      <c r="N31" s="214"/>
      <c r="O31" s="214"/>
      <c r="P31" s="215"/>
      <c r="Q31" s="216"/>
      <c r="R31" s="216"/>
      <c r="S31" s="216"/>
      <c r="T31" s="216"/>
      <c r="U31" s="216"/>
      <c r="V31" s="216"/>
      <c r="W31" s="412"/>
      <c r="X31" s="216"/>
      <c r="Y31" s="216"/>
      <c r="Z31" s="216"/>
      <c r="AA31" s="216"/>
      <c r="AB31" s="216"/>
      <c r="AC31" s="216"/>
      <c r="AD31" s="216"/>
      <c r="AE31" s="216"/>
      <c r="AF31" s="216"/>
      <c r="AG31" s="216"/>
      <c r="AH31" s="216"/>
      <c r="AI31" s="216"/>
      <c r="AJ31" s="142"/>
      <c r="AK31" s="56"/>
      <c r="AL31" s="56"/>
      <c r="AM31" s="56"/>
      <c r="AN31" s="56"/>
      <c r="AO31" s="56"/>
      <c r="AP31" s="56"/>
      <c r="AQ31" s="56"/>
      <c r="AR31" s="56"/>
    </row>
    <row r="32" spans="1:44" s="129" customFormat="1" ht="14.25" customHeight="1">
      <c r="A32" s="217"/>
      <c r="B32" s="218"/>
      <c r="C32" s="31"/>
      <c r="D32" s="218"/>
      <c r="E32" s="218"/>
      <c r="F32" s="334"/>
      <c r="G32" s="334"/>
      <c r="H32" s="31"/>
      <c r="I32" s="31"/>
      <c r="J32" s="214"/>
      <c r="K32" s="214"/>
      <c r="L32" s="214"/>
      <c r="M32" s="214"/>
      <c r="N32" s="214"/>
      <c r="O32" s="214"/>
      <c r="P32" s="215"/>
      <c r="Q32" s="216"/>
      <c r="R32" s="216"/>
      <c r="S32" s="216"/>
      <c r="T32" s="216"/>
      <c r="U32" s="216"/>
      <c r="V32" s="216"/>
      <c r="W32" s="412"/>
      <c r="X32" s="216"/>
      <c r="Y32" s="216"/>
      <c r="Z32" s="216"/>
      <c r="AA32" s="216"/>
      <c r="AB32" s="216"/>
      <c r="AC32" s="216"/>
      <c r="AD32" s="216"/>
      <c r="AE32" s="216"/>
      <c r="AF32" s="216"/>
      <c r="AG32" s="216"/>
      <c r="AH32" s="216"/>
      <c r="AI32" s="216"/>
      <c r="AJ32" s="142"/>
      <c r="AK32" s="56"/>
      <c r="AL32" s="56"/>
      <c r="AM32" s="56"/>
      <c r="AN32" s="56"/>
      <c r="AO32" s="56"/>
      <c r="AP32" s="56"/>
      <c r="AQ32" s="56"/>
      <c r="AR32" s="56"/>
    </row>
    <row r="33" spans="1:43" s="129" customFormat="1" ht="14.25" customHeight="1">
      <c r="A33" s="219"/>
      <c r="B33" s="139"/>
      <c r="C33" s="31"/>
      <c r="D33" s="218"/>
      <c r="E33" s="218"/>
      <c r="F33" s="334"/>
      <c r="G33" s="334"/>
      <c r="H33" s="31"/>
      <c r="I33" s="31"/>
      <c r="J33" s="156"/>
      <c r="K33" s="156"/>
      <c r="L33" s="156"/>
      <c r="M33" s="156"/>
      <c r="N33" s="156"/>
      <c r="O33" s="156"/>
      <c r="P33" s="32"/>
      <c r="Q33" s="220"/>
      <c r="R33" s="220"/>
      <c r="U33" s="220"/>
      <c r="V33" s="220"/>
      <c r="W33" s="150"/>
      <c r="X33" s="150"/>
      <c r="AI33" s="142"/>
      <c r="AJ33" s="56"/>
      <c r="AK33" s="56"/>
      <c r="AL33" s="56"/>
      <c r="AM33" s="56"/>
      <c r="AN33" s="56"/>
      <c r="AO33" s="56"/>
      <c r="AP33" s="56"/>
      <c r="AQ33" s="56"/>
    </row>
    <row r="34" spans="1:43" s="129" customFormat="1" ht="14.25" customHeight="1">
      <c r="A34" s="221"/>
      <c r="B34" s="140"/>
      <c r="C34" s="1496" t="s">
        <v>782</v>
      </c>
      <c r="D34" s="1497"/>
      <c r="E34" s="1497"/>
      <c r="F34" s="1497"/>
      <c r="G34" s="1497"/>
      <c r="H34" s="140">
        <v>860</v>
      </c>
      <c r="I34" s="140" t="s">
        <v>783</v>
      </c>
      <c r="J34" s="140" t="s">
        <v>784</v>
      </c>
      <c r="K34" s="31"/>
      <c r="L34" s="31"/>
      <c r="M34" s="31"/>
      <c r="N34" s="222"/>
      <c r="O34" s="222"/>
      <c r="P34" s="32"/>
      <c r="Q34" s="220"/>
      <c r="R34" s="220"/>
      <c r="U34" s="220"/>
      <c r="V34" s="220"/>
      <c r="W34" s="150"/>
      <c r="X34" s="150"/>
      <c r="AI34" s="142"/>
      <c r="AJ34" s="56"/>
      <c r="AK34" s="56"/>
      <c r="AL34" s="56"/>
      <c r="AM34" s="56"/>
      <c r="AN34" s="56"/>
      <c r="AO34" s="56"/>
      <c r="AP34" s="56"/>
      <c r="AQ34" s="56"/>
    </row>
    <row r="35" spans="1:43" s="129" customFormat="1" ht="14.25" customHeight="1">
      <c r="A35" s="1501"/>
      <c r="B35" s="1181"/>
      <c r="C35" s="1181"/>
      <c r="D35" s="1181"/>
      <c r="E35" s="1181"/>
      <c r="F35" s="1181"/>
      <c r="G35" s="1181"/>
      <c r="H35" s="1181"/>
      <c r="I35" s="1181"/>
      <c r="J35" s="1181"/>
      <c r="K35" s="31"/>
      <c r="L35" s="31"/>
      <c r="M35" s="31"/>
      <c r="N35" s="222"/>
      <c r="O35" s="222"/>
      <c r="P35" s="32"/>
      <c r="Q35" s="1493"/>
      <c r="R35" s="1493"/>
      <c r="U35" s="1493"/>
      <c r="V35" s="1493"/>
      <c r="W35" s="1494"/>
      <c r="X35" s="1494"/>
      <c r="AI35" s="142"/>
      <c r="AJ35" s="56"/>
      <c r="AK35" s="56"/>
      <c r="AL35" s="56"/>
      <c r="AM35" s="56"/>
      <c r="AN35" s="56"/>
      <c r="AO35" s="56"/>
      <c r="AP35" s="56"/>
      <c r="AQ35" s="56"/>
    </row>
    <row r="36" spans="1:43" s="129" customFormat="1" ht="14.25" customHeight="1">
      <c r="A36" s="223"/>
      <c r="B36" s="147"/>
      <c r="C36" s="31"/>
      <c r="D36" s="31"/>
      <c r="E36" s="31"/>
      <c r="F36" s="31"/>
      <c r="G36" s="31"/>
      <c r="H36" s="31"/>
      <c r="I36" s="31"/>
      <c r="J36" s="31"/>
      <c r="K36" s="31"/>
      <c r="L36" s="31"/>
      <c r="M36" s="31"/>
      <c r="N36" s="222"/>
      <c r="O36" s="222"/>
      <c r="P36" s="32"/>
      <c r="Q36" s="220"/>
      <c r="R36" s="220"/>
      <c r="U36" s="220"/>
      <c r="V36" s="220"/>
      <c r="W36" s="150"/>
      <c r="X36" s="150"/>
      <c r="AI36" s="142"/>
      <c r="AJ36" s="56"/>
      <c r="AK36" s="56"/>
      <c r="AL36" s="56"/>
      <c r="AM36" s="56"/>
      <c r="AN36" s="56"/>
      <c r="AO36" s="56"/>
      <c r="AP36" s="56"/>
      <c r="AQ36" s="56"/>
    </row>
    <row r="37" spans="1:43" s="129" customFormat="1" ht="14.25" customHeight="1">
      <c r="A37" s="224" t="s">
        <v>678</v>
      </c>
      <c r="B37" s="31"/>
      <c r="C37" s="27"/>
      <c r="D37" s="27"/>
      <c r="E37" s="27"/>
      <c r="F37" s="27"/>
      <c r="G37" s="27"/>
      <c r="H37" s="27"/>
      <c r="I37" s="27"/>
      <c r="J37" s="27"/>
      <c r="K37" s="27"/>
      <c r="L37" s="27"/>
      <c r="M37" s="27"/>
      <c r="N37" s="1491"/>
      <c r="O37" s="1491"/>
      <c r="P37" s="226"/>
      <c r="Q37" s="220"/>
      <c r="R37" s="220"/>
      <c r="U37" s="220"/>
      <c r="V37" s="220"/>
      <c r="W37" s="150"/>
      <c r="X37" s="150"/>
      <c r="AJ37" s="56"/>
      <c r="AK37" s="56"/>
      <c r="AL37" s="56"/>
      <c r="AM37" s="56"/>
      <c r="AN37" s="56"/>
      <c r="AO37" s="56"/>
      <c r="AP37" s="56"/>
      <c r="AQ37" s="56"/>
    </row>
    <row r="38" spans="1:43" s="129" customFormat="1" ht="14.25" customHeight="1">
      <c r="A38" s="227" t="s">
        <v>31</v>
      </c>
      <c r="B38" s="31" t="s">
        <v>785</v>
      </c>
      <c r="C38" s="31"/>
      <c r="D38" s="31"/>
      <c r="E38" s="31"/>
      <c r="F38" s="31"/>
      <c r="G38" s="31"/>
      <c r="H38" s="31"/>
      <c r="I38" s="31"/>
      <c r="J38" s="31"/>
      <c r="K38" s="31"/>
      <c r="L38" s="31"/>
      <c r="M38" s="31"/>
      <c r="N38" s="222"/>
      <c r="O38" s="222"/>
      <c r="P38" s="32"/>
      <c r="Q38" s="1492"/>
      <c r="R38" s="1492"/>
      <c r="U38" s="1493"/>
      <c r="V38" s="1493"/>
      <c r="W38" s="1494"/>
      <c r="X38" s="1494"/>
      <c r="AJ38" s="56"/>
      <c r="AK38" s="56"/>
      <c r="AL38" s="56"/>
      <c r="AM38" s="56"/>
      <c r="AN38" s="56"/>
      <c r="AO38" s="56"/>
      <c r="AP38" s="56"/>
      <c r="AQ38" s="56"/>
    </row>
    <row r="39" spans="1:43" s="129" customFormat="1" ht="14.25" customHeight="1">
      <c r="A39" s="227" t="s">
        <v>33</v>
      </c>
      <c r="B39" s="31" t="s">
        <v>786</v>
      </c>
      <c r="C39" s="31"/>
      <c r="D39" s="31"/>
      <c r="E39" s="31"/>
      <c r="F39" s="31"/>
      <c r="G39" s="31"/>
      <c r="H39" s="31"/>
      <c r="I39" s="31"/>
      <c r="J39" s="31"/>
      <c r="K39" s="31"/>
      <c r="L39" s="31"/>
      <c r="M39" s="31"/>
      <c r="N39" s="222"/>
      <c r="O39" s="222"/>
      <c r="P39" s="32"/>
      <c r="Q39" s="228"/>
      <c r="R39" s="228"/>
      <c r="U39" s="220"/>
      <c r="V39" s="220"/>
      <c r="W39" s="150"/>
      <c r="X39" s="150"/>
      <c r="AJ39" s="56"/>
      <c r="AK39" s="56"/>
      <c r="AL39" s="56"/>
      <c r="AM39" s="56"/>
      <c r="AN39" s="56"/>
      <c r="AO39" s="56"/>
      <c r="AP39" s="56"/>
      <c r="AQ39" s="56"/>
    </row>
    <row r="40" spans="1:43" s="129" customFormat="1" ht="14.25" customHeight="1">
      <c r="A40" s="227" t="s">
        <v>752</v>
      </c>
      <c r="B40" s="1489" t="s">
        <v>367</v>
      </c>
      <c r="C40" s="1490"/>
      <c r="D40" s="1490"/>
      <c r="E40" s="1490"/>
      <c r="F40" s="1490"/>
      <c r="G40" s="1490"/>
      <c r="H40" s="1490"/>
      <c r="I40" s="1490"/>
      <c r="J40" s="1490"/>
      <c r="K40" s="1490"/>
      <c r="L40" s="1490"/>
      <c r="M40" s="1490"/>
      <c r="N40" s="1490"/>
      <c r="O40" s="1490"/>
      <c r="P40" s="231"/>
      <c r="Q40" s="228"/>
      <c r="R40" s="228"/>
      <c r="U40" s="220"/>
      <c r="V40" s="220"/>
      <c r="W40" s="150"/>
      <c r="X40" s="150"/>
      <c r="AJ40" s="56"/>
      <c r="AK40" s="56"/>
      <c r="AL40" s="56"/>
      <c r="AM40" s="56"/>
      <c r="AN40" s="56"/>
      <c r="AO40" s="56"/>
      <c r="AP40" s="56"/>
      <c r="AQ40" s="56"/>
    </row>
    <row r="41" spans="1:43" s="129" customFormat="1" ht="14.25" customHeight="1">
      <c r="A41" s="227" t="s">
        <v>787</v>
      </c>
      <c r="B41" s="1489" t="s">
        <v>788</v>
      </c>
      <c r="C41" s="1490"/>
      <c r="D41" s="1490"/>
      <c r="E41" s="1490"/>
      <c r="F41" s="1490"/>
      <c r="G41" s="1490"/>
      <c r="H41" s="1490"/>
      <c r="I41" s="1490"/>
      <c r="J41" s="1490"/>
      <c r="K41" s="1490"/>
      <c r="L41" s="1490"/>
      <c r="M41" s="1490"/>
      <c r="N41" s="1490"/>
      <c r="O41" s="1490"/>
      <c r="P41" s="231"/>
      <c r="Q41" s="228"/>
      <c r="R41" s="228"/>
      <c r="U41" s="220"/>
      <c r="V41" s="220"/>
      <c r="W41" s="150"/>
      <c r="X41" s="150"/>
      <c r="AJ41" s="56"/>
      <c r="AK41" s="56"/>
      <c r="AL41" s="56"/>
      <c r="AM41" s="56"/>
      <c r="AN41" s="56"/>
      <c r="AO41" s="56"/>
      <c r="AP41" s="56"/>
      <c r="AQ41" s="56"/>
    </row>
    <row r="42" spans="1:43" s="129" customFormat="1" ht="14.25" customHeight="1">
      <c r="A42" s="227"/>
      <c r="B42" s="1489"/>
      <c r="C42" s="1490"/>
      <c r="D42" s="1490"/>
      <c r="E42" s="1490"/>
      <c r="F42" s="1490"/>
      <c r="G42" s="1490"/>
      <c r="H42" s="1490"/>
      <c r="I42" s="1490"/>
      <c r="J42" s="1490"/>
      <c r="K42" s="1490"/>
      <c r="L42" s="1490"/>
      <c r="M42" s="1490"/>
      <c r="N42" s="1490"/>
      <c r="O42" s="1490"/>
      <c r="P42" s="231"/>
      <c r="Q42" s="228"/>
      <c r="R42" s="228"/>
      <c r="U42" s="220"/>
      <c r="V42" s="220"/>
      <c r="W42" s="150"/>
      <c r="X42" s="150"/>
      <c r="AJ42" s="56"/>
      <c r="AK42" s="56"/>
      <c r="AL42" s="56"/>
      <c r="AM42" s="56"/>
      <c r="AN42" s="56"/>
      <c r="AO42" s="56"/>
      <c r="AP42" s="56"/>
      <c r="AQ42" s="56"/>
    </row>
    <row r="43" spans="1:43" s="129" customFormat="1" ht="14.25" customHeight="1">
      <c r="A43" s="227"/>
      <c r="B43" s="1489"/>
      <c r="C43" s="1490"/>
      <c r="D43" s="1490"/>
      <c r="E43" s="1490"/>
      <c r="F43" s="1490"/>
      <c r="G43" s="1490"/>
      <c r="H43" s="1490"/>
      <c r="I43" s="1490"/>
      <c r="J43" s="1490"/>
      <c r="K43" s="1490"/>
      <c r="L43" s="1490"/>
      <c r="M43" s="1490"/>
      <c r="N43" s="1490"/>
      <c r="O43" s="1490"/>
      <c r="P43" s="32"/>
      <c r="Q43" s="228"/>
      <c r="R43" s="228"/>
      <c r="U43" s="220"/>
      <c r="V43" s="220"/>
      <c r="W43" s="150"/>
      <c r="X43" s="150"/>
      <c r="AJ43" s="56"/>
      <c r="AK43" s="56"/>
      <c r="AL43" s="56"/>
      <c r="AM43" s="56"/>
      <c r="AN43" s="56"/>
      <c r="AO43" s="56"/>
      <c r="AP43" s="56"/>
      <c r="AQ43" s="56"/>
    </row>
    <row r="44" spans="1:43" ht="14.25" customHeight="1">
      <c r="A44" s="227"/>
      <c r="B44" s="1489"/>
      <c r="C44" s="1490"/>
      <c r="D44" s="1490"/>
      <c r="E44" s="1490"/>
      <c r="F44" s="1490"/>
      <c r="G44" s="1490"/>
      <c r="H44" s="1490"/>
      <c r="I44" s="1490"/>
      <c r="J44" s="1490"/>
      <c r="K44" s="1490"/>
      <c r="L44" s="1490"/>
      <c r="M44" s="1490"/>
      <c r="N44" s="1490"/>
      <c r="O44" s="1490"/>
      <c r="P44" s="234"/>
      <c r="Q44" s="136"/>
      <c r="R44" s="136"/>
      <c r="S44" s="136"/>
      <c r="T44" s="136"/>
      <c r="U44" s="136"/>
      <c r="V44" s="136"/>
      <c r="W44" s="235"/>
      <c r="X44" s="136"/>
      <c r="Y44" s="136"/>
      <c r="Z44" s="136"/>
      <c r="AA44" s="136"/>
      <c r="AB44" s="136"/>
      <c r="AC44" s="136"/>
      <c r="AJ44" s="105"/>
      <c r="AK44" s="105"/>
      <c r="AL44" s="105"/>
      <c r="AM44" s="105"/>
      <c r="AN44" s="105"/>
      <c r="AO44" s="105"/>
      <c r="AP44" s="105"/>
      <c r="AQ44" s="105"/>
    </row>
    <row r="45" spans="1:43">
      <c r="A45" s="236"/>
      <c r="B45" s="236"/>
      <c r="C45" s="236"/>
      <c r="D45" s="236"/>
      <c r="E45" s="236"/>
      <c r="F45" s="236"/>
      <c r="G45" s="236"/>
      <c r="H45" s="236"/>
      <c r="I45" s="236"/>
      <c r="J45" s="236"/>
      <c r="K45" s="236"/>
      <c r="L45" s="236"/>
      <c r="M45" s="236"/>
      <c r="N45" s="236"/>
      <c r="O45" s="236"/>
      <c r="P45" s="236"/>
      <c r="Q45" s="236"/>
      <c r="R45" s="236"/>
      <c r="S45" s="236"/>
      <c r="T45" s="236"/>
      <c r="U45" s="236"/>
      <c r="V45" s="236"/>
      <c r="W45" s="237"/>
      <c r="X45" s="236"/>
      <c r="Y45" s="236"/>
      <c r="Z45" s="236"/>
      <c r="AA45" s="236"/>
      <c r="AB45" s="136"/>
      <c r="AC45" s="136"/>
      <c r="AJ45" s="105"/>
      <c r="AK45" s="105"/>
      <c r="AL45" s="105"/>
      <c r="AM45" s="105"/>
      <c r="AN45" s="105"/>
      <c r="AO45" s="105"/>
      <c r="AP45" s="105"/>
      <c r="AQ45" s="105"/>
    </row>
    <row r="46" spans="1:43">
      <c r="A46" s="236"/>
      <c r="B46" s="236"/>
      <c r="C46" s="236"/>
      <c r="D46" s="236"/>
      <c r="E46" s="236"/>
      <c r="F46" s="236"/>
      <c r="G46" s="236"/>
      <c r="H46" s="236"/>
      <c r="I46" s="236"/>
      <c r="J46" s="236"/>
      <c r="K46" s="236"/>
      <c r="L46" s="236"/>
      <c r="M46" s="236"/>
      <c r="N46" s="236"/>
      <c r="O46" s="236"/>
      <c r="P46" s="236"/>
      <c r="Q46" s="236"/>
      <c r="R46" s="236"/>
      <c r="S46" s="236"/>
      <c r="T46" s="236"/>
      <c r="U46" s="236"/>
      <c r="V46" s="236"/>
      <c r="W46" s="237"/>
      <c r="X46" s="236"/>
      <c r="Y46" s="236"/>
      <c r="Z46" s="236"/>
      <c r="AA46" s="236"/>
      <c r="AB46" s="236"/>
      <c r="AC46" s="236"/>
      <c r="AD46" s="105"/>
      <c r="AE46" s="105"/>
      <c r="AF46" s="105"/>
      <c r="AG46" s="105"/>
      <c r="AH46" s="105"/>
      <c r="AI46" s="105"/>
      <c r="AJ46" s="105"/>
      <c r="AK46" s="105"/>
      <c r="AL46" s="105"/>
      <c r="AM46" s="105"/>
      <c r="AN46" s="105"/>
      <c r="AO46" s="105"/>
      <c r="AP46" s="105"/>
      <c r="AQ46" s="105"/>
    </row>
    <row r="47" spans="1:43">
      <c r="A47" s="236"/>
      <c r="B47" s="236"/>
      <c r="C47" s="236"/>
      <c r="D47" s="236"/>
      <c r="E47" s="236"/>
      <c r="F47" s="236"/>
      <c r="G47" s="236"/>
      <c r="H47" s="236"/>
      <c r="I47" s="236"/>
      <c r="J47" s="236"/>
      <c r="K47" s="236"/>
      <c r="L47" s="236"/>
      <c r="M47" s="236"/>
      <c r="N47" s="236"/>
      <c r="O47" s="236"/>
      <c r="P47" s="236"/>
      <c r="Q47" s="236"/>
      <c r="R47" s="236"/>
      <c r="S47" s="236"/>
      <c r="T47" s="236"/>
      <c r="U47" s="236"/>
      <c r="V47" s="236"/>
      <c r="W47" s="237"/>
      <c r="X47" s="236"/>
      <c r="Y47" s="236"/>
      <c r="Z47" s="236"/>
      <c r="AA47" s="236"/>
      <c r="AB47" s="236"/>
      <c r="AC47" s="105"/>
      <c r="AD47" s="105"/>
      <c r="AE47" s="105"/>
      <c r="AF47" s="105"/>
      <c r="AG47" s="105"/>
      <c r="AH47" s="105"/>
      <c r="AI47" s="105"/>
      <c r="AJ47" s="105"/>
      <c r="AK47" s="105"/>
      <c r="AL47" s="105"/>
      <c r="AM47" s="105"/>
      <c r="AN47" s="105"/>
      <c r="AO47" s="105"/>
      <c r="AP47" s="105"/>
      <c r="AQ47" s="105"/>
    </row>
    <row r="48" spans="1:43">
      <c r="A48" s="236"/>
      <c r="B48" s="236"/>
      <c r="C48" s="236"/>
      <c r="D48" s="236"/>
      <c r="E48" s="236"/>
      <c r="F48" s="236"/>
      <c r="G48" s="236"/>
      <c r="H48" s="236"/>
      <c r="I48" s="236"/>
      <c r="J48" s="236"/>
      <c r="K48" s="236"/>
      <c r="L48" s="236"/>
      <c r="M48" s="236"/>
      <c r="N48" s="236"/>
      <c r="O48" s="236"/>
      <c r="P48" s="236"/>
      <c r="Q48" s="236"/>
      <c r="R48" s="236"/>
      <c r="S48" s="236"/>
      <c r="T48" s="236"/>
      <c r="U48" s="236"/>
      <c r="V48" s="236"/>
      <c r="W48" s="237"/>
      <c r="X48" s="236"/>
      <c r="Y48" s="236"/>
      <c r="Z48" s="236"/>
      <c r="AA48" s="236"/>
      <c r="AB48" s="236"/>
      <c r="AC48" s="105"/>
      <c r="AD48" s="105"/>
      <c r="AE48" s="105"/>
      <c r="AF48" s="105"/>
      <c r="AG48" s="105"/>
      <c r="AH48" s="105"/>
      <c r="AI48" s="105"/>
      <c r="AJ48" s="105"/>
      <c r="AK48" s="105"/>
      <c r="AL48" s="105"/>
      <c r="AM48" s="105"/>
      <c r="AN48" s="105"/>
      <c r="AO48" s="105"/>
      <c r="AP48" s="105"/>
      <c r="AQ48" s="105"/>
    </row>
    <row r="49" spans="1:43">
      <c r="A49" s="236"/>
      <c r="B49" s="236"/>
      <c r="C49" s="236"/>
      <c r="D49" s="236"/>
      <c r="E49" s="236"/>
      <c r="F49" s="236"/>
      <c r="G49" s="236"/>
      <c r="H49" s="236"/>
      <c r="I49" s="236"/>
      <c r="J49" s="236"/>
      <c r="K49" s="236"/>
      <c r="L49" s="236"/>
      <c r="M49" s="236"/>
      <c r="N49" s="236"/>
      <c r="O49" s="236"/>
      <c r="P49" s="236"/>
      <c r="Q49" s="236"/>
      <c r="R49" s="236"/>
      <c r="S49" s="236"/>
      <c r="T49" s="236"/>
      <c r="U49" s="236"/>
      <c r="V49" s="236"/>
      <c r="W49" s="237"/>
      <c r="X49" s="236"/>
      <c r="Y49" s="236"/>
      <c r="Z49" s="236"/>
      <c r="AA49" s="236"/>
      <c r="AB49" s="236"/>
      <c r="AC49" s="105"/>
      <c r="AD49" s="105"/>
      <c r="AE49" s="105"/>
      <c r="AF49" s="105"/>
      <c r="AG49" s="105"/>
      <c r="AH49" s="105"/>
      <c r="AI49" s="105"/>
      <c r="AJ49" s="105"/>
      <c r="AK49" s="105"/>
      <c r="AL49" s="105"/>
      <c r="AM49" s="105"/>
      <c r="AN49" s="105"/>
      <c r="AO49" s="105"/>
      <c r="AP49" s="105"/>
      <c r="AQ49" s="105"/>
    </row>
    <row r="50" spans="1:43">
      <c r="A50" s="236"/>
      <c r="B50" s="236"/>
      <c r="C50" s="236"/>
      <c r="D50" s="236"/>
      <c r="E50" s="236"/>
      <c r="F50" s="236"/>
      <c r="G50" s="236"/>
      <c r="H50" s="236"/>
      <c r="I50" s="236"/>
      <c r="J50" s="236"/>
      <c r="K50" s="236"/>
      <c r="L50" s="236"/>
      <c r="M50" s="236"/>
      <c r="N50" s="236"/>
      <c r="O50" s="236"/>
      <c r="P50" s="236"/>
      <c r="Q50" s="236"/>
      <c r="R50" s="236"/>
      <c r="S50" s="236"/>
      <c r="T50" s="236"/>
      <c r="U50" s="236"/>
      <c r="V50" s="236"/>
      <c r="W50" s="237"/>
      <c r="X50" s="236"/>
      <c r="Y50" s="236"/>
      <c r="Z50" s="236"/>
      <c r="AA50" s="236"/>
      <c r="AB50" s="236"/>
      <c r="AC50" s="105"/>
      <c r="AD50" s="105"/>
      <c r="AE50" s="105"/>
      <c r="AF50" s="105"/>
      <c r="AG50" s="105"/>
      <c r="AH50" s="105"/>
      <c r="AI50" s="105"/>
      <c r="AJ50" s="105"/>
      <c r="AK50" s="105"/>
      <c r="AL50" s="105"/>
      <c r="AM50" s="105"/>
      <c r="AN50" s="105"/>
      <c r="AO50" s="105"/>
      <c r="AP50" s="105"/>
      <c r="AQ50" s="105"/>
    </row>
    <row r="51" spans="1:43">
      <c r="A51" s="236"/>
      <c r="B51" s="236"/>
      <c r="C51" s="236"/>
      <c r="D51" s="236"/>
      <c r="E51" s="236"/>
      <c r="F51" s="236"/>
      <c r="G51" s="236"/>
      <c r="H51" s="236"/>
      <c r="I51" s="236"/>
      <c r="J51" s="236"/>
      <c r="K51" s="236"/>
      <c r="L51" s="236"/>
      <c r="M51" s="236"/>
      <c r="N51" s="236"/>
      <c r="O51" s="236"/>
      <c r="P51" s="236"/>
      <c r="Q51" s="236"/>
      <c r="R51" s="236"/>
      <c r="S51" s="236"/>
      <c r="T51" s="236"/>
      <c r="U51" s="236"/>
      <c r="V51" s="236"/>
      <c r="W51" s="237"/>
      <c r="X51" s="236"/>
      <c r="Y51" s="236"/>
      <c r="Z51" s="236"/>
      <c r="AA51" s="236"/>
      <c r="AB51" s="236"/>
      <c r="AC51" s="105"/>
      <c r="AD51" s="105"/>
      <c r="AE51" s="105"/>
      <c r="AF51" s="105"/>
      <c r="AG51" s="105"/>
      <c r="AH51" s="105"/>
      <c r="AI51" s="105"/>
      <c r="AJ51" s="105"/>
      <c r="AK51" s="105"/>
      <c r="AL51" s="105"/>
      <c r="AM51" s="105"/>
      <c r="AN51" s="105"/>
      <c r="AO51" s="105"/>
      <c r="AP51" s="105"/>
      <c r="AQ51" s="105"/>
    </row>
    <row r="52" spans="1:43">
      <c r="A52" s="236"/>
      <c r="B52" s="236"/>
      <c r="C52" s="236"/>
      <c r="D52" s="236"/>
      <c r="E52" s="236"/>
      <c r="F52" s="236"/>
      <c r="G52" s="236"/>
      <c r="H52" s="236"/>
      <c r="I52" s="236"/>
      <c r="J52" s="236"/>
      <c r="K52" s="236"/>
      <c r="L52" s="236"/>
      <c r="M52" s="236"/>
      <c r="N52" s="236"/>
      <c r="O52" s="236"/>
      <c r="P52" s="236"/>
      <c r="Q52" s="236"/>
      <c r="R52" s="236"/>
      <c r="S52" s="236"/>
      <c r="T52" s="236"/>
      <c r="U52" s="236"/>
      <c r="V52" s="236"/>
      <c r="W52" s="237"/>
      <c r="X52" s="236"/>
      <c r="Y52" s="236"/>
      <c r="Z52" s="236"/>
      <c r="AA52" s="236"/>
      <c r="AB52" s="236"/>
      <c r="AC52" s="105"/>
      <c r="AD52" s="105"/>
      <c r="AE52" s="105"/>
      <c r="AF52" s="105"/>
      <c r="AG52" s="105"/>
      <c r="AH52" s="105"/>
      <c r="AI52" s="105"/>
      <c r="AJ52" s="105"/>
      <c r="AK52" s="105"/>
      <c r="AL52" s="105"/>
      <c r="AM52" s="105"/>
      <c r="AN52" s="105"/>
      <c r="AO52" s="105"/>
      <c r="AP52" s="105"/>
      <c r="AQ52" s="105"/>
    </row>
    <row r="53" spans="1:43">
      <c r="A53" s="236"/>
      <c r="B53" s="236"/>
      <c r="C53" s="236"/>
      <c r="D53" s="236"/>
      <c r="E53" s="236"/>
      <c r="F53" s="236"/>
      <c r="G53" s="236"/>
      <c r="H53" s="236"/>
      <c r="I53" s="236"/>
      <c r="J53" s="236"/>
      <c r="K53" s="236"/>
      <c r="L53" s="236"/>
      <c r="M53" s="236"/>
      <c r="N53" s="236"/>
      <c r="O53" s="236"/>
      <c r="P53" s="236"/>
      <c r="Q53" s="236"/>
      <c r="R53" s="236"/>
      <c r="S53" s="236"/>
      <c r="T53" s="236"/>
      <c r="U53" s="236"/>
      <c r="V53" s="236"/>
      <c r="W53" s="237"/>
      <c r="X53" s="236"/>
      <c r="Y53" s="236"/>
      <c r="Z53" s="236"/>
      <c r="AA53" s="236"/>
      <c r="AB53" s="236"/>
      <c r="AC53" s="105"/>
      <c r="AD53" s="105"/>
      <c r="AE53" s="105"/>
      <c r="AF53" s="105"/>
      <c r="AG53" s="105"/>
      <c r="AH53" s="105"/>
      <c r="AI53" s="105"/>
      <c r="AJ53" s="105"/>
      <c r="AK53" s="105"/>
      <c r="AL53" s="105"/>
      <c r="AM53" s="105"/>
      <c r="AN53" s="105"/>
      <c r="AO53" s="105"/>
      <c r="AP53" s="105"/>
      <c r="AQ53" s="105"/>
    </row>
    <row r="54" spans="1:43">
      <c r="A54" s="236"/>
      <c r="B54" s="236"/>
      <c r="C54" s="236"/>
      <c r="D54" s="236"/>
      <c r="E54" s="236"/>
      <c r="F54" s="236"/>
      <c r="G54" s="236"/>
      <c r="H54" s="236"/>
      <c r="I54" s="236"/>
      <c r="J54" s="236"/>
      <c r="K54" s="236"/>
      <c r="L54" s="236"/>
      <c r="M54" s="236"/>
      <c r="N54" s="236"/>
      <c r="O54" s="236"/>
      <c r="P54" s="236"/>
      <c r="Q54" s="236"/>
      <c r="R54" s="236"/>
      <c r="S54" s="236"/>
      <c r="T54" s="236"/>
      <c r="U54" s="236"/>
      <c r="V54" s="236"/>
      <c r="W54" s="237"/>
      <c r="X54" s="236"/>
      <c r="Y54" s="236"/>
      <c r="Z54" s="236"/>
      <c r="AA54" s="236"/>
      <c r="AB54" s="236"/>
      <c r="AC54" s="105"/>
      <c r="AD54" s="105"/>
      <c r="AE54" s="105"/>
      <c r="AF54" s="105"/>
      <c r="AG54" s="105"/>
      <c r="AH54" s="105"/>
      <c r="AI54" s="105"/>
      <c r="AJ54" s="105"/>
      <c r="AK54" s="105"/>
      <c r="AL54" s="105"/>
      <c r="AM54" s="105"/>
      <c r="AN54" s="105"/>
      <c r="AO54" s="105"/>
      <c r="AP54" s="105"/>
      <c r="AQ54" s="105"/>
    </row>
    <row r="55" spans="1:43" s="137" customFormat="1">
      <c r="A55" s="236"/>
      <c r="B55" s="236"/>
      <c r="C55" s="236"/>
      <c r="D55" s="236"/>
      <c r="E55" s="236"/>
      <c r="F55" s="236"/>
      <c r="G55" s="236"/>
      <c r="H55" s="236"/>
      <c r="I55" s="236"/>
      <c r="J55" s="236"/>
      <c r="K55" s="236"/>
      <c r="L55" s="236"/>
      <c r="M55" s="236"/>
      <c r="N55" s="236"/>
      <c r="O55" s="236"/>
      <c r="P55" s="236"/>
      <c r="Q55" s="236"/>
      <c r="R55" s="236"/>
      <c r="S55" s="236"/>
      <c r="T55" s="236"/>
      <c r="U55" s="236"/>
      <c r="V55" s="236"/>
      <c r="W55" s="237"/>
      <c r="X55" s="236"/>
      <c r="Y55" s="236"/>
      <c r="Z55" s="236"/>
      <c r="AA55" s="236"/>
      <c r="AB55" s="236"/>
      <c r="AC55" s="105"/>
      <c r="AD55" s="105"/>
      <c r="AE55" s="105"/>
      <c r="AF55" s="105"/>
      <c r="AG55" s="105"/>
      <c r="AH55" s="105"/>
      <c r="AI55" s="105"/>
      <c r="AJ55" s="105"/>
      <c r="AK55" s="105"/>
      <c r="AL55" s="105"/>
      <c r="AM55" s="105"/>
      <c r="AN55" s="105"/>
      <c r="AO55" s="105"/>
      <c r="AP55" s="105"/>
      <c r="AQ55" s="105"/>
    </row>
    <row r="56" spans="1:43" s="137" customFormat="1">
      <c r="A56" s="236"/>
      <c r="B56" s="236"/>
      <c r="C56" s="236"/>
      <c r="D56" s="236"/>
      <c r="E56" s="236"/>
      <c r="F56" s="236"/>
      <c r="G56" s="236"/>
      <c r="H56" s="236"/>
      <c r="I56" s="236"/>
      <c r="J56" s="236"/>
      <c r="K56" s="236"/>
      <c r="L56" s="236"/>
      <c r="M56" s="236"/>
      <c r="N56" s="236"/>
      <c r="O56" s="236"/>
      <c r="P56" s="236"/>
      <c r="Q56" s="236"/>
      <c r="R56" s="236"/>
      <c r="S56" s="236"/>
      <c r="T56" s="236"/>
      <c r="U56" s="236"/>
      <c r="V56" s="236"/>
      <c r="W56" s="237"/>
      <c r="X56" s="236"/>
      <c r="Y56" s="236"/>
      <c r="Z56" s="236"/>
      <c r="AA56" s="236"/>
      <c r="AB56" s="236"/>
      <c r="AC56" s="105"/>
      <c r="AD56" s="105"/>
      <c r="AE56" s="105"/>
      <c r="AF56" s="105"/>
      <c r="AG56" s="105"/>
      <c r="AH56" s="105"/>
      <c r="AI56" s="105"/>
      <c r="AJ56" s="105"/>
      <c r="AK56" s="105"/>
      <c r="AL56" s="105"/>
      <c r="AM56" s="105"/>
      <c r="AN56" s="105"/>
      <c r="AO56" s="105"/>
      <c r="AP56" s="105"/>
      <c r="AQ56" s="105"/>
    </row>
    <row r="57" spans="1:43" s="137" customFormat="1">
      <c r="A57" s="236"/>
      <c r="B57" s="236"/>
      <c r="C57" s="236"/>
      <c r="D57" s="236"/>
      <c r="E57" s="236"/>
      <c r="F57" s="236"/>
      <c r="G57" s="236"/>
      <c r="H57" s="236"/>
      <c r="I57" s="236"/>
      <c r="J57" s="236"/>
      <c r="K57" s="236"/>
      <c r="L57" s="236"/>
      <c r="M57" s="236"/>
      <c r="N57" s="236"/>
      <c r="O57" s="236"/>
      <c r="P57" s="236"/>
      <c r="Q57" s="236"/>
      <c r="R57" s="236"/>
      <c r="S57" s="236"/>
      <c r="T57" s="236"/>
      <c r="U57" s="236"/>
      <c r="V57" s="236"/>
      <c r="W57" s="237"/>
      <c r="X57" s="236"/>
      <c r="Y57" s="236"/>
      <c r="Z57" s="236"/>
      <c r="AA57" s="236"/>
      <c r="AB57" s="236"/>
      <c r="AC57" s="105"/>
      <c r="AD57" s="105"/>
      <c r="AE57" s="105"/>
      <c r="AF57" s="105"/>
      <c r="AG57" s="105"/>
      <c r="AH57" s="105"/>
      <c r="AI57" s="105"/>
      <c r="AJ57" s="105"/>
      <c r="AK57" s="105"/>
      <c r="AL57" s="105"/>
      <c r="AM57" s="105"/>
      <c r="AN57" s="105"/>
      <c r="AO57" s="105"/>
      <c r="AP57" s="105"/>
      <c r="AQ57" s="105"/>
    </row>
    <row r="58" spans="1:43" s="137" customFormat="1">
      <c r="A58" s="236"/>
      <c r="B58" s="236"/>
      <c r="C58" s="236"/>
      <c r="D58" s="236"/>
      <c r="E58" s="236"/>
      <c r="F58" s="236"/>
      <c r="G58" s="236"/>
      <c r="H58" s="236"/>
      <c r="I58" s="236"/>
      <c r="J58" s="236"/>
      <c r="K58" s="236"/>
      <c r="L58" s="236"/>
      <c r="M58" s="236"/>
      <c r="N58" s="236"/>
      <c r="O58" s="236"/>
      <c r="P58" s="236"/>
      <c r="Q58" s="236"/>
      <c r="R58" s="236"/>
      <c r="S58" s="236"/>
      <c r="T58" s="236"/>
      <c r="U58" s="236"/>
      <c r="V58" s="236"/>
      <c r="W58" s="237"/>
      <c r="X58" s="236"/>
      <c r="Y58" s="236"/>
      <c r="Z58" s="236"/>
      <c r="AA58" s="236"/>
      <c r="AB58" s="236"/>
      <c r="AC58" s="105"/>
      <c r="AD58" s="105"/>
      <c r="AE58" s="105"/>
      <c r="AF58" s="105"/>
      <c r="AG58" s="105"/>
      <c r="AH58" s="105"/>
      <c r="AI58" s="105"/>
      <c r="AJ58" s="105"/>
      <c r="AK58" s="105"/>
      <c r="AL58" s="105"/>
      <c r="AM58" s="105"/>
      <c r="AN58" s="105"/>
      <c r="AO58" s="105"/>
      <c r="AP58" s="105"/>
      <c r="AQ58" s="105"/>
    </row>
    <row r="59" spans="1:43" s="137" customFormat="1">
      <c r="A59" s="236"/>
      <c r="B59" s="236"/>
      <c r="C59" s="236"/>
      <c r="D59" s="236"/>
      <c r="E59" s="236"/>
      <c r="F59" s="236"/>
      <c r="G59" s="236"/>
      <c r="H59" s="236"/>
      <c r="I59" s="236"/>
      <c r="J59" s="236"/>
      <c r="K59" s="236"/>
      <c r="L59" s="236"/>
      <c r="M59" s="236"/>
      <c r="N59" s="236"/>
      <c r="O59" s="236"/>
      <c r="P59" s="236"/>
      <c r="Q59" s="236"/>
      <c r="R59" s="236"/>
      <c r="S59" s="236"/>
      <c r="T59" s="236"/>
      <c r="U59" s="236"/>
      <c r="V59" s="236"/>
      <c r="W59" s="237"/>
      <c r="X59" s="236"/>
      <c r="Y59" s="236"/>
      <c r="Z59" s="236"/>
      <c r="AA59" s="236"/>
      <c r="AB59" s="236"/>
      <c r="AC59" s="105"/>
      <c r="AD59" s="105"/>
      <c r="AE59" s="105"/>
      <c r="AF59" s="105"/>
      <c r="AG59" s="105"/>
      <c r="AH59" s="105"/>
      <c r="AI59" s="105"/>
      <c r="AJ59" s="105"/>
      <c r="AK59" s="105"/>
      <c r="AL59" s="105"/>
      <c r="AM59" s="105"/>
      <c r="AN59" s="105"/>
      <c r="AO59" s="105"/>
      <c r="AP59" s="105"/>
      <c r="AQ59" s="105"/>
    </row>
    <row r="60" spans="1:43" s="137" customFormat="1">
      <c r="A60" s="236"/>
      <c r="B60" s="236"/>
      <c r="C60" s="236"/>
      <c r="D60" s="236"/>
      <c r="E60" s="236"/>
      <c r="F60" s="236"/>
      <c r="G60" s="236"/>
      <c r="H60" s="236"/>
      <c r="I60" s="236"/>
      <c r="J60" s="236"/>
      <c r="K60" s="236"/>
      <c r="L60" s="236"/>
      <c r="M60" s="236"/>
      <c r="N60" s="236"/>
      <c r="O60" s="236"/>
      <c r="P60" s="236"/>
      <c r="Q60" s="236"/>
      <c r="R60" s="236"/>
      <c r="S60" s="236"/>
      <c r="T60" s="236"/>
      <c r="U60" s="236"/>
      <c r="V60" s="236"/>
      <c r="W60" s="237"/>
      <c r="X60" s="236"/>
      <c r="Y60" s="236"/>
      <c r="Z60" s="236"/>
      <c r="AA60" s="236"/>
      <c r="AB60" s="236"/>
      <c r="AC60" s="105"/>
      <c r="AD60" s="105"/>
      <c r="AE60" s="105"/>
      <c r="AF60" s="105"/>
      <c r="AG60" s="105"/>
      <c r="AH60" s="105"/>
      <c r="AI60" s="105"/>
      <c r="AJ60" s="105"/>
      <c r="AK60" s="105"/>
      <c r="AL60" s="105"/>
      <c r="AM60" s="105"/>
      <c r="AN60" s="105"/>
      <c r="AO60" s="105"/>
      <c r="AP60" s="105"/>
      <c r="AQ60" s="105"/>
    </row>
    <row r="61" spans="1:43" s="137" customFormat="1">
      <c r="A61" s="236"/>
      <c r="B61" s="236"/>
      <c r="C61" s="236"/>
      <c r="D61" s="236"/>
      <c r="E61" s="236"/>
      <c r="F61" s="236"/>
      <c r="G61" s="236"/>
      <c r="H61" s="236"/>
      <c r="I61" s="236"/>
      <c r="J61" s="236"/>
      <c r="K61" s="236"/>
      <c r="L61" s="236"/>
      <c r="M61" s="236"/>
      <c r="N61" s="236"/>
      <c r="O61" s="236"/>
      <c r="P61" s="236"/>
      <c r="Q61" s="236"/>
      <c r="R61" s="236"/>
      <c r="S61" s="236"/>
      <c r="T61" s="236"/>
      <c r="U61" s="236"/>
      <c r="V61" s="236"/>
      <c r="W61" s="237"/>
      <c r="X61" s="236"/>
      <c r="Y61" s="236"/>
      <c r="Z61" s="236"/>
      <c r="AA61" s="236"/>
      <c r="AB61" s="236"/>
      <c r="AC61" s="105"/>
      <c r="AD61" s="105"/>
      <c r="AE61" s="105"/>
      <c r="AF61" s="105"/>
      <c r="AG61" s="105"/>
      <c r="AH61" s="105"/>
      <c r="AI61" s="105"/>
      <c r="AJ61" s="105"/>
      <c r="AK61" s="105"/>
      <c r="AL61" s="105"/>
      <c r="AM61" s="105"/>
      <c r="AN61" s="105"/>
      <c r="AO61" s="105"/>
      <c r="AP61" s="105"/>
      <c r="AQ61" s="105"/>
    </row>
    <row r="62" spans="1:43" s="137" customFormat="1">
      <c r="A62" s="236"/>
      <c r="B62" s="236"/>
      <c r="C62" s="236"/>
      <c r="D62" s="236"/>
      <c r="E62" s="236"/>
      <c r="F62" s="236"/>
      <c r="G62" s="236"/>
      <c r="H62" s="236"/>
      <c r="I62" s="236"/>
      <c r="J62" s="236"/>
      <c r="K62" s="236"/>
      <c r="L62" s="236"/>
      <c r="M62" s="236"/>
      <c r="N62" s="236"/>
      <c r="O62" s="236"/>
      <c r="P62" s="236"/>
      <c r="Q62" s="236"/>
      <c r="R62" s="236"/>
      <c r="S62" s="236"/>
      <c r="T62" s="236"/>
      <c r="U62" s="236"/>
      <c r="V62" s="236"/>
      <c r="W62" s="237"/>
      <c r="X62" s="236"/>
      <c r="Y62" s="236"/>
      <c r="Z62" s="236"/>
      <c r="AA62" s="236"/>
      <c r="AB62" s="236"/>
      <c r="AC62" s="105"/>
      <c r="AD62" s="105"/>
      <c r="AE62" s="105"/>
      <c r="AF62" s="105"/>
      <c r="AG62" s="105"/>
      <c r="AH62" s="105"/>
      <c r="AI62" s="105"/>
      <c r="AJ62" s="105"/>
      <c r="AK62" s="105"/>
      <c r="AL62" s="105"/>
      <c r="AM62" s="105"/>
      <c r="AN62" s="105"/>
      <c r="AO62" s="105"/>
      <c r="AP62" s="105"/>
      <c r="AQ62" s="105"/>
    </row>
    <row r="63" spans="1:43" s="137" customFormat="1">
      <c r="A63" s="236"/>
      <c r="B63" s="236"/>
      <c r="C63" s="236"/>
      <c r="D63" s="236"/>
      <c r="E63" s="236"/>
      <c r="F63" s="236"/>
      <c r="G63" s="236"/>
      <c r="H63" s="236"/>
      <c r="I63" s="236"/>
      <c r="J63" s="236"/>
      <c r="K63" s="236"/>
      <c r="L63" s="236"/>
      <c r="M63" s="236"/>
      <c r="N63" s="236"/>
      <c r="O63" s="236"/>
      <c r="P63" s="236"/>
      <c r="Q63" s="236"/>
      <c r="R63" s="236"/>
      <c r="S63" s="236"/>
      <c r="T63" s="236"/>
      <c r="U63" s="236"/>
      <c r="V63" s="236"/>
      <c r="W63" s="237"/>
      <c r="X63" s="236"/>
      <c r="Y63" s="236"/>
      <c r="Z63" s="236"/>
      <c r="AA63" s="236"/>
      <c r="AB63" s="236"/>
      <c r="AC63" s="105"/>
      <c r="AD63" s="105"/>
      <c r="AE63" s="105"/>
      <c r="AF63" s="105"/>
      <c r="AG63" s="105"/>
      <c r="AH63" s="105"/>
      <c r="AI63" s="105"/>
      <c r="AJ63" s="105"/>
      <c r="AK63" s="105"/>
      <c r="AL63" s="105"/>
      <c r="AM63" s="105"/>
      <c r="AN63" s="105"/>
      <c r="AO63" s="105"/>
      <c r="AP63" s="105"/>
      <c r="AQ63" s="105"/>
    </row>
    <row r="64" spans="1:43" s="137" customFormat="1">
      <c r="A64" s="236"/>
      <c r="B64" s="236"/>
      <c r="C64" s="236"/>
      <c r="D64" s="236"/>
      <c r="E64" s="236"/>
      <c r="F64" s="236"/>
      <c r="G64" s="236"/>
      <c r="H64" s="236"/>
      <c r="I64" s="236"/>
      <c r="J64" s="236"/>
      <c r="K64" s="236"/>
      <c r="L64" s="236"/>
      <c r="M64" s="236"/>
      <c r="N64" s="236"/>
      <c r="O64" s="236"/>
      <c r="P64" s="236"/>
      <c r="Q64" s="236"/>
      <c r="R64" s="236"/>
      <c r="S64" s="236"/>
      <c r="T64" s="236"/>
      <c r="U64" s="236"/>
      <c r="V64" s="236"/>
      <c r="W64" s="237"/>
      <c r="X64" s="236"/>
      <c r="Y64" s="236"/>
      <c r="Z64" s="236"/>
      <c r="AA64" s="236"/>
      <c r="AB64" s="236"/>
      <c r="AC64" s="105"/>
      <c r="AD64" s="105"/>
      <c r="AE64" s="105"/>
      <c r="AF64" s="105"/>
      <c r="AG64" s="105"/>
      <c r="AH64" s="105"/>
      <c r="AI64" s="105"/>
      <c r="AJ64" s="105"/>
      <c r="AK64" s="105"/>
      <c r="AL64" s="105"/>
      <c r="AM64" s="105"/>
      <c r="AN64" s="105"/>
      <c r="AO64" s="105"/>
      <c r="AP64" s="105"/>
      <c r="AQ64" s="105"/>
    </row>
    <row r="65" spans="1:43" s="137" customFormat="1">
      <c r="A65" s="236"/>
      <c r="B65" s="236"/>
      <c r="C65" s="236"/>
      <c r="D65" s="236"/>
      <c r="E65" s="236"/>
      <c r="F65" s="236"/>
      <c r="G65" s="236"/>
      <c r="H65" s="236"/>
      <c r="I65" s="236"/>
      <c r="J65" s="236"/>
      <c r="K65" s="236"/>
      <c r="L65" s="236"/>
      <c r="M65" s="236"/>
      <c r="N65" s="236"/>
      <c r="O65" s="236"/>
      <c r="P65" s="236"/>
      <c r="Q65" s="236"/>
      <c r="R65" s="236"/>
      <c r="S65" s="236"/>
      <c r="T65" s="236"/>
      <c r="U65" s="236"/>
      <c r="V65" s="236"/>
      <c r="W65" s="237"/>
      <c r="X65" s="236"/>
      <c r="Y65" s="236"/>
      <c r="Z65" s="236"/>
      <c r="AA65" s="236"/>
      <c r="AB65" s="236"/>
      <c r="AC65" s="105"/>
      <c r="AD65" s="105"/>
      <c r="AE65" s="105"/>
      <c r="AF65" s="105"/>
      <c r="AG65" s="105"/>
      <c r="AH65" s="105"/>
      <c r="AI65" s="105"/>
      <c r="AJ65" s="105"/>
      <c r="AK65" s="105"/>
      <c r="AL65" s="105"/>
      <c r="AM65" s="105"/>
      <c r="AN65" s="105"/>
      <c r="AO65" s="105"/>
      <c r="AP65" s="105"/>
      <c r="AQ65" s="105"/>
    </row>
    <row r="66" spans="1:43" s="137" customFormat="1">
      <c r="A66" s="236"/>
      <c r="B66" s="236"/>
      <c r="C66" s="236"/>
      <c r="D66" s="236"/>
      <c r="E66" s="236"/>
      <c r="F66" s="236"/>
      <c r="G66" s="236"/>
      <c r="H66" s="236"/>
      <c r="I66" s="236"/>
      <c r="J66" s="236"/>
      <c r="K66" s="236"/>
      <c r="L66" s="236"/>
      <c r="M66" s="236"/>
      <c r="N66" s="236"/>
      <c r="O66" s="236"/>
      <c r="P66" s="236"/>
      <c r="Q66" s="236"/>
      <c r="R66" s="236"/>
      <c r="S66" s="236"/>
      <c r="T66" s="236"/>
      <c r="U66" s="236"/>
      <c r="V66" s="236"/>
      <c r="W66" s="237"/>
      <c r="X66" s="236"/>
      <c r="Y66" s="236"/>
      <c r="Z66" s="236"/>
      <c r="AA66" s="236"/>
      <c r="AB66" s="236"/>
      <c r="AC66" s="105"/>
      <c r="AD66" s="105"/>
      <c r="AE66" s="105"/>
      <c r="AF66" s="105"/>
      <c r="AG66" s="105"/>
      <c r="AH66" s="105"/>
      <c r="AI66" s="105"/>
      <c r="AJ66" s="105"/>
      <c r="AK66" s="105"/>
      <c r="AL66" s="105"/>
      <c r="AM66" s="105"/>
      <c r="AN66" s="105"/>
      <c r="AO66" s="105"/>
      <c r="AP66" s="105"/>
      <c r="AQ66" s="105"/>
    </row>
    <row r="67" spans="1:43" s="137" customFormat="1">
      <c r="A67" s="236"/>
      <c r="B67" s="236"/>
      <c r="C67" s="236"/>
      <c r="D67" s="236"/>
      <c r="E67" s="236"/>
      <c r="F67" s="236"/>
      <c r="G67" s="236"/>
      <c r="H67" s="236"/>
      <c r="I67" s="236"/>
      <c r="J67" s="236"/>
      <c r="K67" s="236"/>
      <c r="L67" s="236"/>
      <c r="M67" s="236"/>
      <c r="N67" s="236"/>
      <c r="O67" s="236"/>
      <c r="P67" s="236"/>
      <c r="Q67" s="236"/>
      <c r="R67" s="236"/>
      <c r="S67" s="236"/>
      <c r="T67" s="236"/>
      <c r="U67" s="236"/>
      <c r="V67" s="236"/>
      <c r="W67" s="237"/>
      <c r="X67" s="236"/>
      <c r="Y67" s="236"/>
      <c r="Z67" s="236"/>
      <c r="AA67" s="236"/>
      <c r="AB67" s="236"/>
      <c r="AC67" s="105"/>
      <c r="AD67" s="105"/>
      <c r="AE67" s="105"/>
      <c r="AF67" s="105"/>
      <c r="AG67" s="105"/>
      <c r="AH67" s="105"/>
      <c r="AI67" s="105"/>
      <c r="AJ67" s="105"/>
      <c r="AK67" s="105"/>
      <c r="AL67" s="105"/>
      <c r="AM67" s="105"/>
      <c r="AN67" s="105"/>
      <c r="AO67" s="105"/>
      <c r="AP67" s="105"/>
      <c r="AQ67" s="105"/>
    </row>
    <row r="68" spans="1:43" s="137" customFormat="1">
      <c r="A68" s="236"/>
      <c r="B68" s="236"/>
      <c r="C68" s="236"/>
      <c r="D68" s="236"/>
      <c r="E68" s="236"/>
      <c r="F68" s="236"/>
      <c r="G68" s="236"/>
      <c r="H68" s="236"/>
      <c r="I68" s="236"/>
      <c r="J68" s="236"/>
      <c r="K68" s="236"/>
      <c r="L68" s="236"/>
      <c r="M68" s="236"/>
      <c r="N68" s="236"/>
      <c r="O68" s="236"/>
      <c r="P68" s="236"/>
      <c r="Q68" s="236"/>
      <c r="R68" s="236"/>
      <c r="S68" s="236"/>
      <c r="T68" s="236"/>
      <c r="U68" s="236"/>
      <c r="V68" s="236"/>
      <c r="W68" s="237"/>
      <c r="X68" s="236"/>
      <c r="Y68" s="236"/>
      <c r="Z68" s="236"/>
      <c r="AA68" s="236"/>
      <c r="AB68" s="236"/>
      <c r="AC68" s="105"/>
      <c r="AD68" s="105"/>
      <c r="AE68" s="105"/>
      <c r="AF68" s="105"/>
      <c r="AG68" s="105"/>
      <c r="AH68" s="105"/>
      <c r="AI68" s="105"/>
      <c r="AJ68" s="105"/>
      <c r="AK68" s="105"/>
      <c r="AL68" s="105"/>
      <c r="AM68" s="105"/>
      <c r="AN68" s="105"/>
      <c r="AO68" s="105"/>
      <c r="AP68" s="105"/>
      <c r="AQ68" s="105"/>
    </row>
    <row r="69" spans="1:43" s="137" customFormat="1">
      <c r="A69" s="236"/>
      <c r="B69" s="236"/>
      <c r="C69" s="236"/>
      <c r="D69" s="236"/>
      <c r="E69" s="236"/>
      <c r="F69" s="236"/>
      <c r="G69" s="236"/>
      <c r="H69" s="236"/>
      <c r="I69" s="236"/>
      <c r="J69" s="236"/>
      <c r="K69" s="236"/>
      <c r="L69" s="236"/>
      <c r="M69" s="236"/>
      <c r="N69" s="236"/>
      <c r="O69" s="236"/>
      <c r="P69" s="236"/>
      <c r="Q69" s="236"/>
      <c r="R69" s="236"/>
      <c r="S69" s="236"/>
      <c r="T69" s="236"/>
      <c r="U69" s="236"/>
      <c r="V69" s="236"/>
      <c r="W69" s="237"/>
      <c r="X69" s="236"/>
      <c r="Y69" s="236"/>
      <c r="Z69" s="236"/>
      <c r="AA69" s="236"/>
      <c r="AB69" s="236"/>
      <c r="AC69" s="105"/>
      <c r="AD69" s="105"/>
      <c r="AE69" s="105"/>
      <c r="AF69" s="105"/>
      <c r="AG69" s="105"/>
      <c r="AH69" s="105"/>
      <c r="AI69" s="105"/>
      <c r="AJ69" s="105"/>
      <c r="AK69" s="105"/>
      <c r="AL69" s="105"/>
      <c r="AM69" s="105"/>
      <c r="AN69" s="105"/>
      <c r="AO69" s="105"/>
      <c r="AP69" s="105"/>
      <c r="AQ69" s="105"/>
    </row>
    <row r="70" spans="1:43" s="137" customFormat="1">
      <c r="A70" s="236"/>
      <c r="B70" s="236"/>
      <c r="C70" s="236"/>
      <c r="D70" s="236"/>
      <c r="E70" s="236"/>
      <c r="F70" s="236"/>
      <c r="G70" s="236"/>
      <c r="H70" s="236"/>
      <c r="I70" s="236"/>
      <c r="J70" s="236"/>
      <c r="K70" s="236"/>
      <c r="L70" s="236"/>
      <c r="M70" s="236"/>
      <c r="N70" s="236"/>
      <c r="O70" s="236"/>
      <c r="P70" s="236"/>
      <c r="Q70" s="236"/>
      <c r="R70" s="236"/>
      <c r="S70" s="236"/>
      <c r="T70" s="236"/>
      <c r="U70" s="236"/>
      <c r="V70" s="236"/>
      <c r="W70" s="237"/>
      <c r="X70" s="236"/>
      <c r="Y70" s="236"/>
      <c r="Z70" s="236"/>
      <c r="AA70" s="236"/>
      <c r="AB70" s="236"/>
      <c r="AC70" s="105"/>
      <c r="AD70" s="105"/>
      <c r="AE70" s="105"/>
      <c r="AF70" s="105"/>
      <c r="AG70" s="105"/>
      <c r="AH70" s="105"/>
      <c r="AI70" s="105"/>
      <c r="AJ70" s="105"/>
      <c r="AK70" s="105"/>
      <c r="AL70" s="105"/>
      <c r="AM70" s="105"/>
      <c r="AN70" s="105"/>
      <c r="AO70" s="105"/>
      <c r="AP70" s="105"/>
      <c r="AQ70" s="105"/>
    </row>
    <row r="71" spans="1:43">
      <c r="A71" s="236"/>
      <c r="B71" s="236"/>
      <c r="C71" s="236"/>
      <c r="D71" s="236"/>
      <c r="E71" s="236"/>
      <c r="F71" s="236"/>
      <c r="G71" s="236"/>
      <c r="H71" s="236"/>
      <c r="I71" s="236"/>
      <c r="J71" s="236"/>
      <c r="K71" s="236"/>
      <c r="L71" s="236"/>
      <c r="M71" s="236"/>
      <c r="N71" s="236"/>
      <c r="O71" s="236"/>
      <c r="P71" s="236"/>
      <c r="Q71" s="236"/>
      <c r="R71" s="236"/>
      <c r="S71" s="236"/>
      <c r="T71" s="236"/>
      <c r="U71" s="236"/>
      <c r="V71" s="236"/>
      <c r="W71" s="237"/>
      <c r="X71" s="236"/>
      <c r="Y71" s="236"/>
      <c r="Z71" s="236"/>
      <c r="AA71" s="236"/>
      <c r="AB71" s="236"/>
      <c r="AC71" s="105"/>
      <c r="AD71" s="105"/>
      <c r="AE71" s="105"/>
      <c r="AF71" s="105"/>
      <c r="AG71" s="105"/>
      <c r="AH71" s="105"/>
      <c r="AI71" s="105"/>
      <c r="AJ71" s="105"/>
      <c r="AK71" s="105"/>
      <c r="AL71" s="105"/>
      <c r="AM71" s="105"/>
      <c r="AN71" s="105"/>
      <c r="AO71" s="105"/>
      <c r="AP71" s="105"/>
      <c r="AQ71" s="105"/>
    </row>
    <row r="72" spans="1:43">
      <c r="A72" s="236"/>
      <c r="B72" s="236"/>
      <c r="C72" s="236"/>
      <c r="D72" s="236"/>
      <c r="E72" s="236"/>
      <c r="F72" s="236"/>
      <c r="G72" s="236"/>
      <c r="H72" s="236"/>
      <c r="I72" s="236"/>
      <c r="J72" s="236"/>
      <c r="K72" s="236"/>
      <c r="L72" s="236"/>
      <c r="M72" s="236"/>
      <c r="N72" s="236"/>
      <c r="O72" s="236"/>
      <c r="P72" s="236"/>
      <c r="Q72" s="236"/>
      <c r="R72" s="236"/>
      <c r="S72" s="236"/>
      <c r="T72" s="236"/>
      <c r="U72" s="236"/>
      <c r="V72" s="236"/>
      <c r="W72" s="237"/>
      <c r="X72" s="236"/>
      <c r="Y72" s="236"/>
      <c r="Z72" s="236"/>
      <c r="AA72" s="236"/>
      <c r="AB72" s="236"/>
      <c r="AC72" s="105"/>
      <c r="AD72" s="105"/>
      <c r="AE72" s="105"/>
      <c r="AF72" s="105"/>
      <c r="AG72" s="105"/>
      <c r="AH72" s="105"/>
      <c r="AI72" s="105"/>
      <c r="AJ72" s="105"/>
      <c r="AK72" s="105"/>
      <c r="AL72" s="105"/>
      <c r="AM72" s="105"/>
      <c r="AN72" s="105"/>
      <c r="AO72" s="105"/>
      <c r="AP72" s="105"/>
      <c r="AQ72" s="105"/>
    </row>
    <row r="73" spans="1:43">
      <c r="A73" s="236"/>
      <c r="B73" s="236"/>
      <c r="C73" s="236"/>
      <c r="D73" s="236"/>
      <c r="E73" s="236"/>
      <c r="F73" s="236"/>
      <c r="G73" s="236"/>
      <c r="H73" s="236"/>
      <c r="I73" s="236"/>
      <c r="J73" s="236"/>
      <c r="K73" s="236"/>
      <c r="L73" s="236"/>
      <c r="M73" s="236"/>
      <c r="N73" s="236"/>
      <c r="O73" s="236"/>
      <c r="P73" s="236"/>
      <c r="Q73" s="236"/>
      <c r="R73" s="236"/>
      <c r="S73" s="236"/>
      <c r="T73" s="236"/>
      <c r="U73" s="236"/>
      <c r="V73" s="236"/>
      <c r="W73" s="237"/>
      <c r="X73" s="236"/>
      <c r="Y73" s="236"/>
      <c r="Z73" s="236"/>
      <c r="AA73" s="236"/>
      <c r="AB73" s="236"/>
      <c r="AC73" s="105"/>
      <c r="AD73" s="105"/>
      <c r="AE73" s="105"/>
      <c r="AF73" s="105"/>
      <c r="AG73" s="105"/>
      <c r="AH73" s="105"/>
      <c r="AI73" s="105"/>
      <c r="AJ73" s="105"/>
      <c r="AK73" s="105"/>
      <c r="AL73" s="105"/>
      <c r="AM73" s="105"/>
      <c r="AN73" s="105"/>
      <c r="AO73" s="105"/>
      <c r="AP73" s="105"/>
      <c r="AQ73" s="105"/>
    </row>
    <row r="74" spans="1:43">
      <c r="A74" s="236"/>
      <c r="B74" s="236"/>
      <c r="C74" s="236"/>
      <c r="D74" s="236"/>
      <c r="E74" s="236"/>
      <c r="F74" s="236"/>
      <c r="G74" s="236"/>
      <c r="H74" s="236"/>
      <c r="I74" s="236"/>
      <c r="J74" s="236"/>
      <c r="K74" s="236"/>
      <c r="L74" s="236"/>
      <c r="M74" s="236"/>
      <c r="N74" s="236"/>
      <c r="O74" s="236"/>
      <c r="P74" s="236"/>
      <c r="Q74" s="236"/>
      <c r="R74" s="236"/>
      <c r="S74" s="236"/>
      <c r="T74" s="236"/>
      <c r="U74" s="236"/>
      <c r="V74" s="236"/>
      <c r="W74" s="237"/>
      <c r="X74" s="236"/>
      <c r="Y74" s="236"/>
      <c r="Z74" s="236"/>
      <c r="AA74" s="236"/>
      <c r="AB74" s="236"/>
      <c r="AC74" s="105"/>
      <c r="AD74" s="105"/>
      <c r="AE74" s="105"/>
      <c r="AF74" s="105"/>
      <c r="AG74" s="105"/>
      <c r="AH74" s="105"/>
      <c r="AI74" s="105"/>
      <c r="AJ74" s="105"/>
      <c r="AK74" s="105"/>
      <c r="AL74" s="105"/>
      <c r="AM74" s="105"/>
      <c r="AN74" s="105"/>
      <c r="AO74" s="105"/>
      <c r="AP74" s="105"/>
      <c r="AQ74" s="105"/>
    </row>
    <row r="75" spans="1:43">
      <c r="A75" s="236"/>
      <c r="B75" s="236"/>
      <c r="C75" s="236"/>
      <c r="D75" s="236"/>
      <c r="E75" s="236"/>
      <c r="F75" s="236"/>
      <c r="G75" s="236"/>
      <c r="H75" s="236"/>
      <c r="I75" s="236"/>
      <c r="J75" s="236"/>
      <c r="K75" s="236"/>
      <c r="L75" s="236"/>
      <c r="M75" s="236"/>
      <c r="N75" s="236"/>
      <c r="O75" s="236"/>
      <c r="P75" s="236"/>
      <c r="Q75" s="236"/>
      <c r="R75" s="236"/>
      <c r="S75" s="236"/>
      <c r="T75" s="236"/>
      <c r="U75" s="236"/>
      <c r="V75" s="236"/>
      <c r="W75" s="237"/>
      <c r="X75" s="236"/>
      <c r="Y75" s="236"/>
      <c r="Z75" s="236"/>
      <c r="AA75" s="236"/>
      <c r="AB75" s="236"/>
      <c r="AC75" s="105"/>
      <c r="AD75" s="105"/>
      <c r="AE75" s="105"/>
      <c r="AF75" s="105"/>
      <c r="AG75" s="105"/>
      <c r="AH75" s="105"/>
      <c r="AI75" s="105"/>
      <c r="AJ75" s="105"/>
      <c r="AK75" s="105"/>
      <c r="AL75" s="105"/>
      <c r="AM75" s="105"/>
      <c r="AN75" s="105"/>
      <c r="AO75" s="105"/>
      <c r="AP75" s="105"/>
      <c r="AQ75" s="105"/>
    </row>
    <row r="76" spans="1:43">
      <c r="A76" s="236"/>
      <c r="B76" s="236"/>
      <c r="C76" s="236"/>
      <c r="D76" s="236"/>
      <c r="E76" s="236"/>
      <c r="F76" s="236"/>
      <c r="G76" s="236"/>
      <c r="H76" s="236"/>
      <c r="I76" s="236"/>
      <c r="J76" s="236"/>
      <c r="K76" s="236"/>
      <c r="L76" s="236"/>
      <c r="M76" s="236"/>
      <c r="N76" s="236"/>
      <c r="O76" s="236"/>
      <c r="P76" s="236"/>
      <c r="Q76" s="236"/>
      <c r="R76" s="236"/>
      <c r="S76" s="236"/>
      <c r="T76" s="236"/>
      <c r="U76" s="236"/>
      <c r="V76" s="236"/>
      <c r="W76" s="237"/>
      <c r="X76" s="236"/>
      <c r="Y76" s="236"/>
      <c r="Z76" s="236"/>
      <c r="AA76" s="236"/>
      <c r="AB76" s="236"/>
      <c r="AC76" s="105"/>
      <c r="AD76" s="105"/>
      <c r="AE76" s="105"/>
      <c r="AF76" s="105"/>
      <c r="AG76" s="105"/>
      <c r="AH76" s="105"/>
      <c r="AI76" s="105"/>
      <c r="AJ76" s="105"/>
      <c r="AK76" s="105"/>
      <c r="AL76" s="105"/>
      <c r="AM76" s="105"/>
      <c r="AN76" s="105"/>
      <c r="AO76" s="105"/>
      <c r="AP76" s="105"/>
      <c r="AQ76" s="105"/>
    </row>
    <row r="77" spans="1:43">
      <c r="A77" s="236"/>
      <c r="B77" s="236"/>
      <c r="C77" s="236"/>
      <c r="D77" s="236"/>
      <c r="E77" s="236"/>
      <c r="F77" s="236"/>
      <c r="G77" s="236"/>
      <c r="H77" s="236"/>
      <c r="I77" s="236"/>
      <c r="J77" s="236"/>
      <c r="K77" s="236"/>
      <c r="L77" s="236"/>
      <c r="M77" s="236"/>
      <c r="N77" s="236"/>
      <c r="O77" s="236"/>
      <c r="P77" s="236"/>
      <c r="Q77" s="236"/>
      <c r="R77" s="236"/>
      <c r="S77" s="236"/>
      <c r="T77" s="236"/>
      <c r="U77" s="236"/>
      <c r="V77" s="236"/>
      <c r="W77" s="237"/>
      <c r="X77" s="236"/>
      <c r="Y77" s="236"/>
      <c r="Z77" s="236"/>
      <c r="AA77" s="236"/>
      <c r="AB77" s="236"/>
      <c r="AC77" s="105"/>
      <c r="AD77" s="105"/>
      <c r="AE77" s="105"/>
      <c r="AF77" s="105"/>
      <c r="AG77" s="105"/>
      <c r="AH77" s="105"/>
      <c r="AI77" s="105"/>
      <c r="AJ77" s="105"/>
      <c r="AK77" s="105"/>
      <c r="AL77" s="105"/>
      <c r="AM77" s="105"/>
      <c r="AN77" s="105"/>
      <c r="AO77" s="105"/>
      <c r="AP77" s="105"/>
      <c r="AQ77" s="105"/>
    </row>
    <row r="78" spans="1:43">
      <c r="A78" s="236"/>
      <c r="B78" s="236"/>
      <c r="C78" s="236"/>
      <c r="D78" s="236"/>
      <c r="E78" s="236"/>
      <c r="F78" s="236"/>
      <c r="G78" s="236"/>
      <c r="H78" s="236"/>
      <c r="I78" s="236"/>
      <c r="J78" s="236"/>
      <c r="K78" s="236"/>
      <c r="L78" s="236"/>
      <c r="M78" s="236"/>
      <c r="N78" s="236"/>
      <c r="O78" s="236"/>
      <c r="P78" s="236"/>
      <c r="Q78" s="236"/>
      <c r="R78" s="236"/>
      <c r="S78" s="236"/>
      <c r="T78" s="236"/>
      <c r="U78" s="236"/>
      <c r="V78" s="236"/>
      <c r="W78" s="237"/>
      <c r="X78" s="236"/>
      <c r="Y78" s="236"/>
      <c r="Z78" s="236"/>
      <c r="AA78" s="236"/>
      <c r="AB78" s="236"/>
      <c r="AC78" s="105"/>
      <c r="AD78" s="105"/>
      <c r="AE78" s="105"/>
      <c r="AF78" s="105"/>
      <c r="AG78" s="105"/>
      <c r="AH78" s="105"/>
      <c r="AI78" s="105"/>
      <c r="AJ78" s="105"/>
      <c r="AK78" s="105"/>
      <c r="AL78" s="105"/>
      <c r="AM78" s="105"/>
      <c r="AN78" s="105"/>
      <c r="AO78" s="105"/>
      <c r="AP78" s="105"/>
      <c r="AQ78" s="105"/>
    </row>
    <row r="79" spans="1:43">
      <c r="A79" s="236"/>
      <c r="B79" s="236"/>
      <c r="C79" s="236"/>
      <c r="D79" s="236"/>
      <c r="E79" s="236"/>
      <c r="F79" s="236"/>
      <c r="G79" s="236"/>
      <c r="H79" s="236"/>
      <c r="I79" s="236"/>
      <c r="J79" s="236"/>
      <c r="K79" s="236"/>
      <c r="L79" s="236"/>
      <c r="M79" s="236"/>
      <c r="N79" s="236"/>
      <c r="O79" s="236"/>
      <c r="P79" s="236"/>
      <c r="Q79" s="236"/>
      <c r="R79" s="236"/>
      <c r="S79" s="236"/>
      <c r="T79" s="236"/>
      <c r="U79" s="236"/>
      <c r="V79" s="236"/>
      <c r="W79" s="237"/>
      <c r="X79" s="236"/>
      <c r="Y79" s="236"/>
      <c r="Z79" s="236"/>
      <c r="AA79" s="236"/>
      <c r="AB79" s="236"/>
      <c r="AC79" s="105"/>
      <c r="AD79" s="105"/>
      <c r="AE79" s="105"/>
      <c r="AF79" s="105"/>
      <c r="AG79" s="105"/>
      <c r="AH79" s="105"/>
      <c r="AI79" s="105"/>
      <c r="AJ79" s="105"/>
      <c r="AK79" s="105"/>
      <c r="AL79" s="105"/>
      <c r="AM79" s="105"/>
      <c r="AN79" s="105"/>
      <c r="AO79" s="105"/>
      <c r="AP79" s="105"/>
      <c r="AQ79" s="105"/>
    </row>
    <row r="80" spans="1:43">
      <c r="A80" s="236"/>
      <c r="B80" s="236"/>
      <c r="C80" s="236"/>
      <c r="D80" s="236"/>
      <c r="E80" s="236"/>
      <c r="F80" s="236"/>
      <c r="G80" s="236"/>
      <c r="H80" s="236"/>
      <c r="I80" s="236"/>
      <c r="J80" s="236"/>
      <c r="K80" s="236"/>
      <c r="L80" s="236"/>
      <c r="M80" s="236"/>
      <c r="N80" s="236"/>
      <c r="O80" s="236"/>
      <c r="P80" s="236"/>
      <c r="Q80" s="236"/>
      <c r="R80" s="236"/>
      <c r="S80" s="236"/>
      <c r="T80" s="236"/>
      <c r="U80" s="236"/>
      <c r="V80" s="236"/>
      <c r="W80" s="237"/>
      <c r="X80" s="236"/>
      <c r="Y80" s="236"/>
      <c r="Z80" s="236"/>
      <c r="AA80" s="236"/>
      <c r="AB80" s="236"/>
      <c r="AC80" s="105"/>
      <c r="AD80" s="105"/>
      <c r="AE80" s="105"/>
      <c r="AF80" s="105"/>
      <c r="AG80" s="105"/>
      <c r="AH80" s="105"/>
      <c r="AI80" s="105"/>
      <c r="AJ80" s="105"/>
      <c r="AK80" s="105"/>
      <c r="AL80" s="105"/>
      <c r="AM80" s="105"/>
      <c r="AN80" s="105"/>
      <c r="AO80" s="105"/>
      <c r="AP80" s="105"/>
      <c r="AQ80" s="105"/>
    </row>
    <row r="81" spans="1:43">
      <c r="A81" s="236"/>
      <c r="B81" s="236"/>
      <c r="C81" s="236"/>
      <c r="D81" s="236"/>
      <c r="E81" s="236"/>
      <c r="F81" s="236"/>
      <c r="G81" s="236"/>
      <c r="H81" s="236"/>
      <c r="I81" s="236"/>
      <c r="J81" s="236"/>
      <c r="K81" s="236"/>
      <c r="L81" s="236"/>
      <c r="M81" s="236"/>
      <c r="N81" s="236"/>
      <c r="O81" s="236"/>
      <c r="P81" s="236"/>
      <c r="Q81" s="236"/>
      <c r="R81" s="236"/>
      <c r="S81" s="236"/>
      <c r="T81" s="236"/>
      <c r="U81" s="236"/>
      <c r="V81" s="236"/>
      <c r="W81" s="237"/>
      <c r="X81" s="236"/>
      <c r="Y81" s="236"/>
      <c r="Z81" s="236"/>
      <c r="AA81" s="236"/>
      <c r="AB81" s="236"/>
      <c r="AC81" s="105"/>
      <c r="AD81" s="105"/>
      <c r="AE81" s="105"/>
      <c r="AF81" s="105"/>
      <c r="AG81" s="105"/>
      <c r="AH81" s="105"/>
      <c r="AI81" s="105"/>
      <c r="AJ81" s="105"/>
      <c r="AK81" s="105"/>
      <c r="AL81" s="105"/>
      <c r="AM81" s="105"/>
      <c r="AN81" s="105"/>
      <c r="AO81" s="105"/>
      <c r="AP81" s="105"/>
      <c r="AQ81" s="105"/>
    </row>
    <row r="82" spans="1:43">
      <c r="A82" s="236"/>
      <c r="B82" s="236"/>
      <c r="C82" s="236"/>
      <c r="D82" s="236"/>
      <c r="E82" s="236"/>
      <c r="F82" s="236"/>
      <c r="G82" s="236"/>
      <c r="H82" s="236"/>
      <c r="I82" s="236"/>
      <c r="J82" s="236"/>
      <c r="K82" s="236"/>
      <c r="L82" s="236"/>
      <c r="M82" s="236"/>
      <c r="N82" s="236"/>
      <c r="O82" s="236"/>
      <c r="P82" s="236"/>
      <c r="Q82" s="236"/>
      <c r="R82" s="236"/>
      <c r="S82" s="236"/>
      <c r="T82" s="236"/>
      <c r="U82" s="236"/>
      <c r="V82" s="236"/>
      <c r="W82" s="237"/>
      <c r="X82" s="236"/>
      <c r="Y82" s="236"/>
      <c r="Z82" s="236"/>
      <c r="AA82" s="236"/>
      <c r="AB82" s="236"/>
      <c r="AC82" s="105"/>
      <c r="AD82" s="105"/>
      <c r="AE82" s="105"/>
      <c r="AF82" s="105"/>
      <c r="AG82" s="105"/>
      <c r="AH82" s="105"/>
      <c r="AI82" s="105"/>
      <c r="AJ82" s="105"/>
      <c r="AK82" s="105"/>
      <c r="AL82" s="105"/>
      <c r="AM82" s="105"/>
      <c r="AN82" s="105"/>
      <c r="AO82" s="105"/>
      <c r="AP82" s="105"/>
      <c r="AQ82" s="105"/>
    </row>
    <row r="83" spans="1:43">
      <c r="A83" s="236"/>
      <c r="B83" s="236"/>
      <c r="C83" s="236"/>
      <c r="D83" s="236"/>
      <c r="E83" s="236"/>
      <c r="F83" s="236"/>
      <c r="G83" s="236"/>
      <c r="H83" s="236"/>
      <c r="I83" s="236"/>
      <c r="J83" s="236"/>
      <c r="K83" s="236"/>
      <c r="L83" s="236"/>
      <c r="M83" s="236"/>
      <c r="N83" s="236"/>
      <c r="O83" s="236"/>
      <c r="P83" s="236"/>
      <c r="Q83" s="236"/>
      <c r="R83" s="236"/>
      <c r="S83" s="236"/>
      <c r="T83" s="236"/>
      <c r="U83" s="236"/>
      <c r="V83" s="236"/>
      <c r="W83" s="237"/>
      <c r="X83" s="236"/>
      <c r="Y83" s="236"/>
      <c r="Z83" s="236"/>
      <c r="AA83" s="236"/>
      <c r="AB83" s="236"/>
      <c r="AC83" s="105"/>
      <c r="AD83" s="105"/>
      <c r="AE83" s="105"/>
      <c r="AF83" s="105"/>
      <c r="AG83" s="105"/>
      <c r="AH83" s="105"/>
      <c r="AI83" s="105"/>
      <c r="AJ83" s="105"/>
      <c r="AK83" s="105"/>
      <c r="AL83" s="105"/>
      <c r="AM83" s="105"/>
      <c r="AN83" s="105"/>
      <c r="AO83" s="105"/>
      <c r="AP83" s="105"/>
      <c r="AQ83" s="105"/>
    </row>
    <row r="84" spans="1:43">
      <c r="A84" s="236"/>
      <c r="B84" s="236"/>
      <c r="C84" s="236"/>
      <c r="D84" s="236"/>
      <c r="E84" s="236"/>
      <c r="F84" s="236"/>
      <c r="G84" s="236"/>
      <c r="H84" s="236"/>
      <c r="I84" s="236"/>
      <c r="J84" s="236"/>
      <c r="K84" s="236"/>
      <c r="L84" s="236"/>
      <c r="M84" s="236"/>
      <c r="N84" s="236"/>
      <c r="O84" s="236"/>
      <c r="P84" s="236"/>
      <c r="Q84" s="236"/>
      <c r="R84" s="236"/>
      <c r="S84" s="236"/>
      <c r="T84" s="236"/>
      <c r="U84" s="236"/>
      <c r="V84" s="236"/>
      <c r="W84" s="237"/>
      <c r="X84" s="236"/>
      <c r="Y84" s="236"/>
      <c r="Z84" s="236"/>
      <c r="AA84" s="236"/>
      <c r="AB84" s="236"/>
      <c r="AC84" s="105"/>
      <c r="AD84" s="105"/>
      <c r="AE84" s="105"/>
      <c r="AF84" s="105"/>
      <c r="AG84" s="105"/>
      <c r="AH84" s="105"/>
      <c r="AI84" s="105"/>
      <c r="AJ84" s="105"/>
      <c r="AK84" s="105"/>
      <c r="AL84" s="105"/>
      <c r="AM84" s="105"/>
      <c r="AN84" s="105"/>
      <c r="AO84" s="105"/>
      <c r="AP84" s="105"/>
      <c r="AQ84" s="105"/>
    </row>
    <row r="85" spans="1:43">
      <c r="A85" s="236"/>
      <c r="B85" s="236"/>
      <c r="C85" s="236"/>
      <c r="D85" s="236"/>
      <c r="E85" s="236"/>
      <c r="F85" s="236"/>
      <c r="G85" s="236"/>
      <c r="H85" s="236"/>
      <c r="I85" s="236"/>
      <c r="J85" s="236"/>
      <c r="K85" s="236"/>
      <c r="L85" s="236"/>
      <c r="M85" s="236"/>
      <c r="N85" s="236"/>
      <c r="O85" s="236"/>
      <c r="P85" s="236"/>
      <c r="Q85" s="236"/>
      <c r="R85" s="236"/>
      <c r="S85" s="236"/>
      <c r="T85" s="236"/>
      <c r="U85" s="236"/>
      <c r="V85" s="236"/>
      <c r="W85" s="237"/>
      <c r="X85" s="236"/>
      <c r="Y85" s="236"/>
      <c r="Z85" s="236"/>
      <c r="AA85" s="236"/>
      <c r="AB85" s="236"/>
      <c r="AC85" s="105"/>
      <c r="AD85" s="105"/>
      <c r="AE85" s="105"/>
      <c r="AF85" s="105"/>
      <c r="AG85" s="105"/>
      <c r="AH85" s="105"/>
      <c r="AI85" s="105"/>
      <c r="AJ85" s="105"/>
      <c r="AK85" s="105"/>
      <c r="AL85" s="105"/>
      <c r="AM85" s="105"/>
      <c r="AN85" s="105"/>
      <c r="AO85" s="105"/>
      <c r="AP85" s="105"/>
      <c r="AQ85" s="105"/>
    </row>
    <row r="86" spans="1:43">
      <c r="A86" s="236"/>
      <c r="B86" s="236"/>
      <c r="C86" s="236"/>
      <c r="D86" s="236"/>
      <c r="E86" s="236"/>
      <c r="F86" s="236"/>
      <c r="G86" s="236"/>
      <c r="H86" s="236"/>
      <c r="I86" s="236"/>
      <c r="J86" s="236"/>
      <c r="K86" s="236"/>
      <c r="L86" s="236"/>
      <c r="M86" s="236"/>
      <c r="N86" s="236"/>
      <c r="O86" s="236"/>
      <c r="P86" s="236"/>
      <c r="Q86" s="236"/>
      <c r="R86" s="236"/>
      <c r="S86" s="236"/>
      <c r="T86" s="236"/>
      <c r="U86" s="236"/>
      <c r="V86" s="236"/>
      <c r="W86" s="237"/>
      <c r="X86" s="236"/>
      <c r="Y86" s="236"/>
      <c r="Z86" s="236"/>
      <c r="AA86" s="236"/>
      <c r="AB86" s="236"/>
      <c r="AC86" s="105"/>
      <c r="AD86" s="105"/>
      <c r="AE86" s="105"/>
      <c r="AF86" s="105"/>
      <c r="AG86" s="105"/>
      <c r="AH86" s="105"/>
      <c r="AI86" s="105"/>
      <c r="AJ86" s="105"/>
      <c r="AK86" s="105"/>
      <c r="AL86" s="105"/>
      <c r="AM86" s="105"/>
      <c r="AN86" s="105"/>
      <c r="AO86" s="105"/>
      <c r="AP86" s="105"/>
      <c r="AQ86" s="105"/>
    </row>
    <row r="87" spans="1:43">
      <c r="A87" s="236"/>
      <c r="B87" s="236"/>
      <c r="C87" s="236"/>
      <c r="D87" s="236"/>
      <c r="E87" s="236"/>
      <c r="F87" s="236"/>
      <c r="G87" s="236"/>
      <c r="H87" s="236"/>
      <c r="I87" s="236"/>
      <c r="J87" s="236"/>
      <c r="K87" s="236"/>
      <c r="L87" s="236"/>
      <c r="M87" s="236"/>
      <c r="N87" s="236"/>
      <c r="O87" s="236"/>
      <c r="P87" s="236"/>
      <c r="Q87" s="236"/>
      <c r="R87" s="236"/>
      <c r="S87" s="236"/>
      <c r="T87" s="236"/>
      <c r="U87" s="236"/>
      <c r="V87" s="236"/>
      <c r="W87" s="237"/>
      <c r="X87" s="236"/>
      <c r="Y87" s="236"/>
      <c r="Z87" s="236"/>
      <c r="AA87" s="236"/>
      <c r="AB87" s="236"/>
      <c r="AC87" s="105"/>
      <c r="AD87" s="105"/>
      <c r="AE87" s="105"/>
      <c r="AF87" s="105"/>
      <c r="AG87" s="105"/>
      <c r="AH87" s="105"/>
      <c r="AI87" s="105"/>
      <c r="AJ87" s="105"/>
      <c r="AK87" s="105"/>
      <c r="AL87" s="105"/>
      <c r="AM87" s="105"/>
      <c r="AN87" s="105"/>
      <c r="AO87" s="105"/>
      <c r="AP87" s="105"/>
      <c r="AQ87" s="105"/>
    </row>
    <row r="88" spans="1:43">
      <c r="A88" s="236"/>
      <c r="B88" s="236"/>
      <c r="C88" s="236"/>
      <c r="D88" s="236"/>
      <c r="E88" s="236"/>
      <c r="F88" s="236"/>
      <c r="G88" s="236"/>
      <c r="H88" s="236"/>
      <c r="I88" s="236"/>
      <c r="J88" s="236"/>
      <c r="K88" s="236"/>
      <c r="L88" s="236"/>
      <c r="M88" s="236"/>
      <c r="N88" s="236"/>
      <c r="O88" s="236"/>
      <c r="P88" s="236"/>
      <c r="Q88" s="236"/>
      <c r="R88" s="236"/>
      <c r="S88" s="236"/>
      <c r="T88" s="236"/>
      <c r="U88" s="236"/>
      <c r="V88" s="236"/>
      <c r="W88" s="237"/>
      <c r="X88" s="236"/>
      <c r="Y88" s="236"/>
      <c r="Z88" s="236"/>
      <c r="AA88" s="236"/>
      <c r="AB88" s="236"/>
      <c r="AC88" s="105"/>
      <c r="AD88" s="105"/>
      <c r="AE88" s="105"/>
      <c r="AF88" s="105"/>
      <c r="AG88" s="105"/>
      <c r="AH88" s="105"/>
      <c r="AI88" s="105"/>
      <c r="AJ88" s="105"/>
      <c r="AK88" s="105"/>
      <c r="AL88" s="105"/>
      <c r="AM88" s="105"/>
      <c r="AN88" s="105"/>
      <c r="AO88" s="105"/>
      <c r="AP88" s="105"/>
      <c r="AQ88" s="105"/>
    </row>
    <row r="89" spans="1:43">
      <c r="A89" s="236"/>
      <c r="B89" s="236"/>
      <c r="C89" s="236"/>
      <c r="D89" s="236"/>
      <c r="E89" s="236"/>
      <c r="F89" s="236"/>
      <c r="G89" s="236"/>
      <c r="H89" s="236"/>
      <c r="I89" s="236"/>
      <c r="J89" s="236"/>
      <c r="K89" s="236"/>
      <c r="L89" s="236"/>
      <c r="M89" s="236"/>
      <c r="N89" s="236"/>
      <c r="O89" s="236"/>
      <c r="P89" s="236"/>
      <c r="Q89" s="236"/>
      <c r="R89" s="236"/>
      <c r="S89" s="236"/>
      <c r="T89" s="236"/>
      <c r="U89" s="236"/>
      <c r="V89" s="236"/>
      <c r="W89" s="237"/>
      <c r="X89" s="236"/>
      <c r="Y89" s="236"/>
      <c r="Z89" s="236"/>
      <c r="AA89" s="236"/>
      <c r="AB89" s="236"/>
      <c r="AC89" s="105"/>
      <c r="AD89" s="105"/>
      <c r="AE89" s="105"/>
      <c r="AF89" s="105"/>
      <c r="AG89" s="105"/>
      <c r="AH89" s="105"/>
      <c r="AI89" s="105"/>
      <c r="AJ89" s="105"/>
      <c r="AK89" s="105"/>
      <c r="AL89" s="105"/>
      <c r="AM89" s="105"/>
      <c r="AN89" s="105"/>
      <c r="AO89" s="105"/>
      <c r="AP89" s="105"/>
      <c r="AQ89" s="105"/>
    </row>
    <row r="90" spans="1:43">
      <c r="A90" s="236"/>
      <c r="B90" s="236"/>
      <c r="C90" s="236"/>
      <c r="D90" s="236"/>
      <c r="E90" s="236"/>
      <c r="F90" s="236"/>
      <c r="G90" s="236"/>
      <c r="H90" s="236"/>
      <c r="I90" s="236"/>
      <c r="J90" s="236"/>
      <c r="K90" s="236"/>
      <c r="L90" s="236"/>
      <c r="M90" s="236"/>
      <c r="N90" s="236"/>
      <c r="O90" s="236"/>
      <c r="P90" s="236"/>
      <c r="Q90" s="236"/>
      <c r="R90" s="236"/>
      <c r="S90" s="236"/>
      <c r="T90" s="236"/>
      <c r="U90" s="236"/>
      <c r="V90" s="236"/>
      <c r="W90" s="237"/>
      <c r="X90" s="236"/>
      <c r="Y90" s="236"/>
      <c r="Z90" s="236"/>
      <c r="AA90" s="236"/>
      <c r="AB90" s="236"/>
      <c r="AC90" s="105"/>
      <c r="AD90" s="105"/>
      <c r="AE90" s="105"/>
      <c r="AF90" s="105"/>
      <c r="AG90" s="105"/>
      <c r="AH90" s="105"/>
      <c r="AI90" s="105"/>
      <c r="AJ90" s="105"/>
      <c r="AK90" s="105"/>
      <c r="AL90" s="105"/>
      <c r="AM90" s="105"/>
      <c r="AN90" s="105"/>
      <c r="AO90" s="105"/>
      <c r="AP90" s="105"/>
      <c r="AQ90" s="105"/>
    </row>
    <row r="91" spans="1:43">
      <c r="A91" s="236"/>
      <c r="B91" s="236"/>
      <c r="C91" s="236"/>
      <c r="D91" s="236"/>
      <c r="E91" s="236"/>
      <c r="F91" s="236"/>
      <c r="G91" s="236"/>
      <c r="H91" s="236"/>
      <c r="I91" s="236"/>
      <c r="J91" s="236"/>
      <c r="K91" s="236"/>
      <c r="L91" s="236"/>
      <c r="M91" s="236"/>
      <c r="N91" s="236"/>
      <c r="O91" s="236"/>
      <c r="P91" s="236"/>
      <c r="Q91" s="236"/>
      <c r="R91" s="236"/>
      <c r="S91" s="236"/>
      <c r="T91" s="236"/>
      <c r="U91" s="236"/>
      <c r="V91" s="236"/>
      <c r="W91" s="237"/>
      <c r="X91" s="236"/>
      <c r="Y91" s="236"/>
      <c r="Z91" s="236"/>
      <c r="AA91" s="236"/>
      <c r="AB91" s="236"/>
      <c r="AC91" s="105"/>
      <c r="AD91" s="105"/>
      <c r="AE91" s="105"/>
      <c r="AF91" s="105"/>
      <c r="AG91" s="105"/>
      <c r="AH91" s="105"/>
      <c r="AI91" s="105"/>
      <c r="AJ91" s="105"/>
      <c r="AK91" s="105"/>
      <c r="AL91" s="105"/>
      <c r="AM91" s="105"/>
      <c r="AN91" s="105"/>
      <c r="AO91" s="105"/>
      <c r="AP91" s="105"/>
      <c r="AQ91" s="105"/>
    </row>
    <row r="92" spans="1:43">
      <c r="A92" s="236"/>
      <c r="B92" s="236"/>
      <c r="C92" s="236"/>
      <c r="D92" s="236"/>
      <c r="E92" s="236"/>
      <c r="F92" s="236"/>
      <c r="G92" s="236"/>
      <c r="H92" s="236"/>
      <c r="I92" s="236"/>
      <c r="J92" s="236"/>
      <c r="K92" s="236"/>
      <c r="L92" s="236"/>
      <c r="M92" s="236"/>
      <c r="N92" s="236"/>
      <c r="O92" s="236"/>
      <c r="P92" s="236"/>
      <c r="Q92" s="236"/>
      <c r="R92" s="236"/>
      <c r="S92" s="236"/>
      <c r="T92" s="236"/>
      <c r="U92" s="236"/>
      <c r="V92" s="236"/>
      <c r="W92" s="237"/>
      <c r="X92" s="236"/>
      <c r="Y92" s="236"/>
      <c r="Z92" s="236"/>
      <c r="AA92" s="236"/>
      <c r="AB92" s="236"/>
      <c r="AC92" s="105"/>
      <c r="AD92" s="105"/>
      <c r="AE92" s="105"/>
      <c r="AF92" s="105"/>
      <c r="AG92" s="105"/>
      <c r="AH92" s="105"/>
      <c r="AI92" s="105"/>
      <c r="AJ92" s="105"/>
      <c r="AK92" s="105"/>
      <c r="AL92" s="105"/>
      <c r="AM92" s="105"/>
      <c r="AN92" s="105"/>
      <c r="AO92" s="105"/>
      <c r="AP92" s="105"/>
      <c r="AQ92" s="105"/>
    </row>
    <row r="93" spans="1:43">
      <c r="A93" s="236"/>
      <c r="B93" s="236"/>
      <c r="C93" s="236"/>
      <c r="D93" s="236"/>
      <c r="E93" s="236"/>
      <c r="F93" s="236"/>
      <c r="G93" s="236"/>
      <c r="H93" s="236"/>
      <c r="I93" s="236"/>
      <c r="J93" s="236"/>
      <c r="K93" s="236"/>
      <c r="L93" s="236"/>
      <c r="M93" s="236"/>
      <c r="N93" s="236"/>
      <c r="O93" s="236"/>
      <c r="P93" s="236"/>
      <c r="Q93" s="236"/>
      <c r="R93" s="236"/>
      <c r="S93" s="236"/>
      <c r="T93" s="236"/>
      <c r="U93" s="236"/>
      <c r="V93" s="236"/>
      <c r="W93" s="237"/>
      <c r="X93" s="236"/>
      <c r="Y93" s="236"/>
      <c r="Z93" s="236"/>
      <c r="AA93" s="236"/>
      <c r="AB93" s="236"/>
      <c r="AC93" s="105"/>
      <c r="AD93" s="105"/>
      <c r="AE93" s="105"/>
      <c r="AF93" s="105"/>
      <c r="AG93" s="105"/>
      <c r="AH93" s="105"/>
      <c r="AI93" s="105"/>
      <c r="AJ93" s="105"/>
      <c r="AK93" s="105"/>
      <c r="AL93" s="105"/>
      <c r="AM93" s="105"/>
      <c r="AN93" s="105"/>
      <c r="AO93" s="105"/>
      <c r="AP93" s="105"/>
      <c r="AQ93" s="105"/>
    </row>
    <row r="94" spans="1:43">
      <c r="A94" s="236"/>
      <c r="B94" s="236"/>
      <c r="C94" s="236"/>
      <c r="D94" s="236"/>
      <c r="E94" s="236"/>
      <c r="F94" s="236"/>
      <c r="G94" s="236"/>
      <c r="H94" s="236"/>
      <c r="I94" s="236"/>
      <c r="J94" s="236"/>
      <c r="K94" s="236"/>
      <c r="L94" s="236"/>
      <c r="M94" s="236"/>
      <c r="N94" s="236"/>
      <c r="O94" s="236"/>
      <c r="P94" s="236"/>
      <c r="Q94" s="236"/>
      <c r="R94" s="236"/>
      <c r="S94" s="236"/>
      <c r="T94" s="236"/>
      <c r="U94" s="236"/>
      <c r="V94" s="236"/>
      <c r="W94" s="237"/>
      <c r="X94" s="236"/>
      <c r="Y94" s="236"/>
      <c r="Z94" s="236"/>
      <c r="AA94" s="236"/>
      <c r="AB94" s="236"/>
      <c r="AC94" s="105"/>
      <c r="AD94" s="105"/>
      <c r="AE94" s="105"/>
      <c r="AF94" s="105"/>
      <c r="AG94" s="105"/>
      <c r="AH94" s="105"/>
      <c r="AI94" s="105"/>
      <c r="AJ94" s="105"/>
      <c r="AK94" s="105"/>
      <c r="AL94" s="105"/>
      <c r="AM94" s="105"/>
      <c r="AN94" s="105"/>
      <c r="AO94" s="105"/>
      <c r="AP94" s="105"/>
      <c r="AQ94" s="105"/>
    </row>
    <row r="95" spans="1:43">
      <c r="A95" s="236"/>
      <c r="B95" s="236"/>
      <c r="C95" s="236"/>
      <c r="D95" s="236"/>
      <c r="E95" s="236"/>
      <c r="F95" s="236"/>
      <c r="G95" s="236"/>
      <c r="H95" s="236"/>
      <c r="I95" s="236"/>
      <c r="J95" s="236"/>
      <c r="K95" s="236"/>
      <c r="L95" s="236"/>
      <c r="M95" s="236"/>
      <c r="N95" s="236"/>
      <c r="O95" s="236"/>
      <c r="P95" s="236"/>
      <c r="Q95" s="236"/>
      <c r="R95" s="236"/>
      <c r="S95" s="236"/>
      <c r="T95" s="236"/>
      <c r="U95" s="236"/>
      <c r="V95" s="236"/>
      <c r="W95" s="237"/>
      <c r="X95" s="236"/>
      <c r="Y95" s="236"/>
      <c r="Z95" s="236"/>
      <c r="AA95" s="236"/>
      <c r="AB95" s="236"/>
      <c r="AC95" s="105"/>
      <c r="AD95" s="105"/>
      <c r="AE95" s="105"/>
      <c r="AF95" s="105"/>
      <c r="AG95" s="105"/>
      <c r="AH95" s="105"/>
      <c r="AI95" s="105"/>
      <c r="AJ95" s="105"/>
      <c r="AK95" s="105"/>
      <c r="AL95" s="105"/>
      <c r="AM95" s="105"/>
      <c r="AN95" s="105"/>
      <c r="AO95" s="105"/>
      <c r="AP95" s="105"/>
      <c r="AQ95" s="105"/>
    </row>
    <row r="96" spans="1:43">
      <c r="A96" s="236"/>
      <c r="B96" s="236"/>
      <c r="C96" s="236"/>
      <c r="D96" s="236"/>
      <c r="E96" s="236"/>
      <c r="F96" s="236"/>
      <c r="G96" s="236"/>
      <c r="H96" s="236"/>
      <c r="I96" s="236"/>
      <c r="J96" s="236"/>
      <c r="K96" s="236"/>
      <c r="L96" s="236"/>
      <c r="M96" s="236"/>
      <c r="N96" s="236"/>
      <c r="O96" s="236"/>
      <c r="P96" s="236"/>
      <c r="Q96" s="236"/>
      <c r="R96" s="236"/>
      <c r="S96" s="236"/>
      <c r="T96" s="236"/>
      <c r="U96" s="236"/>
      <c r="V96" s="236"/>
      <c r="W96" s="237"/>
      <c r="X96" s="236"/>
      <c r="Y96" s="236"/>
      <c r="Z96" s="236"/>
      <c r="AA96" s="236"/>
      <c r="AB96" s="236"/>
      <c r="AC96" s="105"/>
      <c r="AD96" s="105"/>
      <c r="AE96" s="105"/>
      <c r="AF96" s="105"/>
      <c r="AG96" s="105"/>
      <c r="AH96" s="105"/>
      <c r="AI96" s="105"/>
      <c r="AJ96" s="105"/>
      <c r="AK96" s="105"/>
      <c r="AL96" s="105"/>
      <c r="AM96" s="105"/>
      <c r="AN96" s="105"/>
      <c r="AO96" s="105"/>
      <c r="AP96" s="105"/>
      <c r="AQ96" s="105"/>
    </row>
    <row r="97" spans="1:43">
      <c r="A97" s="236"/>
      <c r="B97" s="236"/>
      <c r="C97" s="236"/>
      <c r="D97" s="236"/>
      <c r="E97" s="236"/>
      <c r="F97" s="236"/>
      <c r="G97" s="236"/>
      <c r="H97" s="236"/>
      <c r="I97" s="236"/>
      <c r="J97" s="236"/>
      <c r="K97" s="236"/>
      <c r="L97" s="236"/>
      <c r="M97" s="236"/>
      <c r="N97" s="236"/>
      <c r="O97" s="236"/>
      <c r="P97" s="236"/>
      <c r="Q97" s="236"/>
      <c r="R97" s="236"/>
      <c r="S97" s="236"/>
      <c r="T97" s="236"/>
      <c r="U97" s="236"/>
      <c r="V97" s="236"/>
      <c r="W97" s="237"/>
      <c r="X97" s="236"/>
      <c r="Y97" s="236"/>
      <c r="Z97" s="236"/>
      <c r="AA97" s="236"/>
      <c r="AB97" s="236"/>
      <c r="AC97" s="105"/>
      <c r="AD97" s="105"/>
      <c r="AE97" s="105"/>
      <c r="AF97" s="105"/>
      <c r="AG97" s="105"/>
      <c r="AH97" s="105"/>
      <c r="AI97" s="105"/>
      <c r="AJ97" s="105"/>
      <c r="AK97" s="105"/>
      <c r="AL97" s="105"/>
      <c r="AM97" s="105"/>
      <c r="AN97" s="105"/>
      <c r="AO97" s="105"/>
      <c r="AP97" s="105"/>
      <c r="AQ97" s="105"/>
    </row>
    <row r="98" spans="1:43">
      <c r="A98" s="236"/>
      <c r="B98" s="236"/>
      <c r="C98" s="236"/>
      <c r="D98" s="236"/>
      <c r="E98" s="236"/>
      <c r="F98" s="236"/>
      <c r="G98" s="236"/>
      <c r="H98" s="236"/>
      <c r="I98" s="236"/>
      <c r="J98" s="236"/>
      <c r="K98" s="236"/>
      <c r="L98" s="236"/>
      <c r="M98" s="236"/>
      <c r="N98" s="236"/>
      <c r="O98" s="236"/>
      <c r="P98" s="236"/>
      <c r="Q98" s="236"/>
      <c r="R98" s="236"/>
      <c r="S98" s="236"/>
      <c r="T98" s="236"/>
      <c r="U98" s="236"/>
      <c r="V98" s="236"/>
      <c r="W98" s="237"/>
      <c r="X98" s="236"/>
      <c r="Y98" s="236"/>
      <c r="Z98" s="236"/>
      <c r="AA98" s="236"/>
      <c r="AB98" s="236"/>
      <c r="AC98" s="105"/>
      <c r="AD98" s="105"/>
      <c r="AE98" s="105"/>
      <c r="AF98" s="105"/>
      <c r="AG98" s="105"/>
      <c r="AH98" s="105"/>
      <c r="AI98" s="105"/>
      <c r="AJ98" s="105"/>
      <c r="AK98" s="105"/>
      <c r="AL98" s="105"/>
      <c r="AM98" s="105"/>
      <c r="AN98" s="105"/>
      <c r="AO98" s="105"/>
      <c r="AP98" s="105"/>
      <c r="AQ98" s="105"/>
    </row>
    <row r="99" spans="1:43">
      <c r="A99" s="236"/>
      <c r="B99" s="236"/>
      <c r="C99" s="236"/>
      <c r="D99" s="236"/>
      <c r="E99" s="236"/>
      <c r="F99" s="236"/>
      <c r="G99" s="236"/>
      <c r="H99" s="236"/>
      <c r="I99" s="236"/>
      <c r="J99" s="236"/>
      <c r="K99" s="236"/>
      <c r="L99" s="236"/>
      <c r="M99" s="236"/>
      <c r="N99" s="236"/>
      <c r="O99" s="236"/>
      <c r="P99" s="236"/>
      <c r="Q99" s="236"/>
      <c r="R99" s="236"/>
      <c r="S99" s="236"/>
      <c r="T99" s="236"/>
      <c r="U99" s="236"/>
      <c r="V99" s="236"/>
      <c r="W99" s="237"/>
      <c r="X99" s="236"/>
      <c r="Y99" s="236"/>
      <c r="Z99" s="236"/>
      <c r="AA99" s="236"/>
      <c r="AB99" s="236"/>
      <c r="AC99" s="105"/>
      <c r="AD99" s="105"/>
      <c r="AE99" s="105"/>
      <c r="AF99" s="105"/>
      <c r="AG99" s="105"/>
      <c r="AH99" s="105"/>
      <c r="AI99" s="105"/>
      <c r="AJ99" s="105"/>
      <c r="AK99" s="105"/>
      <c r="AL99" s="105"/>
      <c r="AM99" s="105"/>
      <c r="AN99" s="105"/>
      <c r="AO99" s="105"/>
      <c r="AP99" s="105"/>
      <c r="AQ99" s="105"/>
    </row>
    <row r="100" spans="1:43">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7"/>
      <c r="X100" s="236"/>
      <c r="Y100" s="236"/>
      <c r="Z100" s="236"/>
      <c r="AA100" s="236"/>
      <c r="AB100" s="236"/>
      <c r="AC100" s="105"/>
      <c r="AD100" s="105"/>
      <c r="AE100" s="105"/>
      <c r="AF100" s="105"/>
      <c r="AG100" s="105"/>
      <c r="AH100" s="105"/>
      <c r="AI100" s="105"/>
      <c r="AJ100" s="105"/>
      <c r="AK100" s="105"/>
      <c r="AL100" s="105"/>
      <c r="AM100" s="105"/>
      <c r="AN100" s="105"/>
      <c r="AO100" s="105"/>
      <c r="AP100" s="105"/>
      <c r="AQ100" s="105"/>
    </row>
    <row r="101" spans="1:43">
      <c r="A101" s="236"/>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7"/>
      <c r="X101" s="236"/>
      <c r="Y101" s="236"/>
      <c r="Z101" s="236"/>
      <c r="AA101" s="236"/>
      <c r="AB101" s="236"/>
      <c r="AC101" s="105"/>
      <c r="AD101" s="105"/>
      <c r="AE101" s="105"/>
      <c r="AF101" s="105"/>
      <c r="AG101" s="105"/>
      <c r="AH101" s="105"/>
      <c r="AI101" s="105"/>
      <c r="AJ101" s="105"/>
      <c r="AK101" s="105"/>
      <c r="AL101" s="105"/>
      <c r="AM101" s="105"/>
      <c r="AN101" s="105"/>
      <c r="AO101" s="105"/>
      <c r="AP101" s="105"/>
      <c r="AQ101" s="105"/>
    </row>
    <row r="102" spans="1:43">
      <c r="A102" s="236"/>
      <c r="B102" s="236"/>
      <c r="C102" s="236"/>
      <c r="D102" s="236"/>
      <c r="E102" s="236"/>
      <c r="F102" s="236"/>
      <c r="G102" s="236"/>
      <c r="H102" s="236"/>
      <c r="I102" s="236"/>
      <c r="J102" s="236"/>
      <c r="K102" s="236"/>
      <c r="L102" s="236"/>
      <c r="M102" s="236"/>
      <c r="N102" s="236"/>
      <c r="O102" s="236"/>
      <c r="Q102" s="236"/>
      <c r="R102" s="236"/>
      <c r="S102" s="236"/>
      <c r="T102" s="236"/>
      <c r="U102" s="236"/>
      <c r="V102" s="236"/>
      <c r="W102" s="237"/>
      <c r="X102" s="236"/>
      <c r="Y102" s="236"/>
      <c r="Z102" s="236"/>
      <c r="AA102" s="236"/>
      <c r="AB102" s="236"/>
      <c r="AC102" s="105"/>
      <c r="AD102" s="105"/>
      <c r="AE102" s="105"/>
      <c r="AF102" s="105"/>
      <c r="AG102" s="105"/>
      <c r="AH102" s="105"/>
      <c r="AI102" s="105"/>
      <c r="AJ102" s="105"/>
      <c r="AK102" s="105"/>
      <c r="AL102" s="105"/>
      <c r="AM102" s="105"/>
      <c r="AN102" s="105"/>
      <c r="AO102" s="105"/>
      <c r="AP102" s="105"/>
      <c r="AQ102" s="105"/>
    </row>
    <row r="103" spans="1:43">
      <c r="A103" s="236"/>
      <c r="B103" s="236"/>
      <c r="C103" s="236"/>
      <c r="D103" s="236"/>
      <c r="E103" s="236"/>
      <c r="F103" s="236"/>
      <c r="G103" s="236"/>
      <c r="H103" s="236"/>
      <c r="I103" s="236"/>
      <c r="J103" s="236"/>
      <c r="K103" s="236"/>
      <c r="L103" s="236"/>
      <c r="M103" s="236"/>
      <c r="N103" s="236"/>
      <c r="O103" s="236"/>
      <c r="Q103" s="236"/>
      <c r="R103" s="236"/>
      <c r="S103" s="236"/>
      <c r="T103" s="236"/>
      <c r="U103" s="236"/>
      <c r="V103" s="236"/>
      <c r="W103" s="237"/>
      <c r="X103" s="236"/>
      <c r="Y103" s="236"/>
      <c r="Z103" s="236"/>
      <c r="AA103" s="236"/>
      <c r="AB103" s="236"/>
      <c r="AC103" s="105"/>
      <c r="AD103" s="105"/>
      <c r="AE103" s="105"/>
      <c r="AF103" s="105"/>
      <c r="AG103" s="105"/>
      <c r="AH103" s="105"/>
      <c r="AI103" s="105"/>
      <c r="AJ103" s="105"/>
      <c r="AK103" s="105"/>
      <c r="AL103" s="105"/>
      <c r="AM103" s="105"/>
      <c r="AN103" s="105"/>
      <c r="AO103" s="105"/>
      <c r="AP103" s="105"/>
      <c r="AQ103" s="105"/>
    </row>
  </sheetData>
  <sheetProtection algorithmName="SHA-512" hashValue="MDU5vS0D1ZyNhGhwJdx6aiSIjrL+cXLA/33VRp0LvKmbD2tPGGfc0xcYUjSHBoo8HWzSaF7vGEsiO6cT90Y0Xw==" saltValue="wJlXwLGw3JBRpWQXbqIJ0Q==" spinCount="100000" sheet="1" objects="1" scenarios="1" selectLockedCells="1" selectUnlockedCells="1"/>
  <mergeCells count="56">
    <mergeCell ref="A14:G15"/>
    <mergeCell ref="H14:O14"/>
    <mergeCell ref="A1:P4"/>
    <mergeCell ref="A5:E5"/>
    <mergeCell ref="AA5:AI5"/>
    <mergeCell ref="A6:E6"/>
    <mergeCell ref="AA6:AI6"/>
    <mergeCell ref="A7:E7"/>
    <mergeCell ref="AA7:AI7"/>
    <mergeCell ref="A8:E8"/>
    <mergeCell ref="AA10:AC10"/>
    <mergeCell ref="AD10:AF10"/>
    <mergeCell ref="AG10:AI10"/>
    <mergeCell ref="A11:O12"/>
    <mergeCell ref="A24:E24"/>
    <mergeCell ref="F24:G24"/>
    <mergeCell ref="A16:E16"/>
    <mergeCell ref="F16:G16"/>
    <mergeCell ref="F17:G17"/>
    <mergeCell ref="A18:E18"/>
    <mergeCell ref="F18:G18"/>
    <mergeCell ref="A19:E19"/>
    <mergeCell ref="F19:G19"/>
    <mergeCell ref="A20:E20"/>
    <mergeCell ref="F20:G20"/>
    <mergeCell ref="A22:G22"/>
    <mergeCell ref="R22:Y22"/>
    <mergeCell ref="A23:E23"/>
    <mergeCell ref="A35:J35"/>
    <mergeCell ref="A26:E26"/>
    <mergeCell ref="F26:G26"/>
    <mergeCell ref="R26:Y26"/>
    <mergeCell ref="F27:G27"/>
    <mergeCell ref="R27:Y27"/>
    <mergeCell ref="A28:E28"/>
    <mergeCell ref="F28:G28"/>
    <mergeCell ref="R28:Y30"/>
    <mergeCell ref="A29:E29"/>
    <mergeCell ref="F29:G29"/>
    <mergeCell ref="A30:E30"/>
    <mergeCell ref="F30:G30"/>
    <mergeCell ref="A31:E31"/>
    <mergeCell ref="Q38:R38"/>
    <mergeCell ref="U38:V38"/>
    <mergeCell ref="W38:X38"/>
    <mergeCell ref="B40:O40"/>
    <mergeCell ref="F31:G31"/>
    <mergeCell ref="C34:G34"/>
    <mergeCell ref="Q35:R35"/>
    <mergeCell ref="U35:V35"/>
    <mergeCell ref="W35:X35"/>
    <mergeCell ref="B41:O41"/>
    <mergeCell ref="B42:O42"/>
    <mergeCell ref="B43:O43"/>
    <mergeCell ref="B44:O44"/>
    <mergeCell ref="N37:O37"/>
  </mergeCells>
  <conditionalFormatting sqref="Q33:Q43 U33:V43 N37:N39">
    <cfRule type="expression" dxfId="250" priority="1" stopIfTrue="1">
      <formula>N33=0</formula>
    </cfRule>
  </conditionalFormatting>
  <pageMargins left="0.74803149606299213" right="0.19685039370078741" top="0.39370078740157483" bottom="0.39370078740157483" header="0.19685039370078741" footer="0.19685039370078741"/>
  <pageSetup paperSize="9" scale="90"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25F45-D1FB-4F5D-BD39-4FFEEEB37564}">
  <sheetPr>
    <tabColor theme="3"/>
    <pageSetUpPr fitToPage="1"/>
  </sheetPr>
  <dimension ref="A1:CL102"/>
  <sheetViews>
    <sheetView showGridLines="0" view="pageBreakPreview" zoomScaleNormal="100" zoomScaleSheetLayoutView="100" workbookViewId="0">
      <selection sqref="A1:AG4"/>
    </sheetView>
  </sheetViews>
  <sheetFormatPr defaultColWidth="9.28515625" defaultRowHeight="15"/>
  <cols>
    <col min="1" max="13" width="3.7109375" style="290" customWidth="1"/>
    <col min="14" max="14" width="4.7109375" style="290" customWidth="1"/>
    <col min="15" max="15" width="6.42578125" style="290" customWidth="1"/>
    <col min="16" max="19" width="3.7109375" style="290" customWidth="1"/>
    <col min="20" max="20" width="9" style="290" bestFit="1" customWidth="1"/>
    <col min="21" max="21" width="3.7109375" style="290" customWidth="1"/>
    <col min="22" max="22" width="5.28515625" style="290" customWidth="1"/>
    <col min="23" max="33" width="3.7109375" style="290" customWidth="1"/>
    <col min="34" max="34" width="9.28515625" style="247"/>
    <col min="35" max="46" width="8.7109375" style="247" customWidth="1"/>
    <col min="47" max="53" width="9.28515625" style="247"/>
    <col min="54" max="55" width="9.28515625" style="285"/>
    <col min="56" max="16384" width="9.28515625" style="247"/>
  </cols>
  <sheetData>
    <row r="1" spans="1:90"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8"/>
      <c r="AH1" s="238"/>
      <c r="AI1" s="238"/>
      <c r="AJ1" s="238"/>
      <c r="AK1" s="238"/>
      <c r="AL1" s="238"/>
      <c r="AM1" s="238"/>
      <c r="AN1" s="238"/>
      <c r="AO1" s="238"/>
      <c r="AP1" s="238"/>
      <c r="AQ1" s="238"/>
      <c r="AR1" s="238"/>
      <c r="AS1" s="238"/>
      <c r="AT1" s="238"/>
      <c r="AU1" s="238"/>
      <c r="AV1" s="238"/>
      <c r="AW1" s="238"/>
      <c r="AX1" s="238"/>
      <c r="AY1" s="238"/>
      <c r="AZ1" s="238"/>
      <c r="BA1" s="238"/>
      <c r="BB1" s="239"/>
      <c r="BC1" s="239"/>
      <c r="BD1" s="238"/>
      <c r="BE1" s="238"/>
      <c r="BF1" s="238"/>
      <c r="BG1" s="238"/>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row>
    <row r="2" spans="1:90"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1"/>
      <c r="AH2" s="238"/>
      <c r="AI2" s="238"/>
      <c r="AJ2" s="238"/>
      <c r="AK2" s="238"/>
      <c r="AL2" s="238"/>
      <c r="AM2" s="238"/>
      <c r="AN2" s="238"/>
      <c r="AO2" s="238"/>
      <c r="AP2" s="238"/>
      <c r="AQ2" s="238"/>
      <c r="AR2" s="238"/>
      <c r="AS2" s="238"/>
      <c r="AT2" s="238"/>
      <c r="AU2" s="238"/>
      <c r="AV2" s="238"/>
      <c r="AW2" s="238"/>
      <c r="AX2" s="238"/>
      <c r="AY2" s="238"/>
      <c r="AZ2" s="238"/>
      <c r="BA2" s="238"/>
      <c r="BB2" s="239"/>
      <c r="BC2" s="239"/>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row>
    <row r="3" spans="1:90"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1"/>
      <c r="AH3" s="238"/>
      <c r="AI3" s="238"/>
      <c r="AJ3" s="238"/>
      <c r="AK3" s="238"/>
      <c r="AL3" s="238"/>
      <c r="AM3" s="238"/>
      <c r="AN3" s="238"/>
      <c r="AO3" s="238"/>
      <c r="AP3" s="238"/>
      <c r="AQ3" s="238"/>
      <c r="AR3" s="238"/>
      <c r="AS3" s="238"/>
      <c r="AT3" s="238"/>
      <c r="AU3" s="238"/>
      <c r="AV3" s="238"/>
      <c r="AW3" s="238"/>
      <c r="AX3" s="238"/>
      <c r="AY3" s="238"/>
      <c r="AZ3" s="238"/>
      <c r="BA3" s="238"/>
      <c r="BB3" s="239"/>
      <c r="BC3" s="239"/>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row>
    <row r="4" spans="1:90"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4"/>
      <c r="AH4" s="238"/>
      <c r="AI4" s="241"/>
      <c r="AJ4" s="241"/>
      <c r="AK4" s="241"/>
      <c r="AL4" s="242" t="s">
        <v>576</v>
      </c>
      <c r="AM4" s="242" t="s">
        <v>577</v>
      </c>
      <c r="AN4" s="242" t="s">
        <v>578</v>
      </c>
      <c r="AO4" s="241"/>
      <c r="AP4" s="241"/>
      <c r="AQ4" s="241"/>
      <c r="AR4" s="241"/>
      <c r="AS4" s="241"/>
      <c r="AT4" s="238"/>
      <c r="AU4" s="238"/>
      <c r="AV4" s="238"/>
      <c r="AW4" s="238"/>
      <c r="AX4" s="238"/>
      <c r="AY4" s="238"/>
      <c r="AZ4" s="238"/>
      <c r="BA4" s="238"/>
      <c r="BB4" s="239"/>
      <c r="BC4" s="239"/>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row>
    <row r="5" spans="1:90" ht="15" customHeight="1">
      <c r="A5" s="875" t="s">
        <v>22</v>
      </c>
      <c r="B5" s="876"/>
      <c r="C5" s="876"/>
      <c r="D5" s="876"/>
      <c r="E5" s="876"/>
      <c r="F5" s="876"/>
      <c r="G5" s="876"/>
      <c r="H5" s="27" t="str">
        <f>'Emiss. Ops'!$C$2</f>
        <v>OMVP</v>
      </c>
      <c r="I5" s="27"/>
      <c r="J5" s="27"/>
      <c r="K5" s="27"/>
      <c r="L5" s="27"/>
      <c r="M5" s="27"/>
      <c r="N5" s="27"/>
      <c r="O5" s="27"/>
      <c r="P5" s="27"/>
      <c r="Q5" s="27"/>
      <c r="R5" s="27"/>
      <c r="S5" s="27"/>
      <c r="T5" s="27"/>
      <c r="U5" s="876" t="s">
        <v>23</v>
      </c>
      <c r="V5" s="876"/>
      <c r="W5" s="876"/>
      <c r="X5" s="876"/>
      <c r="Y5" s="877" t="str">
        <f>Effluents!$K$2</f>
        <v>PRJ-001030</v>
      </c>
      <c r="Z5" s="877"/>
      <c r="AA5" s="877"/>
      <c r="AB5" s="877"/>
      <c r="AC5" s="877"/>
      <c r="AD5" s="877"/>
      <c r="AE5" s="877"/>
      <c r="AF5" s="877"/>
      <c r="AG5" s="878"/>
      <c r="AH5" s="243"/>
      <c r="AI5" s="244"/>
      <c r="AJ5" s="244"/>
      <c r="AK5" s="244"/>
      <c r="AL5" s="245" t="s">
        <v>386</v>
      </c>
      <c r="AM5" s="245" t="s">
        <v>729</v>
      </c>
      <c r="AN5" s="242">
        <v>1020</v>
      </c>
      <c r="AO5" s="244"/>
      <c r="AP5" s="244"/>
      <c r="AQ5" s="244"/>
      <c r="AR5" s="244"/>
      <c r="AS5" s="244"/>
      <c r="AT5" s="238"/>
      <c r="AU5" s="238"/>
      <c r="AV5" s="238"/>
      <c r="AW5" s="243"/>
      <c r="AX5" s="243"/>
      <c r="AY5" s="243"/>
      <c r="AZ5" s="243"/>
      <c r="BA5" s="243"/>
      <c r="BB5" s="246"/>
      <c r="BC5" s="246"/>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row>
    <row r="6" spans="1:90" ht="15" customHeight="1">
      <c r="A6" s="862" t="s">
        <v>24</v>
      </c>
      <c r="B6" s="863"/>
      <c r="C6" s="863"/>
      <c r="D6" s="863"/>
      <c r="E6" s="863"/>
      <c r="F6" s="863"/>
      <c r="G6" s="863"/>
      <c r="H6" s="30" t="str">
        <f>'Emiss. Ops'!$C$3</f>
        <v>OMV Neptun BAT Study &amp; ESIA</v>
      </c>
      <c r="I6" s="30"/>
      <c r="J6" s="30"/>
      <c r="K6" s="30"/>
      <c r="L6" s="30"/>
      <c r="M6" s="30"/>
      <c r="N6" s="30"/>
      <c r="O6" s="30"/>
      <c r="P6" s="30"/>
      <c r="Q6" s="30"/>
      <c r="R6" s="30"/>
      <c r="S6" s="30"/>
      <c r="T6" s="30"/>
      <c r="U6" s="863" t="s">
        <v>25</v>
      </c>
      <c r="V6" s="863"/>
      <c r="W6" s="863"/>
      <c r="X6" s="863"/>
      <c r="Y6" s="860"/>
      <c r="Z6" s="860"/>
      <c r="AA6" s="860"/>
      <c r="AB6" s="860"/>
      <c r="AC6" s="860"/>
      <c r="AD6" s="860"/>
      <c r="AE6" s="860"/>
      <c r="AF6" s="860"/>
      <c r="AG6" s="861"/>
      <c r="AH6" s="243"/>
      <c r="AI6" s="244"/>
      <c r="AJ6" s="244"/>
      <c r="AK6" s="242"/>
      <c r="AL6" s="245" t="s">
        <v>406</v>
      </c>
      <c r="AM6" s="245" t="s">
        <v>339</v>
      </c>
      <c r="AN6" s="245">
        <v>0.45400000000000001</v>
      </c>
      <c r="AO6" s="242"/>
      <c r="AP6" s="244"/>
      <c r="AQ6" s="244"/>
      <c r="AR6" s="244"/>
      <c r="AS6" s="244"/>
      <c r="AT6" s="238"/>
      <c r="AU6" s="238"/>
      <c r="AV6" s="238"/>
      <c r="AW6" s="243"/>
      <c r="AX6" s="243"/>
      <c r="AY6" s="243"/>
      <c r="AZ6" s="243"/>
      <c r="BA6" s="243"/>
      <c r="BB6" s="246"/>
      <c r="BC6" s="246"/>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row>
    <row r="7" spans="1:90" ht="15" customHeight="1">
      <c r="A7" s="862" t="s">
        <v>26</v>
      </c>
      <c r="B7" s="863"/>
      <c r="C7" s="863"/>
      <c r="D7" s="863"/>
      <c r="E7" s="863"/>
      <c r="F7" s="863"/>
      <c r="G7" s="863"/>
      <c r="H7" s="30" t="str">
        <f>'Emiss. Ops'!$C$4</f>
        <v>Emissions Inventory</v>
      </c>
      <c r="I7" s="30"/>
      <c r="J7" s="30"/>
      <c r="K7" s="30"/>
      <c r="L7" s="30"/>
      <c r="M7" s="30"/>
      <c r="N7" s="30"/>
      <c r="O7" s="30"/>
      <c r="P7" s="30"/>
      <c r="Q7" s="30"/>
      <c r="R7" s="30"/>
      <c r="S7" s="30"/>
      <c r="T7" s="30"/>
      <c r="U7" s="863" t="s">
        <v>27</v>
      </c>
      <c r="V7" s="863"/>
      <c r="W7" s="863"/>
      <c r="X7" s="863"/>
      <c r="Y7" s="30" t="str">
        <f>'Emiss. Ops'!$I$4</f>
        <v>Normal Operations</v>
      </c>
      <c r="Z7" s="31"/>
      <c r="AA7" s="31"/>
      <c r="AB7" s="31"/>
      <c r="AC7" s="31"/>
      <c r="AD7" s="31"/>
      <c r="AE7" s="31"/>
      <c r="AF7" s="31"/>
      <c r="AG7" s="32"/>
      <c r="AH7" s="243"/>
      <c r="AI7" s="244"/>
      <c r="AJ7" s="244"/>
      <c r="AK7" s="242"/>
      <c r="AL7" s="245" t="s">
        <v>407</v>
      </c>
      <c r="AM7" s="245" t="s">
        <v>730</v>
      </c>
      <c r="AN7" s="248">
        <f>0.305^3</f>
        <v>2.8372624999999999E-2</v>
      </c>
      <c r="AO7" s="242"/>
      <c r="AP7" s="244"/>
      <c r="AQ7" s="244"/>
      <c r="AR7" s="244"/>
      <c r="AS7" s="244"/>
      <c r="AT7" s="238"/>
      <c r="AU7" s="238"/>
      <c r="AV7" s="238"/>
      <c r="AW7" s="243"/>
      <c r="AX7" s="243"/>
      <c r="AY7" s="243"/>
      <c r="AZ7" s="243"/>
      <c r="BA7" s="243"/>
      <c r="BB7" s="246"/>
      <c r="BC7" s="246"/>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row>
    <row r="8" spans="1:90"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9"/>
      <c r="AH8" s="243"/>
      <c r="AI8" s="244"/>
      <c r="AJ8" s="244"/>
      <c r="AK8" s="242"/>
      <c r="AL8" s="245" t="s">
        <v>729</v>
      </c>
      <c r="AM8" s="245" t="s">
        <v>731</v>
      </c>
      <c r="AN8" s="249" t="e">
        <f>AN6/AN7 * ((#REF!+273.15)/(#REF!+273.15))</f>
        <v>#REF!</v>
      </c>
      <c r="AO8" s="242"/>
      <c r="AP8" s="244"/>
      <c r="AQ8" s="244"/>
      <c r="AR8" s="244"/>
      <c r="AS8" s="244"/>
      <c r="AT8" s="238"/>
      <c r="AU8" s="238"/>
      <c r="AV8" s="238"/>
      <c r="AW8" s="243"/>
      <c r="AX8" s="243"/>
      <c r="AY8" s="243"/>
      <c r="AZ8" s="243"/>
      <c r="BA8" s="243"/>
      <c r="BB8" s="246"/>
      <c r="BC8" s="246"/>
      <c r="BD8" s="243"/>
      <c r="BE8" s="243"/>
      <c r="BF8" s="243"/>
      <c r="BG8" s="243"/>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row>
    <row r="9" spans="1:90"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9"/>
      <c r="AH9" s="243"/>
      <c r="AI9" s="244"/>
      <c r="AJ9" s="244"/>
      <c r="AK9" s="242"/>
      <c r="AL9" s="242" t="s">
        <v>409</v>
      </c>
      <c r="AM9" s="242" t="s">
        <v>410</v>
      </c>
      <c r="AN9" s="242">
        <v>947</v>
      </c>
      <c r="AO9" s="242"/>
      <c r="AP9" s="244"/>
      <c r="AQ9" s="244"/>
      <c r="AR9" s="244"/>
      <c r="AS9" s="244"/>
      <c r="AT9" s="238"/>
      <c r="AU9" s="238"/>
      <c r="AV9" s="238"/>
      <c r="AW9" s="243"/>
      <c r="AX9" s="243"/>
      <c r="AY9" s="243"/>
      <c r="AZ9" s="243"/>
      <c r="BA9" s="243"/>
      <c r="BB9" s="246"/>
      <c r="BC9" s="246"/>
      <c r="BD9" s="243"/>
      <c r="BE9" s="243"/>
      <c r="BF9" s="243"/>
      <c r="BG9" s="243"/>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row>
    <row r="10" spans="1:90"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859" t="s">
        <v>28</v>
      </c>
      <c r="V10" s="859"/>
      <c r="W10" s="859"/>
      <c r="X10" s="859"/>
      <c r="Y10" s="1284"/>
      <c r="Z10" s="1284"/>
      <c r="AA10" s="1284"/>
      <c r="AB10" s="1285"/>
      <c r="AC10" s="1285"/>
      <c r="AD10" s="1285"/>
      <c r="AE10" s="1286"/>
      <c r="AF10" s="1286"/>
      <c r="AG10" s="1287"/>
      <c r="AH10" s="238"/>
      <c r="AI10" s="241"/>
      <c r="AJ10" s="241"/>
      <c r="AK10" s="245"/>
      <c r="AL10" s="245" t="s">
        <v>710</v>
      </c>
      <c r="AM10" s="245" t="s">
        <v>709</v>
      </c>
      <c r="AN10" s="245">
        <v>1E-3</v>
      </c>
      <c r="AO10" s="245"/>
      <c r="AP10" s="241"/>
      <c r="AQ10" s="241"/>
      <c r="AR10" s="241"/>
      <c r="AS10" s="241"/>
      <c r="AT10" s="238"/>
      <c r="AU10" s="238"/>
      <c r="AV10" s="238"/>
      <c r="AW10" s="238"/>
      <c r="AX10" s="238"/>
      <c r="AY10" s="238"/>
      <c r="AZ10" s="238"/>
      <c r="BA10" s="238"/>
      <c r="BB10" s="239"/>
      <c r="BC10" s="239"/>
      <c r="BD10" s="238"/>
      <c r="BE10" s="238"/>
      <c r="BF10" s="238"/>
      <c r="BG10" s="238"/>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row>
    <row r="11" spans="1:90" s="240" customFormat="1" ht="14.25" customHeight="1">
      <c r="A11" s="1271" t="s">
        <v>363</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3"/>
      <c r="AH11" s="238"/>
      <c r="AI11" s="241"/>
      <c r="AJ11" s="241"/>
      <c r="AK11" s="245"/>
      <c r="AL11" s="245" t="s">
        <v>732</v>
      </c>
      <c r="AM11" s="245" t="s">
        <v>409</v>
      </c>
      <c r="AN11" s="245">
        <f>1/(AN9/1000000)</f>
        <v>1055.9662090813094</v>
      </c>
      <c r="AO11" s="245"/>
      <c r="AP11" s="241"/>
      <c r="AQ11" s="241"/>
      <c r="AR11" s="241"/>
      <c r="AS11" s="241"/>
      <c r="AT11" s="238"/>
      <c r="AU11" s="238"/>
      <c r="AV11" s="238"/>
      <c r="AW11" s="238"/>
      <c r="AX11" s="238"/>
      <c r="AY11" s="238"/>
      <c r="AZ11" s="238"/>
      <c r="BA11" s="238"/>
      <c r="BB11" s="239"/>
      <c r="BC11" s="239"/>
      <c r="BD11" s="238"/>
      <c r="BE11" s="238"/>
      <c r="BF11" s="238"/>
      <c r="BG11" s="238"/>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row>
    <row r="12" spans="1:90" s="240" customFormat="1" ht="14.25" customHeight="1">
      <c r="A12" s="1274"/>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6"/>
      <c r="AH12" s="238"/>
      <c r="AI12" s="241"/>
      <c r="AJ12" s="241"/>
      <c r="AK12" s="245"/>
      <c r="AL12" s="245"/>
      <c r="AM12" s="245"/>
      <c r="AN12" s="245"/>
      <c r="AO12" s="245"/>
      <c r="AP12" s="241"/>
      <c r="AQ12" s="241"/>
      <c r="AR12" s="241"/>
      <c r="AS12" s="241"/>
      <c r="AT12" s="238"/>
      <c r="AU12" s="238"/>
      <c r="AV12" s="238"/>
      <c r="AW12" s="238"/>
      <c r="AX12" s="238"/>
      <c r="AY12" s="238"/>
      <c r="AZ12" s="238"/>
      <c r="BA12" s="238"/>
      <c r="BB12" s="239"/>
      <c r="BC12" s="239"/>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row>
    <row r="13" spans="1:90" s="240" customFormat="1" ht="14.25" customHeight="1">
      <c r="A13" s="250"/>
      <c r="B13" s="251"/>
      <c r="C13" s="251"/>
      <c r="D13" s="251"/>
      <c r="E13" s="251"/>
      <c r="F13" s="251"/>
      <c r="G13" s="251"/>
      <c r="H13" s="252"/>
      <c r="I13" s="251"/>
      <c r="J13" s="251"/>
      <c r="K13" s="251"/>
      <c r="L13" s="251"/>
      <c r="M13" s="251"/>
      <c r="N13" s="251"/>
      <c r="O13" s="251"/>
      <c r="P13" s="251"/>
      <c r="Q13" s="251"/>
      <c r="R13" s="860"/>
      <c r="S13" s="860"/>
      <c r="T13" s="1293"/>
      <c r="U13" s="1293"/>
      <c r="V13" s="1293"/>
      <c r="W13" s="860"/>
      <c r="X13" s="860"/>
      <c r="Y13" s="1293"/>
      <c r="Z13" s="1293"/>
      <c r="AA13" s="860"/>
      <c r="AB13" s="860"/>
      <c r="AC13" s="860"/>
      <c r="AD13" s="1293"/>
      <c r="AE13" s="1293"/>
      <c r="AF13" s="30"/>
      <c r="AG13" s="253"/>
      <c r="AH13" s="238"/>
      <c r="AI13" s="254" t="e">
        <f>#REF!*SUM(N20:O29)</f>
        <v>#REF!</v>
      </c>
      <c r="AJ13" s="241"/>
      <c r="AK13" s="241"/>
      <c r="AL13" s="241"/>
      <c r="AM13" s="241"/>
      <c r="AN13" s="241"/>
      <c r="AO13" s="241"/>
      <c r="AP13" s="241"/>
      <c r="AQ13" s="241"/>
      <c r="AR13" s="241"/>
      <c r="AS13" s="241"/>
      <c r="AT13" s="238"/>
      <c r="AU13" s="238"/>
      <c r="AV13" s="238"/>
      <c r="AW13" s="238"/>
      <c r="AX13" s="238"/>
      <c r="AY13" s="238"/>
      <c r="AZ13" s="238"/>
      <c r="BA13" s="238"/>
      <c r="BB13" s="239"/>
      <c r="BC13" s="239"/>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row>
    <row r="14" spans="1:90" s="240" customFormat="1" ht="14.25" customHeight="1">
      <c r="A14" s="1370" t="s">
        <v>718</v>
      </c>
      <c r="B14" s="1370"/>
      <c r="C14" s="1370"/>
      <c r="D14" s="1370"/>
      <c r="E14" s="1370"/>
      <c r="F14" s="1371" t="s">
        <v>789</v>
      </c>
      <c r="G14" s="1372"/>
      <c r="H14" s="1372"/>
      <c r="I14" s="1372"/>
      <c r="J14" s="1372"/>
      <c r="K14" s="1372"/>
      <c r="L14" s="1372"/>
      <c r="M14" s="1372"/>
      <c r="N14" s="1372"/>
      <c r="O14" s="1372"/>
      <c r="P14" s="1372"/>
      <c r="Q14" s="1372"/>
      <c r="R14" s="30"/>
      <c r="S14" s="1402" t="s">
        <v>790</v>
      </c>
      <c r="T14" s="1184"/>
      <c r="U14" s="1184"/>
      <c r="V14" s="1184"/>
      <c r="W14" s="1184"/>
      <c r="X14" s="1184"/>
      <c r="Y14" s="1184"/>
      <c r="Z14" s="1184"/>
      <c r="AA14" s="1184"/>
      <c r="AB14" s="1184"/>
      <c r="AC14" s="1184"/>
      <c r="AD14" s="1184"/>
      <c r="AE14" s="1184"/>
      <c r="AF14" s="1184"/>
      <c r="AG14" s="253"/>
      <c r="AH14" s="255"/>
      <c r="AI14" s="241"/>
      <c r="AJ14" s="241"/>
      <c r="AK14" s="241"/>
      <c r="AL14" s="241"/>
      <c r="AM14" s="241"/>
      <c r="AN14" s="241"/>
      <c r="AO14" s="241"/>
      <c r="AP14" s="241"/>
      <c r="AQ14" s="241"/>
      <c r="AR14" s="241"/>
      <c r="AS14" s="241"/>
      <c r="AT14" s="241"/>
      <c r="AU14" s="241"/>
      <c r="AV14" s="238"/>
      <c r="AW14" s="238"/>
      <c r="AX14" s="238"/>
      <c r="AY14" s="238"/>
      <c r="AZ14" s="238"/>
      <c r="BA14" s="238"/>
      <c r="BB14" s="239"/>
      <c r="BC14" s="239"/>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row>
    <row r="15" spans="1:90" s="240" customFormat="1" ht="14.25" customHeight="1">
      <c r="A15" s="256" t="s">
        <v>620</v>
      </c>
      <c r="B15" s="30"/>
      <c r="C15" s="30"/>
      <c r="D15" s="30"/>
      <c r="E15" s="30"/>
      <c r="F15" s="1529" t="s">
        <v>791</v>
      </c>
      <c r="G15" s="1530"/>
      <c r="H15" s="1530"/>
      <c r="I15" s="1531"/>
      <c r="J15" s="1529" t="s">
        <v>792</v>
      </c>
      <c r="K15" s="1530"/>
      <c r="L15" s="1530"/>
      <c r="M15" s="1531"/>
      <c r="N15" s="1535" t="s">
        <v>793</v>
      </c>
      <c r="O15" s="1536"/>
      <c r="P15" s="1537"/>
      <c r="Q15" s="1538"/>
      <c r="R15" s="257"/>
      <c r="S15" s="1184"/>
      <c r="T15" s="1184"/>
      <c r="U15" s="1184"/>
      <c r="V15" s="1184"/>
      <c r="W15" s="1184"/>
      <c r="X15" s="1184"/>
      <c r="Y15" s="1184"/>
      <c r="Z15" s="1184"/>
      <c r="AA15" s="1184"/>
      <c r="AB15" s="1184"/>
      <c r="AC15" s="1184"/>
      <c r="AD15" s="1184"/>
      <c r="AE15" s="1184"/>
      <c r="AF15" s="1184"/>
      <c r="AG15" s="253"/>
      <c r="AH15" s="255"/>
      <c r="AI15" s="241"/>
      <c r="AJ15" s="241"/>
      <c r="AK15" s="241"/>
      <c r="AL15" s="241"/>
      <c r="AM15" s="241"/>
      <c r="AN15" s="241"/>
      <c r="AO15" s="241"/>
      <c r="AP15" s="241"/>
      <c r="AQ15" s="241"/>
      <c r="AR15" s="241"/>
      <c r="AS15" s="241"/>
      <c r="AT15" s="241"/>
      <c r="AU15" s="241"/>
      <c r="AV15" s="238"/>
      <c r="AW15" s="238"/>
      <c r="AX15" s="238"/>
      <c r="AY15" s="238"/>
      <c r="AZ15" s="238"/>
      <c r="BA15" s="238"/>
      <c r="BB15" s="239"/>
      <c r="BC15" s="239"/>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row>
    <row r="16" spans="1:90" s="240" customFormat="1" ht="14.25" customHeight="1">
      <c r="A16" s="133"/>
      <c r="B16" s="30"/>
      <c r="C16" s="30"/>
      <c r="D16" s="30"/>
      <c r="E16" s="30"/>
      <c r="F16" s="1532"/>
      <c r="G16" s="1533"/>
      <c r="H16" s="1533"/>
      <c r="I16" s="1534"/>
      <c r="J16" s="1532"/>
      <c r="K16" s="1533"/>
      <c r="L16" s="1533"/>
      <c r="M16" s="1534"/>
      <c r="N16" s="1539"/>
      <c r="O16" s="1540"/>
      <c r="P16" s="1533"/>
      <c r="Q16" s="1534"/>
      <c r="R16" s="257"/>
      <c r="S16" s="1184"/>
      <c r="T16" s="1184"/>
      <c r="U16" s="1184"/>
      <c r="V16" s="1184"/>
      <c r="W16" s="1184"/>
      <c r="X16" s="1184"/>
      <c r="Y16" s="1184"/>
      <c r="Z16" s="1184"/>
      <c r="AA16" s="1184"/>
      <c r="AB16" s="1184"/>
      <c r="AC16" s="1184"/>
      <c r="AD16" s="1184"/>
      <c r="AE16" s="1184"/>
      <c r="AF16" s="1184"/>
      <c r="AG16" s="253"/>
      <c r="AH16" s="258"/>
      <c r="AI16" s="259" t="s">
        <v>740</v>
      </c>
      <c r="AJ16" s="259"/>
      <c r="AK16" s="259"/>
      <c r="AL16" s="259"/>
      <c r="AM16" s="259"/>
      <c r="AN16" s="259"/>
      <c r="AO16" s="259" t="s">
        <v>741</v>
      </c>
      <c r="AP16" s="259"/>
      <c r="AQ16" s="259" t="s">
        <v>742</v>
      </c>
      <c r="AR16" s="259"/>
      <c r="AS16" s="259"/>
      <c r="AT16" s="259"/>
      <c r="AU16" s="258"/>
      <c r="AV16" s="238"/>
      <c r="AW16" s="238"/>
      <c r="AX16" s="238"/>
      <c r="AY16" s="238"/>
      <c r="AZ16" s="238"/>
      <c r="BA16" s="238"/>
      <c r="BB16" s="239"/>
      <c r="BC16" s="239"/>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row>
    <row r="17" spans="1:90" s="240" customFormat="1" ht="14.25" customHeight="1">
      <c r="A17" s="1376" t="s">
        <v>630</v>
      </c>
      <c r="B17" s="1376"/>
      <c r="C17" s="1376"/>
      <c r="D17" s="1376"/>
      <c r="E17" s="1376"/>
      <c r="F17" s="1375" t="s">
        <v>794</v>
      </c>
      <c r="G17" s="1375"/>
      <c r="H17" s="1375" t="s">
        <v>590</v>
      </c>
      <c r="I17" s="1375"/>
      <c r="J17" s="1371" t="s">
        <v>795</v>
      </c>
      <c r="K17" s="1372"/>
      <c r="L17" s="1541"/>
      <c r="M17" s="1542"/>
      <c r="N17" s="1375" t="s">
        <v>617</v>
      </c>
      <c r="O17" s="1375"/>
      <c r="P17" s="1375" t="s">
        <v>332</v>
      </c>
      <c r="Q17" s="1375"/>
      <c r="R17" s="30"/>
      <c r="S17" s="1184"/>
      <c r="T17" s="1184"/>
      <c r="U17" s="1184"/>
      <c r="V17" s="1184"/>
      <c r="W17" s="1184"/>
      <c r="X17" s="1184"/>
      <c r="Y17" s="1184"/>
      <c r="Z17" s="1184"/>
      <c r="AA17" s="1184"/>
      <c r="AB17" s="1184"/>
      <c r="AC17" s="1184"/>
      <c r="AD17" s="1184"/>
      <c r="AE17" s="1184"/>
      <c r="AF17" s="1184"/>
      <c r="AG17" s="253"/>
      <c r="AH17" s="258"/>
      <c r="AI17" s="259" t="s">
        <v>633</v>
      </c>
      <c r="AJ17" s="259" t="s">
        <v>634</v>
      </c>
      <c r="AK17" s="259" t="s">
        <v>635</v>
      </c>
      <c r="AL17" s="259" t="s">
        <v>636</v>
      </c>
      <c r="AM17" s="259" t="s">
        <v>637</v>
      </c>
      <c r="AN17" s="259" t="s">
        <v>590</v>
      </c>
      <c r="AO17" s="259" t="s">
        <v>428</v>
      </c>
      <c r="AP17" s="259" t="s">
        <v>429</v>
      </c>
      <c r="AQ17" s="259" t="s">
        <v>126</v>
      </c>
      <c r="AR17" s="259" t="s">
        <v>431</v>
      </c>
      <c r="AS17" s="259" t="s">
        <v>429</v>
      </c>
      <c r="AT17" s="259" t="s">
        <v>124</v>
      </c>
      <c r="AU17" s="258"/>
      <c r="AV17" s="238"/>
      <c r="AW17" s="238"/>
      <c r="AX17" s="238"/>
      <c r="AY17" s="238"/>
      <c r="AZ17" s="238"/>
      <c r="BA17" s="238"/>
      <c r="BB17" s="239" t="s">
        <v>128</v>
      </c>
      <c r="BC17" s="239" t="s">
        <v>743</v>
      </c>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row>
    <row r="18" spans="1:90" s="240" customFormat="1" ht="14.25" customHeight="1">
      <c r="A18" s="260" t="s">
        <v>638</v>
      </c>
      <c r="B18" s="261"/>
      <c r="C18" s="261"/>
      <c r="D18" s="261"/>
      <c r="E18" s="262"/>
      <c r="F18" s="1377">
        <v>0</v>
      </c>
      <c r="G18" s="1378"/>
      <c r="H18" s="1379"/>
      <c r="I18" s="1381"/>
      <c r="J18" s="1380"/>
      <c r="K18" s="1380"/>
      <c r="L18" s="1379"/>
      <c r="M18" s="1380"/>
      <c r="N18" s="1379">
        <f>SUM(H18,J18,L18)*AN18</f>
        <v>0</v>
      </c>
      <c r="O18" s="1380"/>
      <c r="P18" s="1379"/>
      <c r="Q18" s="1381"/>
      <c r="R18" s="263"/>
      <c r="S18" s="1184"/>
      <c r="T18" s="1184"/>
      <c r="U18" s="1184"/>
      <c r="V18" s="1184"/>
      <c r="W18" s="1184"/>
      <c r="X18" s="1184"/>
      <c r="Y18" s="1184"/>
      <c r="Z18" s="1184"/>
      <c r="AA18" s="1184"/>
      <c r="AB18" s="1184"/>
      <c r="AC18" s="1184"/>
      <c r="AD18" s="1184"/>
      <c r="AE18" s="1184"/>
      <c r="AF18" s="1184"/>
      <c r="AG18" s="264"/>
      <c r="AH18" s="258"/>
      <c r="AI18" s="259"/>
      <c r="AJ18" s="259">
        <v>2</v>
      </c>
      <c r="AK18" s="259"/>
      <c r="AL18" s="259"/>
      <c r="AM18" s="259"/>
      <c r="AN18" s="265">
        <f>AI18*12.01+AJ18*1.008+AK18*16+AL18*14+AM18*32</f>
        <v>2.016</v>
      </c>
      <c r="AO18" s="259">
        <f>AI18*1+AJ18*0.25+AM18*1</f>
        <v>0.5</v>
      </c>
      <c r="AP18" s="266">
        <f>0.79/0.21*AO18</f>
        <v>1.8809523809523812</v>
      </c>
      <c r="AQ18" s="259">
        <f>1*AI18</f>
        <v>0</v>
      </c>
      <c r="AR18" s="259">
        <f>AJ18/2</f>
        <v>1</v>
      </c>
      <c r="AS18" s="266">
        <f>AL18*0.5+AP18</f>
        <v>1.8809523809523812</v>
      </c>
      <c r="AT18" s="259">
        <f>AM18*1</f>
        <v>0</v>
      </c>
      <c r="AU18" s="258"/>
      <c r="AV18" s="238"/>
      <c r="AW18" s="238"/>
      <c r="AX18" s="238"/>
      <c r="AY18" s="238"/>
      <c r="AZ18" s="238"/>
      <c r="BA18" s="239" t="s">
        <v>639</v>
      </c>
      <c r="BB18" s="239">
        <v>1.4200000000000001E-2</v>
      </c>
      <c r="BC18" s="239">
        <v>2.9999999999999997E-4</v>
      </c>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row>
    <row r="19" spans="1:90" s="240" customFormat="1" ht="14.25" customHeight="1">
      <c r="A19" s="267" t="s">
        <v>122</v>
      </c>
      <c r="B19" s="268"/>
      <c r="C19" s="268"/>
      <c r="D19" s="268"/>
      <c r="E19" s="269"/>
      <c r="F19" s="1377">
        <f>CO2eEF!P26</f>
        <v>0.99629999999999996</v>
      </c>
      <c r="G19" s="1378"/>
      <c r="H19" s="1546">
        <v>16.042999999999999</v>
      </c>
      <c r="I19" s="1549"/>
      <c r="J19" s="1550">
        <f>F19*H19</f>
        <v>15.983640899999999</v>
      </c>
      <c r="K19" s="1550"/>
      <c r="L19" s="1546">
        <f>J19/$J$39</f>
        <v>0.99103593622983144</v>
      </c>
      <c r="M19" s="1545"/>
      <c r="N19" s="1547">
        <f>L19*$V$20</f>
        <v>0.11297809673020079</v>
      </c>
      <c r="O19" s="1548"/>
      <c r="P19" s="1547">
        <f>N19*365.25*24/1000</f>
        <v>0.99036599593694019</v>
      </c>
      <c r="Q19" s="1548"/>
      <c r="R19" s="1382"/>
      <c r="S19" s="1384"/>
      <c r="T19" s="263"/>
      <c r="U19" s="263"/>
      <c r="V19" s="263"/>
      <c r="W19" s="263"/>
      <c r="X19" s="263"/>
      <c r="Y19" s="263"/>
      <c r="Z19" s="263"/>
      <c r="AA19" s="263"/>
      <c r="AB19" s="263"/>
      <c r="AC19" s="263"/>
      <c r="AD19" s="263"/>
      <c r="AE19" s="263"/>
      <c r="AF19" s="263"/>
      <c r="AG19" s="264"/>
      <c r="AH19" s="258"/>
      <c r="AI19" s="259">
        <v>1</v>
      </c>
      <c r="AJ19" s="259">
        <v>4</v>
      </c>
      <c r="AK19" s="259"/>
      <c r="AL19" s="259"/>
      <c r="AM19" s="259"/>
      <c r="AN19" s="265">
        <f t="shared" ref="AN19:AN34" si="0">AI19*12.01+AJ19*1.008+AK19*16+AL19*14+AM19*32</f>
        <v>16.042000000000002</v>
      </c>
      <c r="AO19" s="259">
        <f t="shared" ref="AO19:AO33" si="1">AI19*1+AJ19*0.25+AM19*1</f>
        <v>2</v>
      </c>
      <c r="AP19" s="266">
        <f t="shared" ref="AP19:AP33" si="2">0.79/0.21*AO19</f>
        <v>7.5238095238095246</v>
      </c>
      <c r="AQ19" s="259">
        <f t="shared" ref="AQ19:AQ33" si="3">1*AI19</f>
        <v>1</v>
      </c>
      <c r="AR19" s="259">
        <f t="shared" ref="AR19:AR33" si="4">AJ19/2</f>
        <v>2</v>
      </c>
      <c r="AS19" s="266">
        <f t="shared" ref="AS19:AS33" si="5">AL19*0.5+AP19</f>
        <v>7.5238095238095246</v>
      </c>
      <c r="AT19" s="259">
        <f t="shared" ref="AT19:AT33" si="6">AM19*1</f>
        <v>0</v>
      </c>
      <c r="AU19" s="258"/>
      <c r="AV19" s="238"/>
      <c r="AW19" s="238"/>
      <c r="AX19" s="238"/>
      <c r="AY19" s="238"/>
      <c r="AZ19" s="238"/>
      <c r="BA19" s="239" t="s">
        <v>126</v>
      </c>
      <c r="BB19" s="239">
        <v>9.5999999999999992E-3</v>
      </c>
      <c r="BC19" s="239">
        <v>0.77539999999999998</v>
      </c>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row>
    <row r="20" spans="1:90" s="240" customFormat="1" ht="14.25" customHeight="1">
      <c r="A20" s="267" t="s">
        <v>641</v>
      </c>
      <c r="B20" s="268"/>
      <c r="C20" s="268"/>
      <c r="D20" s="268"/>
      <c r="E20" s="269"/>
      <c r="F20" s="1377">
        <v>0</v>
      </c>
      <c r="G20" s="1378"/>
      <c r="H20" s="1299"/>
      <c r="I20" s="1301"/>
      <c r="J20" s="1300"/>
      <c r="K20" s="1300"/>
      <c r="L20" s="1299"/>
      <c r="M20" s="1300"/>
      <c r="N20" s="1299">
        <f>SUM(H20,J20,L20)*AN20</f>
        <v>0</v>
      </c>
      <c r="O20" s="1301"/>
      <c r="P20" s="1299"/>
      <c r="Q20" s="1301"/>
      <c r="R20" s="263"/>
      <c r="S20" s="263"/>
      <c r="T20" s="270"/>
      <c r="U20" s="31"/>
      <c r="V20" s="271">
        <v>0.114</v>
      </c>
      <c r="W20" s="263" t="s">
        <v>617</v>
      </c>
      <c r="X20" s="263"/>
      <c r="Y20" s="263"/>
      <c r="Z20" s="263"/>
      <c r="AA20" s="263"/>
      <c r="AB20" s="263"/>
      <c r="AC20" s="263"/>
      <c r="AD20" s="263"/>
      <c r="AE20" s="263"/>
      <c r="AF20" s="263"/>
      <c r="AG20" s="264"/>
      <c r="AH20" s="258"/>
      <c r="AI20" s="259">
        <v>2</v>
      </c>
      <c r="AJ20" s="259">
        <v>4</v>
      </c>
      <c r="AK20" s="259"/>
      <c r="AL20" s="259"/>
      <c r="AM20" s="259"/>
      <c r="AN20" s="265">
        <f t="shared" si="0"/>
        <v>28.052</v>
      </c>
      <c r="AO20" s="259">
        <f t="shared" si="1"/>
        <v>3</v>
      </c>
      <c r="AP20" s="266">
        <f t="shared" si="2"/>
        <v>11.285714285714286</v>
      </c>
      <c r="AQ20" s="259">
        <f t="shared" si="3"/>
        <v>2</v>
      </c>
      <c r="AR20" s="259">
        <f t="shared" si="4"/>
        <v>2</v>
      </c>
      <c r="AS20" s="266">
        <f t="shared" si="5"/>
        <v>11.285714285714286</v>
      </c>
      <c r="AT20" s="259">
        <f t="shared" si="6"/>
        <v>0</v>
      </c>
      <c r="AU20" s="258"/>
      <c r="AV20" s="238"/>
      <c r="AW20" s="238"/>
      <c r="AX20" s="238"/>
      <c r="AY20" s="238"/>
      <c r="AZ20" s="238"/>
      <c r="BA20" s="239" t="s">
        <v>642</v>
      </c>
      <c r="BB20" s="239">
        <v>0.60499999999999998</v>
      </c>
      <c r="BC20" s="239">
        <v>1.43E-2</v>
      </c>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row>
    <row r="21" spans="1:90" s="240" customFormat="1" ht="14.25" customHeight="1">
      <c r="A21" s="267" t="s">
        <v>643</v>
      </c>
      <c r="B21" s="268"/>
      <c r="C21" s="268"/>
      <c r="D21" s="268"/>
      <c r="E21" s="269"/>
      <c r="F21" s="1377">
        <f>CO2eEF!P27</f>
        <v>7.000000000000001E-4</v>
      </c>
      <c r="G21" s="1378"/>
      <c r="H21" s="1543">
        <v>30.07</v>
      </c>
      <c r="I21" s="1544"/>
      <c r="J21" s="1545">
        <f>F21*H21</f>
        <v>2.1049000000000002E-2</v>
      </c>
      <c r="K21" s="1545"/>
      <c r="L21" s="1546">
        <f>J21/$J$39</f>
        <v>1.3051041093961092E-3</v>
      </c>
      <c r="M21" s="1545"/>
      <c r="N21" s="1547">
        <f>L21*$V$20</f>
        <v>1.4878186847115646E-4</v>
      </c>
      <c r="O21" s="1548"/>
      <c r="P21" s="1547">
        <f>N21*365.25*24/1000</f>
        <v>1.3042218590181575E-3</v>
      </c>
      <c r="Q21" s="1548"/>
      <c r="R21" s="263"/>
      <c r="S21" s="263"/>
      <c r="T21" s="31"/>
      <c r="U21" s="31"/>
      <c r="V21" s="270"/>
      <c r="W21" s="263"/>
      <c r="X21" s="263"/>
      <c r="Y21" s="263"/>
      <c r="Z21" s="263"/>
      <c r="AA21" s="263"/>
      <c r="AB21" s="263"/>
      <c r="AC21" s="263"/>
      <c r="AD21" s="263"/>
      <c r="AE21" s="263"/>
      <c r="AF21" s="263"/>
      <c r="AG21" s="264"/>
      <c r="AH21" s="258"/>
      <c r="AI21" s="259">
        <v>2</v>
      </c>
      <c r="AJ21" s="259">
        <v>6</v>
      </c>
      <c r="AK21" s="259"/>
      <c r="AL21" s="259"/>
      <c r="AM21" s="259"/>
      <c r="AN21" s="265">
        <f t="shared" si="0"/>
        <v>30.067999999999998</v>
      </c>
      <c r="AO21" s="259">
        <f t="shared" si="1"/>
        <v>3.5</v>
      </c>
      <c r="AP21" s="266">
        <f t="shared" si="2"/>
        <v>13.166666666666668</v>
      </c>
      <c r="AQ21" s="259">
        <f t="shared" si="3"/>
        <v>2</v>
      </c>
      <c r="AR21" s="259">
        <f t="shared" si="4"/>
        <v>3</v>
      </c>
      <c r="AS21" s="266">
        <f t="shared" si="5"/>
        <v>13.166666666666668</v>
      </c>
      <c r="AT21" s="259">
        <f t="shared" si="6"/>
        <v>0</v>
      </c>
      <c r="AU21" s="258"/>
      <c r="AV21" s="238"/>
      <c r="AW21" s="238"/>
      <c r="AX21" s="238"/>
      <c r="AY21" s="238"/>
      <c r="AZ21" s="238"/>
      <c r="BA21" s="239" t="s">
        <v>644</v>
      </c>
      <c r="BB21" s="239">
        <v>0.17519999999999999</v>
      </c>
      <c r="BC21" s="239">
        <v>1.9E-3</v>
      </c>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row>
    <row r="22" spans="1:90" s="240" customFormat="1" ht="14.25" customHeight="1">
      <c r="A22" s="267" t="s">
        <v>418</v>
      </c>
      <c r="B22" s="268"/>
      <c r="C22" s="268"/>
      <c r="D22" s="268"/>
      <c r="E22" s="269"/>
      <c r="F22" s="1377">
        <v>0</v>
      </c>
      <c r="G22" s="1378"/>
      <c r="H22" s="1299"/>
      <c r="I22" s="1301"/>
      <c r="J22" s="1300"/>
      <c r="K22" s="1300"/>
      <c r="L22" s="1299"/>
      <c r="M22" s="1300"/>
      <c r="N22" s="1299">
        <f>SUM(H22,J22,L22)*AN22</f>
        <v>0</v>
      </c>
      <c r="O22" s="1301"/>
      <c r="P22" s="1299"/>
      <c r="Q22" s="1301"/>
      <c r="R22" s="263"/>
      <c r="S22" s="263"/>
      <c r="T22" s="272"/>
      <c r="U22" s="31"/>
      <c r="V22" s="270"/>
      <c r="W22" s="263"/>
      <c r="X22" s="263"/>
      <c r="Y22" s="263"/>
      <c r="Z22" s="263"/>
      <c r="AA22" s="263"/>
      <c r="AB22" s="263"/>
      <c r="AC22" s="263"/>
      <c r="AD22" s="263"/>
      <c r="AE22" s="263"/>
      <c r="AF22" s="263"/>
      <c r="AG22" s="264"/>
      <c r="AH22" s="258"/>
      <c r="AI22" s="259">
        <v>3</v>
      </c>
      <c r="AJ22" s="259">
        <v>6</v>
      </c>
      <c r="AK22" s="259"/>
      <c r="AL22" s="259"/>
      <c r="AM22" s="259"/>
      <c r="AN22" s="265">
        <f t="shared" si="0"/>
        <v>42.078000000000003</v>
      </c>
      <c r="AO22" s="259">
        <f t="shared" si="1"/>
        <v>4.5</v>
      </c>
      <c r="AP22" s="266">
        <f t="shared" si="2"/>
        <v>16.928571428571431</v>
      </c>
      <c r="AQ22" s="259">
        <f t="shared" si="3"/>
        <v>3</v>
      </c>
      <c r="AR22" s="259">
        <f t="shared" si="4"/>
        <v>3</v>
      </c>
      <c r="AS22" s="266">
        <f t="shared" si="5"/>
        <v>16.928571428571431</v>
      </c>
      <c r="AT22" s="259">
        <f t="shared" si="6"/>
        <v>0</v>
      </c>
      <c r="AU22" s="258"/>
      <c r="AV22" s="238"/>
      <c r="AW22" s="238"/>
      <c r="AX22" s="238"/>
      <c r="AY22" s="238"/>
      <c r="AZ22" s="238"/>
      <c r="BA22" s="239" t="s">
        <v>645</v>
      </c>
      <c r="BB22" s="239">
        <v>0.1139</v>
      </c>
      <c r="BC22" s="239">
        <v>3.5999999999999999E-3</v>
      </c>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row>
    <row r="23" spans="1:90" s="240" customFormat="1" ht="14.25" customHeight="1">
      <c r="A23" s="267" t="s">
        <v>419</v>
      </c>
      <c r="B23" s="268"/>
      <c r="C23" s="268"/>
      <c r="D23" s="268"/>
      <c r="E23" s="269"/>
      <c r="F23" s="1377">
        <f>CO2eEF!P28</f>
        <v>2.0000000000000001E-4</v>
      </c>
      <c r="G23" s="1378"/>
      <c r="H23" s="1546">
        <v>44.097000000000001</v>
      </c>
      <c r="I23" s="1549"/>
      <c r="J23" s="1545">
        <f>F23*H23</f>
        <v>8.8194000000000015E-3</v>
      </c>
      <c r="K23" s="1545"/>
      <c r="L23" s="1546">
        <f>J23/$J$39</f>
        <v>5.4683049942553315E-4</v>
      </c>
      <c r="M23" s="1545"/>
      <c r="N23" s="1547">
        <f>L23*$V$20</f>
        <v>6.2338676934510777E-5</v>
      </c>
      <c r="O23" s="1548"/>
      <c r="P23" s="1547">
        <f>N23*365.25*24/1000</f>
        <v>5.4646084200792142E-4</v>
      </c>
      <c r="Q23" s="1548"/>
      <c r="R23" s="263"/>
      <c r="S23" s="263"/>
      <c r="T23" s="272"/>
      <c r="U23" s="31"/>
      <c r="V23" s="270"/>
      <c r="W23" s="263"/>
      <c r="X23" s="263"/>
      <c r="Y23" s="263"/>
      <c r="Z23" s="263"/>
      <c r="AA23" s="263"/>
      <c r="AB23" s="263"/>
      <c r="AC23" s="263"/>
      <c r="AD23" s="263"/>
      <c r="AE23" s="263"/>
      <c r="AF23" s="263"/>
      <c r="AG23" s="264"/>
      <c r="AH23" s="258"/>
      <c r="AI23" s="259">
        <v>3</v>
      </c>
      <c r="AJ23" s="259">
        <v>8</v>
      </c>
      <c r="AK23" s="259"/>
      <c r="AL23" s="259"/>
      <c r="AM23" s="259"/>
      <c r="AN23" s="265">
        <f t="shared" si="0"/>
        <v>44.094000000000001</v>
      </c>
      <c r="AO23" s="259">
        <f t="shared" si="1"/>
        <v>5</v>
      </c>
      <c r="AP23" s="266">
        <f t="shared" si="2"/>
        <v>18.80952380952381</v>
      </c>
      <c r="AQ23" s="259">
        <f t="shared" si="3"/>
        <v>3</v>
      </c>
      <c r="AR23" s="259">
        <f t="shared" si="4"/>
        <v>4</v>
      </c>
      <c r="AS23" s="266">
        <f t="shared" si="5"/>
        <v>18.80952380952381</v>
      </c>
      <c r="AT23" s="259">
        <f t="shared" si="6"/>
        <v>0</v>
      </c>
      <c r="AU23" s="258"/>
      <c r="AV23" s="238"/>
      <c r="AW23" s="238"/>
      <c r="AX23" s="238"/>
      <c r="AY23" s="238"/>
      <c r="AZ23" s="238"/>
      <c r="BA23" s="239" t="s">
        <v>646</v>
      </c>
      <c r="BB23" s="239">
        <v>1.7100000000000001E-2</v>
      </c>
      <c r="BC23" s="239">
        <v>1E-3</v>
      </c>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row>
    <row r="24" spans="1:90" s="240" customFormat="1" ht="14.25" customHeight="1">
      <c r="A24" s="267" t="s">
        <v>420</v>
      </c>
      <c r="B24" s="268"/>
      <c r="C24" s="268"/>
      <c r="D24" s="268"/>
      <c r="E24" s="269"/>
      <c r="F24" s="1377">
        <v>0</v>
      </c>
      <c r="G24" s="1378"/>
      <c r="H24" s="1299"/>
      <c r="I24" s="1301"/>
      <c r="J24" s="1300"/>
      <c r="K24" s="1300"/>
      <c r="L24" s="1299"/>
      <c r="M24" s="1300"/>
      <c r="N24" s="1299">
        <f>SUM(H24,J24,L24)*AN24</f>
        <v>0</v>
      </c>
      <c r="O24" s="1301"/>
      <c r="P24" s="1299"/>
      <c r="Q24" s="1301"/>
      <c r="R24" s="263"/>
      <c r="S24" s="263"/>
      <c r="T24" s="263"/>
      <c r="U24" s="263"/>
      <c r="V24" s="263"/>
      <c r="W24" s="263"/>
      <c r="X24" s="263"/>
      <c r="Y24" s="263"/>
      <c r="Z24" s="263"/>
      <c r="AA24" s="263"/>
      <c r="AB24" s="263"/>
      <c r="AC24" s="263"/>
      <c r="AD24" s="263"/>
      <c r="AE24" s="263"/>
      <c r="AF24" s="263"/>
      <c r="AG24" s="264"/>
      <c r="AH24" s="258"/>
      <c r="AI24" s="259">
        <v>4</v>
      </c>
      <c r="AJ24" s="259">
        <v>8</v>
      </c>
      <c r="AK24" s="259"/>
      <c r="AL24" s="259"/>
      <c r="AM24" s="259"/>
      <c r="AN24" s="265">
        <f t="shared" si="0"/>
        <v>56.103999999999999</v>
      </c>
      <c r="AO24" s="259">
        <f t="shared" si="1"/>
        <v>6</v>
      </c>
      <c r="AP24" s="266">
        <f t="shared" si="2"/>
        <v>22.571428571428573</v>
      </c>
      <c r="AQ24" s="259">
        <f t="shared" si="3"/>
        <v>4</v>
      </c>
      <c r="AR24" s="259">
        <f t="shared" si="4"/>
        <v>4</v>
      </c>
      <c r="AS24" s="266">
        <f t="shared" si="5"/>
        <v>22.571428571428573</v>
      </c>
      <c r="AT24" s="259">
        <f t="shared" si="6"/>
        <v>0</v>
      </c>
      <c r="AU24" s="258"/>
      <c r="AV24" s="238"/>
      <c r="AW24" s="238"/>
      <c r="AX24" s="238"/>
      <c r="AY24" s="238"/>
      <c r="AZ24" s="238"/>
      <c r="BA24" s="239" t="s">
        <v>647</v>
      </c>
      <c r="BB24" s="239">
        <v>4.5900000000000003E-2</v>
      </c>
      <c r="BC24" s="239">
        <v>2.3999999999999998E-3</v>
      </c>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row>
    <row r="25" spans="1:90" s="240" customFormat="1" ht="14.25" customHeight="1">
      <c r="A25" s="267" t="s">
        <v>421</v>
      </c>
      <c r="B25" s="268"/>
      <c r="C25" s="268"/>
      <c r="D25" s="268"/>
      <c r="E25" s="269"/>
      <c r="F25" s="1377">
        <f>CO2eEF!P29</f>
        <v>1E-4</v>
      </c>
      <c r="G25" s="1378"/>
      <c r="H25" s="1546">
        <v>58.122999999999998</v>
      </c>
      <c r="I25" s="1549"/>
      <c r="J25" s="1545">
        <f>F25*H25</f>
        <v>5.8123000000000003E-3</v>
      </c>
      <c r="K25" s="1545"/>
      <c r="L25" s="1546">
        <f>J25/$J$39</f>
        <v>3.6038085491201508E-4</v>
      </c>
      <c r="M25" s="1545"/>
      <c r="N25" s="1547">
        <f>L25*$V$20</f>
        <v>4.1083417459969723E-5</v>
      </c>
      <c r="O25" s="1548"/>
      <c r="P25" s="1547">
        <f>N25*365.25*24/1000</f>
        <v>3.6013723745409459E-4</v>
      </c>
      <c r="Q25" s="1548"/>
      <c r="R25" s="263"/>
      <c r="S25" s="263"/>
      <c r="T25" s="263"/>
      <c r="U25" s="263"/>
      <c r="V25" s="263"/>
      <c r="W25" s="263"/>
      <c r="X25" s="263"/>
      <c r="Y25" s="263"/>
      <c r="Z25" s="263"/>
      <c r="AA25" s="263"/>
      <c r="AB25" s="263"/>
      <c r="AC25" s="263"/>
      <c r="AD25" s="263"/>
      <c r="AE25" s="263"/>
      <c r="AF25" s="263"/>
      <c r="AG25" s="264"/>
      <c r="AH25" s="258"/>
      <c r="AI25" s="259">
        <v>4</v>
      </c>
      <c r="AJ25" s="259">
        <v>10</v>
      </c>
      <c r="AK25" s="259"/>
      <c r="AL25" s="259"/>
      <c r="AM25" s="259"/>
      <c r="AN25" s="265">
        <f>AI25*12.01+AJ25*1.008+AK25*16+AL25*14+AM25*32</f>
        <v>58.12</v>
      </c>
      <c r="AO25" s="259">
        <f t="shared" si="1"/>
        <v>6.5</v>
      </c>
      <c r="AP25" s="266">
        <f t="shared" si="2"/>
        <v>24.452380952380956</v>
      </c>
      <c r="AQ25" s="259">
        <f t="shared" si="3"/>
        <v>4</v>
      </c>
      <c r="AR25" s="259">
        <f t="shared" si="4"/>
        <v>5</v>
      </c>
      <c r="AS25" s="266">
        <f t="shared" si="5"/>
        <v>24.452380952380956</v>
      </c>
      <c r="AT25" s="259">
        <f t="shared" si="6"/>
        <v>0</v>
      </c>
      <c r="AU25" s="258"/>
      <c r="AV25" s="238"/>
      <c r="AW25" s="238"/>
      <c r="AX25" s="238"/>
      <c r="AY25" s="238"/>
      <c r="AZ25" s="238"/>
      <c r="BA25" s="239" t="s">
        <v>648</v>
      </c>
      <c r="BB25" s="239">
        <v>8.2000000000000007E-3</v>
      </c>
      <c r="BC25" s="239">
        <v>1.6000000000000001E-3</v>
      </c>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row>
    <row r="26" spans="1:90" s="240" customFormat="1" ht="14.25" customHeight="1">
      <c r="A26" s="267" t="s">
        <v>422</v>
      </c>
      <c r="B26" s="268"/>
      <c r="C26" s="268"/>
      <c r="D26" s="268"/>
      <c r="E26" s="269"/>
      <c r="F26" s="1377">
        <f>CO2eEF!P30</f>
        <v>0</v>
      </c>
      <c r="G26" s="1378"/>
      <c r="H26" s="1299"/>
      <c r="I26" s="1301"/>
      <c r="J26" s="1300"/>
      <c r="K26" s="1300"/>
      <c r="L26" s="1299"/>
      <c r="M26" s="1300"/>
      <c r="N26" s="1299">
        <f>SUM(H26,J26,L26)*AN26</f>
        <v>0</v>
      </c>
      <c r="O26" s="1301"/>
      <c r="P26" s="1299"/>
      <c r="Q26" s="1301"/>
      <c r="R26" s="263"/>
      <c r="S26" s="263"/>
      <c r="T26" s="263" t="s">
        <v>761</v>
      </c>
      <c r="U26" s="263"/>
      <c r="V26" s="263"/>
      <c r="W26" s="263"/>
      <c r="X26" s="263"/>
      <c r="Y26" s="263"/>
      <c r="Z26" s="263"/>
      <c r="AA26" s="263"/>
      <c r="AB26" s="263"/>
      <c r="AC26" s="263"/>
      <c r="AD26" s="263"/>
      <c r="AE26" s="263"/>
      <c r="AF26" s="263"/>
      <c r="AG26" s="264"/>
      <c r="AH26" s="258"/>
      <c r="AI26" s="259">
        <v>4</v>
      </c>
      <c r="AJ26" s="259">
        <v>10</v>
      </c>
      <c r="AK26" s="259"/>
      <c r="AL26" s="259"/>
      <c r="AM26" s="259"/>
      <c r="AN26" s="265">
        <f t="shared" si="0"/>
        <v>58.12</v>
      </c>
      <c r="AO26" s="259">
        <f t="shared" si="1"/>
        <v>6.5</v>
      </c>
      <c r="AP26" s="266">
        <f t="shared" si="2"/>
        <v>24.452380952380956</v>
      </c>
      <c r="AQ26" s="259">
        <f t="shared" si="3"/>
        <v>4</v>
      </c>
      <c r="AR26" s="259">
        <f t="shared" si="4"/>
        <v>5</v>
      </c>
      <c r="AS26" s="266">
        <f t="shared" si="5"/>
        <v>24.452380952380956</v>
      </c>
      <c r="AT26" s="259">
        <f t="shared" si="6"/>
        <v>0</v>
      </c>
      <c r="AU26" s="258"/>
      <c r="AV26" s="238"/>
      <c r="AW26" s="238"/>
      <c r="AX26" s="238"/>
      <c r="AY26" s="238"/>
      <c r="AZ26" s="238"/>
      <c r="BA26" s="239" t="s">
        <v>649</v>
      </c>
      <c r="BB26" s="239">
        <v>2.0000000000000001E-4</v>
      </c>
      <c r="BC26" s="239">
        <v>0</v>
      </c>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row>
    <row r="27" spans="1:90" s="240" customFormat="1" ht="14.25" customHeight="1">
      <c r="A27" s="267" t="s">
        <v>423</v>
      </c>
      <c r="B27" s="268"/>
      <c r="C27" s="268"/>
      <c r="D27" s="268"/>
      <c r="E27" s="269"/>
      <c r="F27" s="1377">
        <f>CO2eEF!P31</f>
        <v>1E-4</v>
      </c>
      <c r="G27" s="1378"/>
      <c r="H27" s="1543">
        <v>72.150000000000006</v>
      </c>
      <c r="I27" s="1544"/>
      <c r="J27" s="1545">
        <f t="shared" ref="J27:J29" si="7">F27*H27</f>
        <v>7.2150000000000009E-3</v>
      </c>
      <c r="K27" s="1545"/>
      <c r="L27" s="1546">
        <f t="shared" ref="L27:L29" si="8">J27/$J$39</f>
        <v>4.4735266042533745E-4</v>
      </c>
      <c r="M27" s="1545"/>
      <c r="N27" s="1547">
        <f t="shared" ref="N27:N29" si="9">L27*$V$20</f>
        <v>5.0998203288488469E-5</v>
      </c>
      <c r="O27" s="1548"/>
      <c r="P27" s="1547">
        <f t="shared" ref="P27:P29" si="10">N27*365.25*24/1000</f>
        <v>4.4705025002688992E-4</v>
      </c>
      <c r="Q27" s="1548"/>
      <c r="R27" s="263"/>
      <c r="S27" s="263"/>
      <c r="T27" s="263"/>
      <c r="U27" s="263"/>
      <c r="V27" s="263"/>
      <c r="W27" s="263"/>
      <c r="X27" s="263"/>
      <c r="Y27" s="263"/>
      <c r="Z27" s="263"/>
      <c r="AA27" s="263"/>
      <c r="AB27" s="263"/>
      <c r="AC27" s="263"/>
      <c r="AD27" s="263"/>
      <c r="AE27" s="263"/>
      <c r="AF27" s="263"/>
      <c r="AG27" s="264"/>
      <c r="AH27" s="258"/>
      <c r="AI27" s="259">
        <v>5</v>
      </c>
      <c r="AJ27" s="259">
        <v>12</v>
      </c>
      <c r="AK27" s="259"/>
      <c r="AL27" s="259"/>
      <c r="AM27" s="259"/>
      <c r="AN27" s="265">
        <f t="shared" si="0"/>
        <v>72.146000000000001</v>
      </c>
      <c r="AO27" s="259">
        <f t="shared" si="1"/>
        <v>8</v>
      </c>
      <c r="AP27" s="266">
        <f t="shared" si="2"/>
        <v>30.095238095238098</v>
      </c>
      <c r="AQ27" s="259">
        <f t="shared" si="3"/>
        <v>5</v>
      </c>
      <c r="AR27" s="259">
        <f t="shared" si="4"/>
        <v>6</v>
      </c>
      <c r="AS27" s="266">
        <f t="shared" si="5"/>
        <v>30.095238095238098</v>
      </c>
      <c r="AT27" s="259">
        <f t="shared" si="6"/>
        <v>0</v>
      </c>
      <c r="AU27" s="258"/>
      <c r="AV27" s="238"/>
      <c r="AW27" s="238"/>
      <c r="AX27" s="238"/>
      <c r="AY27" s="238"/>
      <c r="AZ27" s="238"/>
      <c r="BA27" s="239" t="s">
        <v>650</v>
      </c>
      <c r="BB27" s="239">
        <v>8.8999999999999999E-3</v>
      </c>
      <c r="BC27" s="239">
        <v>1.9E-3</v>
      </c>
      <c r="BD27" s="238"/>
      <c r="BE27" s="238"/>
      <c r="BF27" s="238"/>
      <c r="BG27" s="238"/>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row>
    <row r="28" spans="1:90" s="240" customFormat="1" ht="14.25" customHeight="1">
      <c r="A28" s="267" t="s">
        <v>424</v>
      </c>
      <c r="B28" s="268"/>
      <c r="C28" s="268"/>
      <c r="D28" s="268"/>
      <c r="E28" s="269"/>
      <c r="F28" s="1377">
        <f>CO2eEF!P33</f>
        <v>1E-4</v>
      </c>
      <c r="G28" s="1378"/>
      <c r="H28" s="1543">
        <v>72.150000000000006</v>
      </c>
      <c r="I28" s="1544"/>
      <c r="J28" s="1545">
        <f t="shared" si="7"/>
        <v>7.2150000000000009E-3</v>
      </c>
      <c r="K28" s="1545"/>
      <c r="L28" s="1546">
        <f t="shared" si="8"/>
        <v>4.4735266042533745E-4</v>
      </c>
      <c r="M28" s="1545"/>
      <c r="N28" s="1547">
        <f t="shared" si="9"/>
        <v>5.0998203288488469E-5</v>
      </c>
      <c r="O28" s="1548"/>
      <c r="P28" s="1547">
        <f t="shared" si="10"/>
        <v>4.4705025002688992E-4</v>
      </c>
      <c r="Q28" s="1548"/>
      <c r="R28" s="263"/>
      <c r="S28" s="263"/>
      <c r="T28" s="1528"/>
      <c r="U28" s="1184"/>
      <c r="V28" s="1184"/>
      <c r="W28" s="1184"/>
      <c r="X28" s="1184"/>
      <c r="Y28" s="1184"/>
      <c r="Z28" s="1184"/>
      <c r="AA28" s="1184"/>
      <c r="AB28" s="1184"/>
      <c r="AC28" s="1184"/>
      <c r="AD28" s="1184"/>
      <c r="AE28" s="1184"/>
      <c r="AF28" s="263"/>
      <c r="AG28" s="264"/>
      <c r="AH28" s="258"/>
      <c r="AI28" s="259">
        <v>5</v>
      </c>
      <c r="AJ28" s="259">
        <v>12</v>
      </c>
      <c r="AK28" s="259"/>
      <c r="AL28" s="259"/>
      <c r="AM28" s="259"/>
      <c r="AN28" s="265">
        <f t="shared" si="0"/>
        <v>72.146000000000001</v>
      </c>
      <c r="AO28" s="259">
        <f t="shared" si="1"/>
        <v>8</v>
      </c>
      <c r="AP28" s="266">
        <f t="shared" si="2"/>
        <v>30.095238095238098</v>
      </c>
      <c r="AQ28" s="259">
        <f t="shared" si="3"/>
        <v>5</v>
      </c>
      <c r="AR28" s="259">
        <f t="shared" si="4"/>
        <v>6</v>
      </c>
      <c r="AS28" s="266">
        <f t="shared" si="5"/>
        <v>30.095238095238098</v>
      </c>
      <c r="AT28" s="259">
        <f t="shared" si="6"/>
        <v>0</v>
      </c>
      <c r="AU28" s="258"/>
      <c r="AV28" s="238"/>
      <c r="AW28" s="238"/>
      <c r="AX28" s="238"/>
      <c r="AY28" s="238"/>
      <c r="AZ28" s="238"/>
      <c r="BA28" s="239" t="s">
        <v>651</v>
      </c>
      <c r="BB28" s="239">
        <v>2.0000000000000001E-4</v>
      </c>
      <c r="BC28" s="239">
        <v>2.9999999999999997E-4</v>
      </c>
      <c r="BD28" s="238"/>
      <c r="BE28" s="238"/>
      <c r="BF28" s="238"/>
      <c r="BG28" s="238"/>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row>
    <row r="29" spans="1:90" s="240" customFormat="1" ht="14.25" customHeight="1">
      <c r="A29" s="267" t="s">
        <v>721</v>
      </c>
      <c r="B29" s="268"/>
      <c r="C29" s="268"/>
      <c r="D29" s="268"/>
      <c r="E29" s="269"/>
      <c r="F29" s="1377">
        <f>1-(SUM(F18:F28)+SUM(F30:G38))</f>
        <v>2.00000000000089E-4</v>
      </c>
      <c r="G29" s="1378"/>
      <c r="H29" s="1546">
        <v>86.177000000000007</v>
      </c>
      <c r="I29" s="1549"/>
      <c r="J29" s="1545">
        <f t="shared" si="7"/>
        <v>1.7235400000007672E-2</v>
      </c>
      <c r="K29" s="1545"/>
      <c r="L29" s="1546">
        <f t="shared" si="8"/>
        <v>1.0686489318777951E-3</v>
      </c>
      <c r="M29" s="1545"/>
      <c r="N29" s="1547">
        <f t="shared" si="9"/>
        <v>1.2182597823406865E-4</v>
      </c>
      <c r="O29" s="1548"/>
      <c r="P29" s="1547">
        <f t="shared" si="10"/>
        <v>1.0679265251998457E-3</v>
      </c>
      <c r="Q29" s="1548"/>
      <c r="R29" s="263"/>
      <c r="S29" s="263"/>
      <c r="T29" s="1184"/>
      <c r="U29" s="1184"/>
      <c r="V29" s="1184"/>
      <c r="W29" s="1184"/>
      <c r="X29" s="1184"/>
      <c r="Y29" s="1184"/>
      <c r="Z29" s="1184"/>
      <c r="AA29" s="1184"/>
      <c r="AB29" s="1184"/>
      <c r="AC29" s="1184"/>
      <c r="AD29" s="1184"/>
      <c r="AE29" s="1184"/>
      <c r="AF29" s="263"/>
      <c r="AG29" s="264"/>
      <c r="AH29" s="258"/>
      <c r="AI29" s="259">
        <v>6</v>
      </c>
      <c r="AJ29" s="259">
        <v>14</v>
      </c>
      <c r="AK29" s="259"/>
      <c r="AL29" s="259"/>
      <c r="AM29" s="259"/>
      <c r="AN29" s="265">
        <f t="shared" si="0"/>
        <v>86.171999999999997</v>
      </c>
      <c r="AO29" s="259">
        <f t="shared" si="1"/>
        <v>9.5</v>
      </c>
      <c r="AP29" s="266">
        <f t="shared" si="2"/>
        <v>35.738095238095241</v>
      </c>
      <c r="AQ29" s="259">
        <f t="shared" si="3"/>
        <v>6</v>
      </c>
      <c r="AR29" s="259">
        <f t="shared" si="4"/>
        <v>7</v>
      </c>
      <c r="AS29" s="266">
        <f t="shared" si="5"/>
        <v>35.738095238095241</v>
      </c>
      <c r="AT29" s="259">
        <f t="shared" si="6"/>
        <v>0</v>
      </c>
      <c r="AU29" s="258"/>
      <c r="AV29" s="238"/>
      <c r="AW29" s="238"/>
      <c r="AX29" s="238"/>
      <c r="AY29" s="238"/>
      <c r="AZ29" s="238"/>
      <c r="BA29" s="239" t="s">
        <v>652</v>
      </c>
      <c r="BB29" s="239">
        <v>0</v>
      </c>
      <c r="BC29" s="239">
        <v>5.0000000000000001E-4</v>
      </c>
      <c r="BD29" s="238"/>
      <c r="BE29" s="238"/>
      <c r="BF29" s="238"/>
      <c r="BG29" s="238"/>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row>
    <row r="30" spans="1:90" s="240" customFormat="1" ht="14.25" customHeight="1">
      <c r="A30" s="267" t="s">
        <v>426</v>
      </c>
      <c r="B30" s="268"/>
      <c r="C30" s="268"/>
      <c r="D30" s="268"/>
      <c r="E30" s="269"/>
      <c r="F30" s="1377">
        <v>0</v>
      </c>
      <c r="G30" s="1378"/>
      <c r="H30" s="1299"/>
      <c r="I30" s="1301"/>
      <c r="J30" s="1300"/>
      <c r="K30" s="1300"/>
      <c r="L30" s="1299"/>
      <c r="M30" s="1300"/>
      <c r="N30" s="1299">
        <f>SUM(H30,J30,L30)*AN30</f>
        <v>0</v>
      </c>
      <c r="O30" s="1301"/>
      <c r="P30" s="1299"/>
      <c r="Q30" s="1301"/>
      <c r="R30" s="263"/>
      <c r="S30" s="263"/>
      <c r="T30" s="1184"/>
      <c r="U30" s="1184"/>
      <c r="V30" s="1184"/>
      <c r="W30" s="1184"/>
      <c r="X30" s="1184"/>
      <c r="Y30" s="1184"/>
      <c r="Z30" s="1184"/>
      <c r="AA30" s="1184"/>
      <c r="AB30" s="1184"/>
      <c r="AC30" s="1184"/>
      <c r="AD30" s="1184"/>
      <c r="AE30" s="1184"/>
      <c r="AF30" s="263"/>
      <c r="AG30" s="264"/>
      <c r="AH30" s="258"/>
      <c r="AI30" s="259"/>
      <c r="AJ30" s="259"/>
      <c r="AK30" s="259"/>
      <c r="AL30" s="259"/>
      <c r="AM30" s="259"/>
      <c r="AN30" s="265">
        <v>4.0030000000000001</v>
      </c>
      <c r="AO30" s="259"/>
      <c r="AP30" s="266"/>
      <c r="AQ30" s="259"/>
      <c r="AR30" s="259"/>
      <c r="AS30" s="266"/>
      <c r="AT30" s="259"/>
      <c r="AU30" s="258"/>
      <c r="AV30" s="238"/>
      <c r="AW30" s="238"/>
      <c r="AX30" s="238"/>
      <c r="AY30" s="238"/>
      <c r="AZ30" s="238"/>
      <c r="BA30" s="239" t="s">
        <v>653</v>
      </c>
      <c r="BB30" s="239">
        <v>0</v>
      </c>
      <c r="BC30" s="239">
        <v>1E-4</v>
      </c>
      <c r="BD30" s="238"/>
      <c r="BE30" s="238"/>
      <c r="BF30" s="238"/>
      <c r="BG30" s="238"/>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row>
    <row r="31" spans="1:90" s="240" customFormat="1" ht="14.25" customHeight="1">
      <c r="A31" s="267" t="s">
        <v>427</v>
      </c>
      <c r="B31" s="268"/>
      <c r="C31" s="268"/>
      <c r="D31" s="268"/>
      <c r="E31" s="269"/>
      <c r="F31" s="1377">
        <v>0</v>
      </c>
      <c r="G31" s="1378"/>
      <c r="H31" s="1299"/>
      <c r="I31" s="1301"/>
      <c r="J31" s="1300"/>
      <c r="K31" s="1300"/>
      <c r="L31" s="1299"/>
      <c r="M31" s="1300"/>
      <c r="N31" s="1299">
        <f>SUM(H31,J31,L31)*AN31</f>
        <v>0</v>
      </c>
      <c r="O31" s="1301"/>
      <c r="P31" s="1299"/>
      <c r="Q31" s="1301"/>
      <c r="R31" s="263"/>
      <c r="S31" s="263"/>
      <c r="T31" s="1184"/>
      <c r="U31" s="1184"/>
      <c r="V31" s="1184"/>
      <c r="W31" s="1184"/>
      <c r="X31" s="1184"/>
      <c r="Y31" s="1184"/>
      <c r="Z31" s="1184"/>
      <c r="AA31" s="1184"/>
      <c r="AB31" s="1184"/>
      <c r="AC31" s="1184"/>
      <c r="AD31" s="1184"/>
      <c r="AE31" s="1184"/>
      <c r="AF31" s="263"/>
      <c r="AG31" s="264"/>
      <c r="AH31" s="258"/>
      <c r="AI31" s="259"/>
      <c r="AJ31" s="259">
        <v>2</v>
      </c>
      <c r="AK31" s="259"/>
      <c r="AL31" s="259"/>
      <c r="AM31" s="259">
        <v>1</v>
      </c>
      <c r="AN31" s="265">
        <f t="shared" si="0"/>
        <v>34.015999999999998</v>
      </c>
      <c r="AO31" s="259">
        <f t="shared" si="1"/>
        <v>1.5</v>
      </c>
      <c r="AP31" s="266">
        <f t="shared" si="2"/>
        <v>5.6428571428571432</v>
      </c>
      <c r="AQ31" s="259">
        <f t="shared" si="3"/>
        <v>0</v>
      </c>
      <c r="AR31" s="259">
        <f t="shared" si="4"/>
        <v>1</v>
      </c>
      <c r="AS31" s="266">
        <f t="shared" si="5"/>
        <v>5.6428571428571432</v>
      </c>
      <c r="AT31" s="259">
        <f t="shared" si="6"/>
        <v>1</v>
      </c>
      <c r="AU31" s="258"/>
      <c r="AV31" s="238"/>
      <c r="AW31" s="238"/>
      <c r="AX31" s="238"/>
      <c r="AY31" s="238"/>
      <c r="AZ31" s="238"/>
      <c r="BA31" s="239" t="s">
        <v>654</v>
      </c>
      <c r="BB31" s="239">
        <v>0</v>
      </c>
      <c r="BC31" s="239">
        <v>4.0000000000000002E-4</v>
      </c>
      <c r="BD31" s="238"/>
      <c r="BE31" s="238"/>
      <c r="BF31" s="238"/>
      <c r="BG31" s="238"/>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row>
    <row r="32" spans="1:90" s="240" customFormat="1" ht="14.25" customHeight="1">
      <c r="A32" s="267" t="s">
        <v>428</v>
      </c>
      <c r="B32" s="268"/>
      <c r="C32" s="268"/>
      <c r="D32" s="268"/>
      <c r="E32" s="269"/>
      <c r="F32" s="1377">
        <v>0</v>
      </c>
      <c r="G32" s="1378"/>
      <c r="H32" s="1299"/>
      <c r="I32" s="1301"/>
      <c r="J32" s="1300"/>
      <c r="K32" s="1300"/>
      <c r="L32" s="1299">
        <v>0</v>
      </c>
      <c r="M32" s="1300"/>
      <c r="N32" s="1299">
        <f>SUM(H32,J32,L32)*AN32</f>
        <v>0</v>
      </c>
      <c r="O32" s="1301"/>
      <c r="P32" s="1299"/>
      <c r="Q32" s="1301"/>
      <c r="R32" s="263"/>
      <c r="S32" s="263"/>
      <c r="T32" s="1184"/>
      <c r="U32" s="1184"/>
      <c r="V32" s="1184"/>
      <c r="W32" s="1184"/>
      <c r="X32" s="1184"/>
      <c r="Y32" s="1184"/>
      <c r="Z32" s="1184"/>
      <c r="AA32" s="1184"/>
      <c r="AB32" s="1184"/>
      <c r="AC32" s="1184"/>
      <c r="AD32" s="1184"/>
      <c r="AE32" s="1184"/>
      <c r="AF32" s="263"/>
      <c r="AG32" s="264"/>
      <c r="AH32" s="258"/>
      <c r="AI32" s="259"/>
      <c r="AJ32" s="259"/>
      <c r="AK32" s="259">
        <v>2</v>
      </c>
      <c r="AL32" s="259"/>
      <c r="AM32" s="259"/>
      <c r="AN32" s="265">
        <f t="shared" si="0"/>
        <v>32</v>
      </c>
      <c r="AO32" s="259">
        <f t="shared" si="1"/>
        <v>0</v>
      </c>
      <c r="AP32" s="266">
        <f t="shared" si="2"/>
        <v>0</v>
      </c>
      <c r="AQ32" s="259">
        <f t="shared" si="3"/>
        <v>0</v>
      </c>
      <c r="AR32" s="259">
        <f t="shared" si="4"/>
        <v>0</v>
      </c>
      <c r="AS32" s="266">
        <f t="shared" si="5"/>
        <v>0</v>
      </c>
      <c r="AT32" s="259">
        <f t="shared" si="6"/>
        <v>0</v>
      </c>
      <c r="AU32" s="258"/>
      <c r="AV32" s="238"/>
      <c r="AW32" s="238"/>
      <c r="AX32" s="238"/>
      <c r="AY32" s="238"/>
      <c r="AZ32" s="238"/>
      <c r="BA32" s="239" t="s">
        <v>655</v>
      </c>
      <c r="BB32" s="239">
        <v>0</v>
      </c>
      <c r="BC32" s="239">
        <v>2.0000000000000001E-4</v>
      </c>
      <c r="BD32" s="238"/>
      <c r="BE32" s="238"/>
      <c r="BF32" s="238"/>
      <c r="BG32" s="238"/>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row>
    <row r="33" spans="1:90" s="240" customFormat="1" ht="14.25" customHeight="1">
      <c r="A33" s="267" t="s">
        <v>429</v>
      </c>
      <c r="B33" s="268"/>
      <c r="C33" s="268"/>
      <c r="D33" s="268"/>
      <c r="E33" s="269"/>
      <c r="F33" s="1377">
        <f>CO2eEF!P24</f>
        <v>1.5E-3</v>
      </c>
      <c r="G33" s="1378"/>
      <c r="H33" s="1547">
        <v>28.013500000000001</v>
      </c>
      <c r="I33" s="1548"/>
      <c r="J33" s="1545">
        <f t="shared" ref="J33" si="11">F33*H33</f>
        <v>4.2020250000000002E-2</v>
      </c>
      <c r="K33" s="1545"/>
      <c r="L33" s="1546">
        <f t="shared" ref="L33" si="12">J33/$J$39</f>
        <v>2.6053874745998315E-3</v>
      </c>
      <c r="M33" s="1545"/>
      <c r="N33" s="1547">
        <f t="shared" ref="N33" si="13">L33*$V$20</f>
        <v>2.9701417210438078E-4</v>
      </c>
      <c r="O33" s="1548"/>
      <c r="P33" s="1547">
        <f t="shared" ref="P33" si="14">N33*365.25*24/1000</f>
        <v>2.6036262326670019E-3</v>
      </c>
      <c r="Q33" s="1548"/>
      <c r="R33" s="263"/>
      <c r="S33" s="263"/>
      <c r="T33" s="1184"/>
      <c r="U33" s="1184"/>
      <c r="V33" s="1184"/>
      <c r="W33" s="1184"/>
      <c r="X33" s="1184"/>
      <c r="Y33" s="1184"/>
      <c r="Z33" s="1184"/>
      <c r="AA33" s="1184"/>
      <c r="AB33" s="1184"/>
      <c r="AC33" s="1184"/>
      <c r="AD33" s="1184"/>
      <c r="AE33" s="1184"/>
      <c r="AF33" s="263"/>
      <c r="AG33" s="264"/>
      <c r="AH33" s="258"/>
      <c r="AI33" s="259"/>
      <c r="AJ33" s="259"/>
      <c r="AK33" s="259"/>
      <c r="AL33" s="259">
        <v>2</v>
      </c>
      <c r="AM33" s="259"/>
      <c r="AN33" s="265">
        <f t="shared" si="0"/>
        <v>28</v>
      </c>
      <c r="AO33" s="259">
        <f t="shared" si="1"/>
        <v>0</v>
      </c>
      <c r="AP33" s="266">
        <f t="shared" si="2"/>
        <v>0</v>
      </c>
      <c r="AQ33" s="259">
        <f t="shared" si="3"/>
        <v>0</v>
      </c>
      <c r="AR33" s="259">
        <f t="shared" si="4"/>
        <v>0</v>
      </c>
      <c r="AS33" s="266">
        <f t="shared" si="5"/>
        <v>1</v>
      </c>
      <c r="AT33" s="259">
        <f t="shared" si="6"/>
        <v>0</v>
      </c>
      <c r="AU33" s="258"/>
      <c r="AV33" s="238"/>
      <c r="AW33" s="238"/>
      <c r="AX33" s="238"/>
      <c r="AY33" s="238"/>
      <c r="AZ33" s="238"/>
      <c r="BA33" s="239" t="s">
        <v>656</v>
      </c>
      <c r="BB33" s="239">
        <v>1.5E-3</v>
      </c>
      <c r="BC33" s="239">
        <v>0</v>
      </c>
      <c r="BD33" s="238"/>
      <c r="BE33" s="238"/>
      <c r="BF33" s="238"/>
      <c r="BG33" s="238"/>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row>
    <row r="34" spans="1:90" s="240" customFormat="1" ht="14.25" customHeight="1">
      <c r="A34" s="267" t="s">
        <v>115</v>
      </c>
      <c r="B34" s="268"/>
      <c r="C34" s="268"/>
      <c r="D34" s="268"/>
      <c r="E34" s="269"/>
      <c r="F34" s="1377">
        <v>0</v>
      </c>
      <c r="G34" s="1378"/>
      <c r="H34" s="1299"/>
      <c r="I34" s="1301"/>
      <c r="J34" s="1300"/>
      <c r="K34" s="1300"/>
      <c r="L34" s="1299"/>
      <c r="M34" s="1300"/>
      <c r="N34" s="1299">
        <f>SUM(H34,J34,L34)*AN34</f>
        <v>0</v>
      </c>
      <c r="O34" s="1301"/>
      <c r="P34" s="1299"/>
      <c r="Q34" s="1301"/>
      <c r="R34" s="263"/>
      <c r="S34" s="263"/>
      <c r="T34" s="1184"/>
      <c r="U34" s="1184"/>
      <c r="V34" s="1184"/>
      <c r="W34" s="1184"/>
      <c r="X34" s="1184"/>
      <c r="Y34" s="1184"/>
      <c r="Z34" s="1184"/>
      <c r="AA34" s="1184"/>
      <c r="AB34" s="1184"/>
      <c r="AC34" s="1184"/>
      <c r="AD34" s="1184"/>
      <c r="AE34" s="1184"/>
      <c r="AF34" s="263"/>
      <c r="AG34" s="264"/>
      <c r="AH34" s="258"/>
      <c r="AI34" s="258">
        <v>1</v>
      </c>
      <c r="AJ34" s="258"/>
      <c r="AK34" s="258">
        <v>1</v>
      </c>
      <c r="AL34" s="258"/>
      <c r="AM34" s="258"/>
      <c r="AN34" s="265">
        <f t="shared" si="0"/>
        <v>28.009999999999998</v>
      </c>
      <c r="AO34" s="259"/>
      <c r="AP34" s="258"/>
      <c r="AQ34" s="258"/>
      <c r="AR34" s="258"/>
      <c r="AS34" s="258"/>
      <c r="AT34" s="258"/>
      <c r="AU34" s="258"/>
      <c r="AV34" s="238"/>
      <c r="AW34" s="238"/>
      <c r="AX34" s="238"/>
      <c r="AY34" s="238"/>
      <c r="AZ34" s="238"/>
      <c r="BA34" s="239" t="s">
        <v>657</v>
      </c>
      <c r="BB34" s="239">
        <v>1E-4</v>
      </c>
      <c r="BC34" s="239">
        <v>0</v>
      </c>
      <c r="BD34" s="238"/>
      <c r="BE34" s="238"/>
      <c r="BF34" s="238"/>
      <c r="BG34" s="238"/>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row>
    <row r="35" spans="1:90" s="240" customFormat="1" ht="14.25" customHeight="1">
      <c r="A35" s="267" t="s">
        <v>126</v>
      </c>
      <c r="B35" s="268"/>
      <c r="C35" s="268"/>
      <c r="D35" s="268"/>
      <c r="E35" s="269"/>
      <c r="F35" s="1377">
        <f>CO2eEF!P25</f>
        <v>8.0000000000000004E-4</v>
      </c>
      <c r="G35" s="1378"/>
      <c r="H35" s="1543">
        <v>44.01</v>
      </c>
      <c r="I35" s="1544"/>
      <c r="J35" s="1545">
        <f t="shared" ref="J35" si="15">F35*H35</f>
        <v>3.5208000000000003E-2</v>
      </c>
      <c r="K35" s="1545"/>
      <c r="L35" s="1546">
        <f t="shared" ref="L35" si="16">J35/$J$39</f>
        <v>2.1830065791067612E-3</v>
      </c>
      <c r="M35" s="1545"/>
      <c r="N35" s="1547">
        <f t="shared" ref="N35" si="17">L35*$V$20</f>
        <v>2.4886275001817076E-4</v>
      </c>
      <c r="O35" s="1548"/>
      <c r="P35" s="1547">
        <f t="shared" ref="P35" si="18">N35*365.25*24/1000</f>
        <v>2.1815308666592848E-3</v>
      </c>
      <c r="Q35" s="1548"/>
      <c r="R35" s="263"/>
      <c r="S35" s="263"/>
      <c r="T35" s="1184"/>
      <c r="U35" s="1184"/>
      <c r="V35" s="1184"/>
      <c r="W35" s="1184"/>
      <c r="X35" s="1184"/>
      <c r="Y35" s="1184"/>
      <c r="Z35" s="1184"/>
      <c r="AA35" s="1184"/>
      <c r="AB35" s="1184"/>
      <c r="AC35" s="1184"/>
      <c r="AD35" s="1184"/>
      <c r="AE35" s="1184"/>
      <c r="AF35" s="263"/>
      <c r="AG35" s="264"/>
      <c r="AH35" s="258"/>
      <c r="AI35" s="259">
        <v>1</v>
      </c>
      <c r="AJ35" s="259"/>
      <c r="AK35" s="259">
        <v>2</v>
      </c>
      <c r="AL35" s="259"/>
      <c r="AM35" s="259"/>
      <c r="AN35" s="265">
        <f>AI35*12.01+AJ35*1.008+AK35*16+AL35*14+AM35*32</f>
        <v>44.01</v>
      </c>
      <c r="AO35" s="259"/>
      <c r="AP35" s="259"/>
      <c r="AQ35" s="259"/>
      <c r="AR35" s="259"/>
      <c r="AS35" s="259"/>
      <c r="AT35" s="259"/>
      <c r="AU35" s="258"/>
      <c r="AV35" s="238"/>
      <c r="AW35" s="238"/>
      <c r="AX35" s="238"/>
      <c r="AY35" s="238"/>
      <c r="AZ35" s="238"/>
      <c r="BA35" s="239" t="s">
        <v>658</v>
      </c>
      <c r="BB35" s="239">
        <v>0</v>
      </c>
      <c r="BC35" s="239">
        <v>0</v>
      </c>
      <c r="BD35" s="238"/>
      <c r="BE35" s="238"/>
      <c r="BF35" s="238"/>
      <c r="BG35" s="238"/>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row>
    <row r="36" spans="1:90" s="240" customFormat="1" ht="14.25" customHeight="1">
      <c r="A36" s="267" t="s">
        <v>430</v>
      </c>
      <c r="B36" s="268"/>
      <c r="C36" s="268"/>
      <c r="D36" s="268"/>
      <c r="E36" s="269"/>
      <c r="F36" s="1377">
        <v>0</v>
      </c>
      <c r="G36" s="1378"/>
      <c r="H36" s="1299"/>
      <c r="I36" s="1301"/>
      <c r="J36" s="1300"/>
      <c r="K36" s="1300"/>
      <c r="L36" s="1299"/>
      <c r="M36" s="1300"/>
      <c r="N36" s="1299">
        <f>SUM(H36,J36,L36)*AN36</f>
        <v>0</v>
      </c>
      <c r="O36" s="1301"/>
      <c r="P36" s="1299"/>
      <c r="Q36" s="1301"/>
      <c r="R36" s="263"/>
      <c r="S36" s="263"/>
      <c r="T36" s="1184"/>
      <c r="U36" s="1184"/>
      <c r="V36" s="1184"/>
      <c r="W36" s="1184"/>
      <c r="X36" s="1184"/>
      <c r="Y36" s="1184"/>
      <c r="Z36" s="1184"/>
      <c r="AA36" s="1184"/>
      <c r="AB36" s="1184"/>
      <c r="AC36" s="1184"/>
      <c r="AD36" s="1184"/>
      <c r="AE36" s="1184"/>
      <c r="AF36" s="263"/>
      <c r="AG36" s="264"/>
      <c r="AH36" s="258"/>
      <c r="AI36" s="258"/>
      <c r="AJ36" s="258"/>
      <c r="AK36" s="258">
        <v>2</v>
      </c>
      <c r="AL36" s="258">
        <v>1</v>
      </c>
      <c r="AM36" s="258"/>
      <c r="AN36" s="265">
        <f>AI36*12.01+AJ36*1.008+AK36*16+AL36*14+AM36*32</f>
        <v>46</v>
      </c>
      <c r="AO36" s="259"/>
      <c r="AP36" s="258"/>
      <c r="AQ36" s="258"/>
      <c r="AR36" s="258"/>
      <c r="AS36" s="258"/>
      <c r="AT36" s="258"/>
      <c r="AU36" s="258"/>
      <c r="AV36" s="238"/>
      <c r="AW36" s="238"/>
      <c r="AX36" s="238"/>
      <c r="AY36" s="238"/>
      <c r="AZ36" s="238"/>
      <c r="BA36" s="239" t="s">
        <v>659</v>
      </c>
      <c r="BB36" s="239">
        <v>0</v>
      </c>
      <c r="BC36" s="239">
        <v>0</v>
      </c>
      <c r="BD36" s="238"/>
      <c r="BE36" s="238"/>
      <c r="BF36" s="238"/>
      <c r="BG36" s="238"/>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row>
    <row r="37" spans="1:90" s="240" customFormat="1" ht="14.25" customHeight="1">
      <c r="A37" s="267" t="s">
        <v>124</v>
      </c>
      <c r="B37" s="268"/>
      <c r="C37" s="268"/>
      <c r="D37" s="268"/>
      <c r="E37" s="269"/>
      <c r="F37" s="1377">
        <v>0</v>
      </c>
      <c r="G37" s="1378"/>
      <c r="H37" s="1299"/>
      <c r="I37" s="1301"/>
      <c r="J37" s="1300"/>
      <c r="K37" s="1300"/>
      <c r="L37" s="1299"/>
      <c r="M37" s="1300"/>
      <c r="N37" s="1299">
        <f>SUM(H37,J37,L37)*AN37</f>
        <v>0</v>
      </c>
      <c r="O37" s="1301"/>
      <c r="P37" s="1299"/>
      <c r="Q37" s="1301"/>
      <c r="R37" s="263"/>
      <c r="S37" s="263"/>
      <c r="T37" s="263"/>
      <c r="U37" s="263"/>
      <c r="V37" s="263"/>
      <c r="W37" s="263"/>
      <c r="X37" s="263"/>
      <c r="Y37" s="263"/>
      <c r="Z37" s="263"/>
      <c r="AA37" s="263"/>
      <c r="AB37" s="263"/>
      <c r="AC37" s="263"/>
      <c r="AD37" s="263"/>
      <c r="AE37" s="263"/>
      <c r="AF37" s="263"/>
      <c r="AG37" s="264"/>
      <c r="AH37" s="258"/>
      <c r="AI37" s="258"/>
      <c r="AJ37" s="258"/>
      <c r="AK37" s="258">
        <v>2</v>
      </c>
      <c r="AL37" s="258"/>
      <c r="AM37" s="258">
        <v>1</v>
      </c>
      <c r="AN37" s="265">
        <f>AI37*12.01+AJ37*1.008+AK37*16+AL37*14+AM37*32</f>
        <v>64</v>
      </c>
      <c r="AO37" s="259"/>
      <c r="AP37" s="258"/>
      <c r="AQ37" s="258"/>
      <c r="AR37" s="258"/>
      <c r="AS37" s="258"/>
      <c r="AT37" s="258"/>
      <c r="AU37" s="258"/>
      <c r="AV37" s="238"/>
      <c r="AW37" s="238"/>
      <c r="AX37" s="238"/>
      <c r="AY37" s="238"/>
      <c r="AZ37" s="238"/>
      <c r="BA37" s="239" t="s">
        <v>660</v>
      </c>
      <c r="BB37" s="239">
        <v>0</v>
      </c>
      <c r="BC37" s="239">
        <v>0</v>
      </c>
      <c r="BD37" s="238"/>
      <c r="BE37" s="238"/>
      <c r="BF37" s="238"/>
      <c r="BG37" s="238"/>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row>
    <row r="38" spans="1:90" s="240" customFormat="1" ht="14.25" customHeight="1">
      <c r="A38" s="273" t="s">
        <v>431</v>
      </c>
      <c r="B38" s="274"/>
      <c r="C38" s="274"/>
      <c r="D38" s="274"/>
      <c r="E38" s="274"/>
      <c r="F38" s="1377">
        <f>CO2eEF!P47</f>
        <v>0</v>
      </c>
      <c r="G38" s="1378"/>
      <c r="H38" s="1299"/>
      <c r="I38" s="1301"/>
      <c r="J38" s="1384"/>
      <c r="K38" s="1384"/>
      <c r="L38" s="1382"/>
      <c r="M38" s="1384"/>
      <c r="N38" s="1299">
        <f>SUM(H38,J38,L38)*AN38</f>
        <v>0</v>
      </c>
      <c r="O38" s="1301"/>
      <c r="P38" s="1299"/>
      <c r="Q38" s="1301"/>
      <c r="R38" s="263"/>
      <c r="S38" s="263"/>
      <c r="T38" s="263"/>
      <c r="U38" s="263"/>
      <c r="V38" s="263"/>
      <c r="W38" s="263"/>
      <c r="X38" s="263"/>
      <c r="Y38" s="263"/>
      <c r="Z38" s="263"/>
      <c r="AA38" s="263"/>
      <c r="AB38" s="263"/>
      <c r="AC38" s="263"/>
      <c r="AD38" s="263"/>
      <c r="AE38" s="263"/>
      <c r="AF38" s="263"/>
      <c r="AG38" s="264"/>
      <c r="AH38" s="258"/>
      <c r="AI38" s="258"/>
      <c r="AJ38" s="258">
        <v>2</v>
      </c>
      <c r="AK38" s="258">
        <v>1</v>
      </c>
      <c r="AL38" s="258"/>
      <c r="AM38" s="258"/>
      <c r="AN38" s="265">
        <f>AI38*12.01+AJ38*1.008+AK38*16+AL38*14+AM38*32</f>
        <v>18.015999999999998</v>
      </c>
      <c r="AO38" s="259"/>
      <c r="AP38" s="258"/>
      <c r="AQ38" s="258"/>
      <c r="AR38" s="258"/>
      <c r="AS38" s="258"/>
      <c r="AT38" s="258"/>
      <c r="AU38" s="258"/>
      <c r="AV38" s="238"/>
      <c r="AW38" s="238"/>
      <c r="AX38" s="238"/>
      <c r="AY38" s="238"/>
      <c r="AZ38" s="238"/>
      <c r="BA38" s="239" t="s">
        <v>661</v>
      </c>
      <c r="BB38" s="239">
        <v>0</v>
      </c>
      <c r="BC38" s="239">
        <v>0</v>
      </c>
      <c r="BD38" s="238"/>
      <c r="BE38" s="238"/>
      <c r="BF38" s="238"/>
      <c r="BG38" s="238"/>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row>
    <row r="39" spans="1:90" s="240" customFormat="1" ht="14.25" customHeight="1">
      <c r="A39" s="1391" t="s">
        <v>663</v>
      </c>
      <c r="B39" s="1392"/>
      <c r="C39" s="1392"/>
      <c r="D39" s="1392"/>
      <c r="E39" s="1393"/>
      <c r="F39" s="1394">
        <f>SUM(F18:F38)</f>
        <v>1</v>
      </c>
      <c r="G39" s="1395"/>
      <c r="H39" s="1371">
        <v>6106.1389961389959</v>
      </c>
      <c r="I39" s="1373"/>
      <c r="J39" s="1395">
        <f>SUM(J18:K38)</f>
        <v>16.128215250000004</v>
      </c>
      <c r="K39" s="1395"/>
      <c r="L39" s="1371">
        <v>0</v>
      </c>
      <c r="M39" s="1372"/>
      <c r="N39" s="1394">
        <f>SUM(N18:O38)</f>
        <v>0.11400000000000005</v>
      </c>
      <c r="O39" s="1551"/>
      <c r="P39" s="1552">
        <f>SUM(P19:Q38)</f>
        <v>0.99932400000000021</v>
      </c>
      <c r="Q39" s="1553"/>
      <c r="R39" s="275"/>
      <c r="S39" s="275"/>
      <c r="T39" s="30"/>
      <c r="U39" s="30"/>
      <c r="V39" s="276"/>
      <c r="W39" s="276"/>
      <c r="X39" s="30"/>
      <c r="Y39" s="30"/>
      <c r="Z39" s="277"/>
      <c r="AA39" s="277"/>
      <c r="AB39" s="263"/>
      <c r="AC39" s="263"/>
      <c r="AD39" s="30"/>
      <c r="AE39" s="30"/>
      <c r="AF39" s="277"/>
      <c r="AG39" s="278"/>
      <c r="AH39" s="238"/>
      <c r="AI39" s="238"/>
      <c r="AJ39" s="238"/>
      <c r="AK39" s="238"/>
      <c r="AL39" s="238"/>
      <c r="AM39" s="238"/>
      <c r="AN39" s="238"/>
      <c r="AO39" s="238"/>
      <c r="AP39" s="238"/>
      <c r="AQ39" s="238"/>
      <c r="AR39" s="238"/>
      <c r="AS39" s="238"/>
      <c r="AT39" s="238"/>
      <c r="AU39" s="238"/>
      <c r="AV39" s="238"/>
      <c r="AW39" s="238"/>
      <c r="AX39" s="238"/>
      <c r="AY39" s="238"/>
      <c r="AZ39" s="238"/>
      <c r="BA39" s="239" t="s">
        <v>662</v>
      </c>
      <c r="BB39" s="239">
        <v>0</v>
      </c>
      <c r="BC39" s="239">
        <v>0</v>
      </c>
      <c r="BD39" s="238"/>
      <c r="BE39" s="238"/>
      <c r="BF39" s="238"/>
      <c r="BG39" s="238"/>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row>
    <row r="40" spans="1:90" s="240" customFormat="1" ht="14.25" customHeight="1">
      <c r="A40" s="279" t="s">
        <v>749</v>
      </c>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280"/>
      <c r="AH40" s="238"/>
      <c r="AI40" s="238"/>
      <c r="AJ40" s="238"/>
      <c r="AK40" s="281"/>
      <c r="AL40" s="238"/>
      <c r="AM40" s="238"/>
      <c r="AN40" s="238"/>
      <c r="AO40" s="238"/>
      <c r="AP40" s="238"/>
      <c r="AQ40" s="238"/>
      <c r="AR40" s="238"/>
      <c r="AS40" s="238"/>
      <c r="AT40" s="238"/>
      <c r="AU40" s="238"/>
      <c r="AV40" s="238"/>
      <c r="AW40" s="238"/>
      <c r="AX40" s="238"/>
      <c r="AY40" s="238"/>
      <c r="AZ40" s="238"/>
      <c r="BA40" s="239"/>
      <c r="BB40" s="239"/>
      <c r="BC40" s="239"/>
      <c r="BD40" s="238"/>
      <c r="BE40" s="238"/>
      <c r="BF40" s="238"/>
      <c r="BG40" s="238"/>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row>
    <row r="41" spans="1:90" s="240" customFormat="1" ht="14.25" customHeight="1">
      <c r="A41" s="282" t="s">
        <v>31</v>
      </c>
      <c r="B41" s="31" t="s">
        <v>751</v>
      </c>
      <c r="C41" s="30"/>
      <c r="D41" s="30"/>
      <c r="E41" s="30"/>
      <c r="F41" s="30"/>
      <c r="G41" s="30"/>
      <c r="H41" s="30"/>
      <c r="I41" s="30"/>
      <c r="J41" s="30"/>
      <c r="K41" s="30"/>
      <c r="L41" s="30"/>
      <c r="M41" s="30"/>
      <c r="N41" s="283"/>
      <c r="O41" s="283"/>
      <c r="P41" s="283"/>
      <c r="Q41" s="30"/>
      <c r="R41" s="30"/>
      <c r="S41" s="30"/>
      <c r="T41" s="30"/>
      <c r="U41" s="30"/>
      <c r="V41" s="30"/>
      <c r="W41" s="30"/>
      <c r="X41" s="30"/>
      <c r="Y41" s="30"/>
      <c r="Z41" s="30"/>
      <c r="AA41" s="30"/>
      <c r="AB41" s="30"/>
      <c r="AC41" s="30"/>
      <c r="AD41" s="30"/>
      <c r="AE41" s="30"/>
      <c r="AF41" s="30"/>
      <c r="AG41" s="253"/>
      <c r="AH41" s="238"/>
      <c r="AI41" s="238"/>
      <c r="AJ41" s="238"/>
      <c r="AK41" s="238"/>
      <c r="AL41" s="238"/>
      <c r="AM41" s="238"/>
      <c r="AN41" s="238"/>
      <c r="AO41" s="238"/>
      <c r="AP41" s="238"/>
      <c r="AQ41" s="238"/>
      <c r="AR41" s="238"/>
      <c r="AS41" s="238"/>
      <c r="AT41" s="238"/>
      <c r="AU41" s="238"/>
      <c r="AV41" s="238"/>
      <c r="AW41" s="238"/>
      <c r="AX41" s="238"/>
      <c r="AY41" s="238"/>
      <c r="AZ41" s="238"/>
      <c r="BA41" s="239" t="s">
        <v>679</v>
      </c>
      <c r="BB41" s="239">
        <v>0</v>
      </c>
      <c r="BC41" s="239">
        <v>0</v>
      </c>
      <c r="BD41" s="238"/>
      <c r="BE41" s="238"/>
      <c r="BF41" s="238"/>
      <c r="BG41" s="238"/>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row>
    <row r="42" spans="1:90" ht="14.25" customHeight="1">
      <c r="A42" s="282" t="s">
        <v>33</v>
      </c>
      <c r="B42" s="284" t="s">
        <v>726</v>
      </c>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6"/>
      <c r="AH42" s="243"/>
      <c r="AI42" s="243"/>
      <c r="AJ42" s="243"/>
      <c r="AK42" s="243"/>
      <c r="AL42" s="243"/>
      <c r="AM42" s="243"/>
      <c r="AN42" s="243"/>
      <c r="AO42" s="243"/>
      <c r="AP42" s="243"/>
      <c r="AQ42" s="243"/>
      <c r="AR42" s="243"/>
      <c r="AS42" s="243"/>
      <c r="AT42" s="243"/>
      <c r="AU42" s="243"/>
      <c r="AV42" s="243"/>
      <c r="AW42" s="243"/>
      <c r="AX42" s="243"/>
      <c r="AY42" s="243"/>
      <c r="AZ42" s="243"/>
      <c r="BA42" s="246" t="s">
        <v>681</v>
      </c>
      <c r="BB42" s="246">
        <v>0</v>
      </c>
      <c r="BC42" s="246">
        <v>0</v>
      </c>
      <c r="BD42" s="243"/>
      <c r="BE42" s="243"/>
      <c r="BF42" s="243"/>
      <c r="BG42" s="243"/>
      <c r="BH42" s="243"/>
      <c r="BI42" s="243"/>
      <c r="BJ42" s="243"/>
      <c r="BK42" s="243"/>
      <c r="BL42" s="243"/>
      <c r="BM42" s="243"/>
      <c r="BN42" s="243"/>
      <c r="BO42" s="243"/>
      <c r="BP42" s="243"/>
      <c r="BQ42" s="243"/>
      <c r="BR42" s="243"/>
      <c r="BS42" s="243"/>
      <c r="BT42" s="243"/>
      <c r="BU42" s="243"/>
      <c r="BV42" s="243"/>
      <c r="BW42" s="243"/>
      <c r="BX42" s="243"/>
      <c r="BY42" s="243"/>
      <c r="BZ42" s="243"/>
      <c r="CA42" s="243"/>
      <c r="CB42" s="243"/>
      <c r="CC42" s="243"/>
      <c r="CD42" s="243"/>
      <c r="CE42" s="243"/>
      <c r="CF42" s="243"/>
      <c r="CG42" s="243"/>
      <c r="CH42" s="243"/>
      <c r="CI42" s="243"/>
      <c r="CJ42" s="243"/>
      <c r="CK42" s="243"/>
      <c r="CL42" s="243"/>
    </row>
    <row r="43" spans="1:90" ht="14.25" customHeight="1">
      <c r="A43" s="282" t="s">
        <v>752</v>
      </c>
      <c r="B43" s="284"/>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5"/>
      <c r="AA43" s="285"/>
      <c r="AB43" s="285"/>
      <c r="AC43" s="285"/>
      <c r="AD43" s="285"/>
      <c r="AE43" s="285"/>
      <c r="AF43" s="285"/>
      <c r="AG43" s="286"/>
      <c r="AH43" s="243"/>
      <c r="AI43" s="243"/>
      <c r="AJ43" s="243"/>
      <c r="AK43" s="243"/>
      <c r="AL43" s="243"/>
      <c r="AM43" s="243"/>
      <c r="AN43" s="243"/>
      <c r="AO43" s="243"/>
      <c r="AP43" s="243"/>
      <c r="AQ43" s="243"/>
      <c r="AR43" s="243"/>
      <c r="AS43" s="243"/>
      <c r="AT43" s="243"/>
      <c r="AU43" s="243"/>
      <c r="AV43" s="243"/>
      <c r="AW43" s="243"/>
      <c r="AX43" s="243"/>
      <c r="AY43" s="243"/>
      <c r="AZ43" s="243"/>
      <c r="BA43" s="246" t="s">
        <v>684</v>
      </c>
      <c r="BB43" s="246">
        <v>0</v>
      </c>
      <c r="BC43" s="246">
        <v>0</v>
      </c>
      <c r="BD43" s="243"/>
      <c r="BE43" s="243"/>
      <c r="BF43" s="243"/>
      <c r="BG43" s="243"/>
      <c r="BH43" s="243"/>
      <c r="BI43" s="243"/>
      <c r="BJ43" s="243"/>
      <c r="BK43" s="243"/>
      <c r="BL43" s="243"/>
      <c r="BM43" s="243"/>
      <c r="BN43" s="243"/>
      <c r="BO43" s="243"/>
      <c r="BP43" s="243"/>
      <c r="BQ43" s="243"/>
      <c r="BR43" s="243"/>
      <c r="BS43" s="243"/>
      <c r="BT43" s="243"/>
      <c r="BU43" s="243"/>
      <c r="BV43" s="243"/>
      <c r="BW43" s="243"/>
      <c r="BX43" s="243"/>
      <c r="BY43" s="243"/>
      <c r="BZ43" s="243"/>
      <c r="CA43" s="243"/>
      <c r="CB43" s="243"/>
      <c r="CC43" s="243"/>
      <c r="CD43" s="243"/>
      <c r="CE43" s="243"/>
      <c r="CF43" s="243"/>
      <c r="CG43" s="243"/>
      <c r="CH43" s="243"/>
      <c r="CI43" s="243"/>
      <c r="CJ43" s="243"/>
      <c r="CK43" s="243"/>
      <c r="CL43" s="243"/>
    </row>
    <row r="44" spans="1:90" ht="14.25">
      <c r="A44" s="282" t="s">
        <v>38</v>
      </c>
      <c r="B44" s="284"/>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6"/>
      <c r="AH44" s="243"/>
      <c r="AI44" s="243"/>
      <c r="AJ44" s="243"/>
      <c r="AK44" s="243"/>
      <c r="AL44" s="243"/>
      <c r="AM44" s="243"/>
      <c r="AN44" s="243"/>
      <c r="AO44" s="243"/>
      <c r="AP44" s="243"/>
      <c r="AQ44" s="243"/>
      <c r="AR44" s="243"/>
      <c r="AS44" s="243"/>
      <c r="AT44" s="243"/>
      <c r="AU44" s="243"/>
      <c r="AV44" s="243"/>
      <c r="AW44" s="243"/>
      <c r="AX44" s="243"/>
      <c r="AY44" s="243"/>
      <c r="AZ44" s="243"/>
      <c r="BA44" s="246"/>
      <c r="BB44" s="246"/>
      <c r="BC44" s="246"/>
      <c r="BD44" s="243"/>
      <c r="BE44" s="243"/>
      <c r="BF44" s="243"/>
      <c r="BG44" s="243"/>
      <c r="BH44" s="243"/>
      <c r="BI44" s="243"/>
      <c r="BJ44" s="243"/>
      <c r="BK44" s="243"/>
      <c r="BL44" s="243"/>
      <c r="BM44" s="243"/>
      <c r="BN44" s="243"/>
      <c r="BO44" s="243"/>
      <c r="BP44" s="243"/>
      <c r="BQ44" s="243"/>
      <c r="BR44" s="243"/>
      <c r="BS44" s="243"/>
      <c r="BT44" s="243"/>
      <c r="BU44" s="243"/>
      <c r="BV44" s="243"/>
      <c r="BW44" s="243"/>
      <c r="BX44" s="243"/>
      <c r="BY44" s="243"/>
      <c r="BZ44" s="243"/>
      <c r="CA44" s="243"/>
      <c r="CB44" s="243"/>
      <c r="CC44" s="243"/>
      <c r="CD44" s="243"/>
      <c r="CE44" s="243"/>
      <c r="CF44" s="243"/>
      <c r="CG44" s="243"/>
      <c r="CH44" s="243"/>
      <c r="CI44" s="243"/>
      <c r="CJ44" s="243"/>
      <c r="CK44" s="243"/>
      <c r="CL44" s="243"/>
    </row>
    <row r="45" spans="1:90" ht="14.25">
      <c r="A45" s="282" t="s">
        <v>41</v>
      </c>
      <c r="B45" s="284"/>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43"/>
      <c r="AI45" s="243"/>
      <c r="AJ45" s="243"/>
      <c r="AK45" s="243"/>
      <c r="AL45" s="243"/>
      <c r="AM45" s="243"/>
      <c r="AN45" s="243"/>
      <c r="AO45" s="243"/>
      <c r="AP45" s="243"/>
      <c r="AQ45" s="243"/>
      <c r="AR45" s="243"/>
      <c r="AS45" s="243"/>
      <c r="AT45" s="243"/>
      <c r="AU45" s="243"/>
      <c r="AV45" s="243"/>
      <c r="AW45" s="243"/>
      <c r="AX45" s="243"/>
      <c r="AY45" s="243"/>
      <c r="AZ45" s="243"/>
      <c r="BA45" s="246" t="s">
        <v>688</v>
      </c>
      <c r="BB45" s="246">
        <v>0</v>
      </c>
      <c r="BC45" s="246">
        <v>0</v>
      </c>
      <c r="BD45" s="243"/>
      <c r="BE45" s="243"/>
      <c r="BF45" s="243"/>
      <c r="BG45" s="243"/>
      <c r="BH45" s="243"/>
      <c r="BI45" s="243"/>
      <c r="BJ45" s="243"/>
      <c r="BK45" s="243"/>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row>
    <row r="46" spans="1:90">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288"/>
      <c r="AF46" s="288"/>
      <c r="AG46" s="289"/>
      <c r="AH46" s="289"/>
      <c r="AI46" s="289"/>
      <c r="AJ46" s="289"/>
      <c r="AK46" s="289"/>
      <c r="AL46" s="289"/>
      <c r="AM46" s="289"/>
      <c r="AN46" s="243"/>
      <c r="AO46" s="243"/>
      <c r="AP46" s="243"/>
      <c r="AQ46" s="243"/>
      <c r="AR46" s="243"/>
      <c r="AS46" s="243"/>
      <c r="AT46" s="243"/>
      <c r="AU46" s="243"/>
      <c r="AV46" s="243"/>
      <c r="AW46" s="243"/>
      <c r="AX46" s="243"/>
      <c r="AY46" s="243"/>
      <c r="AZ46" s="243"/>
      <c r="BA46" s="246" t="s">
        <v>690</v>
      </c>
      <c r="BB46" s="246">
        <v>2.9999999999999997E-4</v>
      </c>
      <c r="BC46" s="246">
        <v>0</v>
      </c>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row>
    <row r="47" spans="1:90">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9"/>
      <c r="AH47" s="289"/>
      <c r="AI47" s="289"/>
      <c r="AJ47" s="289"/>
      <c r="AK47" s="289"/>
      <c r="AL47" s="289"/>
      <c r="AM47" s="289"/>
      <c r="AN47" s="243"/>
      <c r="AO47" s="243"/>
      <c r="AP47" s="243"/>
      <c r="AQ47" s="243"/>
      <c r="AR47" s="243"/>
      <c r="AS47" s="243"/>
      <c r="AT47" s="243"/>
      <c r="AU47" s="243"/>
      <c r="AV47" s="243"/>
      <c r="AW47" s="243"/>
      <c r="AX47" s="243"/>
      <c r="AY47" s="243"/>
      <c r="AZ47" s="243"/>
      <c r="BA47" s="246" t="s">
        <v>691</v>
      </c>
      <c r="BB47" s="246">
        <v>0</v>
      </c>
      <c r="BC47" s="246">
        <v>0</v>
      </c>
      <c r="BD47" s="243"/>
      <c r="BE47" s="243"/>
      <c r="BF47" s="243"/>
      <c r="BG47" s="243"/>
      <c r="BH47" s="243"/>
      <c r="BI47" s="243"/>
      <c r="BJ47" s="243"/>
      <c r="BK47" s="243"/>
      <c r="BL47" s="243"/>
      <c r="BM47" s="243"/>
      <c r="BN47" s="243"/>
      <c r="BO47" s="243"/>
      <c r="BP47" s="243"/>
      <c r="BQ47" s="243"/>
      <c r="BR47" s="243"/>
      <c r="BS47" s="243"/>
      <c r="BT47" s="243"/>
      <c r="BU47" s="243"/>
      <c r="BV47" s="243"/>
      <c r="BW47" s="243"/>
      <c r="BX47" s="243"/>
      <c r="BY47" s="243"/>
      <c r="BZ47" s="243"/>
      <c r="CA47" s="243"/>
      <c r="CB47" s="243"/>
      <c r="CC47" s="243"/>
      <c r="CD47" s="243"/>
      <c r="CE47" s="243"/>
      <c r="CF47" s="243"/>
      <c r="CG47" s="243"/>
      <c r="CH47" s="243"/>
      <c r="CI47" s="243"/>
      <c r="CJ47" s="243"/>
      <c r="CK47" s="243"/>
      <c r="CL47" s="243"/>
    </row>
    <row r="48" spans="1:90">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9"/>
      <c r="AH48" s="289"/>
      <c r="AI48" s="289"/>
      <c r="AJ48" s="289"/>
      <c r="AK48" s="289"/>
      <c r="AL48" s="289"/>
      <c r="AM48" s="289"/>
      <c r="AN48" s="243"/>
      <c r="AO48" s="243"/>
      <c r="AP48" s="243"/>
      <c r="AQ48" s="243"/>
      <c r="AR48" s="243"/>
      <c r="AS48" s="243"/>
      <c r="AT48" s="243"/>
      <c r="AU48" s="243"/>
      <c r="AV48" s="243"/>
      <c r="AW48" s="243"/>
      <c r="AX48" s="243"/>
      <c r="AY48" s="243"/>
      <c r="AZ48" s="243"/>
      <c r="BA48" s="246" t="s">
        <v>692</v>
      </c>
      <c r="BB48" s="246">
        <v>0</v>
      </c>
      <c r="BC48" s="246">
        <v>0</v>
      </c>
      <c r="BD48" s="243"/>
      <c r="BE48" s="243"/>
      <c r="BF48" s="243"/>
      <c r="BG48" s="243"/>
      <c r="BH48" s="243"/>
      <c r="BI48" s="243"/>
      <c r="BJ48" s="243"/>
      <c r="BK48" s="243"/>
      <c r="BL48" s="243"/>
      <c r="BM48" s="243"/>
      <c r="BN48" s="243"/>
      <c r="BO48" s="243"/>
      <c r="BP48" s="243"/>
      <c r="BQ48" s="243"/>
      <c r="BR48" s="243"/>
      <c r="BS48" s="243"/>
      <c r="BT48" s="243"/>
      <c r="BU48" s="243"/>
      <c r="BV48" s="243"/>
      <c r="BW48" s="243"/>
      <c r="BX48" s="243"/>
      <c r="BY48" s="243"/>
      <c r="BZ48" s="243"/>
      <c r="CA48" s="243"/>
      <c r="CB48" s="243"/>
      <c r="CC48" s="243"/>
      <c r="CD48" s="243"/>
      <c r="CE48" s="243"/>
      <c r="CF48" s="243"/>
      <c r="CG48" s="243"/>
      <c r="CH48" s="243"/>
      <c r="CI48" s="243"/>
      <c r="CJ48" s="243"/>
      <c r="CK48" s="243"/>
      <c r="CL48" s="243"/>
    </row>
    <row r="49" spans="1:90">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9"/>
      <c r="AH49" s="289"/>
      <c r="AI49" s="289"/>
      <c r="AJ49" s="289"/>
      <c r="AK49" s="289"/>
      <c r="AL49" s="289"/>
      <c r="AM49" s="289"/>
      <c r="AN49" s="243"/>
      <c r="AO49" s="243"/>
      <c r="AP49" s="243"/>
      <c r="AQ49" s="243"/>
      <c r="AR49" s="243"/>
      <c r="AS49" s="243"/>
      <c r="AT49" s="243"/>
      <c r="AU49" s="243"/>
      <c r="AV49" s="243"/>
      <c r="AW49" s="243"/>
      <c r="AX49" s="243"/>
      <c r="AY49" s="243"/>
      <c r="AZ49" s="243"/>
      <c r="BA49" s="246" t="s">
        <v>693</v>
      </c>
      <c r="BB49" s="246">
        <v>0</v>
      </c>
      <c r="BC49" s="246">
        <v>0</v>
      </c>
      <c r="BD49" s="243"/>
      <c r="BE49" s="243"/>
      <c r="BF49" s="243"/>
      <c r="BG49" s="243"/>
      <c r="BH49" s="243"/>
      <c r="BI49" s="243"/>
      <c r="BJ49" s="243"/>
      <c r="BK49" s="243"/>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row>
    <row r="50" spans="1:90">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9"/>
      <c r="AH50" s="289"/>
      <c r="AI50" s="289"/>
      <c r="AJ50" s="289"/>
      <c r="AK50" s="289"/>
      <c r="AL50" s="289"/>
      <c r="AM50" s="289"/>
      <c r="AN50" s="243"/>
      <c r="AO50" s="243"/>
      <c r="AP50" s="243"/>
      <c r="AQ50" s="243"/>
      <c r="AR50" s="243"/>
      <c r="AS50" s="243"/>
      <c r="AT50" s="243"/>
      <c r="AU50" s="243"/>
      <c r="AV50" s="243"/>
      <c r="AW50" s="243"/>
      <c r="AX50" s="243"/>
      <c r="AY50" s="243"/>
      <c r="AZ50" s="243"/>
      <c r="BA50" s="246" t="s">
        <v>694</v>
      </c>
      <c r="BB50" s="246">
        <v>0</v>
      </c>
      <c r="BC50" s="246">
        <v>0</v>
      </c>
      <c r="BD50" s="243"/>
      <c r="BE50" s="243"/>
      <c r="BF50" s="243"/>
      <c r="BG50" s="243"/>
      <c r="BH50" s="243"/>
      <c r="BI50" s="243"/>
      <c r="BJ50" s="243"/>
      <c r="BK50" s="243"/>
      <c r="BL50" s="243"/>
      <c r="BM50" s="243"/>
      <c r="BN50" s="243"/>
      <c r="BO50" s="243"/>
      <c r="BP50" s="243"/>
      <c r="BQ50" s="243"/>
      <c r="BR50" s="243"/>
      <c r="BS50" s="243"/>
      <c r="BT50" s="243"/>
      <c r="BU50" s="243"/>
      <c r="BV50" s="243"/>
      <c r="BW50" s="243"/>
      <c r="BX50" s="243"/>
      <c r="BY50" s="243"/>
      <c r="BZ50" s="243"/>
      <c r="CA50" s="243"/>
      <c r="CB50" s="243"/>
      <c r="CC50" s="243"/>
      <c r="CD50" s="243"/>
      <c r="CE50" s="243"/>
      <c r="CF50" s="243"/>
      <c r="CG50" s="243"/>
      <c r="CH50" s="243"/>
      <c r="CI50" s="243"/>
      <c r="CJ50" s="243"/>
      <c r="CK50" s="243"/>
      <c r="CL50" s="243"/>
    </row>
    <row r="51" spans="1:90">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9"/>
      <c r="AH51" s="289"/>
      <c r="AI51" s="289"/>
      <c r="AJ51" s="289"/>
      <c r="AK51" s="289"/>
      <c r="AL51" s="289"/>
      <c r="AM51" s="289"/>
      <c r="AN51" s="243"/>
      <c r="AO51" s="243"/>
      <c r="AP51" s="243"/>
      <c r="AQ51" s="243"/>
      <c r="AR51" s="243"/>
      <c r="AS51" s="243"/>
      <c r="AT51" s="243"/>
      <c r="AU51" s="243"/>
      <c r="AV51" s="243"/>
      <c r="AW51" s="243"/>
      <c r="AX51" s="243"/>
      <c r="AY51" s="243"/>
      <c r="AZ51" s="243"/>
      <c r="BA51" s="246" t="s">
        <v>695</v>
      </c>
      <c r="BB51" s="246">
        <v>0</v>
      </c>
      <c r="BC51" s="246">
        <v>0</v>
      </c>
      <c r="BD51" s="243"/>
      <c r="BE51" s="243"/>
      <c r="BF51" s="243"/>
      <c r="BG51" s="243"/>
      <c r="BH51" s="243"/>
      <c r="BI51" s="243"/>
      <c r="BJ51" s="243"/>
      <c r="BK51" s="243"/>
      <c r="BL51" s="243"/>
      <c r="BM51" s="243"/>
      <c r="BN51" s="243"/>
      <c r="BO51" s="243"/>
      <c r="BP51" s="243"/>
      <c r="BQ51" s="243"/>
      <c r="BR51" s="243"/>
      <c r="BS51" s="243"/>
      <c r="BT51" s="243"/>
      <c r="BU51" s="243"/>
      <c r="BV51" s="243"/>
      <c r="BW51" s="243"/>
      <c r="BX51" s="243"/>
      <c r="BY51" s="243"/>
      <c r="BZ51" s="243"/>
      <c r="CA51" s="243"/>
      <c r="CB51" s="243"/>
      <c r="CC51" s="243"/>
      <c r="CD51" s="243"/>
      <c r="CE51" s="243"/>
      <c r="CF51" s="243"/>
      <c r="CG51" s="243"/>
      <c r="CH51" s="243"/>
      <c r="CI51" s="243"/>
      <c r="CJ51" s="243"/>
      <c r="CK51" s="243"/>
      <c r="CL51" s="243"/>
    </row>
    <row r="52" spans="1:90">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9"/>
      <c r="AH52" s="289"/>
      <c r="AI52" s="289"/>
      <c r="AJ52" s="289"/>
      <c r="AK52" s="289"/>
      <c r="AL52" s="289"/>
      <c r="AM52" s="289"/>
      <c r="AN52" s="243"/>
      <c r="AO52" s="243"/>
      <c r="AP52" s="243"/>
      <c r="AQ52" s="243"/>
      <c r="AR52" s="243"/>
      <c r="AS52" s="243"/>
      <c r="AT52" s="243"/>
      <c r="AU52" s="243"/>
      <c r="AV52" s="243"/>
      <c r="AW52" s="243"/>
      <c r="AX52" s="243"/>
      <c r="AY52" s="243"/>
      <c r="AZ52" s="243"/>
      <c r="BA52" s="246" t="s">
        <v>696</v>
      </c>
      <c r="BB52" s="246">
        <v>0</v>
      </c>
      <c r="BC52" s="246">
        <v>0</v>
      </c>
      <c r="BD52" s="243"/>
      <c r="BE52" s="243"/>
      <c r="BF52" s="243"/>
      <c r="BG52" s="243"/>
      <c r="BH52" s="243"/>
      <c r="BI52" s="243"/>
      <c r="BJ52" s="243"/>
      <c r="BK52" s="243"/>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row>
    <row r="53" spans="1:90" s="290" customFormat="1">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9"/>
      <c r="AH53" s="289"/>
      <c r="AI53" s="289"/>
      <c r="AJ53" s="289"/>
      <c r="AK53" s="289"/>
      <c r="AL53" s="289"/>
      <c r="AM53" s="289"/>
      <c r="AN53" s="243"/>
      <c r="AO53" s="243"/>
      <c r="AP53" s="243"/>
      <c r="AQ53" s="243"/>
      <c r="AR53" s="243"/>
      <c r="AS53" s="243"/>
      <c r="AT53" s="243"/>
      <c r="AU53" s="243"/>
      <c r="AV53" s="243"/>
      <c r="AW53" s="243"/>
      <c r="AX53" s="243"/>
      <c r="AY53" s="243"/>
      <c r="AZ53" s="243"/>
      <c r="BA53" s="246" t="s">
        <v>697</v>
      </c>
      <c r="BB53" s="246">
        <v>0</v>
      </c>
      <c r="BC53" s="246">
        <v>0</v>
      </c>
      <c r="BD53" s="243"/>
      <c r="BE53" s="243"/>
      <c r="BF53" s="243"/>
      <c r="BG53" s="243"/>
      <c r="BH53" s="243"/>
      <c r="BI53" s="243"/>
      <c r="BJ53" s="243"/>
      <c r="BK53" s="243"/>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row>
    <row r="54" spans="1:90" s="290" customFormat="1">
      <c r="A54" s="288"/>
      <c r="B54" s="288"/>
      <c r="C54" s="288"/>
      <c r="D54" s="288"/>
      <c r="E54" s="288"/>
      <c r="F54" s="288"/>
      <c r="G54" s="288"/>
      <c r="H54" s="288"/>
      <c r="I54" s="288"/>
      <c r="J54" s="288"/>
      <c r="K54" s="288"/>
      <c r="L54" s="288"/>
      <c r="M54" s="288"/>
      <c r="N54" s="288"/>
      <c r="O54" s="263"/>
      <c r="P54" s="288"/>
      <c r="Q54" s="288"/>
      <c r="R54" s="288"/>
      <c r="S54" s="288"/>
      <c r="T54" s="288"/>
      <c r="U54" s="288"/>
      <c r="V54" s="288"/>
      <c r="W54" s="288"/>
      <c r="X54" s="288"/>
      <c r="Y54" s="288"/>
      <c r="Z54" s="288"/>
      <c r="AA54" s="288"/>
      <c r="AB54" s="288"/>
      <c r="AC54" s="288"/>
      <c r="AD54" s="288"/>
      <c r="AE54" s="288"/>
      <c r="AF54" s="288"/>
      <c r="AG54" s="289"/>
      <c r="AH54" s="289"/>
      <c r="AI54" s="289"/>
      <c r="AJ54" s="289"/>
      <c r="AK54" s="289"/>
      <c r="AL54" s="289"/>
      <c r="AM54" s="289"/>
      <c r="AN54" s="243"/>
      <c r="AO54" s="243"/>
      <c r="AP54" s="243"/>
      <c r="AQ54" s="243"/>
      <c r="AR54" s="243"/>
      <c r="AS54" s="243"/>
      <c r="AT54" s="243"/>
      <c r="AU54" s="243"/>
      <c r="AV54" s="243"/>
      <c r="AW54" s="243"/>
      <c r="AX54" s="243"/>
      <c r="AY54" s="243"/>
      <c r="AZ54" s="243"/>
      <c r="BA54" s="246" t="s">
        <v>431</v>
      </c>
      <c r="BB54" s="246">
        <v>1E-4</v>
      </c>
      <c r="BC54" s="246">
        <v>0.17530000000000001</v>
      </c>
      <c r="BD54" s="243"/>
      <c r="BE54" s="243"/>
      <c r="BF54" s="243"/>
      <c r="BG54" s="243"/>
      <c r="BH54" s="243"/>
      <c r="BI54" s="243"/>
      <c r="BJ54" s="243"/>
      <c r="BK54" s="243"/>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row>
    <row r="55" spans="1:90" s="290" customFormat="1">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9"/>
      <c r="AH55" s="289"/>
      <c r="AI55" s="289"/>
      <c r="AJ55" s="289"/>
      <c r="AK55" s="289"/>
      <c r="AL55" s="289"/>
      <c r="AM55" s="289"/>
      <c r="AN55" s="243"/>
      <c r="AO55" s="243"/>
      <c r="AP55" s="243"/>
      <c r="AQ55" s="243"/>
      <c r="AR55" s="243"/>
      <c r="AS55" s="243"/>
      <c r="AT55" s="243"/>
      <c r="AU55" s="243"/>
      <c r="AV55" s="243"/>
      <c r="AW55" s="243"/>
      <c r="AX55" s="243"/>
      <c r="AY55" s="243"/>
      <c r="AZ55" s="243"/>
      <c r="BA55" s="243"/>
      <c r="BB55" s="246"/>
      <c r="BC55" s="246"/>
      <c r="BD55" s="243"/>
      <c r="BE55" s="243"/>
      <c r="BF55" s="243"/>
      <c r="BG55" s="243"/>
      <c r="BH55" s="243"/>
      <c r="BI55" s="243"/>
      <c r="BJ55" s="243"/>
      <c r="BK55" s="243"/>
      <c r="BL55" s="243"/>
      <c r="BM55" s="243"/>
      <c r="BN55" s="243"/>
      <c r="BO55" s="243"/>
      <c r="BP55" s="243"/>
      <c r="BQ55" s="243"/>
      <c r="BR55" s="243"/>
      <c r="BS55" s="243"/>
      <c r="BT55" s="243"/>
      <c r="BU55" s="243"/>
      <c r="BV55" s="243"/>
      <c r="BW55" s="243"/>
      <c r="BX55" s="243"/>
      <c r="BY55" s="243"/>
      <c r="BZ55" s="243"/>
      <c r="CA55" s="243"/>
      <c r="CB55" s="243"/>
      <c r="CC55" s="243"/>
      <c r="CD55" s="243"/>
      <c r="CE55" s="243"/>
      <c r="CF55" s="243"/>
      <c r="CG55" s="243"/>
      <c r="CH55" s="243"/>
      <c r="CI55" s="243"/>
      <c r="CJ55" s="243"/>
      <c r="CK55" s="243"/>
      <c r="CL55" s="243"/>
    </row>
    <row r="56" spans="1:90" s="290" customFormat="1">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9"/>
      <c r="AH56" s="289"/>
      <c r="AI56" s="289"/>
      <c r="AJ56" s="289"/>
      <c r="AK56" s="289"/>
      <c r="AL56" s="289"/>
      <c r="AM56" s="289"/>
      <c r="AN56" s="243"/>
      <c r="AO56" s="243"/>
      <c r="AP56" s="243"/>
      <c r="AQ56" s="243"/>
      <c r="AR56" s="243"/>
      <c r="AS56" s="243"/>
      <c r="AT56" s="243"/>
      <c r="AU56" s="243"/>
      <c r="AV56" s="243"/>
      <c r="AW56" s="243"/>
      <c r="AX56" s="243"/>
      <c r="AY56" s="243"/>
      <c r="AZ56" s="243"/>
      <c r="BA56" s="243"/>
      <c r="BB56" s="246"/>
      <c r="BC56" s="246"/>
      <c r="BD56" s="243"/>
      <c r="BE56" s="243"/>
      <c r="BF56" s="243"/>
      <c r="BG56" s="243"/>
      <c r="BH56" s="243"/>
      <c r="BI56" s="243"/>
      <c r="BJ56" s="243"/>
      <c r="BK56" s="243"/>
      <c r="BL56" s="243"/>
      <c r="BM56" s="243"/>
      <c r="BN56" s="243"/>
      <c r="BO56" s="243"/>
      <c r="BP56" s="243"/>
      <c r="BQ56" s="243"/>
      <c r="BR56" s="243"/>
      <c r="BS56" s="243"/>
      <c r="BT56" s="243"/>
      <c r="BU56" s="243"/>
      <c r="BV56" s="243"/>
      <c r="BW56" s="243"/>
      <c r="BX56" s="243"/>
      <c r="BY56" s="243"/>
      <c r="BZ56" s="243"/>
      <c r="CA56" s="243"/>
      <c r="CB56" s="243"/>
      <c r="CC56" s="243"/>
      <c r="CD56" s="243"/>
      <c r="CE56" s="243"/>
      <c r="CF56" s="243"/>
      <c r="CG56" s="243"/>
      <c r="CH56" s="243"/>
      <c r="CI56" s="243"/>
      <c r="CJ56" s="243"/>
      <c r="CK56" s="243"/>
      <c r="CL56" s="243"/>
    </row>
    <row r="57" spans="1:90" s="290" customFormat="1">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88"/>
      <c r="AE57" s="288"/>
      <c r="AF57" s="288"/>
      <c r="AG57" s="289"/>
      <c r="AH57" s="289"/>
      <c r="AI57" s="289"/>
      <c r="AJ57" s="289"/>
      <c r="AK57" s="289"/>
      <c r="AL57" s="289"/>
      <c r="AM57" s="289"/>
      <c r="AN57" s="243"/>
      <c r="AO57" s="243"/>
      <c r="AP57" s="243"/>
      <c r="AQ57" s="243"/>
      <c r="AR57" s="243"/>
      <c r="AS57" s="243"/>
      <c r="AT57" s="243"/>
      <c r="AU57" s="243"/>
      <c r="AV57" s="243"/>
      <c r="AW57" s="243"/>
      <c r="AX57" s="243"/>
      <c r="AY57" s="243"/>
      <c r="AZ57" s="243"/>
      <c r="BA57" s="243"/>
      <c r="BB57" s="246"/>
      <c r="BC57" s="246"/>
      <c r="BD57" s="243"/>
      <c r="BE57" s="243"/>
      <c r="BF57" s="243"/>
      <c r="BG57" s="243"/>
      <c r="BH57" s="243"/>
      <c r="BI57" s="243"/>
      <c r="BJ57" s="243"/>
      <c r="BK57" s="243"/>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row>
    <row r="58" spans="1:90" s="290" customFormat="1">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9"/>
      <c r="AH58" s="289"/>
      <c r="AI58" s="289"/>
      <c r="AJ58" s="289"/>
      <c r="AK58" s="289"/>
      <c r="AL58" s="289"/>
      <c r="AM58" s="289"/>
      <c r="AN58" s="243"/>
      <c r="AO58" s="243"/>
      <c r="AP58" s="243"/>
      <c r="AQ58" s="243"/>
      <c r="AR58" s="243"/>
      <c r="AS58" s="243"/>
      <c r="AT58" s="243"/>
      <c r="AU58" s="243"/>
      <c r="AV58" s="243"/>
      <c r="AW58" s="243"/>
      <c r="AX58" s="243"/>
      <c r="AY58" s="243"/>
      <c r="AZ58" s="243"/>
      <c r="BA58" s="243"/>
      <c r="BB58" s="246"/>
      <c r="BC58" s="246"/>
      <c r="BD58" s="243"/>
      <c r="BE58" s="243"/>
      <c r="BF58" s="243"/>
      <c r="BG58" s="243"/>
      <c r="BH58" s="243"/>
      <c r="BI58" s="243"/>
      <c r="BJ58" s="243"/>
      <c r="BK58" s="243"/>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row>
    <row r="59" spans="1:90" s="290" customFormat="1">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9"/>
      <c r="AH59" s="289"/>
      <c r="AI59" s="289"/>
      <c r="AJ59" s="289"/>
      <c r="AK59" s="289"/>
      <c r="AL59" s="289"/>
      <c r="AM59" s="289"/>
      <c r="AN59" s="243"/>
      <c r="AO59" s="243"/>
      <c r="AP59" s="243"/>
      <c r="AQ59" s="243"/>
      <c r="AR59" s="243"/>
      <c r="AS59" s="243"/>
      <c r="AT59" s="243"/>
      <c r="AU59" s="243"/>
      <c r="AV59" s="243"/>
      <c r="AW59" s="243"/>
      <c r="AX59" s="243"/>
      <c r="AY59" s="243"/>
      <c r="AZ59" s="243"/>
      <c r="BA59" s="243"/>
      <c r="BB59" s="246"/>
      <c r="BC59" s="246"/>
      <c r="BD59" s="243"/>
      <c r="BE59" s="243"/>
      <c r="BF59" s="243"/>
      <c r="BG59" s="243"/>
      <c r="BH59" s="243"/>
      <c r="BI59" s="243"/>
      <c r="BJ59" s="243"/>
      <c r="BK59" s="243"/>
      <c r="BL59" s="243"/>
      <c r="BM59" s="243"/>
      <c r="BN59" s="243"/>
      <c r="BO59" s="243"/>
      <c r="BP59" s="243"/>
      <c r="BQ59" s="243"/>
      <c r="BR59" s="243"/>
      <c r="BS59" s="243"/>
      <c r="BT59" s="243"/>
      <c r="BU59" s="243"/>
      <c r="BV59" s="243"/>
      <c r="BW59" s="243"/>
      <c r="BX59" s="243"/>
      <c r="BY59" s="243"/>
      <c r="BZ59" s="243"/>
      <c r="CA59" s="243"/>
      <c r="CB59" s="243"/>
      <c r="CC59" s="243"/>
      <c r="CD59" s="243"/>
      <c r="CE59" s="243"/>
      <c r="CF59" s="243"/>
      <c r="CG59" s="243"/>
      <c r="CH59" s="243"/>
      <c r="CI59" s="243"/>
      <c r="CJ59" s="243"/>
      <c r="CK59" s="243"/>
      <c r="CL59" s="243"/>
    </row>
    <row r="60" spans="1:90" s="290" customFormat="1">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9"/>
      <c r="AH60" s="289"/>
      <c r="AI60" s="289"/>
      <c r="AJ60" s="289"/>
      <c r="AK60" s="289"/>
      <c r="AL60" s="289"/>
      <c r="AM60" s="289"/>
      <c r="AN60" s="243"/>
      <c r="AO60" s="243"/>
      <c r="AP60" s="243"/>
      <c r="AQ60" s="243"/>
      <c r="AR60" s="243"/>
      <c r="AS60" s="243"/>
      <c r="AT60" s="243"/>
      <c r="AU60" s="243"/>
      <c r="AV60" s="243"/>
      <c r="AW60" s="243"/>
      <c r="AX60" s="243"/>
      <c r="AY60" s="243"/>
      <c r="AZ60" s="243"/>
      <c r="BA60" s="243"/>
      <c r="BB60" s="246"/>
      <c r="BC60" s="246"/>
      <c r="BD60" s="243"/>
      <c r="BE60" s="243"/>
      <c r="BF60" s="243"/>
      <c r="BG60" s="243"/>
      <c r="BH60" s="243"/>
      <c r="BI60" s="243"/>
      <c r="BJ60" s="243"/>
      <c r="BK60" s="243"/>
      <c r="BL60" s="243"/>
      <c r="BM60" s="243"/>
      <c r="BN60" s="243"/>
      <c r="BO60" s="243"/>
      <c r="BP60" s="243"/>
      <c r="BQ60" s="243"/>
      <c r="BR60" s="243"/>
      <c r="BS60" s="243"/>
      <c r="BT60" s="243"/>
      <c r="BU60" s="243"/>
      <c r="BV60" s="243"/>
      <c r="BW60" s="243"/>
      <c r="BX60" s="243"/>
      <c r="BY60" s="243"/>
      <c r="BZ60" s="243"/>
      <c r="CA60" s="243"/>
      <c r="CB60" s="243"/>
      <c r="CC60" s="243"/>
      <c r="CD60" s="243"/>
      <c r="CE60" s="243"/>
      <c r="CF60" s="243"/>
      <c r="CG60" s="243"/>
      <c r="CH60" s="243"/>
      <c r="CI60" s="243"/>
      <c r="CJ60" s="243"/>
      <c r="CK60" s="243"/>
      <c r="CL60" s="243"/>
    </row>
    <row r="61" spans="1:90" s="290" customFormat="1">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8"/>
      <c r="AG61" s="289"/>
      <c r="AH61" s="289"/>
      <c r="AI61" s="289"/>
      <c r="AJ61" s="289"/>
      <c r="AK61" s="289"/>
      <c r="AL61" s="289"/>
      <c r="AM61" s="289"/>
      <c r="AN61" s="243"/>
      <c r="AO61" s="243"/>
      <c r="AP61" s="243"/>
      <c r="AQ61" s="243"/>
      <c r="AR61" s="243"/>
      <c r="AS61" s="243"/>
      <c r="AT61" s="243"/>
      <c r="AU61" s="243"/>
      <c r="AV61" s="243"/>
      <c r="AW61" s="243"/>
      <c r="AX61" s="243"/>
      <c r="AY61" s="243"/>
      <c r="AZ61" s="243"/>
      <c r="BA61" s="243"/>
      <c r="BB61" s="246"/>
      <c r="BC61" s="246"/>
      <c r="BD61" s="243"/>
      <c r="BE61" s="243"/>
      <c r="BF61" s="243"/>
      <c r="BG61" s="243"/>
      <c r="BH61" s="243"/>
      <c r="BI61" s="243"/>
      <c r="BJ61" s="243"/>
      <c r="BK61" s="243"/>
      <c r="BL61" s="243"/>
      <c r="BM61" s="243"/>
      <c r="BN61" s="243"/>
      <c r="BO61" s="243"/>
      <c r="BP61" s="243"/>
      <c r="BQ61" s="243"/>
      <c r="BR61" s="243"/>
      <c r="BS61" s="243"/>
      <c r="BT61" s="243"/>
      <c r="BU61" s="243"/>
      <c r="BV61" s="243"/>
      <c r="BW61" s="243"/>
      <c r="BX61" s="243"/>
      <c r="BY61" s="243"/>
      <c r="BZ61" s="243"/>
      <c r="CA61" s="243"/>
      <c r="CB61" s="243"/>
      <c r="CC61" s="243"/>
      <c r="CD61" s="243"/>
      <c r="CE61" s="243"/>
      <c r="CF61" s="243"/>
      <c r="CG61" s="243"/>
      <c r="CH61" s="243"/>
      <c r="CI61" s="243"/>
      <c r="CJ61" s="243"/>
      <c r="CK61" s="243"/>
      <c r="CL61" s="243"/>
    </row>
    <row r="62" spans="1:90" s="290" customFormat="1">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8"/>
      <c r="AG62" s="289"/>
      <c r="AH62" s="289"/>
      <c r="AI62" s="289"/>
      <c r="AJ62" s="289"/>
      <c r="AK62" s="289"/>
      <c r="AL62" s="289"/>
      <c r="AM62" s="289"/>
      <c r="AN62" s="243"/>
      <c r="AO62" s="243"/>
      <c r="AP62" s="243"/>
      <c r="AQ62" s="243"/>
      <c r="AR62" s="243"/>
      <c r="AS62" s="243"/>
      <c r="AT62" s="243"/>
      <c r="AU62" s="243"/>
      <c r="AV62" s="243"/>
      <c r="AW62" s="243"/>
      <c r="AX62" s="243"/>
      <c r="AY62" s="243"/>
      <c r="AZ62" s="243"/>
      <c r="BA62" s="243"/>
      <c r="BB62" s="246"/>
      <c r="BC62" s="246"/>
      <c r="BD62" s="243"/>
      <c r="BE62" s="243"/>
      <c r="BF62" s="243"/>
      <c r="BG62" s="243"/>
      <c r="BH62" s="243"/>
      <c r="BI62" s="243"/>
      <c r="BJ62" s="243"/>
      <c r="BK62" s="243"/>
      <c r="BL62" s="243"/>
      <c r="BM62" s="243"/>
      <c r="BN62" s="243"/>
      <c r="BO62" s="243"/>
      <c r="BP62" s="243"/>
      <c r="BQ62" s="243"/>
      <c r="BR62" s="243"/>
      <c r="BS62" s="243"/>
      <c r="BT62" s="243"/>
      <c r="BU62" s="243"/>
      <c r="BV62" s="243"/>
      <c r="BW62" s="243"/>
      <c r="BX62" s="243"/>
      <c r="BY62" s="243"/>
      <c r="BZ62" s="243"/>
      <c r="CA62" s="243"/>
      <c r="CB62" s="243"/>
      <c r="CC62" s="243"/>
      <c r="CD62" s="243"/>
      <c r="CE62" s="243"/>
      <c r="CF62" s="243"/>
      <c r="CG62" s="243"/>
      <c r="CH62" s="243"/>
      <c r="CI62" s="243"/>
      <c r="CJ62" s="243"/>
      <c r="CK62" s="243"/>
      <c r="CL62" s="243"/>
    </row>
    <row r="63" spans="1:90" s="290" customFormat="1">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9"/>
      <c r="AH63" s="289"/>
      <c r="AI63" s="289"/>
      <c r="AJ63" s="289"/>
      <c r="AK63" s="289"/>
      <c r="AL63" s="289"/>
      <c r="AM63" s="289"/>
      <c r="AN63" s="243"/>
      <c r="AO63" s="243"/>
      <c r="AP63" s="243"/>
      <c r="AQ63" s="243"/>
      <c r="AR63" s="243"/>
      <c r="AS63" s="243"/>
      <c r="AT63" s="243"/>
      <c r="AU63" s="243"/>
      <c r="AV63" s="243"/>
      <c r="AW63" s="243"/>
      <c r="AX63" s="243"/>
      <c r="AY63" s="243"/>
      <c r="AZ63" s="243"/>
      <c r="BA63" s="243"/>
      <c r="BB63" s="246"/>
      <c r="BC63" s="246"/>
      <c r="BD63" s="243"/>
      <c r="BE63" s="243"/>
      <c r="BF63" s="243"/>
      <c r="BG63" s="243"/>
      <c r="BH63" s="243"/>
      <c r="BI63" s="243"/>
      <c r="BJ63" s="243"/>
      <c r="BK63" s="243"/>
      <c r="BL63" s="243"/>
      <c r="BM63" s="243"/>
      <c r="BN63" s="243"/>
      <c r="BO63" s="243"/>
      <c r="BP63" s="243"/>
      <c r="BQ63" s="243"/>
      <c r="BR63" s="243"/>
      <c r="BS63" s="243"/>
      <c r="BT63" s="243"/>
      <c r="BU63" s="243"/>
      <c r="BV63" s="243"/>
      <c r="BW63" s="243"/>
      <c r="BX63" s="243"/>
      <c r="BY63" s="243"/>
      <c r="BZ63" s="243"/>
      <c r="CA63" s="243"/>
      <c r="CB63" s="243"/>
      <c r="CC63" s="243"/>
      <c r="CD63" s="243"/>
      <c r="CE63" s="243"/>
      <c r="CF63" s="243"/>
      <c r="CG63" s="243"/>
      <c r="CH63" s="243"/>
      <c r="CI63" s="243"/>
      <c r="CJ63" s="243"/>
      <c r="CK63" s="243"/>
      <c r="CL63" s="243"/>
    </row>
    <row r="64" spans="1:90" s="290" customFormat="1">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8"/>
      <c r="AG64" s="289"/>
      <c r="AH64" s="289"/>
      <c r="AI64" s="289"/>
      <c r="AJ64" s="289"/>
      <c r="AK64" s="289"/>
      <c r="AL64" s="289"/>
      <c r="AM64" s="289"/>
      <c r="AN64" s="243"/>
      <c r="AO64" s="243"/>
      <c r="AP64" s="243"/>
      <c r="AQ64" s="243"/>
      <c r="AR64" s="243"/>
      <c r="AS64" s="243"/>
      <c r="AT64" s="243"/>
      <c r="AU64" s="243"/>
      <c r="AV64" s="243"/>
      <c r="AW64" s="243"/>
      <c r="AX64" s="243"/>
      <c r="AY64" s="243"/>
      <c r="AZ64" s="243"/>
      <c r="BA64" s="243"/>
      <c r="BB64" s="246"/>
      <c r="BC64" s="246"/>
      <c r="BD64" s="243"/>
      <c r="BE64" s="243"/>
      <c r="BF64" s="243"/>
      <c r="BG64" s="243"/>
      <c r="BH64" s="243"/>
      <c r="BI64" s="243"/>
      <c r="BJ64" s="243"/>
      <c r="BK64" s="243"/>
      <c r="BL64" s="243"/>
      <c r="BM64" s="243"/>
      <c r="BN64" s="243"/>
      <c r="BO64" s="243"/>
      <c r="BP64" s="243"/>
      <c r="BQ64" s="243"/>
      <c r="BR64" s="243"/>
      <c r="BS64" s="243"/>
      <c r="BT64" s="243"/>
      <c r="BU64" s="243"/>
      <c r="BV64" s="243"/>
      <c r="BW64" s="243"/>
      <c r="BX64" s="243"/>
      <c r="BY64" s="243"/>
      <c r="BZ64" s="243"/>
      <c r="CA64" s="243"/>
      <c r="CB64" s="243"/>
      <c r="CC64" s="243"/>
      <c r="CD64" s="243"/>
      <c r="CE64" s="243"/>
      <c r="CF64" s="243"/>
      <c r="CG64" s="243"/>
      <c r="CH64" s="243"/>
      <c r="CI64" s="243"/>
      <c r="CJ64" s="243"/>
      <c r="CK64" s="243"/>
      <c r="CL64" s="243"/>
    </row>
    <row r="65" spans="1:90" s="290" customFormat="1">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9"/>
      <c r="AH65" s="289"/>
      <c r="AI65" s="289"/>
      <c r="AJ65" s="289"/>
      <c r="AK65" s="289"/>
      <c r="AL65" s="289"/>
      <c r="AM65" s="289"/>
      <c r="AN65" s="243"/>
      <c r="AO65" s="243"/>
      <c r="AP65" s="243"/>
      <c r="AQ65" s="243"/>
      <c r="AR65" s="243"/>
      <c r="AS65" s="243"/>
      <c r="AT65" s="243"/>
      <c r="AU65" s="243"/>
      <c r="AV65" s="243"/>
      <c r="AW65" s="243"/>
      <c r="AX65" s="243"/>
      <c r="AY65" s="243"/>
      <c r="AZ65" s="243"/>
      <c r="BA65" s="243"/>
      <c r="BB65" s="246"/>
      <c r="BC65" s="246"/>
      <c r="BD65" s="243"/>
      <c r="BE65" s="243"/>
      <c r="BF65" s="243"/>
      <c r="BG65" s="243"/>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row>
    <row r="66" spans="1:90" s="290" customFormat="1">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9"/>
      <c r="AH66" s="289"/>
      <c r="AI66" s="289"/>
      <c r="AJ66" s="289"/>
      <c r="AK66" s="289"/>
      <c r="AL66" s="289"/>
      <c r="AM66" s="289"/>
      <c r="AN66" s="243"/>
      <c r="AO66" s="243"/>
      <c r="AP66" s="243"/>
      <c r="AQ66" s="243"/>
      <c r="AR66" s="243"/>
      <c r="AS66" s="243"/>
      <c r="AT66" s="243"/>
      <c r="AU66" s="243"/>
      <c r="AV66" s="243"/>
      <c r="AW66" s="243"/>
      <c r="AX66" s="243"/>
      <c r="AY66" s="243"/>
      <c r="AZ66" s="243"/>
      <c r="BA66" s="243"/>
      <c r="BB66" s="246"/>
      <c r="BC66" s="246"/>
      <c r="BD66" s="243"/>
      <c r="BE66" s="243"/>
      <c r="BF66" s="243"/>
      <c r="BG66" s="243"/>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row>
    <row r="67" spans="1:90" s="290" customFormat="1">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9"/>
      <c r="AH67" s="289"/>
      <c r="AI67" s="289"/>
      <c r="AJ67" s="289"/>
      <c r="AK67" s="289"/>
      <c r="AL67" s="289"/>
      <c r="AM67" s="289"/>
      <c r="AN67" s="243"/>
      <c r="AO67" s="243"/>
      <c r="AP67" s="243"/>
      <c r="AQ67" s="243"/>
      <c r="AR67" s="243"/>
      <c r="AS67" s="243"/>
      <c r="AT67" s="243"/>
      <c r="AU67" s="243"/>
      <c r="AV67" s="243"/>
      <c r="AW67" s="243"/>
      <c r="AX67" s="243"/>
      <c r="AY67" s="243"/>
      <c r="AZ67" s="243"/>
      <c r="BA67" s="243"/>
      <c r="BB67" s="246"/>
      <c r="BC67" s="246"/>
      <c r="BD67" s="243"/>
      <c r="BE67" s="243"/>
      <c r="BF67" s="243"/>
      <c r="BG67" s="243"/>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row>
    <row r="68" spans="1:90" s="290" customFormat="1">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9"/>
      <c r="AH68" s="289"/>
      <c r="AI68" s="289"/>
      <c r="AJ68" s="289"/>
      <c r="AK68" s="289"/>
      <c r="AL68" s="289"/>
      <c r="AM68" s="289"/>
      <c r="AN68" s="243"/>
      <c r="AO68" s="243"/>
      <c r="AP68" s="243"/>
      <c r="AQ68" s="243"/>
      <c r="AR68" s="243"/>
      <c r="AS68" s="243"/>
      <c r="AT68" s="243"/>
      <c r="AU68" s="243"/>
      <c r="AV68" s="243"/>
      <c r="AW68" s="243"/>
      <c r="AX68" s="243"/>
      <c r="AY68" s="243"/>
      <c r="AZ68" s="243"/>
      <c r="BA68" s="243"/>
      <c r="BB68" s="246"/>
      <c r="BC68" s="246"/>
      <c r="BD68" s="243"/>
      <c r="BE68" s="243"/>
      <c r="BF68" s="243"/>
      <c r="BG68" s="243"/>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row>
    <row r="69" spans="1:90">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9"/>
      <c r="AH69" s="289"/>
      <c r="AI69" s="289"/>
      <c r="AJ69" s="289"/>
      <c r="AK69" s="289"/>
      <c r="AL69" s="289"/>
      <c r="AM69" s="289"/>
      <c r="AN69" s="243"/>
      <c r="AO69" s="243"/>
      <c r="AP69" s="243"/>
      <c r="AQ69" s="243"/>
      <c r="AR69" s="243"/>
      <c r="AS69" s="243"/>
      <c r="AT69" s="243"/>
      <c r="AU69" s="243"/>
      <c r="AV69" s="243"/>
      <c r="AW69" s="243"/>
      <c r="AX69" s="243"/>
      <c r="AY69" s="243"/>
      <c r="AZ69" s="243"/>
      <c r="BA69" s="243"/>
      <c r="BB69" s="246"/>
      <c r="BC69" s="246"/>
      <c r="BD69" s="243"/>
      <c r="BE69" s="243"/>
      <c r="BF69" s="243"/>
      <c r="BG69" s="243"/>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row>
    <row r="70" spans="1:90">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9"/>
      <c r="AH70" s="289"/>
      <c r="AI70" s="289"/>
      <c r="AJ70" s="289"/>
      <c r="AK70" s="289"/>
      <c r="AL70" s="289"/>
      <c r="AM70" s="289"/>
      <c r="AN70" s="243"/>
      <c r="AO70" s="243"/>
      <c r="AP70" s="243"/>
      <c r="AQ70" s="243"/>
      <c r="AR70" s="243"/>
      <c r="AS70" s="243"/>
      <c r="AT70" s="243"/>
      <c r="AU70" s="243"/>
      <c r="AV70" s="243"/>
      <c r="AW70" s="243"/>
      <c r="AX70" s="243"/>
      <c r="AY70" s="243"/>
      <c r="AZ70" s="243"/>
      <c r="BA70" s="243"/>
      <c r="BB70" s="246"/>
      <c r="BC70" s="246"/>
      <c r="BD70" s="243"/>
      <c r="BE70" s="243"/>
      <c r="BF70" s="243"/>
      <c r="BG70" s="243"/>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row>
    <row r="71" spans="1:90">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9"/>
      <c r="AH71" s="289"/>
      <c r="AI71" s="289"/>
      <c r="AJ71" s="289"/>
      <c r="AK71" s="289"/>
      <c r="AL71" s="289"/>
      <c r="AM71" s="289"/>
      <c r="AN71" s="243"/>
      <c r="AO71" s="243"/>
      <c r="AP71" s="243"/>
      <c r="AQ71" s="243"/>
      <c r="AR71" s="243"/>
      <c r="AS71" s="243"/>
      <c r="AT71" s="243"/>
      <c r="AU71" s="243"/>
      <c r="AV71" s="243"/>
      <c r="AW71" s="243"/>
      <c r="AX71" s="243"/>
      <c r="AY71" s="243"/>
      <c r="AZ71" s="243"/>
      <c r="BA71" s="243"/>
      <c r="BB71" s="246"/>
      <c r="BC71" s="246"/>
      <c r="BD71" s="243"/>
      <c r="BE71" s="243"/>
      <c r="BF71" s="243"/>
      <c r="BG71" s="243"/>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row>
    <row r="72" spans="1:90">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9"/>
      <c r="AH72" s="289"/>
      <c r="AI72" s="289"/>
      <c r="AJ72" s="289"/>
      <c r="AK72" s="289"/>
      <c r="AL72" s="289"/>
      <c r="AM72" s="289"/>
      <c r="AN72" s="243"/>
      <c r="AO72" s="243"/>
      <c r="AP72" s="243"/>
      <c r="AQ72" s="243"/>
      <c r="AR72" s="243"/>
      <c r="AS72" s="243"/>
      <c r="AT72" s="243"/>
      <c r="AU72" s="243"/>
      <c r="AV72" s="243"/>
      <c r="AW72" s="243"/>
      <c r="AX72" s="243"/>
      <c r="AY72" s="243"/>
      <c r="AZ72" s="243"/>
      <c r="BA72" s="243"/>
      <c r="BB72" s="246"/>
      <c r="BC72" s="246"/>
      <c r="BD72" s="243"/>
      <c r="BE72" s="243"/>
      <c r="BF72" s="243"/>
      <c r="BG72" s="243"/>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row>
    <row r="73" spans="1:90">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9"/>
      <c r="AH73" s="289"/>
      <c r="AI73" s="289"/>
      <c r="AJ73" s="289"/>
      <c r="AK73" s="289"/>
      <c r="AL73" s="289"/>
      <c r="AM73" s="289"/>
      <c r="AN73" s="243"/>
      <c r="AO73" s="243"/>
      <c r="AP73" s="243"/>
      <c r="AQ73" s="243"/>
      <c r="AR73" s="243"/>
      <c r="AS73" s="243"/>
      <c r="AT73" s="243"/>
      <c r="AU73" s="243"/>
      <c r="AV73" s="243"/>
      <c r="AW73" s="243"/>
      <c r="AX73" s="243"/>
      <c r="AY73" s="243"/>
      <c r="AZ73" s="243"/>
      <c r="BA73" s="243"/>
      <c r="BB73" s="246"/>
      <c r="BC73" s="246"/>
      <c r="BD73" s="243"/>
      <c r="BE73" s="243"/>
      <c r="BF73" s="243"/>
      <c r="BG73" s="243"/>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row>
    <row r="74" spans="1:90">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9"/>
      <c r="AH74" s="289"/>
      <c r="AI74" s="289"/>
      <c r="AJ74" s="289"/>
      <c r="AK74" s="289"/>
      <c r="AL74" s="289"/>
      <c r="AM74" s="289"/>
      <c r="AN74" s="243"/>
      <c r="AO74" s="243"/>
      <c r="AP74" s="243"/>
      <c r="AQ74" s="243"/>
      <c r="AR74" s="243"/>
      <c r="AS74" s="243"/>
      <c r="AT74" s="243"/>
      <c r="AU74" s="243"/>
      <c r="AV74" s="243"/>
      <c r="AW74" s="243"/>
      <c r="AX74" s="243"/>
      <c r="AY74" s="243"/>
      <c r="AZ74" s="243"/>
      <c r="BA74" s="243"/>
      <c r="BB74" s="246"/>
      <c r="BC74" s="246"/>
      <c r="BD74" s="243"/>
      <c r="BE74" s="243"/>
      <c r="BF74" s="243"/>
      <c r="BG74" s="243"/>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row>
    <row r="75" spans="1:90">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9"/>
      <c r="AH75" s="289"/>
      <c r="AI75" s="289"/>
      <c r="AJ75" s="289"/>
      <c r="AK75" s="289"/>
      <c r="AL75" s="289"/>
      <c r="AM75" s="289"/>
      <c r="AN75" s="243"/>
      <c r="AO75" s="243"/>
      <c r="AP75" s="243"/>
      <c r="AQ75" s="243"/>
      <c r="AR75" s="243"/>
      <c r="AS75" s="243"/>
      <c r="AT75" s="243"/>
      <c r="AU75" s="243"/>
      <c r="AV75" s="243"/>
      <c r="AW75" s="243"/>
      <c r="AX75" s="243"/>
      <c r="AY75" s="243"/>
      <c r="AZ75" s="243"/>
      <c r="BA75" s="243"/>
      <c r="BB75" s="246"/>
      <c r="BC75" s="246"/>
      <c r="BD75" s="243"/>
      <c r="BE75" s="243"/>
      <c r="BF75" s="243"/>
      <c r="BG75" s="243"/>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row>
    <row r="76" spans="1:90">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9"/>
      <c r="AH76" s="289"/>
      <c r="AI76" s="289"/>
      <c r="AJ76" s="289"/>
      <c r="AK76" s="289"/>
      <c r="AL76" s="289"/>
      <c r="AM76" s="289"/>
      <c r="AN76" s="243"/>
      <c r="AO76" s="243"/>
      <c r="AP76" s="243"/>
      <c r="AQ76" s="243"/>
      <c r="AR76" s="243"/>
      <c r="AS76" s="243"/>
      <c r="AT76" s="243"/>
      <c r="AU76" s="243"/>
      <c r="AV76" s="243"/>
      <c r="AW76" s="243"/>
      <c r="AX76" s="243"/>
      <c r="AY76" s="243"/>
      <c r="AZ76" s="243"/>
      <c r="BA76" s="243"/>
      <c r="BB76" s="246"/>
      <c r="BC76" s="246"/>
      <c r="BD76" s="243"/>
      <c r="BE76" s="243"/>
      <c r="BF76" s="243"/>
      <c r="BG76" s="243"/>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row>
    <row r="77" spans="1:90">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9"/>
      <c r="AH77" s="289"/>
      <c r="AI77" s="289"/>
      <c r="AJ77" s="289"/>
      <c r="AK77" s="289"/>
      <c r="AL77" s="289"/>
      <c r="AM77" s="289"/>
      <c r="AN77" s="243"/>
      <c r="AO77" s="243"/>
      <c r="AP77" s="243"/>
      <c r="AQ77" s="243"/>
      <c r="AR77" s="243"/>
      <c r="AS77" s="243"/>
      <c r="AT77" s="243"/>
      <c r="AU77" s="243"/>
      <c r="AV77" s="243"/>
      <c r="AW77" s="243"/>
      <c r="AX77" s="243"/>
      <c r="AY77" s="243"/>
      <c r="AZ77" s="243"/>
      <c r="BA77" s="243"/>
      <c r="BB77" s="246"/>
      <c r="BC77" s="246"/>
      <c r="BD77" s="243"/>
      <c r="BE77" s="243"/>
      <c r="BF77" s="243"/>
      <c r="BG77" s="243"/>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row>
    <row r="78" spans="1:90">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9"/>
      <c r="AH78" s="289"/>
      <c r="AI78" s="289"/>
      <c r="AJ78" s="289"/>
      <c r="AK78" s="289"/>
      <c r="AL78" s="289"/>
      <c r="AM78" s="289"/>
      <c r="AN78" s="243"/>
      <c r="AO78" s="243"/>
      <c r="AP78" s="243"/>
      <c r="AQ78" s="243"/>
      <c r="AR78" s="243"/>
      <c r="AS78" s="243"/>
      <c r="AT78" s="243"/>
      <c r="AU78" s="243"/>
      <c r="AV78" s="243"/>
      <c r="AW78" s="243"/>
      <c r="AX78" s="243"/>
      <c r="AY78" s="243"/>
      <c r="AZ78" s="243"/>
      <c r="BA78" s="243"/>
      <c r="BB78" s="246"/>
      <c r="BC78" s="246"/>
      <c r="BD78" s="243"/>
      <c r="BE78" s="243"/>
      <c r="BF78" s="243"/>
      <c r="BG78" s="243"/>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row>
    <row r="79" spans="1:90">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9"/>
      <c r="AH79" s="289"/>
      <c r="AI79" s="289"/>
      <c r="AJ79" s="289"/>
      <c r="AK79" s="289"/>
      <c r="AL79" s="289"/>
      <c r="AM79" s="289"/>
      <c r="AN79" s="243"/>
      <c r="AO79" s="243"/>
      <c r="AP79" s="243"/>
      <c r="AQ79" s="243"/>
      <c r="AR79" s="243"/>
      <c r="AS79" s="243"/>
      <c r="AT79" s="243"/>
      <c r="AU79" s="243"/>
      <c r="AV79" s="243"/>
      <c r="AW79" s="243"/>
      <c r="AX79" s="243"/>
      <c r="AY79" s="243"/>
      <c r="AZ79" s="243"/>
      <c r="BA79" s="243"/>
      <c r="BB79" s="246"/>
      <c r="BC79" s="246"/>
      <c r="BD79" s="243"/>
      <c r="BE79" s="243"/>
      <c r="BF79" s="243"/>
      <c r="BG79" s="243"/>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row>
    <row r="80" spans="1:90">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9"/>
      <c r="AH80" s="289"/>
      <c r="AI80" s="289"/>
      <c r="AJ80" s="289"/>
      <c r="AK80" s="289"/>
      <c r="AL80" s="289"/>
      <c r="AM80" s="289"/>
      <c r="AN80" s="243"/>
      <c r="AO80" s="243"/>
      <c r="AP80" s="243"/>
      <c r="AQ80" s="243"/>
      <c r="AR80" s="243"/>
      <c r="AS80" s="243"/>
      <c r="AT80" s="243"/>
      <c r="AU80" s="243"/>
      <c r="AV80" s="243"/>
      <c r="AW80" s="243"/>
      <c r="AX80" s="243"/>
      <c r="AY80" s="243"/>
      <c r="AZ80" s="243"/>
      <c r="BA80" s="243"/>
      <c r="BB80" s="246"/>
      <c r="BC80" s="246"/>
      <c r="BD80" s="243"/>
      <c r="BE80" s="243"/>
      <c r="BF80" s="243"/>
      <c r="BG80" s="243"/>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row>
    <row r="81" spans="1:90">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9"/>
      <c r="AH81" s="289"/>
      <c r="AI81" s="289"/>
      <c r="AJ81" s="289"/>
      <c r="AK81" s="289"/>
      <c r="AL81" s="289"/>
      <c r="AM81" s="289"/>
      <c r="AN81" s="243"/>
      <c r="AO81" s="243"/>
      <c r="AP81" s="243"/>
      <c r="AQ81" s="243"/>
      <c r="AR81" s="243"/>
      <c r="AS81" s="243"/>
      <c r="AT81" s="243"/>
      <c r="AU81" s="243"/>
      <c r="AV81" s="243"/>
      <c r="AW81" s="243"/>
      <c r="AX81" s="243"/>
      <c r="AY81" s="243"/>
      <c r="AZ81" s="243"/>
      <c r="BA81" s="243"/>
      <c r="BB81" s="246"/>
      <c r="BC81" s="246"/>
      <c r="BD81" s="243"/>
      <c r="BE81" s="243"/>
      <c r="BF81" s="243"/>
      <c r="BG81" s="243"/>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row>
    <row r="82" spans="1:90">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9"/>
      <c r="AH82" s="289"/>
      <c r="AI82" s="289"/>
      <c r="AJ82" s="289"/>
      <c r="AK82" s="289"/>
      <c r="AL82" s="289"/>
      <c r="AM82" s="289"/>
      <c r="AN82" s="243"/>
      <c r="AO82" s="243"/>
      <c r="AP82" s="243"/>
      <c r="AQ82" s="243"/>
      <c r="AR82" s="243"/>
      <c r="AS82" s="243"/>
      <c r="AT82" s="243"/>
      <c r="AU82" s="243"/>
      <c r="AV82" s="243"/>
      <c r="AW82" s="243"/>
      <c r="AX82" s="243"/>
      <c r="AY82" s="243"/>
      <c r="AZ82" s="243"/>
      <c r="BA82" s="243"/>
      <c r="BB82" s="246"/>
      <c r="BC82" s="246"/>
      <c r="BD82" s="243"/>
      <c r="BE82" s="243"/>
      <c r="BF82" s="243"/>
      <c r="BG82" s="243"/>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row>
    <row r="83" spans="1:90">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9"/>
      <c r="AH83" s="289"/>
      <c r="AI83" s="289"/>
      <c r="AJ83" s="289"/>
      <c r="AK83" s="289"/>
      <c r="AL83" s="289"/>
      <c r="AM83" s="289"/>
      <c r="AN83" s="243"/>
      <c r="AO83" s="243"/>
      <c r="AP83" s="243"/>
      <c r="AQ83" s="243"/>
      <c r="AR83" s="243"/>
      <c r="AS83" s="243"/>
      <c r="AT83" s="243"/>
      <c r="AU83" s="243"/>
      <c r="AV83" s="243"/>
      <c r="AW83" s="243"/>
      <c r="AX83" s="243"/>
      <c r="AY83" s="243"/>
      <c r="AZ83" s="243"/>
      <c r="BA83" s="243"/>
      <c r="BB83" s="246"/>
      <c r="BC83" s="246"/>
      <c r="BD83" s="243"/>
      <c r="BE83" s="243"/>
      <c r="BF83" s="243"/>
      <c r="BG83" s="243"/>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row>
    <row r="84" spans="1:90">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9"/>
      <c r="AH84" s="289"/>
      <c r="AI84" s="289"/>
      <c r="AJ84" s="289"/>
      <c r="AK84" s="289"/>
      <c r="AL84" s="289"/>
      <c r="AM84" s="289"/>
      <c r="AN84" s="243"/>
      <c r="AO84" s="243"/>
      <c r="AP84" s="243"/>
      <c r="AQ84" s="243"/>
      <c r="AR84" s="243"/>
      <c r="AS84" s="243"/>
      <c r="AT84" s="243"/>
      <c r="AU84" s="243"/>
      <c r="AV84" s="243"/>
      <c r="AW84" s="243"/>
      <c r="AX84" s="243"/>
      <c r="AY84" s="243"/>
      <c r="AZ84" s="243"/>
      <c r="BA84" s="243"/>
      <c r="BB84" s="246"/>
      <c r="BC84" s="246"/>
      <c r="BD84" s="243"/>
      <c r="BE84" s="243"/>
      <c r="BF84" s="243"/>
      <c r="BG84" s="243"/>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row>
    <row r="85" spans="1:90">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9"/>
      <c r="AH85" s="289"/>
      <c r="AI85" s="289"/>
      <c r="AJ85" s="289"/>
      <c r="AK85" s="289"/>
      <c r="AL85" s="289"/>
      <c r="AM85" s="289"/>
      <c r="AN85" s="243"/>
      <c r="AO85" s="243"/>
      <c r="AP85" s="243"/>
      <c r="AQ85" s="243"/>
      <c r="AR85" s="243"/>
      <c r="AS85" s="243"/>
      <c r="AT85" s="243"/>
      <c r="AU85" s="243"/>
      <c r="AV85" s="243"/>
      <c r="AW85" s="243"/>
      <c r="AX85" s="243"/>
      <c r="AY85" s="243"/>
      <c r="AZ85" s="243"/>
      <c r="BA85" s="243"/>
      <c r="BB85" s="246"/>
      <c r="BC85" s="246"/>
      <c r="BD85" s="243"/>
      <c r="BE85" s="243"/>
      <c r="BF85" s="243"/>
      <c r="BG85" s="243"/>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row>
    <row r="86" spans="1:90">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9"/>
      <c r="AH86" s="289"/>
      <c r="AI86" s="289"/>
      <c r="AJ86" s="289"/>
      <c r="AK86" s="289"/>
      <c r="AL86" s="289"/>
      <c r="AM86" s="289"/>
      <c r="AN86" s="243"/>
      <c r="AO86" s="243"/>
      <c r="AP86" s="243"/>
      <c r="AQ86" s="243"/>
      <c r="AR86" s="243"/>
      <c r="AS86" s="243"/>
      <c r="AT86" s="243"/>
      <c r="AU86" s="243"/>
      <c r="AV86" s="243"/>
      <c r="AW86" s="243"/>
      <c r="AX86" s="243"/>
      <c r="AY86" s="243"/>
      <c r="AZ86" s="243"/>
      <c r="BA86" s="243"/>
      <c r="BB86" s="246"/>
      <c r="BC86" s="246"/>
      <c r="BD86" s="243"/>
      <c r="BE86" s="243"/>
      <c r="BF86" s="243"/>
      <c r="BG86" s="243"/>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row>
    <row r="87" spans="1:90">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9"/>
      <c r="AH87" s="289"/>
      <c r="AI87" s="289"/>
      <c r="AJ87" s="289"/>
      <c r="AK87" s="289"/>
      <c r="AL87" s="289"/>
      <c r="AM87" s="289"/>
      <c r="AN87" s="243"/>
      <c r="AO87" s="243"/>
      <c r="AP87" s="243"/>
      <c r="AQ87" s="243"/>
      <c r="AR87" s="243"/>
      <c r="AS87" s="243"/>
      <c r="AT87" s="243"/>
      <c r="AU87" s="243"/>
      <c r="AV87" s="243"/>
      <c r="AW87" s="243"/>
      <c r="AX87" s="243"/>
      <c r="AY87" s="243"/>
      <c r="AZ87" s="243"/>
      <c r="BA87" s="243"/>
      <c r="BB87" s="246"/>
      <c r="BC87" s="246"/>
      <c r="BD87" s="243"/>
      <c r="BE87" s="243"/>
      <c r="BF87" s="243"/>
      <c r="BG87" s="243"/>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row>
    <row r="88" spans="1:90">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9"/>
      <c r="AH88" s="289"/>
      <c r="AI88" s="289"/>
      <c r="AJ88" s="289"/>
      <c r="AK88" s="289"/>
      <c r="AL88" s="289"/>
      <c r="AM88" s="289"/>
      <c r="AN88" s="243"/>
      <c r="AO88" s="243"/>
      <c r="AP88" s="243"/>
      <c r="AQ88" s="243"/>
      <c r="AR88" s="243"/>
      <c r="AS88" s="243"/>
      <c r="AT88" s="243"/>
      <c r="AU88" s="243"/>
      <c r="AV88" s="243"/>
      <c r="AW88" s="243"/>
      <c r="AX88" s="243"/>
      <c r="AY88" s="243"/>
      <c r="AZ88" s="243"/>
      <c r="BA88" s="243"/>
      <c r="BB88" s="246"/>
      <c r="BC88" s="246"/>
      <c r="BD88" s="243"/>
      <c r="BE88" s="243"/>
      <c r="BF88" s="243"/>
      <c r="BG88" s="243"/>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row>
    <row r="89" spans="1:90">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9"/>
      <c r="AH89" s="289"/>
      <c r="AI89" s="289"/>
      <c r="AJ89" s="289"/>
      <c r="AK89" s="289"/>
      <c r="AL89" s="289"/>
      <c r="AM89" s="289"/>
      <c r="AN89" s="243"/>
      <c r="AO89" s="243"/>
      <c r="AP89" s="243"/>
      <c r="AQ89" s="243"/>
      <c r="AR89" s="243"/>
      <c r="AS89" s="243"/>
      <c r="AT89" s="243"/>
      <c r="AU89" s="243"/>
      <c r="AV89" s="243"/>
      <c r="AW89" s="243"/>
      <c r="AX89" s="243"/>
      <c r="AY89" s="243"/>
      <c r="AZ89" s="243"/>
      <c r="BA89" s="243"/>
      <c r="BB89" s="246"/>
      <c r="BC89" s="246"/>
      <c r="BD89" s="243"/>
      <c r="BE89" s="243"/>
      <c r="BF89" s="243"/>
      <c r="BG89" s="243"/>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row>
    <row r="90" spans="1:90">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9"/>
      <c r="AH90" s="289"/>
      <c r="AI90" s="289"/>
      <c r="AJ90" s="289"/>
      <c r="AK90" s="289"/>
      <c r="AL90" s="289"/>
      <c r="AM90" s="289"/>
      <c r="AN90" s="243"/>
      <c r="AO90" s="243"/>
      <c r="AP90" s="243"/>
      <c r="AQ90" s="243"/>
      <c r="AR90" s="243"/>
      <c r="AS90" s="243"/>
      <c r="AT90" s="243"/>
      <c r="AU90" s="243"/>
      <c r="AV90" s="243"/>
      <c r="AW90" s="243"/>
      <c r="AX90" s="243"/>
      <c r="AY90" s="243"/>
      <c r="AZ90" s="243"/>
      <c r="BA90" s="243"/>
      <c r="BB90" s="246"/>
      <c r="BC90" s="246"/>
      <c r="BD90" s="243"/>
      <c r="BE90" s="243"/>
      <c r="BF90" s="243"/>
      <c r="BG90" s="243"/>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row>
    <row r="91" spans="1:90">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9"/>
      <c r="AH91" s="289"/>
      <c r="AI91" s="289"/>
      <c r="AJ91" s="289"/>
      <c r="AK91" s="289"/>
      <c r="AL91" s="289"/>
      <c r="AM91" s="289"/>
      <c r="AN91" s="243"/>
      <c r="AO91" s="243"/>
      <c r="AP91" s="243"/>
      <c r="AQ91" s="243"/>
      <c r="AR91" s="243"/>
      <c r="AS91" s="243"/>
      <c r="AT91" s="243"/>
      <c r="AU91" s="243"/>
      <c r="AV91" s="243"/>
      <c r="AW91" s="243"/>
      <c r="AX91" s="243"/>
      <c r="AY91" s="243"/>
      <c r="AZ91" s="243"/>
      <c r="BA91" s="243"/>
      <c r="BB91" s="246"/>
      <c r="BC91" s="246"/>
      <c r="BD91" s="243"/>
      <c r="BE91" s="243"/>
      <c r="BF91" s="243"/>
      <c r="BG91" s="243"/>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row>
    <row r="92" spans="1:90">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9"/>
      <c r="AH92" s="289"/>
      <c r="AI92" s="289"/>
      <c r="AJ92" s="289"/>
      <c r="AK92" s="289"/>
      <c r="AL92" s="289"/>
      <c r="AM92" s="289"/>
      <c r="AN92" s="243"/>
      <c r="AO92" s="243"/>
      <c r="AP92" s="243"/>
      <c r="AQ92" s="243"/>
      <c r="AR92" s="243"/>
      <c r="AS92" s="243"/>
      <c r="AT92" s="243"/>
      <c r="AU92" s="243"/>
      <c r="AV92" s="243"/>
      <c r="AW92" s="243"/>
      <c r="AX92" s="243"/>
      <c r="AY92" s="243"/>
      <c r="AZ92" s="243"/>
      <c r="BA92" s="243"/>
      <c r="BB92" s="246"/>
      <c r="BC92" s="246"/>
      <c r="BD92" s="243"/>
      <c r="BE92" s="243"/>
      <c r="BF92" s="243"/>
      <c r="BG92" s="243"/>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row>
    <row r="93" spans="1:90">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9"/>
      <c r="AH93" s="289"/>
      <c r="AI93" s="289"/>
      <c r="AJ93" s="289"/>
      <c r="AK93" s="289"/>
      <c r="AL93" s="289"/>
      <c r="AM93" s="289"/>
      <c r="AN93" s="243"/>
      <c r="AO93" s="243"/>
      <c r="AP93" s="243"/>
      <c r="AQ93" s="243"/>
      <c r="AR93" s="243"/>
      <c r="AS93" s="243"/>
      <c r="AT93" s="243"/>
      <c r="AU93" s="243"/>
      <c r="AV93" s="243"/>
      <c r="AW93" s="243"/>
      <c r="AX93" s="243"/>
      <c r="AY93" s="243"/>
      <c r="AZ93" s="243"/>
      <c r="BA93" s="243"/>
      <c r="BB93" s="246"/>
      <c r="BC93" s="246"/>
      <c r="BD93" s="243"/>
      <c r="BE93" s="243"/>
      <c r="BF93" s="243"/>
      <c r="BG93" s="243"/>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row>
    <row r="94" spans="1:90">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9"/>
      <c r="AH94" s="289"/>
      <c r="AI94" s="289"/>
      <c r="AJ94" s="289"/>
      <c r="AK94" s="289"/>
      <c r="AL94" s="289"/>
      <c r="AM94" s="289"/>
      <c r="AN94" s="243"/>
      <c r="AO94" s="243"/>
      <c r="AP94" s="243"/>
      <c r="AQ94" s="243"/>
      <c r="AR94" s="243"/>
      <c r="AS94" s="243"/>
      <c r="AT94" s="243"/>
      <c r="AU94" s="243"/>
      <c r="AV94" s="243"/>
      <c r="AW94" s="243"/>
      <c r="AX94" s="243"/>
      <c r="AY94" s="243"/>
      <c r="AZ94" s="243"/>
      <c r="BA94" s="243"/>
      <c r="BB94" s="246"/>
      <c r="BC94" s="246"/>
      <c r="BD94" s="243"/>
      <c r="BE94" s="243"/>
      <c r="BF94" s="243"/>
      <c r="BG94" s="243"/>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row>
    <row r="95" spans="1:90">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9"/>
      <c r="AH95" s="289"/>
      <c r="AI95" s="289"/>
      <c r="AJ95" s="289"/>
      <c r="AK95" s="289"/>
      <c r="AL95" s="289"/>
      <c r="AM95" s="289"/>
      <c r="AN95" s="243"/>
      <c r="AO95" s="243"/>
      <c r="AP95" s="243"/>
      <c r="AQ95" s="243"/>
      <c r="AR95" s="243"/>
      <c r="AS95" s="243"/>
      <c r="AT95" s="243"/>
      <c r="AU95" s="243"/>
      <c r="AV95" s="243"/>
      <c r="AW95" s="243"/>
      <c r="AX95" s="243"/>
      <c r="AY95" s="243"/>
      <c r="AZ95" s="243"/>
      <c r="BA95" s="243"/>
      <c r="BB95" s="246"/>
      <c r="BC95" s="246"/>
      <c r="BD95" s="243"/>
      <c r="BE95" s="243"/>
      <c r="BF95" s="243"/>
      <c r="BG95" s="243"/>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row>
    <row r="96" spans="1:90">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9"/>
      <c r="AH96" s="289"/>
      <c r="AI96" s="289"/>
      <c r="AJ96" s="289"/>
      <c r="AK96" s="289"/>
      <c r="AL96" s="289"/>
      <c r="AM96" s="289"/>
      <c r="AN96" s="243"/>
      <c r="AO96" s="243"/>
      <c r="AP96" s="243"/>
      <c r="AQ96" s="243"/>
      <c r="AR96" s="243"/>
      <c r="AS96" s="243"/>
      <c r="AT96" s="243"/>
      <c r="AU96" s="243"/>
      <c r="AV96" s="243"/>
      <c r="AW96" s="243"/>
      <c r="AX96" s="243"/>
      <c r="AY96" s="243"/>
      <c r="AZ96" s="243"/>
      <c r="BA96" s="243"/>
      <c r="BB96" s="246"/>
      <c r="BC96" s="246"/>
      <c r="BD96" s="243"/>
      <c r="BE96" s="243"/>
      <c r="BF96" s="243"/>
      <c r="BG96" s="243"/>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row>
    <row r="97" spans="1:90">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9"/>
      <c r="AH97" s="289"/>
      <c r="AI97" s="289"/>
      <c r="AJ97" s="289"/>
      <c r="AK97" s="289"/>
      <c r="AL97" s="289"/>
      <c r="AM97" s="289"/>
      <c r="AN97" s="243"/>
      <c r="AO97" s="243"/>
      <c r="AP97" s="243"/>
      <c r="AQ97" s="243"/>
      <c r="AR97" s="243"/>
      <c r="AS97" s="243"/>
      <c r="AT97" s="243"/>
      <c r="AU97" s="243"/>
      <c r="AV97" s="243"/>
      <c r="AW97" s="243"/>
      <c r="AX97" s="243"/>
      <c r="AY97" s="243"/>
      <c r="AZ97" s="243"/>
      <c r="BA97" s="243"/>
      <c r="BB97" s="246"/>
      <c r="BC97" s="246"/>
      <c r="BD97" s="243"/>
      <c r="BE97" s="243"/>
      <c r="BF97" s="243"/>
      <c r="BG97" s="243"/>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row>
    <row r="98" spans="1:90">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9"/>
      <c r="AH98" s="289"/>
      <c r="AI98" s="289"/>
      <c r="AJ98" s="289"/>
      <c r="AK98" s="289"/>
      <c r="AL98" s="289"/>
      <c r="AM98" s="289"/>
      <c r="AN98" s="243"/>
      <c r="AO98" s="243"/>
      <c r="AP98" s="243"/>
      <c r="AQ98" s="243"/>
      <c r="AR98" s="243"/>
      <c r="AS98" s="243"/>
      <c r="AT98" s="243"/>
      <c r="AU98" s="243"/>
      <c r="AV98" s="243"/>
      <c r="AW98" s="243"/>
      <c r="AX98" s="243"/>
      <c r="AY98" s="243"/>
      <c r="AZ98" s="243"/>
      <c r="BA98" s="243"/>
      <c r="BB98" s="246"/>
      <c r="BC98" s="246"/>
      <c r="BD98" s="243"/>
      <c r="BE98" s="243"/>
      <c r="BF98" s="243"/>
      <c r="BG98" s="243"/>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row>
    <row r="99" spans="1:90">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9"/>
      <c r="AH99" s="289"/>
      <c r="AI99" s="289"/>
      <c r="AJ99" s="289"/>
      <c r="AK99" s="289"/>
      <c r="AL99" s="289"/>
      <c r="AM99" s="289"/>
      <c r="AN99" s="243"/>
      <c r="AO99" s="243"/>
      <c r="AP99" s="243"/>
      <c r="AQ99" s="243"/>
      <c r="AR99" s="243"/>
      <c r="AS99" s="243"/>
      <c r="AT99" s="243"/>
      <c r="AU99" s="243"/>
      <c r="AV99" s="243"/>
      <c r="AW99" s="243"/>
      <c r="AX99" s="243"/>
      <c r="AY99" s="243"/>
      <c r="AZ99" s="243"/>
      <c r="BA99" s="243"/>
      <c r="BB99" s="246"/>
      <c r="BC99" s="246"/>
      <c r="BD99" s="243"/>
      <c r="BE99" s="243"/>
      <c r="BF99" s="243"/>
      <c r="BG99" s="243"/>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row>
    <row r="100" spans="1:90">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9"/>
      <c r="AH100" s="289"/>
      <c r="AI100" s="289"/>
      <c r="AJ100" s="289"/>
      <c r="AK100" s="289"/>
      <c r="AL100" s="289"/>
      <c r="AM100" s="289"/>
      <c r="AN100" s="243"/>
      <c r="AO100" s="243"/>
      <c r="AP100" s="243"/>
      <c r="AQ100" s="243"/>
      <c r="AR100" s="243"/>
      <c r="AS100" s="243"/>
      <c r="AT100" s="243"/>
      <c r="AU100" s="243"/>
      <c r="AV100" s="243"/>
      <c r="AW100" s="243"/>
      <c r="AX100" s="243"/>
      <c r="AY100" s="243"/>
      <c r="AZ100" s="243"/>
      <c r="BA100" s="243"/>
      <c r="BB100" s="246"/>
      <c r="BC100" s="246"/>
      <c r="BD100" s="243"/>
      <c r="BE100" s="243"/>
      <c r="BF100" s="243"/>
      <c r="BG100" s="243"/>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row>
    <row r="101" spans="1:90">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9"/>
      <c r="AH101" s="289"/>
      <c r="AI101" s="289"/>
      <c r="AJ101" s="289"/>
      <c r="AK101" s="289"/>
      <c r="AL101" s="289"/>
      <c r="AM101" s="289"/>
      <c r="AN101" s="243"/>
      <c r="AO101" s="243"/>
      <c r="AP101" s="243"/>
      <c r="AQ101" s="243"/>
      <c r="AR101" s="243"/>
      <c r="AS101" s="243"/>
      <c r="AT101" s="243"/>
      <c r="AU101" s="243"/>
      <c r="AV101" s="243"/>
      <c r="AW101" s="243"/>
      <c r="AX101" s="243"/>
      <c r="AY101" s="243"/>
      <c r="AZ101" s="243"/>
      <c r="BA101" s="243"/>
      <c r="BB101" s="246"/>
      <c r="BC101" s="246"/>
      <c r="BD101" s="243"/>
      <c r="BE101" s="243"/>
      <c r="BF101" s="243"/>
      <c r="BG101" s="243"/>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row>
    <row r="102" spans="1:90">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9"/>
      <c r="AH102" s="289"/>
      <c r="AI102" s="289"/>
      <c r="AJ102" s="289"/>
      <c r="AK102" s="289"/>
      <c r="AL102" s="289"/>
      <c r="AM102" s="289"/>
      <c r="AN102" s="243"/>
      <c r="AO102" s="243"/>
      <c r="AP102" s="243"/>
      <c r="AQ102" s="243"/>
      <c r="AR102" s="243"/>
      <c r="AS102" s="243"/>
      <c r="AT102" s="243"/>
      <c r="AU102" s="243"/>
      <c r="AV102" s="243"/>
      <c r="AW102" s="243"/>
      <c r="AX102" s="243"/>
      <c r="AY102" s="243"/>
      <c r="AZ102" s="243"/>
      <c r="BA102" s="243"/>
      <c r="BB102" s="246"/>
      <c r="BC102" s="246"/>
      <c r="BD102" s="243"/>
      <c r="BE102" s="243"/>
      <c r="BF102" s="243"/>
      <c r="BG102" s="243"/>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row>
  </sheetData>
  <sheetProtection algorithmName="SHA-512" hashValue="AzcP1KdeD2ADo9+Jb64H2sdIHhbn8rMgFtjTuTIrCLHbVb17/a73AWSFhMLqHzYLKuYkUrBcxN8G4H8KUNUiqQ==" saltValue="xLewK8WSeFEHJ3Fz928BmA==" spinCount="100000" sheet="1" objects="1" scenarios="1" selectLockedCells="1" selectUnlockedCells="1"/>
  <mergeCells count="171">
    <mergeCell ref="F37:G37"/>
    <mergeCell ref="H37:I37"/>
    <mergeCell ref="J37:K37"/>
    <mergeCell ref="L37:M37"/>
    <mergeCell ref="N37:O37"/>
    <mergeCell ref="P37:Q37"/>
    <mergeCell ref="F36:G36"/>
    <mergeCell ref="H36:I36"/>
    <mergeCell ref="A39:E39"/>
    <mergeCell ref="F39:G39"/>
    <mergeCell ref="H39:I39"/>
    <mergeCell ref="J39:K39"/>
    <mergeCell ref="L39:M39"/>
    <mergeCell ref="N39:O39"/>
    <mergeCell ref="P39:Q39"/>
    <mergeCell ref="F38:G38"/>
    <mergeCell ref="H38:I38"/>
    <mergeCell ref="J38:K38"/>
    <mergeCell ref="L38:M38"/>
    <mergeCell ref="N38:O38"/>
    <mergeCell ref="P38:Q38"/>
    <mergeCell ref="J36:K36"/>
    <mergeCell ref="L36:M36"/>
    <mergeCell ref="N36:O36"/>
    <mergeCell ref="P36:Q36"/>
    <mergeCell ref="F35:G35"/>
    <mergeCell ref="H35:I35"/>
    <mergeCell ref="J35:K35"/>
    <mergeCell ref="L35:M35"/>
    <mergeCell ref="N35:O35"/>
    <mergeCell ref="P35:Q35"/>
    <mergeCell ref="F34:G34"/>
    <mergeCell ref="H34:I34"/>
    <mergeCell ref="J34:K34"/>
    <mergeCell ref="L34:M34"/>
    <mergeCell ref="N34:O34"/>
    <mergeCell ref="P34:Q34"/>
    <mergeCell ref="F33:G33"/>
    <mergeCell ref="H33:I33"/>
    <mergeCell ref="J33:K33"/>
    <mergeCell ref="L33:M33"/>
    <mergeCell ref="N33:O33"/>
    <mergeCell ref="P33:Q33"/>
    <mergeCell ref="F32:G32"/>
    <mergeCell ref="H32:I32"/>
    <mergeCell ref="J32:K32"/>
    <mergeCell ref="L32:M32"/>
    <mergeCell ref="N32:O32"/>
    <mergeCell ref="P32:Q32"/>
    <mergeCell ref="F31:G31"/>
    <mergeCell ref="H31:I31"/>
    <mergeCell ref="J31:K31"/>
    <mergeCell ref="L31:M31"/>
    <mergeCell ref="N31:O31"/>
    <mergeCell ref="P31:Q31"/>
    <mergeCell ref="F30:G30"/>
    <mergeCell ref="H30:I30"/>
    <mergeCell ref="J30:K30"/>
    <mergeCell ref="L30:M30"/>
    <mergeCell ref="N30:O30"/>
    <mergeCell ref="P30:Q30"/>
    <mergeCell ref="F29:G29"/>
    <mergeCell ref="H29:I29"/>
    <mergeCell ref="J29:K29"/>
    <mergeCell ref="L29:M29"/>
    <mergeCell ref="N29:O29"/>
    <mergeCell ref="P29:Q29"/>
    <mergeCell ref="F28:G28"/>
    <mergeCell ref="H28:I28"/>
    <mergeCell ref="J28:K28"/>
    <mergeCell ref="L28:M28"/>
    <mergeCell ref="N28:O28"/>
    <mergeCell ref="P28:Q28"/>
    <mergeCell ref="F27:G27"/>
    <mergeCell ref="H27:I27"/>
    <mergeCell ref="J27:K27"/>
    <mergeCell ref="L27:M27"/>
    <mergeCell ref="N27:O27"/>
    <mergeCell ref="P27:Q27"/>
    <mergeCell ref="F26:G26"/>
    <mergeCell ref="H26:I26"/>
    <mergeCell ref="J26:K26"/>
    <mergeCell ref="L26:M26"/>
    <mergeCell ref="N26:O26"/>
    <mergeCell ref="P26:Q26"/>
    <mergeCell ref="F25:G25"/>
    <mergeCell ref="H25:I25"/>
    <mergeCell ref="J25:K25"/>
    <mergeCell ref="L25:M25"/>
    <mergeCell ref="N25:O25"/>
    <mergeCell ref="P25:Q25"/>
    <mergeCell ref="F24:G24"/>
    <mergeCell ref="H24:I24"/>
    <mergeCell ref="J24:K24"/>
    <mergeCell ref="L24:M24"/>
    <mergeCell ref="N24:O24"/>
    <mergeCell ref="P24:Q24"/>
    <mergeCell ref="F23:G23"/>
    <mergeCell ref="H23:I23"/>
    <mergeCell ref="J23:K23"/>
    <mergeCell ref="L23:M23"/>
    <mergeCell ref="N23:O23"/>
    <mergeCell ref="P23:Q23"/>
    <mergeCell ref="F22:G22"/>
    <mergeCell ref="H22:I22"/>
    <mergeCell ref="J22:K22"/>
    <mergeCell ref="L22:M22"/>
    <mergeCell ref="N22:O22"/>
    <mergeCell ref="P22:Q22"/>
    <mergeCell ref="F21:G21"/>
    <mergeCell ref="H21:I21"/>
    <mergeCell ref="J21:K21"/>
    <mergeCell ref="L21:M21"/>
    <mergeCell ref="N21:O21"/>
    <mergeCell ref="P21:Q21"/>
    <mergeCell ref="R19:S19"/>
    <mergeCell ref="F20:G20"/>
    <mergeCell ref="H20:I20"/>
    <mergeCell ref="J20:K20"/>
    <mergeCell ref="L20:M20"/>
    <mergeCell ref="N20:O20"/>
    <mergeCell ref="P20:Q20"/>
    <mergeCell ref="F19:G19"/>
    <mergeCell ref="H19:I19"/>
    <mergeCell ref="J19:K19"/>
    <mergeCell ref="L19:M19"/>
    <mergeCell ref="N19:O19"/>
    <mergeCell ref="P19:Q19"/>
    <mergeCell ref="AD13:AE13"/>
    <mergeCell ref="A14:E14"/>
    <mergeCell ref="F14:Q14"/>
    <mergeCell ref="S14:AF18"/>
    <mergeCell ref="F15:I16"/>
    <mergeCell ref="A17:E17"/>
    <mergeCell ref="F18:G18"/>
    <mergeCell ref="H18:I18"/>
    <mergeCell ref="J18:K18"/>
    <mergeCell ref="L18:M18"/>
    <mergeCell ref="N18:O18"/>
    <mergeCell ref="P18:Q18"/>
    <mergeCell ref="F17:G17"/>
    <mergeCell ref="H17:I17"/>
    <mergeCell ref="N17:O17"/>
    <mergeCell ref="P17:Q17"/>
    <mergeCell ref="N15:Q16"/>
    <mergeCell ref="J15:M16"/>
    <mergeCell ref="J17:M17"/>
    <mergeCell ref="T28:AE36"/>
    <mergeCell ref="A1:AG4"/>
    <mergeCell ref="A5:G5"/>
    <mergeCell ref="U5:X5"/>
    <mergeCell ref="Y5:AG5"/>
    <mergeCell ref="A6:G6"/>
    <mergeCell ref="U6:X6"/>
    <mergeCell ref="Y6:AG6"/>
    <mergeCell ref="A7:G7"/>
    <mergeCell ref="U7:X7"/>
    <mergeCell ref="A8:G9"/>
    <mergeCell ref="H8:AG9"/>
    <mergeCell ref="A10:H10"/>
    <mergeCell ref="I10:T10"/>
    <mergeCell ref="U10:X10"/>
    <mergeCell ref="Y10:AA10"/>
    <mergeCell ref="AB10:AD10"/>
    <mergeCell ref="AE10:AG10"/>
    <mergeCell ref="A11:AG12"/>
    <mergeCell ref="R13:S13"/>
    <mergeCell ref="T13:V13"/>
    <mergeCell ref="W13:X13"/>
    <mergeCell ref="Y13:Z13"/>
    <mergeCell ref="AA13:AC13"/>
  </mergeCells>
  <conditionalFormatting sqref="F39:M39 P39:Y39">
    <cfRule type="expression" dxfId="249" priority="9" stopIfTrue="1">
      <formula>F39=0</formula>
    </cfRule>
  </conditionalFormatting>
  <conditionalFormatting sqref="O54">
    <cfRule type="expression" dxfId="248" priority="4">
      <formula>O54=0</formula>
    </cfRule>
  </conditionalFormatting>
  <conditionalFormatting sqref="R18:R19 H18:Q38">
    <cfRule type="expression" dxfId="247" priority="5">
      <formula>H18=0</formula>
    </cfRule>
  </conditionalFormatting>
  <conditionalFormatting sqref="R24:AG27 R28:T28 AF28:AG36 R29:S36 R37:AG38">
    <cfRule type="expression" dxfId="246" priority="1">
      <formula>R24=0</formula>
    </cfRule>
  </conditionalFormatting>
  <conditionalFormatting sqref="V20:V23">
    <cfRule type="expression" dxfId="245" priority="2">
      <formula>(V20&lt;&gt;0)</formula>
    </cfRule>
    <cfRule type="expression" dxfId="244" priority="3">
      <formula>(V20=0)</formula>
    </cfRule>
  </conditionalFormatting>
  <conditionalFormatting sqref="AB39:AE39">
    <cfRule type="expression" dxfId="243" priority="10" stopIfTrue="1">
      <formula>AB39=0</formula>
    </cfRule>
  </conditionalFormatting>
  <conditionalFormatting sqref="AG18 T19:AG19 R20:S23 W20:AG23">
    <cfRule type="expression" dxfId="242" priority="8">
      <formula>R18=0</formula>
    </cfRule>
  </conditionalFormatting>
  <pageMargins left="0.7" right="0.7" top="0.75" bottom="0.75" header="0.3" footer="0.3"/>
  <pageSetup paperSize="9" scale="65" orientation="portrait" r:id="rId1"/>
  <headerFooter>
    <oddFooter>&amp;C_x000D_&amp;1#&amp;"Calibri"&amp;10&amp;K000000 Internal</oddFooter>
  </headerFooter>
  <colBreaks count="1" manualBreakCount="1">
    <brk id="33"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0F0B9-619C-4213-BC71-D7489DF00F00}">
  <sheetPr>
    <tabColor theme="3"/>
    <pageSetUpPr fitToPage="1"/>
  </sheetPr>
  <dimension ref="A1:CL102"/>
  <sheetViews>
    <sheetView showGridLines="0" view="pageBreakPreview" zoomScaleNormal="100" zoomScaleSheetLayoutView="100" workbookViewId="0">
      <selection sqref="A1:AG4"/>
    </sheetView>
  </sheetViews>
  <sheetFormatPr defaultColWidth="9.28515625" defaultRowHeight="15"/>
  <cols>
    <col min="1" max="13" width="3.7109375" style="290" customWidth="1"/>
    <col min="14" max="14" width="4.7109375" style="290" customWidth="1"/>
    <col min="15" max="15" width="6.42578125" style="290" customWidth="1"/>
    <col min="16" max="19" width="3.7109375" style="290" customWidth="1"/>
    <col min="20" max="20" width="9" style="290" bestFit="1" customWidth="1"/>
    <col min="21" max="21" width="3.7109375" style="290" customWidth="1"/>
    <col min="22" max="22" width="6.5703125" style="290" customWidth="1"/>
    <col min="23" max="33" width="3.7109375" style="290" customWidth="1"/>
    <col min="34" max="34" width="9.28515625" style="247"/>
    <col min="35" max="46" width="8.7109375" style="247" customWidth="1"/>
    <col min="47" max="53" width="9.28515625" style="247"/>
    <col min="54" max="55" width="9.28515625" style="285"/>
    <col min="56" max="16384" width="9.28515625" style="247"/>
  </cols>
  <sheetData>
    <row r="1" spans="1:90"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8"/>
      <c r="AH1" s="238"/>
      <c r="AI1" s="238"/>
      <c r="AJ1" s="238"/>
      <c r="AK1" s="238"/>
      <c r="AL1" s="238"/>
      <c r="AM1" s="238"/>
      <c r="AN1" s="238"/>
      <c r="AO1" s="238"/>
      <c r="AP1" s="238"/>
      <c r="AQ1" s="238"/>
      <c r="AR1" s="238"/>
      <c r="AS1" s="238"/>
      <c r="AT1" s="238"/>
      <c r="AU1" s="238"/>
      <c r="AV1" s="238"/>
      <c r="AW1" s="238"/>
      <c r="AX1" s="238"/>
      <c r="AY1" s="238"/>
      <c r="AZ1" s="238"/>
      <c r="BA1" s="238"/>
      <c r="BB1" s="239"/>
      <c r="BC1" s="239"/>
      <c r="BD1" s="238"/>
      <c r="BE1" s="238"/>
      <c r="BF1" s="238"/>
      <c r="BG1" s="238"/>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row>
    <row r="2" spans="1:90"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1"/>
      <c r="AH2" s="238"/>
      <c r="AI2" s="238"/>
      <c r="AJ2" s="238"/>
      <c r="AK2" s="238"/>
      <c r="AL2" s="238"/>
      <c r="AM2" s="238"/>
      <c r="AN2" s="238"/>
      <c r="AO2" s="238"/>
      <c r="AP2" s="238"/>
      <c r="AQ2" s="238"/>
      <c r="AR2" s="238"/>
      <c r="AS2" s="238"/>
      <c r="AT2" s="238"/>
      <c r="AU2" s="238"/>
      <c r="AV2" s="238"/>
      <c r="AW2" s="238"/>
      <c r="AX2" s="238"/>
      <c r="AY2" s="238"/>
      <c r="AZ2" s="238"/>
      <c r="BA2" s="238"/>
      <c r="BB2" s="239"/>
      <c r="BC2" s="239"/>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row>
    <row r="3" spans="1:90"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1"/>
      <c r="AH3" s="238"/>
      <c r="AI3" s="238"/>
      <c r="AJ3" s="238"/>
      <c r="AK3" s="238"/>
      <c r="AL3" s="238"/>
      <c r="AM3" s="238"/>
      <c r="AN3" s="238"/>
      <c r="AO3" s="238"/>
      <c r="AP3" s="238"/>
      <c r="AQ3" s="238"/>
      <c r="AR3" s="238"/>
      <c r="AS3" s="238"/>
      <c r="AT3" s="238"/>
      <c r="AU3" s="238"/>
      <c r="AV3" s="238"/>
      <c r="AW3" s="238"/>
      <c r="AX3" s="238"/>
      <c r="AY3" s="238"/>
      <c r="AZ3" s="238"/>
      <c r="BA3" s="238"/>
      <c r="BB3" s="239"/>
      <c r="BC3" s="239"/>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row>
    <row r="4" spans="1:90"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4"/>
      <c r="AH4" s="238"/>
      <c r="AI4" s="241"/>
      <c r="AJ4" s="241"/>
      <c r="AK4" s="241"/>
      <c r="AL4" s="242" t="s">
        <v>576</v>
      </c>
      <c r="AM4" s="242" t="s">
        <v>577</v>
      </c>
      <c r="AN4" s="242" t="s">
        <v>578</v>
      </c>
      <c r="AO4" s="241"/>
      <c r="AP4" s="241"/>
      <c r="AQ4" s="241"/>
      <c r="AR4" s="241"/>
      <c r="AS4" s="241"/>
      <c r="AT4" s="238"/>
      <c r="AU4" s="238"/>
      <c r="AV4" s="238"/>
      <c r="AW4" s="238"/>
      <c r="AX4" s="238"/>
      <c r="AY4" s="238"/>
      <c r="AZ4" s="238"/>
      <c r="BA4" s="238"/>
      <c r="BB4" s="239"/>
      <c r="BC4" s="239"/>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row>
    <row r="5" spans="1:90" ht="15" customHeight="1">
      <c r="A5" s="875" t="s">
        <v>22</v>
      </c>
      <c r="B5" s="876"/>
      <c r="C5" s="876"/>
      <c r="D5" s="876"/>
      <c r="E5" s="876"/>
      <c r="F5" s="876"/>
      <c r="G5" s="876"/>
      <c r="H5" s="27" t="str">
        <f>'Emiss. Ops'!$C$2</f>
        <v>OMVP</v>
      </c>
      <c r="I5" s="27"/>
      <c r="J5" s="27"/>
      <c r="K5" s="27"/>
      <c r="L5" s="27"/>
      <c r="M5" s="27"/>
      <c r="N5" s="27"/>
      <c r="O5" s="27"/>
      <c r="P5" s="27"/>
      <c r="Q5" s="27"/>
      <c r="R5" s="27"/>
      <c r="S5" s="27"/>
      <c r="T5" s="27"/>
      <c r="U5" s="876" t="s">
        <v>23</v>
      </c>
      <c r="V5" s="876"/>
      <c r="W5" s="876"/>
      <c r="X5" s="876"/>
      <c r="Y5" s="877" t="str">
        <f>Effluents!$K$2</f>
        <v>PRJ-001030</v>
      </c>
      <c r="Z5" s="877"/>
      <c r="AA5" s="877"/>
      <c r="AB5" s="877"/>
      <c r="AC5" s="877"/>
      <c r="AD5" s="877"/>
      <c r="AE5" s="877"/>
      <c r="AF5" s="877"/>
      <c r="AG5" s="878"/>
      <c r="AH5" s="243"/>
      <c r="AI5" s="244"/>
      <c r="AJ5" s="244"/>
      <c r="AK5" s="244"/>
      <c r="AL5" s="245" t="s">
        <v>386</v>
      </c>
      <c r="AM5" s="245" t="s">
        <v>729</v>
      </c>
      <c r="AN5" s="242">
        <v>1020</v>
      </c>
      <c r="AO5" s="244"/>
      <c r="AP5" s="244"/>
      <c r="AQ5" s="244"/>
      <c r="AR5" s="244"/>
      <c r="AS5" s="244"/>
      <c r="AT5" s="238"/>
      <c r="AU5" s="238"/>
      <c r="AV5" s="238"/>
      <c r="AW5" s="243"/>
      <c r="AX5" s="243"/>
      <c r="AY5" s="243"/>
      <c r="AZ5" s="243"/>
      <c r="BA5" s="243"/>
      <c r="BB5" s="246"/>
      <c r="BC5" s="246"/>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row>
    <row r="6" spans="1:90" ht="15" customHeight="1">
      <c r="A6" s="862" t="s">
        <v>24</v>
      </c>
      <c r="B6" s="863"/>
      <c r="C6" s="863"/>
      <c r="D6" s="863"/>
      <c r="E6" s="863"/>
      <c r="F6" s="863"/>
      <c r="G6" s="863"/>
      <c r="H6" s="30" t="str">
        <f>'Emiss. Ops'!$C$3</f>
        <v>OMV Neptun BAT Study &amp; ESIA</v>
      </c>
      <c r="I6" s="30"/>
      <c r="J6" s="30"/>
      <c r="K6" s="30"/>
      <c r="L6" s="30"/>
      <c r="M6" s="30"/>
      <c r="N6" s="30"/>
      <c r="O6" s="30"/>
      <c r="P6" s="30"/>
      <c r="Q6" s="30"/>
      <c r="R6" s="30"/>
      <c r="S6" s="30"/>
      <c r="T6" s="30"/>
      <c r="U6" s="863" t="s">
        <v>25</v>
      </c>
      <c r="V6" s="863"/>
      <c r="W6" s="863"/>
      <c r="X6" s="863"/>
      <c r="Y6" s="860"/>
      <c r="Z6" s="860"/>
      <c r="AA6" s="860"/>
      <c r="AB6" s="860"/>
      <c r="AC6" s="860"/>
      <c r="AD6" s="860"/>
      <c r="AE6" s="860"/>
      <c r="AF6" s="860"/>
      <c r="AG6" s="861"/>
      <c r="AH6" s="243"/>
      <c r="AI6" s="244"/>
      <c r="AJ6" s="244"/>
      <c r="AK6" s="242"/>
      <c r="AL6" s="245" t="s">
        <v>406</v>
      </c>
      <c r="AM6" s="245" t="s">
        <v>339</v>
      </c>
      <c r="AN6" s="245">
        <v>0.45400000000000001</v>
      </c>
      <c r="AO6" s="242"/>
      <c r="AP6" s="244"/>
      <c r="AQ6" s="244"/>
      <c r="AR6" s="244"/>
      <c r="AS6" s="244"/>
      <c r="AT6" s="238"/>
      <c r="AU6" s="238"/>
      <c r="AV6" s="238"/>
      <c r="AW6" s="243"/>
      <c r="AX6" s="243"/>
      <c r="AY6" s="243"/>
      <c r="AZ6" s="243"/>
      <c r="BA6" s="243"/>
      <c r="BB6" s="246"/>
      <c r="BC6" s="246"/>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row>
    <row r="7" spans="1:90" ht="15" customHeight="1">
      <c r="A7" s="862" t="s">
        <v>26</v>
      </c>
      <c r="B7" s="863"/>
      <c r="C7" s="863"/>
      <c r="D7" s="863"/>
      <c r="E7" s="863"/>
      <c r="F7" s="863"/>
      <c r="G7" s="863"/>
      <c r="H7" s="30" t="str">
        <f>'Emiss. Ops'!$C$4</f>
        <v>Emissions Inventory</v>
      </c>
      <c r="I7" s="30"/>
      <c r="J7" s="30"/>
      <c r="K7" s="30"/>
      <c r="L7" s="30"/>
      <c r="M7" s="30"/>
      <c r="N7" s="30"/>
      <c r="O7" s="30"/>
      <c r="P7" s="30"/>
      <c r="Q7" s="30"/>
      <c r="R7" s="30"/>
      <c r="S7" s="30"/>
      <c r="T7" s="30"/>
      <c r="U7" s="863" t="s">
        <v>27</v>
      </c>
      <c r="V7" s="863"/>
      <c r="W7" s="863"/>
      <c r="X7" s="863"/>
      <c r="Y7" s="30" t="str">
        <f>'Emiss. Ops'!$I$4</f>
        <v>Normal Operations</v>
      </c>
      <c r="Z7" s="31"/>
      <c r="AA7" s="31"/>
      <c r="AB7" s="31"/>
      <c r="AC7" s="31"/>
      <c r="AD7" s="31"/>
      <c r="AE7" s="31"/>
      <c r="AF7" s="31"/>
      <c r="AG7" s="32"/>
      <c r="AH7" s="243"/>
      <c r="AI7" s="244"/>
      <c r="AJ7" s="244"/>
      <c r="AK7" s="242"/>
      <c r="AL7" s="245" t="s">
        <v>407</v>
      </c>
      <c r="AM7" s="245" t="s">
        <v>730</v>
      </c>
      <c r="AN7" s="248">
        <f>0.305^3</f>
        <v>2.8372624999999999E-2</v>
      </c>
      <c r="AO7" s="242"/>
      <c r="AP7" s="244"/>
      <c r="AQ7" s="244"/>
      <c r="AR7" s="244"/>
      <c r="AS7" s="244"/>
      <c r="AT7" s="238"/>
      <c r="AU7" s="238"/>
      <c r="AV7" s="238"/>
      <c r="AW7" s="243"/>
      <c r="AX7" s="243"/>
      <c r="AY7" s="243"/>
      <c r="AZ7" s="243"/>
      <c r="BA7" s="243"/>
      <c r="BB7" s="246"/>
      <c r="BC7" s="246"/>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row>
    <row r="8" spans="1:90"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9"/>
      <c r="AH8" s="243"/>
      <c r="AI8" s="244"/>
      <c r="AJ8" s="244"/>
      <c r="AK8" s="242"/>
      <c r="AL8" s="245" t="s">
        <v>729</v>
      </c>
      <c r="AM8" s="245" t="s">
        <v>731</v>
      </c>
      <c r="AN8" s="249" t="e">
        <f>AN6/AN7 * ((#REF!+273.15)/(#REF!+273.15))</f>
        <v>#REF!</v>
      </c>
      <c r="AO8" s="242"/>
      <c r="AP8" s="244"/>
      <c r="AQ8" s="244"/>
      <c r="AR8" s="244"/>
      <c r="AS8" s="244"/>
      <c r="AT8" s="238"/>
      <c r="AU8" s="238"/>
      <c r="AV8" s="238"/>
      <c r="AW8" s="243"/>
      <c r="AX8" s="243"/>
      <c r="AY8" s="243"/>
      <c r="AZ8" s="243"/>
      <c r="BA8" s="243"/>
      <c r="BB8" s="246"/>
      <c r="BC8" s="246"/>
      <c r="BD8" s="243"/>
      <c r="BE8" s="243"/>
      <c r="BF8" s="243"/>
      <c r="BG8" s="243"/>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row>
    <row r="9" spans="1:90"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9"/>
      <c r="AH9" s="243"/>
      <c r="AI9" s="244"/>
      <c r="AJ9" s="244"/>
      <c r="AK9" s="242"/>
      <c r="AL9" s="242" t="s">
        <v>409</v>
      </c>
      <c r="AM9" s="242" t="s">
        <v>410</v>
      </c>
      <c r="AN9" s="242">
        <v>947</v>
      </c>
      <c r="AO9" s="242"/>
      <c r="AP9" s="244"/>
      <c r="AQ9" s="244"/>
      <c r="AR9" s="244"/>
      <c r="AS9" s="244"/>
      <c r="AT9" s="238"/>
      <c r="AU9" s="238"/>
      <c r="AV9" s="238"/>
      <c r="AW9" s="243"/>
      <c r="AX9" s="243"/>
      <c r="AY9" s="243"/>
      <c r="AZ9" s="243"/>
      <c r="BA9" s="243"/>
      <c r="BB9" s="246"/>
      <c r="BC9" s="246"/>
      <c r="BD9" s="243"/>
      <c r="BE9" s="243"/>
      <c r="BF9" s="243"/>
      <c r="BG9" s="243"/>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row>
    <row r="10" spans="1:90"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859" t="s">
        <v>28</v>
      </c>
      <c r="V10" s="859"/>
      <c r="W10" s="859"/>
      <c r="X10" s="859"/>
      <c r="Y10" s="1284"/>
      <c r="Z10" s="1284"/>
      <c r="AA10" s="1284"/>
      <c r="AB10" s="1285"/>
      <c r="AC10" s="1285"/>
      <c r="AD10" s="1285"/>
      <c r="AE10" s="1286"/>
      <c r="AF10" s="1286"/>
      <c r="AG10" s="1287"/>
      <c r="AH10" s="238"/>
      <c r="AI10" s="241"/>
      <c r="AJ10" s="241"/>
      <c r="AK10" s="245"/>
      <c r="AL10" s="245" t="s">
        <v>710</v>
      </c>
      <c r="AM10" s="245" t="s">
        <v>709</v>
      </c>
      <c r="AN10" s="245">
        <v>1E-3</v>
      </c>
      <c r="AO10" s="245"/>
      <c r="AP10" s="241"/>
      <c r="AQ10" s="241"/>
      <c r="AR10" s="241"/>
      <c r="AS10" s="241"/>
      <c r="AT10" s="238"/>
      <c r="AU10" s="238"/>
      <c r="AV10" s="238"/>
      <c r="AW10" s="238"/>
      <c r="AX10" s="238"/>
      <c r="AY10" s="238"/>
      <c r="AZ10" s="238"/>
      <c r="BA10" s="238"/>
      <c r="BB10" s="239"/>
      <c r="BC10" s="239"/>
      <c r="BD10" s="238"/>
      <c r="BE10" s="238"/>
      <c r="BF10" s="238"/>
      <c r="BG10" s="238"/>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row>
    <row r="11" spans="1:90" s="240" customFormat="1" ht="14.25" customHeight="1">
      <c r="A11" s="1271" t="s">
        <v>365</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3"/>
      <c r="AH11" s="238"/>
      <c r="AI11" s="241"/>
      <c r="AJ11" s="241"/>
      <c r="AK11" s="245"/>
      <c r="AL11" s="245" t="s">
        <v>732</v>
      </c>
      <c r="AM11" s="245" t="s">
        <v>409</v>
      </c>
      <c r="AN11" s="245">
        <f>1/(AN9/1000000)</f>
        <v>1055.9662090813094</v>
      </c>
      <c r="AO11" s="245"/>
      <c r="AP11" s="241"/>
      <c r="AQ11" s="241"/>
      <c r="AR11" s="241"/>
      <c r="AS11" s="241"/>
      <c r="AT11" s="238"/>
      <c r="AU11" s="238"/>
      <c r="AV11" s="238"/>
      <c r="AW11" s="238"/>
      <c r="AX11" s="238"/>
      <c r="AY11" s="238"/>
      <c r="AZ11" s="238"/>
      <c r="BA11" s="238"/>
      <c r="BB11" s="239"/>
      <c r="BC11" s="239"/>
      <c r="BD11" s="238"/>
      <c r="BE11" s="238"/>
      <c r="BF11" s="238"/>
      <c r="BG11" s="238"/>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row>
    <row r="12" spans="1:90" s="240" customFormat="1" ht="14.25" customHeight="1">
      <c r="A12" s="1274"/>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6"/>
      <c r="AH12" s="238"/>
      <c r="AI12" s="241"/>
      <c r="AJ12" s="241"/>
      <c r="AK12" s="245"/>
      <c r="AL12" s="245"/>
      <c r="AM12" s="245"/>
      <c r="AN12" s="245"/>
      <c r="AO12" s="245"/>
      <c r="AP12" s="241"/>
      <c r="AQ12" s="241"/>
      <c r="AR12" s="241"/>
      <c r="AS12" s="241"/>
      <c r="AT12" s="238"/>
      <c r="AU12" s="238"/>
      <c r="AV12" s="238"/>
      <c r="AW12" s="238"/>
      <c r="AX12" s="238"/>
      <c r="AY12" s="238"/>
      <c r="AZ12" s="238"/>
      <c r="BA12" s="238"/>
      <c r="BB12" s="239"/>
      <c r="BC12" s="239"/>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row>
    <row r="13" spans="1:90" s="240" customFormat="1" ht="14.25" customHeight="1">
      <c r="A13" s="250"/>
      <c r="B13" s="251"/>
      <c r="C13" s="251"/>
      <c r="D13" s="251"/>
      <c r="E13" s="251"/>
      <c r="F13" s="251"/>
      <c r="G13" s="251"/>
      <c r="H13" s="252"/>
      <c r="I13" s="251"/>
      <c r="J13" s="251"/>
      <c r="K13" s="251"/>
      <c r="L13" s="251"/>
      <c r="M13" s="251"/>
      <c r="N13" s="251"/>
      <c r="O13" s="251"/>
      <c r="P13" s="251"/>
      <c r="Q13" s="251"/>
      <c r="R13" s="860"/>
      <c r="S13" s="860"/>
      <c r="T13" s="1293"/>
      <c r="U13" s="1293"/>
      <c r="V13" s="1293"/>
      <c r="W13" s="860"/>
      <c r="X13" s="860"/>
      <c r="Y13" s="1293"/>
      <c r="Z13" s="1293"/>
      <c r="AA13" s="860"/>
      <c r="AB13" s="860"/>
      <c r="AC13" s="860"/>
      <c r="AD13" s="1293"/>
      <c r="AE13" s="1293"/>
      <c r="AF13" s="30"/>
      <c r="AG13" s="253"/>
      <c r="AH13" s="238"/>
      <c r="AI13" s="254" t="e">
        <f>#REF!*SUM(N20:O29)</f>
        <v>#REF!</v>
      </c>
      <c r="AJ13" s="241"/>
      <c r="AK13" s="241"/>
      <c r="AL13" s="241"/>
      <c r="AM13" s="241"/>
      <c r="AN13" s="241"/>
      <c r="AO13" s="241"/>
      <c r="AP13" s="241"/>
      <c r="AQ13" s="241"/>
      <c r="AR13" s="241"/>
      <c r="AS13" s="241"/>
      <c r="AT13" s="238"/>
      <c r="AU13" s="238"/>
      <c r="AV13" s="238"/>
      <c r="AW13" s="238"/>
      <c r="AX13" s="238"/>
      <c r="AY13" s="238"/>
      <c r="AZ13" s="238"/>
      <c r="BA13" s="238"/>
      <c r="BB13" s="239"/>
      <c r="BC13" s="239"/>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row>
    <row r="14" spans="1:90" s="240" customFormat="1" ht="14.25" customHeight="1">
      <c r="A14" s="1370" t="s">
        <v>718</v>
      </c>
      <c r="B14" s="1370"/>
      <c r="C14" s="1370"/>
      <c r="D14" s="1370"/>
      <c r="E14" s="1370"/>
      <c r="F14" s="1371" t="s">
        <v>789</v>
      </c>
      <c r="G14" s="1372"/>
      <c r="H14" s="1372"/>
      <c r="I14" s="1372"/>
      <c r="J14" s="1372"/>
      <c r="K14" s="1372"/>
      <c r="L14" s="1372"/>
      <c r="M14" s="1372"/>
      <c r="N14" s="1372"/>
      <c r="O14" s="1372"/>
      <c r="P14" s="1372"/>
      <c r="Q14" s="1372"/>
      <c r="R14" s="30"/>
      <c r="S14" s="1402" t="s">
        <v>796</v>
      </c>
      <c r="T14" s="1184"/>
      <c r="U14" s="1184"/>
      <c r="V14" s="1184"/>
      <c r="W14" s="1184"/>
      <c r="X14" s="1184"/>
      <c r="Y14" s="1184"/>
      <c r="Z14" s="1184"/>
      <c r="AA14" s="1184"/>
      <c r="AB14" s="1184"/>
      <c r="AC14" s="1184"/>
      <c r="AD14" s="1184"/>
      <c r="AE14" s="1184"/>
      <c r="AF14" s="1184"/>
      <c r="AG14" s="253"/>
      <c r="AH14" s="255"/>
      <c r="AI14" s="241"/>
      <c r="AJ14" s="241"/>
      <c r="AK14" s="241"/>
      <c r="AL14" s="241"/>
      <c r="AM14" s="241"/>
      <c r="AN14" s="241"/>
      <c r="AO14" s="241"/>
      <c r="AP14" s="241"/>
      <c r="AQ14" s="241"/>
      <c r="AR14" s="241"/>
      <c r="AS14" s="241"/>
      <c r="AT14" s="241"/>
      <c r="AU14" s="241"/>
      <c r="AV14" s="238"/>
      <c r="AW14" s="238"/>
      <c r="AX14" s="238"/>
      <c r="AY14" s="238"/>
      <c r="AZ14" s="238"/>
      <c r="BA14" s="238"/>
      <c r="BB14" s="239"/>
      <c r="BC14" s="239"/>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row>
    <row r="15" spans="1:90" s="240" customFormat="1" ht="14.25" customHeight="1">
      <c r="A15" s="256" t="s">
        <v>620</v>
      </c>
      <c r="B15" s="30"/>
      <c r="C15" s="30"/>
      <c r="D15" s="30"/>
      <c r="E15" s="30"/>
      <c r="F15" s="1529" t="s">
        <v>791</v>
      </c>
      <c r="G15" s="1530"/>
      <c r="H15" s="1530"/>
      <c r="I15" s="1531"/>
      <c r="J15" s="1529" t="s">
        <v>792</v>
      </c>
      <c r="K15" s="1530"/>
      <c r="L15" s="1530"/>
      <c r="M15" s="1531"/>
      <c r="N15" s="1535" t="s">
        <v>793</v>
      </c>
      <c r="O15" s="1536"/>
      <c r="P15" s="1537"/>
      <c r="Q15" s="1538"/>
      <c r="R15" s="257"/>
      <c r="S15" s="1184"/>
      <c r="T15" s="1184"/>
      <c r="U15" s="1184"/>
      <c r="V15" s="1184"/>
      <c r="W15" s="1184"/>
      <c r="X15" s="1184"/>
      <c r="Y15" s="1184"/>
      <c r="Z15" s="1184"/>
      <c r="AA15" s="1184"/>
      <c r="AB15" s="1184"/>
      <c r="AC15" s="1184"/>
      <c r="AD15" s="1184"/>
      <c r="AE15" s="1184"/>
      <c r="AF15" s="1184"/>
      <c r="AG15" s="253"/>
      <c r="AH15" s="255"/>
      <c r="AI15" s="241"/>
      <c r="AJ15" s="241"/>
      <c r="AK15" s="241"/>
      <c r="AL15" s="241"/>
      <c r="AM15" s="241"/>
      <c r="AN15" s="241"/>
      <c r="AO15" s="241"/>
      <c r="AP15" s="241"/>
      <c r="AQ15" s="241"/>
      <c r="AR15" s="241"/>
      <c r="AS15" s="241"/>
      <c r="AT15" s="241"/>
      <c r="AU15" s="241"/>
      <c r="AV15" s="238"/>
      <c r="AW15" s="238"/>
      <c r="AX15" s="238"/>
      <c r="AY15" s="238"/>
      <c r="AZ15" s="238"/>
      <c r="BA15" s="238"/>
      <c r="BB15" s="239"/>
      <c r="BC15" s="239"/>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row>
    <row r="16" spans="1:90" s="240" customFormat="1" ht="14.25" customHeight="1">
      <c r="A16" s="133"/>
      <c r="B16" s="30"/>
      <c r="C16" s="30"/>
      <c r="D16" s="30"/>
      <c r="E16" s="30"/>
      <c r="F16" s="1532"/>
      <c r="G16" s="1533"/>
      <c r="H16" s="1533"/>
      <c r="I16" s="1534"/>
      <c r="J16" s="1532"/>
      <c r="K16" s="1533"/>
      <c r="L16" s="1533"/>
      <c r="M16" s="1534"/>
      <c r="N16" s="1539"/>
      <c r="O16" s="1540"/>
      <c r="P16" s="1533"/>
      <c r="Q16" s="1534"/>
      <c r="R16" s="257"/>
      <c r="S16" s="1184"/>
      <c r="T16" s="1184"/>
      <c r="U16" s="1184"/>
      <c r="V16" s="1184"/>
      <c r="W16" s="1184"/>
      <c r="X16" s="1184"/>
      <c r="Y16" s="1184"/>
      <c r="Z16" s="1184"/>
      <c r="AA16" s="1184"/>
      <c r="AB16" s="1184"/>
      <c r="AC16" s="1184"/>
      <c r="AD16" s="1184"/>
      <c r="AE16" s="1184"/>
      <c r="AF16" s="1184"/>
      <c r="AG16" s="253"/>
      <c r="AH16" s="258"/>
      <c r="AI16" s="259" t="s">
        <v>740</v>
      </c>
      <c r="AJ16" s="259"/>
      <c r="AK16" s="259"/>
      <c r="AL16" s="259"/>
      <c r="AM16" s="259"/>
      <c r="AN16" s="259"/>
      <c r="AO16" s="259" t="s">
        <v>741</v>
      </c>
      <c r="AP16" s="259"/>
      <c r="AQ16" s="259" t="s">
        <v>742</v>
      </c>
      <c r="AR16" s="259"/>
      <c r="AS16" s="259"/>
      <c r="AT16" s="259"/>
      <c r="AU16" s="258"/>
      <c r="AV16" s="238"/>
      <c r="AW16" s="238"/>
      <c r="AX16" s="238"/>
      <c r="AY16" s="238"/>
      <c r="AZ16" s="238"/>
      <c r="BA16" s="238"/>
      <c r="BB16" s="239"/>
      <c r="BC16" s="239"/>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row>
    <row r="17" spans="1:90" s="240" customFormat="1" ht="14.25" customHeight="1">
      <c r="A17" s="1376" t="s">
        <v>630</v>
      </c>
      <c r="B17" s="1376"/>
      <c r="C17" s="1376"/>
      <c r="D17" s="1376"/>
      <c r="E17" s="1376"/>
      <c r="F17" s="1375" t="s">
        <v>794</v>
      </c>
      <c r="G17" s="1375"/>
      <c r="H17" s="1375" t="s">
        <v>590</v>
      </c>
      <c r="I17" s="1375"/>
      <c r="J17" s="1371" t="s">
        <v>795</v>
      </c>
      <c r="K17" s="1372"/>
      <c r="L17" s="1541"/>
      <c r="M17" s="1542"/>
      <c r="N17" s="1375" t="s">
        <v>617</v>
      </c>
      <c r="O17" s="1375"/>
      <c r="P17" s="1375" t="s">
        <v>332</v>
      </c>
      <c r="Q17" s="1375"/>
      <c r="R17" s="30"/>
      <c r="S17" s="1184"/>
      <c r="T17" s="1184"/>
      <c r="U17" s="1184"/>
      <c r="V17" s="1184"/>
      <c r="W17" s="1184"/>
      <c r="X17" s="1184"/>
      <c r="Y17" s="1184"/>
      <c r="Z17" s="1184"/>
      <c r="AA17" s="1184"/>
      <c r="AB17" s="1184"/>
      <c r="AC17" s="1184"/>
      <c r="AD17" s="1184"/>
      <c r="AE17" s="1184"/>
      <c r="AF17" s="1184"/>
      <c r="AG17" s="253"/>
      <c r="AH17" s="258"/>
      <c r="AI17" s="259" t="s">
        <v>633</v>
      </c>
      <c r="AJ17" s="259" t="s">
        <v>634</v>
      </c>
      <c r="AK17" s="259" t="s">
        <v>635</v>
      </c>
      <c r="AL17" s="259" t="s">
        <v>636</v>
      </c>
      <c r="AM17" s="259" t="s">
        <v>637</v>
      </c>
      <c r="AN17" s="259" t="s">
        <v>590</v>
      </c>
      <c r="AO17" s="259" t="s">
        <v>428</v>
      </c>
      <c r="AP17" s="259" t="s">
        <v>429</v>
      </c>
      <c r="AQ17" s="259" t="s">
        <v>126</v>
      </c>
      <c r="AR17" s="259" t="s">
        <v>431</v>
      </c>
      <c r="AS17" s="259" t="s">
        <v>429</v>
      </c>
      <c r="AT17" s="259" t="s">
        <v>124</v>
      </c>
      <c r="AU17" s="258"/>
      <c r="AV17" s="238"/>
      <c r="AW17" s="238"/>
      <c r="AX17" s="238"/>
      <c r="AY17" s="238"/>
      <c r="AZ17" s="238"/>
      <c r="BA17" s="238"/>
      <c r="BB17" s="239" t="s">
        <v>128</v>
      </c>
      <c r="BC17" s="239" t="s">
        <v>743</v>
      </c>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row>
    <row r="18" spans="1:90" s="240" customFormat="1" ht="14.25" customHeight="1">
      <c r="A18" s="260" t="s">
        <v>638</v>
      </c>
      <c r="B18" s="261"/>
      <c r="C18" s="261"/>
      <c r="D18" s="261"/>
      <c r="E18" s="262"/>
      <c r="F18" s="1377">
        <v>0</v>
      </c>
      <c r="G18" s="1378"/>
      <c r="H18" s="1379"/>
      <c r="I18" s="1381"/>
      <c r="J18" s="1380"/>
      <c r="K18" s="1380"/>
      <c r="L18" s="1379"/>
      <c r="M18" s="1380"/>
      <c r="N18" s="1379">
        <f>SUM(H18,J18,L18)*AN18</f>
        <v>0</v>
      </c>
      <c r="O18" s="1380"/>
      <c r="P18" s="1379"/>
      <c r="Q18" s="1381"/>
      <c r="R18" s="263"/>
      <c r="S18" s="1184"/>
      <c r="T18" s="1184"/>
      <c r="U18" s="1184"/>
      <c r="V18" s="1184"/>
      <c r="W18" s="1184"/>
      <c r="X18" s="1184"/>
      <c r="Y18" s="1184"/>
      <c r="Z18" s="1184"/>
      <c r="AA18" s="1184"/>
      <c r="AB18" s="1184"/>
      <c r="AC18" s="1184"/>
      <c r="AD18" s="1184"/>
      <c r="AE18" s="1184"/>
      <c r="AF18" s="1184"/>
      <c r="AG18" s="264"/>
      <c r="AH18" s="258"/>
      <c r="AI18" s="259"/>
      <c r="AJ18" s="259">
        <v>2</v>
      </c>
      <c r="AK18" s="259"/>
      <c r="AL18" s="259"/>
      <c r="AM18" s="259"/>
      <c r="AN18" s="265">
        <f>AI18*12.01+AJ18*1.008+AK18*16+AL18*14+AM18*32</f>
        <v>2.016</v>
      </c>
      <c r="AO18" s="259">
        <f>AI18*1+AJ18*0.25+AM18*1</f>
        <v>0.5</v>
      </c>
      <c r="AP18" s="266">
        <f>0.79/0.21*AO18</f>
        <v>1.8809523809523812</v>
      </c>
      <c r="AQ18" s="259">
        <f>1*AI18</f>
        <v>0</v>
      </c>
      <c r="AR18" s="259">
        <f>AJ18/2</f>
        <v>1</v>
      </c>
      <c r="AS18" s="266">
        <f>AL18*0.5+AP18</f>
        <v>1.8809523809523812</v>
      </c>
      <c r="AT18" s="259">
        <f>AM18*1</f>
        <v>0</v>
      </c>
      <c r="AU18" s="258"/>
      <c r="AV18" s="238"/>
      <c r="AW18" s="238"/>
      <c r="AX18" s="238"/>
      <c r="AY18" s="238"/>
      <c r="AZ18" s="238"/>
      <c r="BA18" s="239" t="s">
        <v>639</v>
      </c>
      <c r="BB18" s="239">
        <v>1.4200000000000001E-2</v>
      </c>
      <c r="BC18" s="239">
        <v>2.9999999999999997E-4</v>
      </c>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row>
    <row r="19" spans="1:90" s="240" customFormat="1" ht="14.25" customHeight="1">
      <c r="A19" s="267" t="s">
        <v>122</v>
      </c>
      <c r="B19" s="268"/>
      <c r="C19" s="268"/>
      <c r="D19" s="268"/>
      <c r="E19" s="269"/>
      <c r="F19" s="1377">
        <f>CO2eEF!P26</f>
        <v>0.99629999999999996</v>
      </c>
      <c r="G19" s="1378"/>
      <c r="H19" s="1546">
        <v>16.042999999999999</v>
      </c>
      <c r="I19" s="1549"/>
      <c r="J19" s="1550">
        <f>F19*H19</f>
        <v>15.983640899999999</v>
      </c>
      <c r="K19" s="1550"/>
      <c r="L19" s="1546">
        <f>J19/$J$39</f>
        <v>0.99103593622983144</v>
      </c>
      <c r="M19" s="1545"/>
      <c r="N19" s="1547">
        <f>L19*$V$20</f>
        <v>9.9103593622983155E-2</v>
      </c>
      <c r="O19" s="1548"/>
      <c r="P19" s="1547">
        <f>N19*365.25*24/1000</f>
        <v>0.86874210169907029</v>
      </c>
      <c r="Q19" s="1548"/>
      <c r="R19" s="1382"/>
      <c r="S19" s="1384"/>
      <c r="T19" s="263"/>
      <c r="U19" s="263"/>
      <c r="V19" s="263"/>
      <c r="W19" s="263"/>
      <c r="X19" s="263"/>
      <c r="Y19" s="263"/>
      <c r="Z19" s="263"/>
      <c r="AA19" s="263"/>
      <c r="AB19" s="263"/>
      <c r="AC19" s="263"/>
      <c r="AD19" s="263"/>
      <c r="AE19" s="263"/>
      <c r="AF19" s="263"/>
      <c r="AG19" s="264"/>
      <c r="AH19" s="258"/>
      <c r="AI19" s="259">
        <v>1</v>
      </c>
      <c r="AJ19" s="259">
        <v>4</v>
      </c>
      <c r="AK19" s="259"/>
      <c r="AL19" s="259"/>
      <c r="AM19" s="259"/>
      <c r="AN19" s="265">
        <f t="shared" ref="AN19:AN34" si="0">AI19*12.01+AJ19*1.008+AK19*16+AL19*14+AM19*32</f>
        <v>16.042000000000002</v>
      </c>
      <c r="AO19" s="259">
        <f t="shared" ref="AO19:AO33" si="1">AI19*1+AJ19*0.25+AM19*1</f>
        <v>2</v>
      </c>
      <c r="AP19" s="266">
        <f t="shared" ref="AP19:AP33" si="2">0.79/0.21*AO19</f>
        <v>7.5238095238095246</v>
      </c>
      <c r="AQ19" s="259">
        <f t="shared" ref="AQ19:AQ33" si="3">1*AI19</f>
        <v>1</v>
      </c>
      <c r="AR19" s="259">
        <f t="shared" ref="AR19:AR33" si="4">AJ19/2</f>
        <v>2</v>
      </c>
      <c r="AS19" s="266">
        <f t="shared" ref="AS19:AS33" si="5">AL19*0.5+AP19</f>
        <v>7.5238095238095246</v>
      </c>
      <c r="AT19" s="259">
        <f t="shared" ref="AT19:AT33" si="6">AM19*1</f>
        <v>0</v>
      </c>
      <c r="AU19" s="258"/>
      <c r="AV19" s="238"/>
      <c r="AW19" s="238"/>
      <c r="AX19" s="238"/>
      <c r="AY19" s="238"/>
      <c r="AZ19" s="238"/>
      <c r="BA19" s="239" t="s">
        <v>126</v>
      </c>
      <c r="BB19" s="239">
        <v>9.5999999999999992E-3</v>
      </c>
      <c r="BC19" s="239">
        <v>0.77539999999999998</v>
      </c>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row>
    <row r="20" spans="1:90" s="240" customFormat="1" ht="14.25" customHeight="1">
      <c r="A20" s="267" t="s">
        <v>641</v>
      </c>
      <c r="B20" s="268"/>
      <c r="C20" s="268"/>
      <c r="D20" s="268"/>
      <c r="E20" s="269"/>
      <c r="F20" s="1377">
        <v>0</v>
      </c>
      <c r="G20" s="1378"/>
      <c r="H20" s="1299"/>
      <c r="I20" s="1301"/>
      <c r="J20" s="1300"/>
      <c r="K20" s="1300"/>
      <c r="L20" s="1299"/>
      <c r="M20" s="1300"/>
      <c r="N20" s="1299">
        <f>SUM(H20,J20,L20)*AN20</f>
        <v>0</v>
      </c>
      <c r="O20" s="1301"/>
      <c r="P20" s="1299"/>
      <c r="Q20" s="1301"/>
      <c r="R20" s="263"/>
      <c r="S20" s="263"/>
      <c r="T20" s="270"/>
      <c r="U20" s="31"/>
      <c r="V20" s="595">
        <v>0.1</v>
      </c>
      <c r="W20" s="263" t="s">
        <v>617</v>
      </c>
      <c r="X20" s="263"/>
      <c r="Y20" s="263"/>
      <c r="Z20" s="263"/>
      <c r="AA20" s="263"/>
      <c r="AB20" s="263"/>
      <c r="AC20" s="263"/>
      <c r="AD20" s="263"/>
      <c r="AE20" s="263"/>
      <c r="AF20" s="263"/>
      <c r="AG20" s="264"/>
      <c r="AH20" s="258"/>
      <c r="AI20" s="259">
        <v>2</v>
      </c>
      <c r="AJ20" s="259">
        <v>4</v>
      </c>
      <c r="AK20" s="259"/>
      <c r="AL20" s="259"/>
      <c r="AM20" s="259"/>
      <c r="AN20" s="265">
        <f t="shared" si="0"/>
        <v>28.052</v>
      </c>
      <c r="AO20" s="259">
        <f t="shared" si="1"/>
        <v>3</v>
      </c>
      <c r="AP20" s="266">
        <f t="shared" si="2"/>
        <v>11.285714285714286</v>
      </c>
      <c r="AQ20" s="259">
        <f t="shared" si="3"/>
        <v>2</v>
      </c>
      <c r="AR20" s="259">
        <f t="shared" si="4"/>
        <v>2</v>
      </c>
      <c r="AS20" s="266">
        <f t="shared" si="5"/>
        <v>11.285714285714286</v>
      </c>
      <c r="AT20" s="259">
        <f t="shared" si="6"/>
        <v>0</v>
      </c>
      <c r="AU20" s="258"/>
      <c r="AV20" s="238"/>
      <c r="AW20" s="238"/>
      <c r="AX20" s="238"/>
      <c r="AY20" s="238"/>
      <c r="AZ20" s="238"/>
      <c r="BA20" s="239" t="s">
        <v>642</v>
      </c>
      <c r="BB20" s="239">
        <v>0.60499999999999998</v>
      </c>
      <c r="BC20" s="239">
        <v>1.43E-2</v>
      </c>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row>
    <row r="21" spans="1:90" s="240" customFormat="1" ht="14.25" customHeight="1">
      <c r="A21" s="267" t="s">
        <v>643</v>
      </c>
      <c r="B21" s="268"/>
      <c r="C21" s="268"/>
      <c r="D21" s="268"/>
      <c r="E21" s="269"/>
      <c r="F21" s="1377">
        <f>CO2eEF!P27</f>
        <v>7.000000000000001E-4</v>
      </c>
      <c r="G21" s="1378"/>
      <c r="H21" s="1543">
        <v>30.07</v>
      </c>
      <c r="I21" s="1544"/>
      <c r="J21" s="1545">
        <f>F21*H21</f>
        <v>2.1049000000000002E-2</v>
      </c>
      <c r="K21" s="1545"/>
      <c r="L21" s="1546">
        <f>J21/$J$39</f>
        <v>1.3051041093961092E-3</v>
      </c>
      <c r="M21" s="1545"/>
      <c r="N21" s="1547">
        <f>L21*$V$20</f>
        <v>1.3051041093961092E-4</v>
      </c>
      <c r="O21" s="1548"/>
      <c r="P21" s="1547">
        <f>N21*365.25*24/1000</f>
        <v>1.1440542622966293E-3</v>
      </c>
      <c r="Q21" s="1548"/>
      <c r="R21" s="263"/>
      <c r="S21" s="263"/>
      <c r="T21" s="31"/>
      <c r="U21" s="31"/>
      <c r="V21" s="270"/>
      <c r="W21" s="263"/>
      <c r="X21" s="263"/>
      <c r="Y21" s="263"/>
      <c r="Z21" s="263"/>
      <c r="AA21" s="263"/>
      <c r="AB21" s="263"/>
      <c r="AC21" s="263"/>
      <c r="AD21" s="263"/>
      <c r="AE21" s="263"/>
      <c r="AF21" s="263"/>
      <c r="AG21" s="264"/>
      <c r="AH21" s="258"/>
      <c r="AI21" s="259">
        <v>2</v>
      </c>
      <c r="AJ21" s="259">
        <v>6</v>
      </c>
      <c r="AK21" s="259"/>
      <c r="AL21" s="259"/>
      <c r="AM21" s="259"/>
      <c r="AN21" s="265">
        <f t="shared" si="0"/>
        <v>30.067999999999998</v>
      </c>
      <c r="AO21" s="259">
        <f t="shared" si="1"/>
        <v>3.5</v>
      </c>
      <c r="AP21" s="266">
        <f t="shared" si="2"/>
        <v>13.166666666666668</v>
      </c>
      <c r="AQ21" s="259">
        <f t="shared" si="3"/>
        <v>2</v>
      </c>
      <c r="AR21" s="259">
        <f t="shared" si="4"/>
        <v>3</v>
      </c>
      <c r="AS21" s="266">
        <f t="shared" si="5"/>
        <v>13.166666666666668</v>
      </c>
      <c r="AT21" s="259">
        <f t="shared" si="6"/>
        <v>0</v>
      </c>
      <c r="AU21" s="258"/>
      <c r="AV21" s="238"/>
      <c r="AW21" s="238"/>
      <c r="AX21" s="238"/>
      <c r="AY21" s="238"/>
      <c r="AZ21" s="238"/>
      <c r="BA21" s="239" t="s">
        <v>644</v>
      </c>
      <c r="BB21" s="239">
        <v>0.17519999999999999</v>
      </c>
      <c r="BC21" s="239">
        <v>1.9E-3</v>
      </c>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row>
    <row r="22" spans="1:90" s="240" customFormat="1" ht="14.25" customHeight="1">
      <c r="A22" s="267" t="s">
        <v>418</v>
      </c>
      <c r="B22" s="268"/>
      <c r="C22" s="268"/>
      <c r="D22" s="268"/>
      <c r="E22" s="269"/>
      <c r="F22" s="1377">
        <v>0</v>
      </c>
      <c r="G22" s="1378"/>
      <c r="H22" s="1299"/>
      <c r="I22" s="1301"/>
      <c r="J22" s="1300"/>
      <c r="K22" s="1300"/>
      <c r="L22" s="1299"/>
      <c r="M22" s="1300"/>
      <c r="N22" s="1299">
        <f>SUM(H22,J22,L22)*AN22</f>
        <v>0</v>
      </c>
      <c r="O22" s="1301"/>
      <c r="P22" s="1299"/>
      <c r="Q22" s="1301"/>
      <c r="R22" s="263"/>
      <c r="S22" s="263"/>
      <c r="T22" s="272"/>
      <c r="U22" s="31"/>
      <c r="V22" s="270"/>
      <c r="W22" s="263"/>
      <c r="X22" s="263"/>
      <c r="Y22" s="263"/>
      <c r="Z22" s="263"/>
      <c r="AA22" s="263"/>
      <c r="AB22" s="263"/>
      <c r="AC22" s="263"/>
      <c r="AD22" s="263"/>
      <c r="AE22" s="263"/>
      <c r="AF22" s="263"/>
      <c r="AG22" s="264"/>
      <c r="AH22" s="258"/>
      <c r="AI22" s="259">
        <v>3</v>
      </c>
      <c r="AJ22" s="259">
        <v>6</v>
      </c>
      <c r="AK22" s="259"/>
      <c r="AL22" s="259"/>
      <c r="AM22" s="259"/>
      <c r="AN22" s="265">
        <f t="shared" si="0"/>
        <v>42.078000000000003</v>
      </c>
      <c r="AO22" s="259">
        <f t="shared" si="1"/>
        <v>4.5</v>
      </c>
      <c r="AP22" s="266">
        <f t="shared" si="2"/>
        <v>16.928571428571431</v>
      </c>
      <c r="AQ22" s="259">
        <f t="shared" si="3"/>
        <v>3</v>
      </c>
      <c r="AR22" s="259">
        <f t="shared" si="4"/>
        <v>3</v>
      </c>
      <c r="AS22" s="266">
        <f t="shared" si="5"/>
        <v>16.928571428571431</v>
      </c>
      <c r="AT22" s="259">
        <f t="shared" si="6"/>
        <v>0</v>
      </c>
      <c r="AU22" s="258"/>
      <c r="AV22" s="238"/>
      <c r="AW22" s="238"/>
      <c r="AX22" s="238"/>
      <c r="AY22" s="238"/>
      <c r="AZ22" s="238"/>
      <c r="BA22" s="239" t="s">
        <v>645</v>
      </c>
      <c r="BB22" s="239">
        <v>0.1139</v>
      </c>
      <c r="BC22" s="239">
        <v>3.5999999999999999E-3</v>
      </c>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row>
    <row r="23" spans="1:90" s="240" customFormat="1" ht="14.25" customHeight="1">
      <c r="A23" s="267" t="s">
        <v>419</v>
      </c>
      <c r="B23" s="268"/>
      <c r="C23" s="268"/>
      <c r="D23" s="268"/>
      <c r="E23" s="269"/>
      <c r="F23" s="1377">
        <f>CO2eEF!P28</f>
        <v>2.0000000000000001E-4</v>
      </c>
      <c r="G23" s="1378"/>
      <c r="H23" s="1546">
        <v>44.097000000000001</v>
      </c>
      <c r="I23" s="1549"/>
      <c r="J23" s="1545">
        <f>F23*H23</f>
        <v>8.8194000000000015E-3</v>
      </c>
      <c r="K23" s="1545"/>
      <c r="L23" s="1546">
        <f>J23/$J$39</f>
        <v>5.4683049942553315E-4</v>
      </c>
      <c r="M23" s="1545"/>
      <c r="N23" s="1547">
        <f>L23*$V$20</f>
        <v>5.4683049942553319E-5</v>
      </c>
      <c r="O23" s="1548"/>
      <c r="P23" s="1547">
        <f>N23*365.25*24/1000</f>
        <v>4.7935161579642236E-4</v>
      </c>
      <c r="Q23" s="1548"/>
      <c r="R23" s="263"/>
      <c r="S23" s="263"/>
      <c r="T23" s="272"/>
      <c r="U23" s="31"/>
      <c r="V23" s="270"/>
      <c r="W23" s="263"/>
      <c r="X23" s="263"/>
      <c r="Y23" s="263"/>
      <c r="Z23" s="263"/>
      <c r="AA23" s="263"/>
      <c r="AB23" s="263"/>
      <c r="AC23" s="263"/>
      <c r="AD23" s="263"/>
      <c r="AE23" s="263"/>
      <c r="AF23" s="263"/>
      <c r="AG23" s="264"/>
      <c r="AH23" s="258"/>
      <c r="AI23" s="259">
        <v>3</v>
      </c>
      <c r="AJ23" s="259">
        <v>8</v>
      </c>
      <c r="AK23" s="259"/>
      <c r="AL23" s="259"/>
      <c r="AM23" s="259"/>
      <c r="AN23" s="265">
        <f t="shared" si="0"/>
        <v>44.094000000000001</v>
      </c>
      <c r="AO23" s="259">
        <f t="shared" si="1"/>
        <v>5</v>
      </c>
      <c r="AP23" s="266">
        <f t="shared" si="2"/>
        <v>18.80952380952381</v>
      </c>
      <c r="AQ23" s="259">
        <f t="shared" si="3"/>
        <v>3</v>
      </c>
      <c r="AR23" s="259">
        <f t="shared" si="4"/>
        <v>4</v>
      </c>
      <c r="AS23" s="266">
        <f t="shared" si="5"/>
        <v>18.80952380952381</v>
      </c>
      <c r="AT23" s="259">
        <f t="shared" si="6"/>
        <v>0</v>
      </c>
      <c r="AU23" s="258"/>
      <c r="AV23" s="238"/>
      <c r="AW23" s="238"/>
      <c r="AX23" s="238"/>
      <c r="AY23" s="238"/>
      <c r="AZ23" s="238"/>
      <c r="BA23" s="239" t="s">
        <v>646</v>
      </c>
      <c r="BB23" s="239">
        <v>1.7100000000000001E-2</v>
      </c>
      <c r="BC23" s="239">
        <v>1E-3</v>
      </c>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row>
    <row r="24" spans="1:90" s="240" customFormat="1" ht="14.25" customHeight="1">
      <c r="A24" s="267" t="s">
        <v>420</v>
      </c>
      <c r="B24" s="268"/>
      <c r="C24" s="268"/>
      <c r="D24" s="268"/>
      <c r="E24" s="269"/>
      <c r="F24" s="1377">
        <v>0</v>
      </c>
      <c r="G24" s="1378"/>
      <c r="H24" s="1299"/>
      <c r="I24" s="1301"/>
      <c r="J24" s="1300"/>
      <c r="K24" s="1300"/>
      <c r="L24" s="1299"/>
      <c r="M24" s="1300"/>
      <c r="N24" s="1299">
        <f>SUM(H24,J24,L24)*AN24</f>
        <v>0</v>
      </c>
      <c r="O24" s="1301"/>
      <c r="P24" s="1299"/>
      <c r="Q24" s="1301"/>
      <c r="R24" s="263"/>
      <c r="S24" s="263"/>
      <c r="T24" s="263"/>
      <c r="U24" s="263"/>
      <c r="V24" s="263"/>
      <c r="W24" s="263"/>
      <c r="X24" s="263"/>
      <c r="Y24" s="263"/>
      <c r="Z24" s="263"/>
      <c r="AA24" s="263"/>
      <c r="AB24" s="263"/>
      <c r="AC24" s="263"/>
      <c r="AD24" s="263"/>
      <c r="AE24" s="263"/>
      <c r="AF24" s="263"/>
      <c r="AG24" s="264"/>
      <c r="AH24" s="258"/>
      <c r="AI24" s="259">
        <v>4</v>
      </c>
      <c r="AJ24" s="259">
        <v>8</v>
      </c>
      <c r="AK24" s="259"/>
      <c r="AL24" s="259"/>
      <c r="AM24" s="259"/>
      <c r="AN24" s="265">
        <f t="shared" si="0"/>
        <v>56.103999999999999</v>
      </c>
      <c r="AO24" s="259">
        <f t="shared" si="1"/>
        <v>6</v>
      </c>
      <c r="AP24" s="266">
        <f t="shared" si="2"/>
        <v>22.571428571428573</v>
      </c>
      <c r="AQ24" s="259">
        <f t="shared" si="3"/>
        <v>4</v>
      </c>
      <c r="AR24" s="259">
        <f t="shared" si="4"/>
        <v>4</v>
      </c>
      <c r="AS24" s="266">
        <f t="shared" si="5"/>
        <v>22.571428571428573</v>
      </c>
      <c r="AT24" s="259">
        <f t="shared" si="6"/>
        <v>0</v>
      </c>
      <c r="AU24" s="258"/>
      <c r="AV24" s="238"/>
      <c r="AW24" s="238"/>
      <c r="AX24" s="238"/>
      <c r="AY24" s="238"/>
      <c r="AZ24" s="238"/>
      <c r="BA24" s="239" t="s">
        <v>647</v>
      </c>
      <c r="BB24" s="239">
        <v>4.5900000000000003E-2</v>
      </c>
      <c r="BC24" s="239">
        <v>2.3999999999999998E-3</v>
      </c>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row>
    <row r="25" spans="1:90" s="240" customFormat="1" ht="14.25" customHeight="1">
      <c r="A25" s="267" t="s">
        <v>421</v>
      </c>
      <c r="B25" s="268"/>
      <c r="C25" s="268"/>
      <c r="D25" s="268"/>
      <c r="E25" s="269"/>
      <c r="F25" s="1377">
        <f>CO2eEF!P29</f>
        <v>1E-4</v>
      </c>
      <c r="G25" s="1378"/>
      <c r="H25" s="1546">
        <v>58.122999999999998</v>
      </c>
      <c r="I25" s="1549"/>
      <c r="J25" s="1545">
        <f>F25*H25</f>
        <v>5.8123000000000003E-3</v>
      </c>
      <c r="K25" s="1545"/>
      <c r="L25" s="1546">
        <f>J25/$J$39</f>
        <v>3.6038085491201508E-4</v>
      </c>
      <c r="M25" s="1545"/>
      <c r="N25" s="1547">
        <f>L25*$V$20</f>
        <v>3.603808549120151E-5</v>
      </c>
      <c r="O25" s="1548"/>
      <c r="P25" s="1547">
        <f>N25*365.25*24/1000</f>
        <v>3.1590985741587247E-4</v>
      </c>
      <c r="Q25" s="1548"/>
      <c r="R25" s="263"/>
      <c r="S25" s="263"/>
      <c r="T25" s="263"/>
      <c r="U25" s="263"/>
      <c r="V25" s="263"/>
      <c r="W25" s="263"/>
      <c r="X25" s="263"/>
      <c r="Y25" s="263"/>
      <c r="Z25" s="263"/>
      <c r="AA25" s="263"/>
      <c r="AB25" s="263"/>
      <c r="AC25" s="263"/>
      <c r="AD25" s="263"/>
      <c r="AE25" s="263"/>
      <c r="AF25" s="263"/>
      <c r="AG25" s="264"/>
      <c r="AH25" s="258"/>
      <c r="AI25" s="259">
        <v>4</v>
      </c>
      <c r="AJ25" s="259">
        <v>10</v>
      </c>
      <c r="AK25" s="259"/>
      <c r="AL25" s="259"/>
      <c r="AM25" s="259"/>
      <c r="AN25" s="265">
        <f>AI25*12.01+AJ25*1.008+AK25*16+AL25*14+AM25*32</f>
        <v>58.12</v>
      </c>
      <c r="AO25" s="259">
        <f t="shared" si="1"/>
        <v>6.5</v>
      </c>
      <c r="AP25" s="266">
        <f t="shared" si="2"/>
        <v>24.452380952380956</v>
      </c>
      <c r="AQ25" s="259">
        <f t="shared" si="3"/>
        <v>4</v>
      </c>
      <c r="AR25" s="259">
        <f t="shared" si="4"/>
        <v>5</v>
      </c>
      <c r="AS25" s="266">
        <f t="shared" si="5"/>
        <v>24.452380952380956</v>
      </c>
      <c r="AT25" s="259">
        <f t="shared" si="6"/>
        <v>0</v>
      </c>
      <c r="AU25" s="258"/>
      <c r="AV25" s="238"/>
      <c r="AW25" s="238"/>
      <c r="AX25" s="238"/>
      <c r="AY25" s="238"/>
      <c r="AZ25" s="238"/>
      <c r="BA25" s="239" t="s">
        <v>648</v>
      </c>
      <c r="BB25" s="239">
        <v>8.2000000000000007E-3</v>
      </c>
      <c r="BC25" s="239">
        <v>1.6000000000000001E-3</v>
      </c>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row>
    <row r="26" spans="1:90" s="240" customFormat="1" ht="14.25" customHeight="1">
      <c r="A26" s="267" t="s">
        <v>422</v>
      </c>
      <c r="B26" s="268"/>
      <c r="C26" s="268"/>
      <c r="D26" s="268"/>
      <c r="E26" s="269"/>
      <c r="F26" s="1377">
        <f>CO2eEF!P30</f>
        <v>0</v>
      </c>
      <c r="G26" s="1378"/>
      <c r="H26" s="1299"/>
      <c r="I26" s="1301"/>
      <c r="J26" s="1300"/>
      <c r="K26" s="1300"/>
      <c r="L26" s="1299"/>
      <c r="M26" s="1300"/>
      <c r="N26" s="1299">
        <f>SUM(H26,J26,L26)*AN26</f>
        <v>0</v>
      </c>
      <c r="O26" s="1301"/>
      <c r="P26" s="1299"/>
      <c r="Q26" s="1301"/>
      <c r="R26" s="263"/>
      <c r="S26" s="263"/>
      <c r="T26" s="263" t="s">
        <v>761</v>
      </c>
      <c r="U26" s="263"/>
      <c r="V26" s="263"/>
      <c r="W26" s="263"/>
      <c r="X26" s="263"/>
      <c r="Y26" s="263"/>
      <c r="Z26" s="263"/>
      <c r="AA26" s="263"/>
      <c r="AB26" s="263"/>
      <c r="AC26" s="263"/>
      <c r="AD26" s="263"/>
      <c r="AE26" s="263"/>
      <c r="AF26" s="263"/>
      <c r="AG26" s="264"/>
      <c r="AH26" s="258"/>
      <c r="AI26" s="259">
        <v>4</v>
      </c>
      <c r="AJ26" s="259">
        <v>10</v>
      </c>
      <c r="AK26" s="259"/>
      <c r="AL26" s="259"/>
      <c r="AM26" s="259"/>
      <c r="AN26" s="265">
        <f t="shared" si="0"/>
        <v>58.12</v>
      </c>
      <c r="AO26" s="259">
        <f t="shared" si="1"/>
        <v>6.5</v>
      </c>
      <c r="AP26" s="266">
        <f t="shared" si="2"/>
        <v>24.452380952380956</v>
      </c>
      <c r="AQ26" s="259">
        <f t="shared" si="3"/>
        <v>4</v>
      </c>
      <c r="AR26" s="259">
        <f t="shared" si="4"/>
        <v>5</v>
      </c>
      <c r="AS26" s="266">
        <f t="shared" si="5"/>
        <v>24.452380952380956</v>
      </c>
      <c r="AT26" s="259">
        <f t="shared" si="6"/>
        <v>0</v>
      </c>
      <c r="AU26" s="258"/>
      <c r="AV26" s="238"/>
      <c r="AW26" s="238"/>
      <c r="AX26" s="238"/>
      <c r="AY26" s="238"/>
      <c r="AZ26" s="238"/>
      <c r="BA26" s="239" t="s">
        <v>649</v>
      </c>
      <c r="BB26" s="239">
        <v>2.0000000000000001E-4</v>
      </c>
      <c r="BC26" s="239">
        <v>0</v>
      </c>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row>
    <row r="27" spans="1:90" s="240" customFormat="1" ht="14.25" customHeight="1">
      <c r="A27" s="267" t="s">
        <v>423</v>
      </c>
      <c r="B27" s="268"/>
      <c r="C27" s="268"/>
      <c r="D27" s="268"/>
      <c r="E27" s="269"/>
      <c r="F27" s="1377">
        <f>CO2eEF!P31</f>
        <v>1E-4</v>
      </c>
      <c r="G27" s="1378"/>
      <c r="H27" s="1543">
        <v>72.150000000000006</v>
      </c>
      <c r="I27" s="1544"/>
      <c r="J27" s="1545">
        <f t="shared" ref="J27:J29" si="7">F27*H27</f>
        <v>7.2150000000000009E-3</v>
      </c>
      <c r="K27" s="1545"/>
      <c r="L27" s="1546">
        <f t="shared" ref="L27:L29" si="8">J27/$J$39</f>
        <v>4.4735266042533745E-4</v>
      </c>
      <c r="M27" s="1545"/>
      <c r="N27" s="1547">
        <f t="shared" ref="N27:N29" si="9">L27*$V$20</f>
        <v>4.4735266042533745E-5</v>
      </c>
      <c r="O27" s="1548"/>
      <c r="P27" s="1547">
        <f t="shared" ref="P27:P29" si="10">N27*365.25*24/1000</f>
        <v>3.9214934212885075E-4</v>
      </c>
      <c r="Q27" s="1548"/>
      <c r="R27" s="263"/>
      <c r="S27" s="263"/>
      <c r="T27" s="263"/>
      <c r="U27" s="263"/>
      <c r="V27" s="263"/>
      <c r="W27" s="263"/>
      <c r="X27" s="263"/>
      <c r="Y27" s="263"/>
      <c r="Z27" s="263"/>
      <c r="AA27" s="263"/>
      <c r="AB27" s="263"/>
      <c r="AC27" s="263"/>
      <c r="AD27" s="263"/>
      <c r="AE27" s="263"/>
      <c r="AF27" s="263"/>
      <c r="AG27" s="264"/>
      <c r="AH27" s="258"/>
      <c r="AI27" s="259">
        <v>5</v>
      </c>
      <c r="AJ27" s="259">
        <v>12</v>
      </c>
      <c r="AK27" s="259"/>
      <c r="AL27" s="259"/>
      <c r="AM27" s="259"/>
      <c r="AN27" s="265">
        <f t="shared" si="0"/>
        <v>72.146000000000001</v>
      </c>
      <c r="AO27" s="259">
        <f t="shared" si="1"/>
        <v>8</v>
      </c>
      <c r="AP27" s="266">
        <f t="shared" si="2"/>
        <v>30.095238095238098</v>
      </c>
      <c r="AQ27" s="259">
        <f t="shared" si="3"/>
        <v>5</v>
      </c>
      <c r="AR27" s="259">
        <f t="shared" si="4"/>
        <v>6</v>
      </c>
      <c r="AS27" s="266">
        <f t="shared" si="5"/>
        <v>30.095238095238098</v>
      </c>
      <c r="AT27" s="259">
        <f t="shared" si="6"/>
        <v>0</v>
      </c>
      <c r="AU27" s="258"/>
      <c r="AV27" s="238"/>
      <c r="AW27" s="238"/>
      <c r="AX27" s="238"/>
      <c r="AY27" s="238"/>
      <c r="AZ27" s="238"/>
      <c r="BA27" s="239" t="s">
        <v>650</v>
      </c>
      <c r="BB27" s="239">
        <v>8.8999999999999999E-3</v>
      </c>
      <c r="BC27" s="239">
        <v>1.9E-3</v>
      </c>
      <c r="BD27" s="238"/>
      <c r="BE27" s="238"/>
      <c r="BF27" s="238"/>
      <c r="BG27" s="238"/>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row>
    <row r="28" spans="1:90" s="240" customFormat="1" ht="14.25" customHeight="1">
      <c r="A28" s="267" t="s">
        <v>424</v>
      </c>
      <c r="B28" s="268"/>
      <c r="C28" s="268"/>
      <c r="D28" s="268"/>
      <c r="E28" s="269"/>
      <c r="F28" s="1377">
        <f>CO2eEF!P33</f>
        <v>1E-4</v>
      </c>
      <c r="G28" s="1378"/>
      <c r="H28" s="1543">
        <v>72.150000000000006</v>
      </c>
      <c r="I28" s="1544"/>
      <c r="J28" s="1545">
        <f t="shared" si="7"/>
        <v>7.2150000000000009E-3</v>
      </c>
      <c r="K28" s="1545"/>
      <c r="L28" s="1546">
        <f t="shared" si="8"/>
        <v>4.4735266042533745E-4</v>
      </c>
      <c r="M28" s="1545"/>
      <c r="N28" s="1547">
        <f t="shared" si="9"/>
        <v>4.4735266042533745E-5</v>
      </c>
      <c r="O28" s="1548"/>
      <c r="P28" s="1547">
        <f t="shared" si="10"/>
        <v>3.9214934212885075E-4</v>
      </c>
      <c r="Q28" s="1548"/>
      <c r="R28" s="263"/>
      <c r="S28" s="263"/>
      <c r="T28" s="1554"/>
      <c r="U28" s="1472"/>
      <c r="V28" s="1472"/>
      <c r="W28" s="1472"/>
      <c r="X28" s="1472"/>
      <c r="Y28" s="1472"/>
      <c r="Z28" s="1472"/>
      <c r="AA28" s="1472"/>
      <c r="AB28" s="1472"/>
      <c r="AC28" s="1472"/>
      <c r="AD28" s="1472"/>
      <c r="AE28" s="1472"/>
      <c r="AF28" s="263"/>
      <c r="AG28" s="264"/>
      <c r="AH28" s="258"/>
      <c r="AI28" s="259">
        <v>5</v>
      </c>
      <c r="AJ28" s="259">
        <v>12</v>
      </c>
      <c r="AK28" s="259"/>
      <c r="AL28" s="259"/>
      <c r="AM28" s="259"/>
      <c r="AN28" s="265">
        <f t="shared" si="0"/>
        <v>72.146000000000001</v>
      </c>
      <c r="AO28" s="259">
        <f t="shared" si="1"/>
        <v>8</v>
      </c>
      <c r="AP28" s="266">
        <f t="shared" si="2"/>
        <v>30.095238095238098</v>
      </c>
      <c r="AQ28" s="259">
        <f t="shared" si="3"/>
        <v>5</v>
      </c>
      <c r="AR28" s="259">
        <f t="shared" si="4"/>
        <v>6</v>
      </c>
      <c r="AS28" s="266">
        <f t="shared" si="5"/>
        <v>30.095238095238098</v>
      </c>
      <c r="AT28" s="259">
        <f t="shared" si="6"/>
        <v>0</v>
      </c>
      <c r="AU28" s="258"/>
      <c r="AV28" s="238"/>
      <c r="AW28" s="238"/>
      <c r="AX28" s="238"/>
      <c r="AY28" s="238"/>
      <c r="AZ28" s="238"/>
      <c r="BA28" s="239" t="s">
        <v>651</v>
      </c>
      <c r="BB28" s="239">
        <v>2.0000000000000001E-4</v>
      </c>
      <c r="BC28" s="239">
        <v>2.9999999999999997E-4</v>
      </c>
      <c r="BD28" s="238"/>
      <c r="BE28" s="238"/>
      <c r="BF28" s="238"/>
      <c r="BG28" s="238"/>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row>
    <row r="29" spans="1:90" s="240" customFormat="1" ht="14.25" customHeight="1">
      <c r="A29" s="267" t="s">
        <v>721</v>
      </c>
      <c r="B29" s="268"/>
      <c r="C29" s="268"/>
      <c r="D29" s="268"/>
      <c r="E29" s="269"/>
      <c r="F29" s="1377">
        <f>1-(SUM(F18:F28)+SUM(F30:G38))</f>
        <v>2.00000000000089E-4</v>
      </c>
      <c r="G29" s="1378"/>
      <c r="H29" s="1546">
        <v>86.177000000000007</v>
      </c>
      <c r="I29" s="1549"/>
      <c r="J29" s="1545">
        <f t="shared" si="7"/>
        <v>1.7235400000007672E-2</v>
      </c>
      <c r="K29" s="1545"/>
      <c r="L29" s="1546">
        <f t="shared" si="8"/>
        <v>1.0686489318777951E-3</v>
      </c>
      <c r="M29" s="1545"/>
      <c r="N29" s="1547">
        <f t="shared" si="9"/>
        <v>1.0686489318777951E-4</v>
      </c>
      <c r="O29" s="1548"/>
      <c r="P29" s="1547">
        <f t="shared" si="10"/>
        <v>9.3677765368407526E-4</v>
      </c>
      <c r="Q29" s="1548"/>
      <c r="R29" s="263"/>
      <c r="S29" s="263"/>
      <c r="T29" s="1472"/>
      <c r="U29" s="1472"/>
      <c r="V29" s="1472"/>
      <c r="W29" s="1472"/>
      <c r="X29" s="1472"/>
      <c r="Y29" s="1472"/>
      <c r="Z29" s="1472"/>
      <c r="AA29" s="1472"/>
      <c r="AB29" s="1472"/>
      <c r="AC29" s="1472"/>
      <c r="AD29" s="1472"/>
      <c r="AE29" s="1472"/>
      <c r="AF29" s="263"/>
      <c r="AG29" s="264"/>
      <c r="AH29" s="258"/>
      <c r="AI29" s="259">
        <v>6</v>
      </c>
      <c r="AJ29" s="259">
        <v>14</v>
      </c>
      <c r="AK29" s="259"/>
      <c r="AL29" s="259"/>
      <c r="AM29" s="259"/>
      <c r="AN29" s="265">
        <f t="shared" si="0"/>
        <v>86.171999999999997</v>
      </c>
      <c r="AO29" s="259">
        <f t="shared" si="1"/>
        <v>9.5</v>
      </c>
      <c r="AP29" s="266">
        <f t="shared" si="2"/>
        <v>35.738095238095241</v>
      </c>
      <c r="AQ29" s="259">
        <f t="shared" si="3"/>
        <v>6</v>
      </c>
      <c r="AR29" s="259">
        <f t="shared" si="4"/>
        <v>7</v>
      </c>
      <c r="AS29" s="266">
        <f t="shared" si="5"/>
        <v>35.738095238095241</v>
      </c>
      <c r="AT29" s="259">
        <f t="shared" si="6"/>
        <v>0</v>
      </c>
      <c r="AU29" s="258"/>
      <c r="AV29" s="238"/>
      <c r="AW29" s="238"/>
      <c r="AX29" s="238"/>
      <c r="AY29" s="238"/>
      <c r="AZ29" s="238"/>
      <c r="BA29" s="239" t="s">
        <v>652</v>
      </c>
      <c r="BB29" s="239">
        <v>0</v>
      </c>
      <c r="BC29" s="239">
        <v>5.0000000000000001E-4</v>
      </c>
      <c r="BD29" s="238"/>
      <c r="BE29" s="238"/>
      <c r="BF29" s="238"/>
      <c r="BG29" s="238"/>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row>
    <row r="30" spans="1:90" s="240" customFormat="1" ht="14.25" customHeight="1">
      <c r="A30" s="267" t="s">
        <v>426</v>
      </c>
      <c r="B30" s="268"/>
      <c r="C30" s="268"/>
      <c r="D30" s="268"/>
      <c r="E30" s="269"/>
      <c r="F30" s="1377">
        <v>0</v>
      </c>
      <c r="G30" s="1378"/>
      <c r="H30" s="1299"/>
      <c r="I30" s="1301"/>
      <c r="J30" s="1300"/>
      <c r="K30" s="1300"/>
      <c r="L30" s="1299"/>
      <c r="M30" s="1300"/>
      <c r="N30" s="1299">
        <f>SUM(H30,J30,L30)*AN30</f>
        <v>0</v>
      </c>
      <c r="O30" s="1301"/>
      <c r="P30" s="1299"/>
      <c r="Q30" s="1301"/>
      <c r="R30" s="263"/>
      <c r="S30" s="263"/>
      <c r="T30" s="1472"/>
      <c r="U30" s="1472"/>
      <c r="V30" s="1472"/>
      <c r="W30" s="1472"/>
      <c r="X30" s="1472"/>
      <c r="Y30" s="1472"/>
      <c r="Z30" s="1472"/>
      <c r="AA30" s="1472"/>
      <c r="AB30" s="1472"/>
      <c r="AC30" s="1472"/>
      <c r="AD30" s="1472"/>
      <c r="AE30" s="1472"/>
      <c r="AF30" s="263"/>
      <c r="AG30" s="264"/>
      <c r="AH30" s="258"/>
      <c r="AI30" s="259"/>
      <c r="AJ30" s="259"/>
      <c r="AK30" s="259"/>
      <c r="AL30" s="259"/>
      <c r="AM30" s="259"/>
      <c r="AN30" s="265">
        <v>4.0030000000000001</v>
      </c>
      <c r="AO30" s="259"/>
      <c r="AP30" s="266"/>
      <c r="AQ30" s="259"/>
      <c r="AR30" s="259"/>
      <c r="AS30" s="266"/>
      <c r="AT30" s="259"/>
      <c r="AU30" s="258"/>
      <c r="AV30" s="238"/>
      <c r="AW30" s="238"/>
      <c r="AX30" s="238"/>
      <c r="AY30" s="238"/>
      <c r="AZ30" s="238"/>
      <c r="BA30" s="239" t="s">
        <v>653</v>
      </c>
      <c r="BB30" s="239">
        <v>0</v>
      </c>
      <c r="BC30" s="239">
        <v>1E-4</v>
      </c>
      <c r="BD30" s="238"/>
      <c r="BE30" s="238"/>
      <c r="BF30" s="238"/>
      <c r="BG30" s="238"/>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row>
    <row r="31" spans="1:90" s="240" customFormat="1" ht="14.25" customHeight="1">
      <c r="A31" s="267" t="s">
        <v>427</v>
      </c>
      <c r="B31" s="268"/>
      <c r="C31" s="268"/>
      <c r="D31" s="268"/>
      <c r="E31" s="269"/>
      <c r="F31" s="1377">
        <v>0</v>
      </c>
      <c r="G31" s="1378"/>
      <c r="H31" s="1299"/>
      <c r="I31" s="1301"/>
      <c r="J31" s="1300"/>
      <c r="K31" s="1300"/>
      <c r="L31" s="1299"/>
      <c r="M31" s="1300"/>
      <c r="N31" s="1299">
        <f>SUM(H31,J31,L31)*AN31</f>
        <v>0</v>
      </c>
      <c r="O31" s="1301"/>
      <c r="P31" s="1299"/>
      <c r="Q31" s="1301"/>
      <c r="R31" s="263"/>
      <c r="S31" s="263"/>
      <c r="T31" s="1472"/>
      <c r="U31" s="1472"/>
      <c r="V31" s="1472"/>
      <c r="W31" s="1472"/>
      <c r="X31" s="1472"/>
      <c r="Y31" s="1472"/>
      <c r="Z31" s="1472"/>
      <c r="AA31" s="1472"/>
      <c r="AB31" s="1472"/>
      <c r="AC31" s="1472"/>
      <c r="AD31" s="1472"/>
      <c r="AE31" s="1472"/>
      <c r="AF31" s="263"/>
      <c r="AG31" s="264"/>
      <c r="AH31" s="258"/>
      <c r="AI31" s="259"/>
      <c r="AJ31" s="259">
        <v>2</v>
      </c>
      <c r="AK31" s="259"/>
      <c r="AL31" s="259"/>
      <c r="AM31" s="259">
        <v>1</v>
      </c>
      <c r="AN31" s="265">
        <f t="shared" si="0"/>
        <v>34.015999999999998</v>
      </c>
      <c r="AO31" s="259">
        <f t="shared" si="1"/>
        <v>1.5</v>
      </c>
      <c r="AP31" s="266">
        <f t="shared" si="2"/>
        <v>5.6428571428571432</v>
      </c>
      <c r="AQ31" s="259">
        <f t="shared" si="3"/>
        <v>0</v>
      </c>
      <c r="AR31" s="259">
        <f t="shared" si="4"/>
        <v>1</v>
      </c>
      <c r="AS31" s="266">
        <f t="shared" si="5"/>
        <v>5.6428571428571432</v>
      </c>
      <c r="AT31" s="259">
        <f t="shared" si="6"/>
        <v>1</v>
      </c>
      <c r="AU31" s="258"/>
      <c r="AV31" s="238"/>
      <c r="AW31" s="238"/>
      <c r="AX31" s="238"/>
      <c r="AY31" s="238"/>
      <c r="AZ31" s="238"/>
      <c r="BA31" s="239" t="s">
        <v>654</v>
      </c>
      <c r="BB31" s="239">
        <v>0</v>
      </c>
      <c r="BC31" s="239">
        <v>4.0000000000000002E-4</v>
      </c>
      <c r="BD31" s="238"/>
      <c r="BE31" s="238"/>
      <c r="BF31" s="238"/>
      <c r="BG31" s="238"/>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row>
    <row r="32" spans="1:90" s="240" customFormat="1" ht="14.25" customHeight="1">
      <c r="A32" s="267" t="s">
        <v>428</v>
      </c>
      <c r="B32" s="268"/>
      <c r="C32" s="268"/>
      <c r="D32" s="268"/>
      <c r="E32" s="269"/>
      <c r="F32" s="1377">
        <v>0</v>
      </c>
      <c r="G32" s="1378"/>
      <c r="H32" s="1299"/>
      <c r="I32" s="1301"/>
      <c r="J32" s="1300"/>
      <c r="K32" s="1300"/>
      <c r="L32" s="1299">
        <v>0</v>
      </c>
      <c r="M32" s="1300"/>
      <c r="N32" s="1299">
        <f>SUM(H32,J32,L32)*AN32</f>
        <v>0</v>
      </c>
      <c r="O32" s="1301"/>
      <c r="P32" s="1299"/>
      <c r="Q32" s="1301"/>
      <c r="R32" s="263"/>
      <c r="S32" s="263"/>
      <c r="T32" s="1472"/>
      <c r="U32" s="1472"/>
      <c r="V32" s="1472"/>
      <c r="W32" s="1472"/>
      <c r="X32" s="1472"/>
      <c r="Y32" s="1472"/>
      <c r="Z32" s="1472"/>
      <c r="AA32" s="1472"/>
      <c r="AB32" s="1472"/>
      <c r="AC32" s="1472"/>
      <c r="AD32" s="1472"/>
      <c r="AE32" s="1472"/>
      <c r="AF32" s="263"/>
      <c r="AG32" s="264"/>
      <c r="AH32" s="258"/>
      <c r="AI32" s="259"/>
      <c r="AJ32" s="259"/>
      <c r="AK32" s="259">
        <v>2</v>
      </c>
      <c r="AL32" s="259"/>
      <c r="AM32" s="259"/>
      <c r="AN32" s="265">
        <f t="shared" si="0"/>
        <v>32</v>
      </c>
      <c r="AO32" s="259">
        <f t="shared" si="1"/>
        <v>0</v>
      </c>
      <c r="AP32" s="266">
        <f t="shared" si="2"/>
        <v>0</v>
      </c>
      <c r="AQ32" s="259">
        <f t="shared" si="3"/>
        <v>0</v>
      </c>
      <c r="AR32" s="259">
        <f t="shared" si="4"/>
        <v>0</v>
      </c>
      <c r="AS32" s="266">
        <f t="shared" si="5"/>
        <v>0</v>
      </c>
      <c r="AT32" s="259">
        <f t="shared" si="6"/>
        <v>0</v>
      </c>
      <c r="AU32" s="258"/>
      <c r="AV32" s="238"/>
      <c r="AW32" s="238"/>
      <c r="AX32" s="238"/>
      <c r="AY32" s="238"/>
      <c r="AZ32" s="238"/>
      <c r="BA32" s="239" t="s">
        <v>655</v>
      </c>
      <c r="BB32" s="239">
        <v>0</v>
      </c>
      <c r="BC32" s="239">
        <v>2.0000000000000001E-4</v>
      </c>
      <c r="BD32" s="238"/>
      <c r="BE32" s="238"/>
      <c r="BF32" s="238"/>
      <c r="BG32" s="238"/>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row>
    <row r="33" spans="1:90" s="240" customFormat="1" ht="14.25" customHeight="1">
      <c r="A33" s="267" t="s">
        <v>429</v>
      </c>
      <c r="B33" s="268"/>
      <c r="C33" s="268"/>
      <c r="D33" s="268"/>
      <c r="E33" s="269"/>
      <c r="F33" s="1377">
        <f>CO2eEF!P24</f>
        <v>1.5E-3</v>
      </c>
      <c r="G33" s="1378"/>
      <c r="H33" s="1547">
        <v>28.013500000000001</v>
      </c>
      <c r="I33" s="1548"/>
      <c r="J33" s="1545">
        <f t="shared" ref="J33" si="11">F33*H33</f>
        <v>4.2020250000000002E-2</v>
      </c>
      <c r="K33" s="1545"/>
      <c r="L33" s="1546">
        <f t="shared" ref="L33" si="12">J33/$J$39</f>
        <v>2.6053874745998315E-3</v>
      </c>
      <c r="M33" s="1545"/>
      <c r="N33" s="1547">
        <f t="shared" ref="N33" si="13">L33*$V$20</f>
        <v>2.6053874745998317E-4</v>
      </c>
      <c r="O33" s="1548"/>
      <c r="P33" s="1547">
        <f t="shared" ref="P33" si="14">N33*365.25*24/1000</f>
        <v>2.2838826602342125E-3</v>
      </c>
      <c r="Q33" s="1548"/>
      <c r="R33" s="263"/>
      <c r="S33" s="263"/>
      <c r="T33" s="1472"/>
      <c r="U33" s="1472"/>
      <c r="V33" s="1472"/>
      <c r="W33" s="1472"/>
      <c r="X33" s="1472"/>
      <c r="Y33" s="1472"/>
      <c r="Z33" s="1472"/>
      <c r="AA33" s="1472"/>
      <c r="AB33" s="1472"/>
      <c r="AC33" s="1472"/>
      <c r="AD33" s="1472"/>
      <c r="AE33" s="1472"/>
      <c r="AF33" s="263"/>
      <c r="AG33" s="264"/>
      <c r="AH33" s="258"/>
      <c r="AI33" s="259"/>
      <c r="AJ33" s="259"/>
      <c r="AK33" s="259"/>
      <c r="AL33" s="259">
        <v>2</v>
      </c>
      <c r="AM33" s="259"/>
      <c r="AN33" s="265">
        <f t="shared" si="0"/>
        <v>28</v>
      </c>
      <c r="AO33" s="259">
        <f t="shared" si="1"/>
        <v>0</v>
      </c>
      <c r="AP33" s="266">
        <f t="shared" si="2"/>
        <v>0</v>
      </c>
      <c r="AQ33" s="259">
        <f t="shared" si="3"/>
        <v>0</v>
      </c>
      <c r="AR33" s="259">
        <f t="shared" si="4"/>
        <v>0</v>
      </c>
      <c r="AS33" s="266">
        <f t="shared" si="5"/>
        <v>1</v>
      </c>
      <c r="AT33" s="259">
        <f t="shared" si="6"/>
        <v>0</v>
      </c>
      <c r="AU33" s="258"/>
      <c r="AV33" s="238"/>
      <c r="AW33" s="238"/>
      <c r="AX33" s="238"/>
      <c r="AY33" s="238"/>
      <c r="AZ33" s="238"/>
      <c r="BA33" s="239" t="s">
        <v>656</v>
      </c>
      <c r="BB33" s="239">
        <v>1.5E-3</v>
      </c>
      <c r="BC33" s="239">
        <v>0</v>
      </c>
      <c r="BD33" s="238"/>
      <c r="BE33" s="238"/>
      <c r="BF33" s="238"/>
      <c r="BG33" s="238"/>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row>
    <row r="34" spans="1:90" s="240" customFormat="1" ht="14.25" customHeight="1">
      <c r="A34" s="267" t="s">
        <v>115</v>
      </c>
      <c r="B34" s="268"/>
      <c r="C34" s="268"/>
      <c r="D34" s="268"/>
      <c r="E34" s="269"/>
      <c r="F34" s="1377">
        <v>0</v>
      </c>
      <c r="G34" s="1378"/>
      <c r="H34" s="1299"/>
      <c r="I34" s="1301"/>
      <c r="J34" s="1300"/>
      <c r="K34" s="1300"/>
      <c r="L34" s="1299"/>
      <c r="M34" s="1300"/>
      <c r="N34" s="1299">
        <f>SUM(H34,J34,L34)*AN34</f>
        <v>0</v>
      </c>
      <c r="O34" s="1301"/>
      <c r="P34" s="1299"/>
      <c r="Q34" s="1301"/>
      <c r="R34" s="263"/>
      <c r="S34" s="263"/>
      <c r="T34" s="1472"/>
      <c r="U34" s="1472"/>
      <c r="V34" s="1472"/>
      <c r="W34" s="1472"/>
      <c r="X34" s="1472"/>
      <c r="Y34" s="1472"/>
      <c r="Z34" s="1472"/>
      <c r="AA34" s="1472"/>
      <c r="AB34" s="1472"/>
      <c r="AC34" s="1472"/>
      <c r="AD34" s="1472"/>
      <c r="AE34" s="1472"/>
      <c r="AF34" s="263"/>
      <c r="AG34" s="264"/>
      <c r="AH34" s="258"/>
      <c r="AI34" s="258">
        <v>1</v>
      </c>
      <c r="AJ34" s="258"/>
      <c r="AK34" s="258">
        <v>1</v>
      </c>
      <c r="AL34" s="258"/>
      <c r="AM34" s="258"/>
      <c r="AN34" s="265">
        <f t="shared" si="0"/>
        <v>28.009999999999998</v>
      </c>
      <c r="AO34" s="259"/>
      <c r="AP34" s="258"/>
      <c r="AQ34" s="258"/>
      <c r="AR34" s="258"/>
      <c r="AS34" s="258"/>
      <c r="AT34" s="258"/>
      <c r="AU34" s="258"/>
      <c r="AV34" s="238"/>
      <c r="AW34" s="238"/>
      <c r="AX34" s="238"/>
      <c r="AY34" s="238"/>
      <c r="AZ34" s="238"/>
      <c r="BA34" s="239" t="s">
        <v>657</v>
      </c>
      <c r="BB34" s="239">
        <v>1E-4</v>
      </c>
      <c r="BC34" s="239">
        <v>0</v>
      </c>
      <c r="BD34" s="238"/>
      <c r="BE34" s="238"/>
      <c r="BF34" s="238"/>
      <c r="BG34" s="238"/>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row>
    <row r="35" spans="1:90" s="240" customFormat="1" ht="14.25" customHeight="1">
      <c r="A35" s="267" t="s">
        <v>126</v>
      </c>
      <c r="B35" s="268"/>
      <c r="C35" s="268"/>
      <c r="D35" s="268"/>
      <c r="E35" s="269"/>
      <c r="F35" s="1377">
        <f>CO2eEF!P25</f>
        <v>8.0000000000000004E-4</v>
      </c>
      <c r="G35" s="1378"/>
      <c r="H35" s="1543">
        <v>44.01</v>
      </c>
      <c r="I35" s="1544"/>
      <c r="J35" s="1545">
        <f t="shared" ref="J35" si="15">F35*H35</f>
        <v>3.5208000000000003E-2</v>
      </c>
      <c r="K35" s="1545"/>
      <c r="L35" s="1546">
        <f t="shared" ref="L35" si="16">J35/$J$39</f>
        <v>2.1830065791067612E-3</v>
      </c>
      <c r="M35" s="1545"/>
      <c r="N35" s="1547">
        <f t="shared" ref="N35" si="17">L35*$V$20</f>
        <v>2.1830065791067613E-4</v>
      </c>
      <c r="O35" s="1548"/>
      <c r="P35" s="1547">
        <f t="shared" ref="P35" si="18">N35*365.25*24/1000</f>
        <v>1.9136235672449868E-3</v>
      </c>
      <c r="Q35" s="1548"/>
      <c r="R35" s="263"/>
      <c r="S35" s="263"/>
      <c r="T35" s="1472"/>
      <c r="U35" s="1472"/>
      <c r="V35" s="1472"/>
      <c r="W35" s="1472"/>
      <c r="X35" s="1472"/>
      <c r="Y35" s="1472"/>
      <c r="Z35" s="1472"/>
      <c r="AA35" s="1472"/>
      <c r="AB35" s="1472"/>
      <c r="AC35" s="1472"/>
      <c r="AD35" s="1472"/>
      <c r="AE35" s="1472"/>
      <c r="AF35" s="263"/>
      <c r="AG35" s="264"/>
      <c r="AH35" s="258"/>
      <c r="AI35" s="259">
        <v>1</v>
      </c>
      <c r="AJ35" s="259"/>
      <c r="AK35" s="259">
        <v>2</v>
      </c>
      <c r="AL35" s="259"/>
      <c r="AM35" s="259"/>
      <c r="AN35" s="265">
        <f>AI35*12.01+AJ35*1.008+AK35*16+AL35*14+AM35*32</f>
        <v>44.01</v>
      </c>
      <c r="AO35" s="259"/>
      <c r="AP35" s="259"/>
      <c r="AQ35" s="259"/>
      <c r="AR35" s="259"/>
      <c r="AS35" s="259"/>
      <c r="AT35" s="259"/>
      <c r="AU35" s="258"/>
      <c r="AV35" s="238"/>
      <c r="AW35" s="238"/>
      <c r="AX35" s="238"/>
      <c r="AY35" s="238"/>
      <c r="AZ35" s="238"/>
      <c r="BA35" s="239" t="s">
        <v>658</v>
      </c>
      <c r="BB35" s="239">
        <v>0</v>
      </c>
      <c r="BC35" s="239">
        <v>0</v>
      </c>
      <c r="BD35" s="238"/>
      <c r="BE35" s="238"/>
      <c r="BF35" s="238"/>
      <c r="BG35" s="238"/>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row>
    <row r="36" spans="1:90" s="240" customFormat="1" ht="14.25" customHeight="1">
      <c r="A36" s="267" t="s">
        <v>430</v>
      </c>
      <c r="B36" s="268"/>
      <c r="C36" s="268"/>
      <c r="D36" s="268"/>
      <c r="E36" s="269"/>
      <c r="F36" s="1377">
        <v>0</v>
      </c>
      <c r="G36" s="1378"/>
      <c r="H36" s="1299"/>
      <c r="I36" s="1301"/>
      <c r="J36" s="1300"/>
      <c r="K36" s="1300"/>
      <c r="L36" s="1299"/>
      <c r="M36" s="1300"/>
      <c r="N36" s="1299">
        <f>SUM(H36,J36,L36)*AN36</f>
        <v>0</v>
      </c>
      <c r="O36" s="1301"/>
      <c r="P36" s="1299"/>
      <c r="Q36" s="1301"/>
      <c r="R36" s="263"/>
      <c r="S36" s="263"/>
      <c r="T36" s="1472"/>
      <c r="U36" s="1472"/>
      <c r="V36" s="1472"/>
      <c r="W36" s="1472"/>
      <c r="X36" s="1472"/>
      <c r="Y36" s="1472"/>
      <c r="Z36" s="1472"/>
      <c r="AA36" s="1472"/>
      <c r="AB36" s="1472"/>
      <c r="AC36" s="1472"/>
      <c r="AD36" s="1472"/>
      <c r="AE36" s="1472"/>
      <c r="AF36" s="263"/>
      <c r="AG36" s="264"/>
      <c r="AH36" s="258"/>
      <c r="AI36" s="258"/>
      <c r="AJ36" s="258"/>
      <c r="AK36" s="258">
        <v>2</v>
      </c>
      <c r="AL36" s="258">
        <v>1</v>
      </c>
      <c r="AM36" s="258"/>
      <c r="AN36" s="265">
        <f>AI36*12.01+AJ36*1.008+AK36*16+AL36*14+AM36*32</f>
        <v>46</v>
      </c>
      <c r="AO36" s="259"/>
      <c r="AP36" s="258"/>
      <c r="AQ36" s="258"/>
      <c r="AR36" s="258"/>
      <c r="AS36" s="258"/>
      <c r="AT36" s="258"/>
      <c r="AU36" s="258"/>
      <c r="AV36" s="238"/>
      <c r="AW36" s="238"/>
      <c r="AX36" s="238"/>
      <c r="AY36" s="238"/>
      <c r="AZ36" s="238"/>
      <c r="BA36" s="239" t="s">
        <v>659</v>
      </c>
      <c r="BB36" s="239">
        <v>0</v>
      </c>
      <c r="BC36" s="239">
        <v>0</v>
      </c>
      <c r="BD36" s="238"/>
      <c r="BE36" s="238"/>
      <c r="BF36" s="238"/>
      <c r="BG36" s="238"/>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row>
    <row r="37" spans="1:90" s="240" customFormat="1" ht="14.25" customHeight="1">
      <c r="A37" s="267" t="s">
        <v>124</v>
      </c>
      <c r="B37" s="268"/>
      <c r="C37" s="268"/>
      <c r="D37" s="268"/>
      <c r="E37" s="269"/>
      <c r="F37" s="1377">
        <v>0</v>
      </c>
      <c r="G37" s="1378"/>
      <c r="H37" s="1299"/>
      <c r="I37" s="1301"/>
      <c r="J37" s="1300"/>
      <c r="K37" s="1300"/>
      <c r="L37" s="1299"/>
      <c r="M37" s="1300"/>
      <c r="N37" s="1299">
        <f>SUM(H37,J37,L37)*AN37</f>
        <v>0</v>
      </c>
      <c r="O37" s="1301"/>
      <c r="P37" s="1299"/>
      <c r="Q37" s="1301"/>
      <c r="R37" s="263"/>
      <c r="S37" s="263"/>
      <c r="T37" s="263"/>
      <c r="U37" s="263"/>
      <c r="V37" s="263"/>
      <c r="W37" s="263"/>
      <c r="X37" s="263"/>
      <c r="Y37" s="263"/>
      <c r="Z37" s="263"/>
      <c r="AA37" s="263"/>
      <c r="AB37" s="263"/>
      <c r="AC37" s="263"/>
      <c r="AD37" s="263"/>
      <c r="AE37" s="263"/>
      <c r="AF37" s="263"/>
      <c r="AG37" s="264"/>
      <c r="AH37" s="258"/>
      <c r="AI37" s="258"/>
      <c r="AJ37" s="258"/>
      <c r="AK37" s="258">
        <v>2</v>
      </c>
      <c r="AL37" s="258"/>
      <c r="AM37" s="258">
        <v>1</v>
      </c>
      <c r="AN37" s="265">
        <f>AI37*12.01+AJ37*1.008+AK37*16+AL37*14+AM37*32</f>
        <v>64</v>
      </c>
      <c r="AO37" s="259"/>
      <c r="AP37" s="258"/>
      <c r="AQ37" s="258"/>
      <c r="AR37" s="258"/>
      <c r="AS37" s="258"/>
      <c r="AT37" s="258"/>
      <c r="AU37" s="258"/>
      <c r="AV37" s="238"/>
      <c r="AW37" s="238"/>
      <c r="AX37" s="238"/>
      <c r="AY37" s="238"/>
      <c r="AZ37" s="238"/>
      <c r="BA37" s="239" t="s">
        <v>660</v>
      </c>
      <c r="BB37" s="239">
        <v>0</v>
      </c>
      <c r="BC37" s="239">
        <v>0</v>
      </c>
      <c r="BD37" s="238"/>
      <c r="BE37" s="238"/>
      <c r="BF37" s="238"/>
      <c r="BG37" s="238"/>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row>
    <row r="38" spans="1:90" s="240" customFormat="1" ht="14.25" customHeight="1">
      <c r="A38" s="273" t="s">
        <v>431</v>
      </c>
      <c r="B38" s="274"/>
      <c r="C38" s="274"/>
      <c r="D38" s="274"/>
      <c r="E38" s="274"/>
      <c r="F38" s="1377">
        <f>CO2eEF!P47</f>
        <v>0</v>
      </c>
      <c r="G38" s="1378"/>
      <c r="H38" s="1299"/>
      <c r="I38" s="1301"/>
      <c r="J38" s="1384"/>
      <c r="K38" s="1384"/>
      <c r="L38" s="1382"/>
      <c r="M38" s="1384"/>
      <c r="N38" s="1299">
        <f>SUM(H38,J38,L38)*AN38</f>
        <v>0</v>
      </c>
      <c r="O38" s="1301"/>
      <c r="P38" s="1299"/>
      <c r="Q38" s="1301"/>
      <c r="R38" s="263"/>
      <c r="S38" s="263"/>
      <c r="T38" s="263"/>
      <c r="U38" s="263"/>
      <c r="V38" s="263"/>
      <c r="W38" s="263"/>
      <c r="X38" s="263"/>
      <c r="Y38" s="263"/>
      <c r="Z38" s="263"/>
      <c r="AA38" s="263"/>
      <c r="AB38" s="263"/>
      <c r="AC38" s="263"/>
      <c r="AD38" s="263"/>
      <c r="AE38" s="263"/>
      <c r="AF38" s="263"/>
      <c r="AG38" s="264"/>
      <c r="AH38" s="258"/>
      <c r="AI38" s="258"/>
      <c r="AJ38" s="258">
        <v>2</v>
      </c>
      <c r="AK38" s="258">
        <v>1</v>
      </c>
      <c r="AL38" s="258"/>
      <c r="AM38" s="258"/>
      <c r="AN38" s="265">
        <f>AI38*12.01+AJ38*1.008+AK38*16+AL38*14+AM38*32</f>
        <v>18.015999999999998</v>
      </c>
      <c r="AO38" s="259"/>
      <c r="AP38" s="258"/>
      <c r="AQ38" s="258"/>
      <c r="AR38" s="258"/>
      <c r="AS38" s="258"/>
      <c r="AT38" s="258"/>
      <c r="AU38" s="258"/>
      <c r="AV38" s="238"/>
      <c r="AW38" s="238"/>
      <c r="AX38" s="238"/>
      <c r="AY38" s="238"/>
      <c r="AZ38" s="238"/>
      <c r="BA38" s="239" t="s">
        <v>661</v>
      </c>
      <c r="BB38" s="239">
        <v>0</v>
      </c>
      <c r="BC38" s="239">
        <v>0</v>
      </c>
      <c r="BD38" s="238"/>
      <c r="BE38" s="238"/>
      <c r="BF38" s="238"/>
      <c r="BG38" s="238"/>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row>
    <row r="39" spans="1:90" s="240" customFormat="1" ht="14.25" customHeight="1">
      <c r="A39" s="1391" t="s">
        <v>663</v>
      </c>
      <c r="B39" s="1392"/>
      <c r="C39" s="1392"/>
      <c r="D39" s="1392"/>
      <c r="E39" s="1393"/>
      <c r="F39" s="1394">
        <f>SUM(F18:F38)</f>
        <v>1</v>
      </c>
      <c r="G39" s="1395"/>
      <c r="H39" s="1371">
        <v>6106.1389961389959</v>
      </c>
      <c r="I39" s="1373"/>
      <c r="J39" s="1395">
        <f>SUM(J18:K38)</f>
        <v>16.128215250000004</v>
      </c>
      <c r="K39" s="1395"/>
      <c r="L39" s="1371">
        <v>0</v>
      </c>
      <c r="M39" s="1372"/>
      <c r="N39" s="1394">
        <f>SUM(N18:O38)</f>
        <v>0.10000000000000005</v>
      </c>
      <c r="O39" s="1551"/>
      <c r="P39" s="1552">
        <f>SUM(P19:Q38)</f>
        <v>0.87660000000000005</v>
      </c>
      <c r="Q39" s="1553"/>
      <c r="R39" s="275"/>
      <c r="S39" s="275"/>
      <c r="T39" s="30"/>
      <c r="U39" s="30"/>
      <c r="V39" s="276"/>
      <c r="W39" s="276"/>
      <c r="X39" s="30"/>
      <c r="Y39" s="30"/>
      <c r="Z39" s="277"/>
      <c r="AA39" s="277"/>
      <c r="AB39" s="263"/>
      <c r="AC39" s="263"/>
      <c r="AD39" s="30"/>
      <c r="AE39" s="30"/>
      <c r="AF39" s="277"/>
      <c r="AG39" s="278"/>
      <c r="AH39" s="238"/>
      <c r="AI39" s="238"/>
      <c r="AJ39" s="238"/>
      <c r="AK39" s="238"/>
      <c r="AL39" s="238"/>
      <c r="AM39" s="238"/>
      <c r="AN39" s="238"/>
      <c r="AO39" s="238"/>
      <c r="AP39" s="238"/>
      <c r="AQ39" s="238"/>
      <c r="AR39" s="238"/>
      <c r="AS39" s="238"/>
      <c r="AT39" s="238"/>
      <c r="AU39" s="238"/>
      <c r="AV39" s="238"/>
      <c r="AW39" s="238"/>
      <c r="AX39" s="238"/>
      <c r="AY39" s="238"/>
      <c r="AZ39" s="238"/>
      <c r="BA39" s="239" t="s">
        <v>662</v>
      </c>
      <c r="BB39" s="239">
        <v>0</v>
      </c>
      <c r="BC39" s="239">
        <v>0</v>
      </c>
      <c r="BD39" s="238"/>
      <c r="BE39" s="238"/>
      <c r="BF39" s="238"/>
      <c r="BG39" s="238"/>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row>
    <row r="40" spans="1:90" s="240" customFormat="1" ht="14.25" customHeight="1">
      <c r="A40" s="279" t="s">
        <v>749</v>
      </c>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280"/>
      <c r="AH40" s="238"/>
      <c r="AI40" s="238"/>
      <c r="AJ40" s="238"/>
      <c r="AK40" s="281"/>
      <c r="AL40" s="238"/>
      <c r="AM40" s="238"/>
      <c r="AN40" s="238"/>
      <c r="AO40" s="238"/>
      <c r="AP40" s="238"/>
      <c r="AQ40" s="238"/>
      <c r="AR40" s="238"/>
      <c r="AS40" s="238"/>
      <c r="AT40" s="238"/>
      <c r="AU40" s="238"/>
      <c r="AV40" s="238"/>
      <c r="AW40" s="238"/>
      <c r="AX40" s="238"/>
      <c r="AY40" s="238"/>
      <c r="AZ40" s="238"/>
      <c r="BA40" s="239"/>
      <c r="BB40" s="239"/>
      <c r="BC40" s="239"/>
      <c r="BD40" s="238"/>
      <c r="BE40" s="238"/>
      <c r="BF40" s="238"/>
      <c r="BG40" s="238"/>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row>
    <row r="41" spans="1:90" s="240" customFormat="1" ht="14.25" customHeight="1">
      <c r="A41" s="282" t="s">
        <v>31</v>
      </c>
      <c r="B41" s="31" t="s">
        <v>751</v>
      </c>
      <c r="C41" s="30"/>
      <c r="D41" s="30"/>
      <c r="E41" s="30"/>
      <c r="F41" s="30"/>
      <c r="G41" s="30"/>
      <c r="H41" s="30"/>
      <c r="I41" s="30"/>
      <c r="J41" s="30"/>
      <c r="K41" s="30"/>
      <c r="L41" s="30"/>
      <c r="M41" s="30"/>
      <c r="N41" s="283"/>
      <c r="O41" s="283"/>
      <c r="P41" s="283"/>
      <c r="Q41" s="30"/>
      <c r="R41" s="30"/>
      <c r="S41" s="30"/>
      <c r="T41" s="30"/>
      <c r="U41" s="30"/>
      <c r="V41" s="30"/>
      <c r="W41" s="30"/>
      <c r="X41" s="30"/>
      <c r="Y41" s="30"/>
      <c r="Z41" s="30"/>
      <c r="AA41" s="30"/>
      <c r="AB41" s="30"/>
      <c r="AC41" s="30"/>
      <c r="AD41" s="30"/>
      <c r="AE41" s="30"/>
      <c r="AF41" s="30"/>
      <c r="AG41" s="253"/>
      <c r="AH41" s="238"/>
      <c r="AI41" s="238"/>
      <c r="AJ41" s="238"/>
      <c r="AK41" s="238"/>
      <c r="AL41" s="238"/>
      <c r="AM41" s="238"/>
      <c r="AN41" s="238"/>
      <c r="AO41" s="238"/>
      <c r="AP41" s="238"/>
      <c r="AQ41" s="238"/>
      <c r="AR41" s="238"/>
      <c r="AS41" s="238"/>
      <c r="AT41" s="238"/>
      <c r="AU41" s="238"/>
      <c r="AV41" s="238"/>
      <c r="AW41" s="238"/>
      <c r="AX41" s="238"/>
      <c r="AY41" s="238"/>
      <c r="AZ41" s="238"/>
      <c r="BA41" s="239" t="s">
        <v>679</v>
      </c>
      <c r="BB41" s="239">
        <v>0</v>
      </c>
      <c r="BC41" s="239">
        <v>0</v>
      </c>
      <c r="BD41" s="238"/>
      <c r="BE41" s="238"/>
      <c r="BF41" s="238"/>
      <c r="BG41" s="238"/>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row>
    <row r="42" spans="1:90" ht="14.25" customHeight="1">
      <c r="A42" s="282" t="s">
        <v>33</v>
      </c>
      <c r="B42" s="284" t="s">
        <v>726</v>
      </c>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6"/>
      <c r="AH42" s="243"/>
      <c r="AI42" s="243"/>
      <c r="AJ42" s="243"/>
      <c r="AK42" s="243"/>
      <c r="AL42" s="243"/>
      <c r="AM42" s="243"/>
      <c r="AN42" s="243"/>
      <c r="AO42" s="243"/>
      <c r="AP42" s="243"/>
      <c r="AQ42" s="243"/>
      <c r="AR42" s="243"/>
      <c r="AS42" s="243"/>
      <c r="AT42" s="243"/>
      <c r="AU42" s="243"/>
      <c r="AV42" s="243"/>
      <c r="AW42" s="243"/>
      <c r="AX42" s="243"/>
      <c r="AY42" s="243"/>
      <c r="AZ42" s="243"/>
      <c r="BA42" s="246" t="s">
        <v>681</v>
      </c>
      <c r="BB42" s="246">
        <v>0</v>
      </c>
      <c r="BC42" s="246">
        <v>0</v>
      </c>
      <c r="BD42" s="243"/>
      <c r="BE42" s="243"/>
      <c r="BF42" s="243"/>
      <c r="BG42" s="243"/>
      <c r="BH42" s="243"/>
      <c r="BI42" s="243"/>
      <c r="BJ42" s="243"/>
      <c r="BK42" s="243"/>
      <c r="BL42" s="243"/>
      <c r="BM42" s="243"/>
      <c r="BN42" s="243"/>
      <c r="BO42" s="243"/>
      <c r="BP42" s="243"/>
      <c r="BQ42" s="243"/>
      <c r="BR42" s="243"/>
      <c r="BS42" s="243"/>
      <c r="BT42" s="243"/>
      <c r="BU42" s="243"/>
      <c r="BV42" s="243"/>
      <c r="BW42" s="243"/>
      <c r="BX42" s="243"/>
      <c r="BY42" s="243"/>
      <c r="BZ42" s="243"/>
      <c r="CA42" s="243"/>
      <c r="CB42" s="243"/>
      <c r="CC42" s="243"/>
      <c r="CD42" s="243"/>
      <c r="CE42" s="243"/>
      <c r="CF42" s="243"/>
      <c r="CG42" s="243"/>
      <c r="CH42" s="243"/>
      <c r="CI42" s="243"/>
      <c r="CJ42" s="243"/>
      <c r="CK42" s="243"/>
      <c r="CL42" s="243"/>
    </row>
    <row r="43" spans="1:90" ht="14.25" customHeight="1">
      <c r="A43" s="282" t="s">
        <v>752</v>
      </c>
      <c r="B43" s="284"/>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5"/>
      <c r="AA43" s="285"/>
      <c r="AB43" s="285"/>
      <c r="AC43" s="285"/>
      <c r="AD43" s="285"/>
      <c r="AE43" s="285"/>
      <c r="AF43" s="285"/>
      <c r="AG43" s="286"/>
      <c r="AH43" s="243"/>
      <c r="AI43" s="243"/>
      <c r="AJ43" s="243"/>
      <c r="AK43" s="243"/>
      <c r="AL43" s="243"/>
      <c r="AM43" s="243"/>
      <c r="AN43" s="243"/>
      <c r="AO43" s="243"/>
      <c r="AP43" s="243"/>
      <c r="AQ43" s="243"/>
      <c r="AR43" s="243"/>
      <c r="AS43" s="243"/>
      <c r="AT43" s="243"/>
      <c r="AU43" s="243"/>
      <c r="AV43" s="243"/>
      <c r="AW43" s="243"/>
      <c r="AX43" s="243"/>
      <c r="AY43" s="243"/>
      <c r="AZ43" s="243"/>
      <c r="BA43" s="246" t="s">
        <v>684</v>
      </c>
      <c r="BB43" s="246">
        <v>0</v>
      </c>
      <c r="BC43" s="246">
        <v>0</v>
      </c>
      <c r="BD43" s="243"/>
      <c r="BE43" s="243"/>
      <c r="BF43" s="243"/>
      <c r="BG43" s="243"/>
      <c r="BH43" s="243"/>
      <c r="BI43" s="243"/>
      <c r="BJ43" s="243"/>
      <c r="BK43" s="243"/>
      <c r="BL43" s="243"/>
      <c r="BM43" s="243"/>
      <c r="BN43" s="243"/>
      <c r="BO43" s="243"/>
      <c r="BP43" s="243"/>
      <c r="BQ43" s="243"/>
      <c r="BR43" s="243"/>
      <c r="BS43" s="243"/>
      <c r="BT43" s="243"/>
      <c r="BU43" s="243"/>
      <c r="BV43" s="243"/>
      <c r="BW43" s="243"/>
      <c r="BX43" s="243"/>
      <c r="BY43" s="243"/>
      <c r="BZ43" s="243"/>
      <c r="CA43" s="243"/>
      <c r="CB43" s="243"/>
      <c r="CC43" s="243"/>
      <c r="CD43" s="243"/>
      <c r="CE43" s="243"/>
      <c r="CF43" s="243"/>
      <c r="CG43" s="243"/>
      <c r="CH43" s="243"/>
      <c r="CI43" s="243"/>
      <c r="CJ43" s="243"/>
      <c r="CK43" s="243"/>
      <c r="CL43" s="243"/>
    </row>
    <row r="44" spans="1:90" ht="14.25">
      <c r="A44" s="282" t="s">
        <v>38</v>
      </c>
      <c r="B44" s="284"/>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6"/>
      <c r="AH44" s="243"/>
      <c r="AI44" s="243"/>
      <c r="AJ44" s="243"/>
      <c r="AK44" s="243"/>
      <c r="AL44" s="243"/>
      <c r="AM44" s="243"/>
      <c r="AN44" s="243"/>
      <c r="AO44" s="243"/>
      <c r="AP44" s="243"/>
      <c r="AQ44" s="243"/>
      <c r="AR44" s="243"/>
      <c r="AS44" s="243"/>
      <c r="AT44" s="243"/>
      <c r="AU44" s="243"/>
      <c r="AV44" s="243"/>
      <c r="AW44" s="243"/>
      <c r="AX44" s="243"/>
      <c r="AY44" s="243"/>
      <c r="AZ44" s="243"/>
      <c r="BA44" s="246"/>
      <c r="BB44" s="246"/>
      <c r="BC44" s="246"/>
      <c r="BD44" s="243"/>
      <c r="BE44" s="243"/>
      <c r="BF44" s="243"/>
      <c r="BG44" s="243"/>
      <c r="BH44" s="243"/>
      <c r="BI44" s="243"/>
      <c r="BJ44" s="243"/>
      <c r="BK44" s="243"/>
      <c r="BL44" s="243"/>
      <c r="BM44" s="243"/>
      <c r="BN44" s="243"/>
      <c r="BO44" s="243"/>
      <c r="BP44" s="243"/>
      <c r="BQ44" s="243"/>
      <c r="BR44" s="243"/>
      <c r="BS44" s="243"/>
      <c r="BT44" s="243"/>
      <c r="BU44" s="243"/>
      <c r="BV44" s="243"/>
      <c r="BW44" s="243"/>
      <c r="BX44" s="243"/>
      <c r="BY44" s="243"/>
      <c r="BZ44" s="243"/>
      <c r="CA44" s="243"/>
      <c r="CB44" s="243"/>
      <c r="CC44" s="243"/>
      <c r="CD44" s="243"/>
      <c r="CE44" s="243"/>
      <c r="CF44" s="243"/>
      <c r="CG44" s="243"/>
      <c r="CH44" s="243"/>
      <c r="CI44" s="243"/>
      <c r="CJ44" s="243"/>
      <c r="CK44" s="243"/>
      <c r="CL44" s="243"/>
    </row>
    <row r="45" spans="1:90" ht="14.25">
      <c r="A45" s="282" t="s">
        <v>41</v>
      </c>
      <c r="B45" s="284"/>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43"/>
      <c r="AI45" s="243"/>
      <c r="AJ45" s="243"/>
      <c r="AK45" s="243"/>
      <c r="AL45" s="243"/>
      <c r="AM45" s="243"/>
      <c r="AN45" s="243"/>
      <c r="AO45" s="243"/>
      <c r="AP45" s="243"/>
      <c r="AQ45" s="243"/>
      <c r="AR45" s="243"/>
      <c r="AS45" s="243"/>
      <c r="AT45" s="243"/>
      <c r="AU45" s="243"/>
      <c r="AV45" s="243"/>
      <c r="AW45" s="243"/>
      <c r="AX45" s="243"/>
      <c r="AY45" s="243"/>
      <c r="AZ45" s="243"/>
      <c r="BA45" s="246" t="s">
        <v>688</v>
      </c>
      <c r="BB45" s="246">
        <v>0</v>
      </c>
      <c r="BC45" s="246">
        <v>0</v>
      </c>
      <c r="BD45" s="243"/>
      <c r="BE45" s="243"/>
      <c r="BF45" s="243"/>
      <c r="BG45" s="243"/>
      <c r="BH45" s="243"/>
      <c r="BI45" s="243"/>
      <c r="BJ45" s="243"/>
      <c r="BK45" s="243"/>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row>
    <row r="46" spans="1:90">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288"/>
      <c r="AF46" s="288"/>
      <c r="AG46" s="289"/>
      <c r="AH46" s="289"/>
      <c r="AI46" s="289"/>
      <c r="AJ46" s="289"/>
      <c r="AK46" s="289"/>
      <c r="AL46" s="289"/>
      <c r="AM46" s="289"/>
      <c r="AN46" s="243"/>
      <c r="AO46" s="243"/>
      <c r="AP46" s="243"/>
      <c r="AQ46" s="243"/>
      <c r="AR46" s="243"/>
      <c r="AS46" s="243"/>
      <c r="AT46" s="243"/>
      <c r="AU46" s="243"/>
      <c r="AV46" s="243"/>
      <c r="AW46" s="243"/>
      <c r="AX46" s="243"/>
      <c r="AY46" s="243"/>
      <c r="AZ46" s="243"/>
      <c r="BA46" s="246" t="s">
        <v>690</v>
      </c>
      <c r="BB46" s="246">
        <v>2.9999999999999997E-4</v>
      </c>
      <c r="BC46" s="246">
        <v>0</v>
      </c>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row>
    <row r="47" spans="1:90">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9"/>
      <c r="AH47" s="289"/>
      <c r="AI47" s="289"/>
      <c r="AJ47" s="289"/>
      <c r="AK47" s="289"/>
      <c r="AL47" s="289"/>
      <c r="AM47" s="289"/>
      <c r="AN47" s="243"/>
      <c r="AO47" s="243"/>
      <c r="AP47" s="243"/>
      <c r="AQ47" s="243"/>
      <c r="AR47" s="243"/>
      <c r="AS47" s="243"/>
      <c r="AT47" s="243"/>
      <c r="AU47" s="243"/>
      <c r="AV47" s="243"/>
      <c r="AW47" s="243"/>
      <c r="AX47" s="243"/>
      <c r="AY47" s="243"/>
      <c r="AZ47" s="243"/>
      <c r="BA47" s="246" t="s">
        <v>691</v>
      </c>
      <c r="BB47" s="246">
        <v>0</v>
      </c>
      <c r="BC47" s="246">
        <v>0</v>
      </c>
      <c r="BD47" s="243"/>
      <c r="BE47" s="243"/>
      <c r="BF47" s="243"/>
      <c r="BG47" s="243"/>
      <c r="BH47" s="243"/>
      <c r="BI47" s="243"/>
      <c r="BJ47" s="243"/>
      <c r="BK47" s="243"/>
      <c r="BL47" s="243"/>
      <c r="BM47" s="243"/>
      <c r="BN47" s="243"/>
      <c r="BO47" s="243"/>
      <c r="BP47" s="243"/>
      <c r="BQ47" s="243"/>
      <c r="BR47" s="243"/>
      <c r="BS47" s="243"/>
      <c r="BT47" s="243"/>
      <c r="BU47" s="243"/>
      <c r="BV47" s="243"/>
      <c r="BW47" s="243"/>
      <c r="BX47" s="243"/>
      <c r="BY47" s="243"/>
      <c r="BZ47" s="243"/>
      <c r="CA47" s="243"/>
      <c r="CB47" s="243"/>
      <c r="CC47" s="243"/>
      <c r="CD47" s="243"/>
      <c r="CE47" s="243"/>
      <c r="CF47" s="243"/>
      <c r="CG47" s="243"/>
      <c r="CH47" s="243"/>
      <c r="CI47" s="243"/>
      <c r="CJ47" s="243"/>
      <c r="CK47" s="243"/>
      <c r="CL47" s="243"/>
    </row>
    <row r="48" spans="1:90">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9"/>
      <c r="AH48" s="289"/>
      <c r="AI48" s="289"/>
      <c r="AJ48" s="289"/>
      <c r="AK48" s="289"/>
      <c r="AL48" s="289"/>
      <c r="AM48" s="289"/>
      <c r="AN48" s="243"/>
      <c r="AO48" s="243"/>
      <c r="AP48" s="243"/>
      <c r="AQ48" s="243"/>
      <c r="AR48" s="243"/>
      <c r="AS48" s="243"/>
      <c r="AT48" s="243"/>
      <c r="AU48" s="243"/>
      <c r="AV48" s="243"/>
      <c r="AW48" s="243"/>
      <c r="AX48" s="243"/>
      <c r="AY48" s="243"/>
      <c r="AZ48" s="243"/>
      <c r="BA48" s="246" t="s">
        <v>692</v>
      </c>
      <c r="BB48" s="246">
        <v>0</v>
      </c>
      <c r="BC48" s="246">
        <v>0</v>
      </c>
      <c r="BD48" s="243"/>
      <c r="BE48" s="243"/>
      <c r="BF48" s="243"/>
      <c r="BG48" s="243"/>
      <c r="BH48" s="243"/>
      <c r="BI48" s="243"/>
      <c r="BJ48" s="243"/>
      <c r="BK48" s="243"/>
      <c r="BL48" s="243"/>
      <c r="BM48" s="243"/>
      <c r="BN48" s="243"/>
      <c r="BO48" s="243"/>
      <c r="BP48" s="243"/>
      <c r="BQ48" s="243"/>
      <c r="BR48" s="243"/>
      <c r="BS48" s="243"/>
      <c r="BT48" s="243"/>
      <c r="BU48" s="243"/>
      <c r="BV48" s="243"/>
      <c r="BW48" s="243"/>
      <c r="BX48" s="243"/>
      <c r="BY48" s="243"/>
      <c r="BZ48" s="243"/>
      <c r="CA48" s="243"/>
      <c r="CB48" s="243"/>
      <c r="CC48" s="243"/>
      <c r="CD48" s="243"/>
      <c r="CE48" s="243"/>
      <c r="CF48" s="243"/>
      <c r="CG48" s="243"/>
      <c r="CH48" s="243"/>
      <c r="CI48" s="243"/>
      <c r="CJ48" s="243"/>
      <c r="CK48" s="243"/>
      <c r="CL48" s="243"/>
    </row>
    <row r="49" spans="1:90">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9"/>
      <c r="AH49" s="289"/>
      <c r="AI49" s="289"/>
      <c r="AJ49" s="289"/>
      <c r="AK49" s="289"/>
      <c r="AL49" s="289"/>
      <c r="AM49" s="289"/>
      <c r="AN49" s="243"/>
      <c r="AO49" s="243"/>
      <c r="AP49" s="243"/>
      <c r="AQ49" s="243"/>
      <c r="AR49" s="243"/>
      <c r="AS49" s="243"/>
      <c r="AT49" s="243"/>
      <c r="AU49" s="243"/>
      <c r="AV49" s="243"/>
      <c r="AW49" s="243"/>
      <c r="AX49" s="243"/>
      <c r="AY49" s="243"/>
      <c r="AZ49" s="243"/>
      <c r="BA49" s="246" t="s">
        <v>693</v>
      </c>
      <c r="BB49" s="246">
        <v>0</v>
      </c>
      <c r="BC49" s="246">
        <v>0</v>
      </c>
      <c r="BD49" s="243"/>
      <c r="BE49" s="243"/>
      <c r="BF49" s="243"/>
      <c r="BG49" s="243"/>
      <c r="BH49" s="243"/>
      <c r="BI49" s="243"/>
      <c r="BJ49" s="243"/>
      <c r="BK49" s="243"/>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row>
    <row r="50" spans="1:90">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9"/>
      <c r="AH50" s="289"/>
      <c r="AI50" s="289"/>
      <c r="AJ50" s="289"/>
      <c r="AK50" s="289"/>
      <c r="AL50" s="289"/>
      <c r="AM50" s="289"/>
      <c r="AN50" s="243"/>
      <c r="AO50" s="243"/>
      <c r="AP50" s="243"/>
      <c r="AQ50" s="243"/>
      <c r="AR50" s="243"/>
      <c r="AS50" s="243"/>
      <c r="AT50" s="243"/>
      <c r="AU50" s="243"/>
      <c r="AV50" s="243"/>
      <c r="AW50" s="243"/>
      <c r="AX50" s="243"/>
      <c r="AY50" s="243"/>
      <c r="AZ50" s="243"/>
      <c r="BA50" s="246" t="s">
        <v>694</v>
      </c>
      <c r="BB50" s="246">
        <v>0</v>
      </c>
      <c r="BC50" s="246">
        <v>0</v>
      </c>
      <c r="BD50" s="243"/>
      <c r="BE50" s="243"/>
      <c r="BF50" s="243"/>
      <c r="BG50" s="243"/>
      <c r="BH50" s="243"/>
      <c r="BI50" s="243"/>
      <c r="BJ50" s="243"/>
      <c r="BK50" s="243"/>
      <c r="BL50" s="243"/>
      <c r="BM50" s="243"/>
      <c r="BN50" s="243"/>
      <c r="BO50" s="243"/>
      <c r="BP50" s="243"/>
      <c r="BQ50" s="243"/>
      <c r="BR50" s="243"/>
      <c r="BS50" s="243"/>
      <c r="BT50" s="243"/>
      <c r="BU50" s="243"/>
      <c r="BV50" s="243"/>
      <c r="BW50" s="243"/>
      <c r="BX50" s="243"/>
      <c r="BY50" s="243"/>
      <c r="BZ50" s="243"/>
      <c r="CA50" s="243"/>
      <c r="CB50" s="243"/>
      <c r="CC50" s="243"/>
      <c r="CD50" s="243"/>
      <c r="CE50" s="243"/>
      <c r="CF50" s="243"/>
      <c r="CG50" s="243"/>
      <c r="CH50" s="243"/>
      <c r="CI50" s="243"/>
      <c r="CJ50" s="243"/>
      <c r="CK50" s="243"/>
      <c r="CL50" s="243"/>
    </row>
    <row r="51" spans="1:90">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9"/>
      <c r="AH51" s="289"/>
      <c r="AI51" s="289"/>
      <c r="AJ51" s="289"/>
      <c r="AK51" s="289"/>
      <c r="AL51" s="289"/>
      <c r="AM51" s="289"/>
      <c r="AN51" s="243"/>
      <c r="AO51" s="243"/>
      <c r="AP51" s="243"/>
      <c r="AQ51" s="243"/>
      <c r="AR51" s="243"/>
      <c r="AS51" s="243"/>
      <c r="AT51" s="243"/>
      <c r="AU51" s="243"/>
      <c r="AV51" s="243"/>
      <c r="AW51" s="243"/>
      <c r="AX51" s="243"/>
      <c r="AY51" s="243"/>
      <c r="AZ51" s="243"/>
      <c r="BA51" s="246" t="s">
        <v>695</v>
      </c>
      <c r="BB51" s="246">
        <v>0</v>
      </c>
      <c r="BC51" s="246">
        <v>0</v>
      </c>
      <c r="BD51" s="243"/>
      <c r="BE51" s="243"/>
      <c r="BF51" s="243"/>
      <c r="BG51" s="243"/>
      <c r="BH51" s="243"/>
      <c r="BI51" s="243"/>
      <c r="BJ51" s="243"/>
      <c r="BK51" s="243"/>
      <c r="BL51" s="243"/>
      <c r="BM51" s="243"/>
      <c r="BN51" s="243"/>
      <c r="BO51" s="243"/>
      <c r="BP51" s="243"/>
      <c r="BQ51" s="243"/>
      <c r="BR51" s="243"/>
      <c r="BS51" s="243"/>
      <c r="BT51" s="243"/>
      <c r="BU51" s="243"/>
      <c r="BV51" s="243"/>
      <c r="BW51" s="243"/>
      <c r="BX51" s="243"/>
      <c r="BY51" s="243"/>
      <c r="BZ51" s="243"/>
      <c r="CA51" s="243"/>
      <c r="CB51" s="243"/>
      <c r="CC51" s="243"/>
      <c r="CD51" s="243"/>
      <c r="CE51" s="243"/>
      <c r="CF51" s="243"/>
      <c r="CG51" s="243"/>
      <c r="CH51" s="243"/>
      <c r="CI51" s="243"/>
      <c r="CJ51" s="243"/>
      <c r="CK51" s="243"/>
      <c r="CL51" s="243"/>
    </row>
    <row r="52" spans="1:90">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9"/>
      <c r="AH52" s="289"/>
      <c r="AI52" s="289"/>
      <c r="AJ52" s="289"/>
      <c r="AK52" s="289"/>
      <c r="AL52" s="289"/>
      <c r="AM52" s="289"/>
      <c r="AN52" s="243"/>
      <c r="AO52" s="243"/>
      <c r="AP52" s="243"/>
      <c r="AQ52" s="243"/>
      <c r="AR52" s="243"/>
      <c r="AS52" s="243"/>
      <c r="AT52" s="243"/>
      <c r="AU52" s="243"/>
      <c r="AV52" s="243"/>
      <c r="AW52" s="243"/>
      <c r="AX52" s="243"/>
      <c r="AY52" s="243"/>
      <c r="AZ52" s="243"/>
      <c r="BA52" s="246" t="s">
        <v>696</v>
      </c>
      <c r="BB52" s="246">
        <v>0</v>
      </c>
      <c r="BC52" s="246">
        <v>0</v>
      </c>
      <c r="BD52" s="243"/>
      <c r="BE52" s="243"/>
      <c r="BF52" s="243"/>
      <c r="BG52" s="243"/>
      <c r="BH52" s="243"/>
      <c r="BI52" s="243"/>
      <c r="BJ52" s="243"/>
      <c r="BK52" s="243"/>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row>
    <row r="53" spans="1:90" s="290" customFormat="1">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9"/>
      <c r="AH53" s="289"/>
      <c r="AI53" s="289"/>
      <c r="AJ53" s="289"/>
      <c r="AK53" s="289"/>
      <c r="AL53" s="289"/>
      <c r="AM53" s="289"/>
      <c r="AN53" s="243"/>
      <c r="AO53" s="243"/>
      <c r="AP53" s="243"/>
      <c r="AQ53" s="243"/>
      <c r="AR53" s="243"/>
      <c r="AS53" s="243"/>
      <c r="AT53" s="243"/>
      <c r="AU53" s="243"/>
      <c r="AV53" s="243"/>
      <c r="AW53" s="243"/>
      <c r="AX53" s="243"/>
      <c r="AY53" s="243"/>
      <c r="AZ53" s="243"/>
      <c r="BA53" s="246" t="s">
        <v>697</v>
      </c>
      <c r="BB53" s="246">
        <v>0</v>
      </c>
      <c r="BC53" s="246">
        <v>0</v>
      </c>
      <c r="BD53" s="243"/>
      <c r="BE53" s="243"/>
      <c r="BF53" s="243"/>
      <c r="BG53" s="243"/>
      <c r="BH53" s="243"/>
      <c r="BI53" s="243"/>
      <c r="BJ53" s="243"/>
      <c r="BK53" s="243"/>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row>
    <row r="54" spans="1:90" s="290" customFormat="1">
      <c r="A54" s="288"/>
      <c r="B54" s="288"/>
      <c r="C54" s="288"/>
      <c r="D54" s="288"/>
      <c r="E54" s="288"/>
      <c r="F54" s="288"/>
      <c r="G54" s="288"/>
      <c r="H54" s="288"/>
      <c r="I54" s="288"/>
      <c r="J54" s="288"/>
      <c r="K54" s="288"/>
      <c r="L54" s="288"/>
      <c r="M54" s="288"/>
      <c r="N54" s="288"/>
      <c r="O54" s="263"/>
      <c r="P54" s="288"/>
      <c r="Q54" s="288"/>
      <c r="R54" s="288"/>
      <c r="S54" s="288"/>
      <c r="T54" s="288"/>
      <c r="U54" s="288"/>
      <c r="V54" s="288"/>
      <c r="W54" s="288"/>
      <c r="X54" s="288"/>
      <c r="Y54" s="288"/>
      <c r="Z54" s="288"/>
      <c r="AA54" s="288"/>
      <c r="AB54" s="288"/>
      <c r="AC54" s="288"/>
      <c r="AD54" s="288"/>
      <c r="AE54" s="288"/>
      <c r="AF54" s="288"/>
      <c r="AG54" s="289"/>
      <c r="AH54" s="289"/>
      <c r="AI54" s="289"/>
      <c r="AJ54" s="289"/>
      <c r="AK54" s="289"/>
      <c r="AL54" s="289"/>
      <c r="AM54" s="289"/>
      <c r="AN54" s="243"/>
      <c r="AO54" s="243"/>
      <c r="AP54" s="243"/>
      <c r="AQ54" s="243"/>
      <c r="AR54" s="243"/>
      <c r="AS54" s="243"/>
      <c r="AT54" s="243"/>
      <c r="AU54" s="243"/>
      <c r="AV54" s="243"/>
      <c r="AW54" s="243"/>
      <c r="AX54" s="243"/>
      <c r="AY54" s="243"/>
      <c r="AZ54" s="243"/>
      <c r="BA54" s="246" t="s">
        <v>431</v>
      </c>
      <c r="BB54" s="246">
        <v>1E-4</v>
      </c>
      <c r="BC54" s="246">
        <v>0.17530000000000001</v>
      </c>
      <c r="BD54" s="243"/>
      <c r="BE54" s="243"/>
      <c r="BF54" s="243"/>
      <c r="BG54" s="243"/>
      <c r="BH54" s="243"/>
      <c r="BI54" s="243"/>
      <c r="BJ54" s="243"/>
      <c r="BK54" s="243"/>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row>
    <row r="55" spans="1:90" s="290" customFormat="1">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9"/>
      <c r="AH55" s="289"/>
      <c r="AI55" s="289"/>
      <c r="AJ55" s="289"/>
      <c r="AK55" s="289"/>
      <c r="AL55" s="289"/>
      <c r="AM55" s="289"/>
      <c r="AN55" s="243"/>
      <c r="AO55" s="243"/>
      <c r="AP55" s="243"/>
      <c r="AQ55" s="243"/>
      <c r="AR55" s="243"/>
      <c r="AS55" s="243"/>
      <c r="AT55" s="243"/>
      <c r="AU55" s="243"/>
      <c r="AV55" s="243"/>
      <c r="AW55" s="243"/>
      <c r="AX55" s="243"/>
      <c r="AY55" s="243"/>
      <c r="AZ55" s="243"/>
      <c r="BA55" s="243"/>
      <c r="BB55" s="246"/>
      <c r="BC55" s="246"/>
      <c r="BD55" s="243"/>
      <c r="BE55" s="243"/>
      <c r="BF55" s="243"/>
      <c r="BG55" s="243"/>
      <c r="BH55" s="243"/>
      <c r="BI55" s="243"/>
      <c r="BJ55" s="243"/>
      <c r="BK55" s="243"/>
      <c r="BL55" s="243"/>
      <c r="BM55" s="243"/>
      <c r="BN55" s="243"/>
      <c r="BO55" s="243"/>
      <c r="BP55" s="243"/>
      <c r="BQ55" s="243"/>
      <c r="BR55" s="243"/>
      <c r="BS55" s="243"/>
      <c r="BT55" s="243"/>
      <c r="BU55" s="243"/>
      <c r="BV55" s="243"/>
      <c r="BW55" s="243"/>
      <c r="BX55" s="243"/>
      <c r="BY55" s="243"/>
      <c r="BZ55" s="243"/>
      <c r="CA55" s="243"/>
      <c r="CB55" s="243"/>
      <c r="CC55" s="243"/>
      <c r="CD55" s="243"/>
      <c r="CE55" s="243"/>
      <c r="CF55" s="243"/>
      <c r="CG55" s="243"/>
      <c r="CH55" s="243"/>
      <c r="CI55" s="243"/>
      <c r="CJ55" s="243"/>
      <c r="CK55" s="243"/>
      <c r="CL55" s="243"/>
    </row>
    <row r="56" spans="1:90" s="290" customFormat="1">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9"/>
      <c r="AH56" s="289"/>
      <c r="AI56" s="289"/>
      <c r="AJ56" s="289"/>
      <c r="AK56" s="289"/>
      <c r="AL56" s="289"/>
      <c r="AM56" s="289"/>
      <c r="AN56" s="243"/>
      <c r="AO56" s="243"/>
      <c r="AP56" s="243"/>
      <c r="AQ56" s="243"/>
      <c r="AR56" s="243"/>
      <c r="AS56" s="243"/>
      <c r="AT56" s="243"/>
      <c r="AU56" s="243"/>
      <c r="AV56" s="243"/>
      <c r="AW56" s="243"/>
      <c r="AX56" s="243"/>
      <c r="AY56" s="243"/>
      <c r="AZ56" s="243"/>
      <c r="BA56" s="243"/>
      <c r="BB56" s="246"/>
      <c r="BC56" s="246"/>
      <c r="BD56" s="243"/>
      <c r="BE56" s="243"/>
      <c r="BF56" s="243"/>
      <c r="BG56" s="243"/>
      <c r="BH56" s="243"/>
      <c r="BI56" s="243"/>
      <c r="BJ56" s="243"/>
      <c r="BK56" s="243"/>
      <c r="BL56" s="243"/>
      <c r="BM56" s="243"/>
      <c r="BN56" s="243"/>
      <c r="BO56" s="243"/>
      <c r="BP56" s="243"/>
      <c r="BQ56" s="243"/>
      <c r="BR56" s="243"/>
      <c r="BS56" s="243"/>
      <c r="BT56" s="243"/>
      <c r="BU56" s="243"/>
      <c r="BV56" s="243"/>
      <c r="BW56" s="243"/>
      <c r="BX56" s="243"/>
      <c r="BY56" s="243"/>
      <c r="BZ56" s="243"/>
      <c r="CA56" s="243"/>
      <c r="CB56" s="243"/>
      <c r="CC56" s="243"/>
      <c r="CD56" s="243"/>
      <c r="CE56" s="243"/>
      <c r="CF56" s="243"/>
      <c r="CG56" s="243"/>
      <c r="CH56" s="243"/>
      <c r="CI56" s="243"/>
      <c r="CJ56" s="243"/>
      <c r="CK56" s="243"/>
      <c r="CL56" s="243"/>
    </row>
    <row r="57" spans="1:90" s="290" customFormat="1">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88"/>
      <c r="AE57" s="288"/>
      <c r="AF57" s="288"/>
      <c r="AG57" s="289"/>
      <c r="AH57" s="289"/>
      <c r="AI57" s="289"/>
      <c r="AJ57" s="289"/>
      <c r="AK57" s="289"/>
      <c r="AL57" s="289"/>
      <c r="AM57" s="289"/>
      <c r="AN57" s="243"/>
      <c r="AO57" s="243"/>
      <c r="AP57" s="243"/>
      <c r="AQ57" s="243"/>
      <c r="AR57" s="243"/>
      <c r="AS57" s="243"/>
      <c r="AT57" s="243"/>
      <c r="AU57" s="243"/>
      <c r="AV57" s="243"/>
      <c r="AW57" s="243"/>
      <c r="AX57" s="243"/>
      <c r="AY57" s="243"/>
      <c r="AZ57" s="243"/>
      <c r="BA57" s="243"/>
      <c r="BB57" s="246"/>
      <c r="BC57" s="246"/>
      <c r="BD57" s="243"/>
      <c r="BE57" s="243"/>
      <c r="BF57" s="243"/>
      <c r="BG57" s="243"/>
      <c r="BH57" s="243"/>
      <c r="BI57" s="243"/>
      <c r="BJ57" s="243"/>
      <c r="BK57" s="243"/>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row>
    <row r="58" spans="1:90" s="290" customFormat="1">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9"/>
      <c r="AH58" s="289"/>
      <c r="AI58" s="289"/>
      <c r="AJ58" s="289"/>
      <c r="AK58" s="289"/>
      <c r="AL58" s="289"/>
      <c r="AM58" s="289"/>
      <c r="AN58" s="243"/>
      <c r="AO58" s="243"/>
      <c r="AP58" s="243"/>
      <c r="AQ58" s="243"/>
      <c r="AR58" s="243"/>
      <c r="AS58" s="243"/>
      <c r="AT58" s="243"/>
      <c r="AU58" s="243"/>
      <c r="AV58" s="243"/>
      <c r="AW58" s="243"/>
      <c r="AX58" s="243"/>
      <c r="AY58" s="243"/>
      <c r="AZ58" s="243"/>
      <c r="BA58" s="243"/>
      <c r="BB58" s="246"/>
      <c r="BC58" s="246"/>
      <c r="BD58" s="243"/>
      <c r="BE58" s="243"/>
      <c r="BF58" s="243"/>
      <c r="BG58" s="243"/>
      <c r="BH58" s="243"/>
      <c r="BI58" s="243"/>
      <c r="BJ58" s="243"/>
      <c r="BK58" s="243"/>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row>
    <row r="59" spans="1:90" s="290" customFormat="1">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9"/>
      <c r="AH59" s="289"/>
      <c r="AI59" s="289"/>
      <c r="AJ59" s="289"/>
      <c r="AK59" s="289"/>
      <c r="AL59" s="289"/>
      <c r="AM59" s="289"/>
      <c r="AN59" s="243"/>
      <c r="AO59" s="243"/>
      <c r="AP59" s="243"/>
      <c r="AQ59" s="243"/>
      <c r="AR59" s="243"/>
      <c r="AS59" s="243"/>
      <c r="AT59" s="243"/>
      <c r="AU59" s="243"/>
      <c r="AV59" s="243"/>
      <c r="AW59" s="243"/>
      <c r="AX59" s="243"/>
      <c r="AY59" s="243"/>
      <c r="AZ59" s="243"/>
      <c r="BA59" s="243"/>
      <c r="BB59" s="246"/>
      <c r="BC59" s="246"/>
      <c r="BD59" s="243"/>
      <c r="BE59" s="243"/>
      <c r="BF59" s="243"/>
      <c r="BG59" s="243"/>
      <c r="BH59" s="243"/>
      <c r="BI59" s="243"/>
      <c r="BJ59" s="243"/>
      <c r="BK59" s="243"/>
      <c r="BL59" s="243"/>
      <c r="BM59" s="243"/>
      <c r="BN59" s="243"/>
      <c r="BO59" s="243"/>
      <c r="BP59" s="243"/>
      <c r="BQ59" s="243"/>
      <c r="BR59" s="243"/>
      <c r="BS59" s="243"/>
      <c r="BT59" s="243"/>
      <c r="BU59" s="243"/>
      <c r="BV59" s="243"/>
      <c r="BW59" s="243"/>
      <c r="BX59" s="243"/>
      <c r="BY59" s="243"/>
      <c r="BZ59" s="243"/>
      <c r="CA59" s="243"/>
      <c r="CB59" s="243"/>
      <c r="CC59" s="243"/>
      <c r="CD59" s="243"/>
      <c r="CE59" s="243"/>
      <c r="CF59" s="243"/>
      <c r="CG59" s="243"/>
      <c r="CH59" s="243"/>
      <c r="CI59" s="243"/>
      <c r="CJ59" s="243"/>
      <c r="CK59" s="243"/>
      <c r="CL59" s="243"/>
    </row>
    <row r="60" spans="1:90" s="290" customFormat="1">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9"/>
      <c r="AH60" s="289"/>
      <c r="AI60" s="289"/>
      <c r="AJ60" s="289"/>
      <c r="AK60" s="289"/>
      <c r="AL60" s="289"/>
      <c r="AM60" s="289"/>
      <c r="AN60" s="243"/>
      <c r="AO60" s="243"/>
      <c r="AP60" s="243"/>
      <c r="AQ60" s="243"/>
      <c r="AR60" s="243"/>
      <c r="AS60" s="243"/>
      <c r="AT60" s="243"/>
      <c r="AU60" s="243"/>
      <c r="AV60" s="243"/>
      <c r="AW60" s="243"/>
      <c r="AX60" s="243"/>
      <c r="AY60" s="243"/>
      <c r="AZ60" s="243"/>
      <c r="BA60" s="243"/>
      <c r="BB60" s="246"/>
      <c r="BC60" s="246"/>
      <c r="BD60" s="243"/>
      <c r="BE60" s="243"/>
      <c r="BF60" s="243"/>
      <c r="BG60" s="243"/>
      <c r="BH60" s="243"/>
      <c r="BI60" s="243"/>
      <c r="BJ60" s="243"/>
      <c r="BK60" s="243"/>
      <c r="BL60" s="243"/>
      <c r="BM60" s="243"/>
      <c r="BN60" s="243"/>
      <c r="BO60" s="243"/>
      <c r="BP60" s="243"/>
      <c r="BQ60" s="243"/>
      <c r="BR60" s="243"/>
      <c r="BS60" s="243"/>
      <c r="BT60" s="243"/>
      <c r="BU60" s="243"/>
      <c r="BV60" s="243"/>
      <c r="BW60" s="243"/>
      <c r="BX60" s="243"/>
      <c r="BY60" s="243"/>
      <c r="BZ60" s="243"/>
      <c r="CA60" s="243"/>
      <c r="CB60" s="243"/>
      <c r="CC60" s="243"/>
      <c r="CD60" s="243"/>
      <c r="CE60" s="243"/>
      <c r="CF60" s="243"/>
      <c r="CG60" s="243"/>
      <c r="CH60" s="243"/>
      <c r="CI60" s="243"/>
      <c r="CJ60" s="243"/>
      <c r="CK60" s="243"/>
      <c r="CL60" s="243"/>
    </row>
    <row r="61" spans="1:90" s="290" customFormat="1">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8"/>
      <c r="AG61" s="289"/>
      <c r="AH61" s="289"/>
      <c r="AI61" s="289"/>
      <c r="AJ61" s="289"/>
      <c r="AK61" s="289"/>
      <c r="AL61" s="289"/>
      <c r="AM61" s="289"/>
      <c r="AN61" s="243"/>
      <c r="AO61" s="243"/>
      <c r="AP61" s="243"/>
      <c r="AQ61" s="243"/>
      <c r="AR61" s="243"/>
      <c r="AS61" s="243"/>
      <c r="AT61" s="243"/>
      <c r="AU61" s="243"/>
      <c r="AV61" s="243"/>
      <c r="AW61" s="243"/>
      <c r="AX61" s="243"/>
      <c r="AY61" s="243"/>
      <c r="AZ61" s="243"/>
      <c r="BA61" s="243"/>
      <c r="BB61" s="246"/>
      <c r="BC61" s="246"/>
      <c r="BD61" s="243"/>
      <c r="BE61" s="243"/>
      <c r="BF61" s="243"/>
      <c r="BG61" s="243"/>
      <c r="BH61" s="243"/>
      <c r="BI61" s="243"/>
      <c r="BJ61" s="243"/>
      <c r="BK61" s="243"/>
      <c r="BL61" s="243"/>
      <c r="BM61" s="243"/>
      <c r="BN61" s="243"/>
      <c r="BO61" s="243"/>
      <c r="BP61" s="243"/>
      <c r="BQ61" s="243"/>
      <c r="BR61" s="243"/>
      <c r="BS61" s="243"/>
      <c r="BT61" s="243"/>
      <c r="BU61" s="243"/>
      <c r="BV61" s="243"/>
      <c r="BW61" s="243"/>
      <c r="BX61" s="243"/>
      <c r="BY61" s="243"/>
      <c r="BZ61" s="243"/>
      <c r="CA61" s="243"/>
      <c r="CB61" s="243"/>
      <c r="CC61" s="243"/>
      <c r="CD61" s="243"/>
      <c r="CE61" s="243"/>
      <c r="CF61" s="243"/>
      <c r="CG61" s="243"/>
      <c r="CH61" s="243"/>
      <c r="CI61" s="243"/>
      <c r="CJ61" s="243"/>
      <c r="CK61" s="243"/>
      <c r="CL61" s="243"/>
    </row>
    <row r="62" spans="1:90" s="290" customFormat="1">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8"/>
      <c r="AG62" s="289"/>
      <c r="AH62" s="289"/>
      <c r="AI62" s="289"/>
      <c r="AJ62" s="289"/>
      <c r="AK62" s="289"/>
      <c r="AL62" s="289"/>
      <c r="AM62" s="289"/>
      <c r="AN62" s="243"/>
      <c r="AO62" s="243"/>
      <c r="AP62" s="243"/>
      <c r="AQ62" s="243"/>
      <c r="AR62" s="243"/>
      <c r="AS62" s="243"/>
      <c r="AT62" s="243"/>
      <c r="AU62" s="243"/>
      <c r="AV62" s="243"/>
      <c r="AW62" s="243"/>
      <c r="AX62" s="243"/>
      <c r="AY62" s="243"/>
      <c r="AZ62" s="243"/>
      <c r="BA62" s="243"/>
      <c r="BB62" s="246"/>
      <c r="BC62" s="246"/>
      <c r="BD62" s="243"/>
      <c r="BE62" s="243"/>
      <c r="BF62" s="243"/>
      <c r="BG62" s="243"/>
      <c r="BH62" s="243"/>
      <c r="BI62" s="243"/>
      <c r="BJ62" s="243"/>
      <c r="BK62" s="243"/>
      <c r="BL62" s="243"/>
      <c r="BM62" s="243"/>
      <c r="BN62" s="243"/>
      <c r="BO62" s="243"/>
      <c r="BP62" s="243"/>
      <c r="BQ62" s="243"/>
      <c r="BR62" s="243"/>
      <c r="BS62" s="243"/>
      <c r="BT62" s="243"/>
      <c r="BU62" s="243"/>
      <c r="BV62" s="243"/>
      <c r="BW62" s="243"/>
      <c r="BX62" s="243"/>
      <c r="BY62" s="243"/>
      <c r="BZ62" s="243"/>
      <c r="CA62" s="243"/>
      <c r="CB62" s="243"/>
      <c r="CC62" s="243"/>
      <c r="CD62" s="243"/>
      <c r="CE62" s="243"/>
      <c r="CF62" s="243"/>
      <c r="CG62" s="243"/>
      <c r="CH62" s="243"/>
      <c r="CI62" s="243"/>
      <c r="CJ62" s="243"/>
      <c r="CK62" s="243"/>
      <c r="CL62" s="243"/>
    </row>
    <row r="63" spans="1:90" s="290" customFormat="1">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9"/>
      <c r="AH63" s="289"/>
      <c r="AI63" s="289"/>
      <c r="AJ63" s="289"/>
      <c r="AK63" s="289"/>
      <c r="AL63" s="289"/>
      <c r="AM63" s="289"/>
      <c r="AN63" s="243"/>
      <c r="AO63" s="243"/>
      <c r="AP63" s="243"/>
      <c r="AQ63" s="243"/>
      <c r="AR63" s="243"/>
      <c r="AS63" s="243"/>
      <c r="AT63" s="243"/>
      <c r="AU63" s="243"/>
      <c r="AV63" s="243"/>
      <c r="AW63" s="243"/>
      <c r="AX63" s="243"/>
      <c r="AY63" s="243"/>
      <c r="AZ63" s="243"/>
      <c r="BA63" s="243"/>
      <c r="BB63" s="246"/>
      <c r="BC63" s="246"/>
      <c r="BD63" s="243"/>
      <c r="BE63" s="243"/>
      <c r="BF63" s="243"/>
      <c r="BG63" s="243"/>
      <c r="BH63" s="243"/>
      <c r="BI63" s="243"/>
      <c r="BJ63" s="243"/>
      <c r="BK63" s="243"/>
      <c r="BL63" s="243"/>
      <c r="BM63" s="243"/>
      <c r="BN63" s="243"/>
      <c r="BO63" s="243"/>
      <c r="BP63" s="243"/>
      <c r="BQ63" s="243"/>
      <c r="BR63" s="243"/>
      <c r="BS63" s="243"/>
      <c r="BT63" s="243"/>
      <c r="BU63" s="243"/>
      <c r="BV63" s="243"/>
      <c r="BW63" s="243"/>
      <c r="BX63" s="243"/>
      <c r="BY63" s="243"/>
      <c r="BZ63" s="243"/>
      <c r="CA63" s="243"/>
      <c r="CB63" s="243"/>
      <c r="CC63" s="243"/>
      <c r="CD63" s="243"/>
      <c r="CE63" s="243"/>
      <c r="CF63" s="243"/>
      <c r="CG63" s="243"/>
      <c r="CH63" s="243"/>
      <c r="CI63" s="243"/>
      <c r="CJ63" s="243"/>
      <c r="CK63" s="243"/>
      <c r="CL63" s="243"/>
    </row>
    <row r="64" spans="1:90" s="290" customFormat="1">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8"/>
      <c r="AG64" s="289"/>
      <c r="AH64" s="289"/>
      <c r="AI64" s="289"/>
      <c r="AJ64" s="289"/>
      <c r="AK64" s="289"/>
      <c r="AL64" s="289"/>
      <c r="AM64" s="289"/>
      <c r="AN64" s="243"/>
      <c r="AO64" s="243"/>
      <c r="AP64" s="243"/>
      <c r="AQ64" s="243"/>
      <c r="AR64" s="243"/>
      <c r="AS64" s="243"/>
      <c r="AT64" s="243"/>
      <c r="AU64" s="243"/>
      <c r="AV64" s="243"/>
      <c r="AW64" s="243"/>
      <c r="AX64" s="243"/>
      <c r="AY64" s="243"/>
      <c r="AZ64" s="243"/>
      <c r="BA64" s="243"/>
      <c r="BB64" s="246"/>
      <c r="BC64" s="246"/>
      <c r="BD64" s="243"/>
      <c r="BE64" s="243"/>
      <c r="BF64" s="243"/>
      <c r="BG64" s="243"/>
      <c r="BH64" s="243"/>
      <c r="BI64" s="243"/>
      <c r="BJ64" s="243"/>
      <c r="BK64" s="243"/>
      <c r="BL64" s="243"/>
      <c r="BM64" s="243"/>
      <c r="BN64" s="243"/>
      <c r="BO64" s="243"/>
      <c r="BP64" s="243"/>
      <c r="BQ64" s="243"/>
      <c r="BR64" s="243"/>
      <c r="BS64" s="243"/>
      <c r="BT64" s="243"/>
      <c r="BU64" s="243"/>
      <c r="BV64" s="243"/>
      <c r="BW64" s="243"/>
      <c r="BX64" s="243"/>
      <c r="BY64" s="243"/>
      <c r="BZ64" s="243"/>
      <c r="CA64" s="243"/>
      <c r="CB64" s="243"/>
      <c r="CC64" s="243"/>
      <c r="CD64" s="243"/>
      <c r="CE64" s="243"/>
      <c r="CF64" s="243"/>
      <c r="CG64" s="243"/>
      <c r="CH64" s="243"/>
      <c r="CI64" s="243"/>
      <c r="CJ64" s="243"/>
      <c r="CK64" s="243"/>
      <c r="CL64" s="243"/>
    </row>
    <row r="65" spans="1:90" s="290" customFormat="1">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9"/>
      <c r="AH65" s="289"/>
      <c r="AI65" s="289"/>
      <c r="AJ65" s="289"/>
      <c r="AK65" s="289"/>
      <c r="AL65" s="289"/>
      <c r="AM65" s="289"/>
      <c r="AN65" s="243"/>
      <c r="AO65" s="243"/>
      <c r="AP65" s="243"/>
      <c r="AQ65" s="243"/>
      <c r="AR65" s="243"/>
      <c r="AS65" s="243"/>
      <c r="AT65" s="243"/>
      <c r="AU65" s="243"/>
      <c r="AV65" s="243"/>
      <c r="AW65" s="243"/>
      <c r="AX65" s="243"/>
      <c r="AY65" s="243"/>
      <c r="AZ65" s="243"/>
      <c r="BA65" s="243"/>
      <c r="BB65" s="246"/>
      <c r="BC65" s="246"/>
      <c r="BD65" s="243"/>
      <c r="BE65" s="243"/>
      <c r="BF65" s="243"/>
      <c r="BG65" s="243"/>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row>
    <row r="66" spans="1:90" s="290" customFormat="1">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9"/>
      <c r="AH66" s="289"/>
      <c r="AI66" s="289"/>
      <c r="AJ66" s="289"/>
      <c r="AK66" s="289"/>
      <c r="AL66" s="289"/>
      <c r="AM66" s="289"/>
      <c r="AN66" s="243"/>
      <c r="AO66" s="243"/>
      <c r="AP66" s="243"/>
      <c r="AQ66" s="243"/>
      <c r="AR66" s="243"/>
      <c r="AS66" s="243"/>
      <c r="AT66" s="243"/>
      <c r="AU66" s="243"/>
      <c r="AV66" s="243"/>
      <c r="AW66" s="243"/>
      <c r="AX66" s="243"/>
      <c r="AY66" s="243"/>
      <c r="AZ66" s="243"/>
      <c r="BA66" s="243"/>
      <c r="BB66" s="246"/>
      <c r="BC66" s="246"/>
      <c r="BD66" s="243"/>
      <c r="BE66" s="243"/>
      <c r="BF66" s="243"/>
      <c r="BG66" s="243"/>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row>
    <row r="67" spans="1:90" s="290" customFormat="1">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9"/>
      <c r="AH67" s="289"/>
      <c r="AI67" s="289"/>
      <c r="AJ67" s="289"/>
      <c r="AK67" s="289"/>
      <c r="AL67" s="289"/>
      <c r="AM67" s="289"/>
      <c r="AN67" s="243"/>
      <c r="AO67" s="243"/>
      <c r="AP67" s="243"/>
      <c r="AQ67" s="243"/>
      <c r="AR67" s="243"/>
      <c r="AS67" s="243"/>
      <c r="AT67" s="243"/>
      <c r="AU67" s="243"/>
      <c r="AV67" s="243"/>
      <c r="AW67" s="243"/>
      <c r="AX67" s="243"/>
      <c r="AY67" s="243"/>
      <c r="AZ67" s="243"/>
      <c r="BA67" s="243"/>
      <c r="BB67" s="246"/>
      <c r="BC67" s="246"/>
      <c r="BD67" s="243"/>
      <c r="BE67" s="243"/>
      <c r="BF67" s="243"/>
      <c r="BG67" s="243"/>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row>
    <row r="68" spans="1:90" s="290" customFormat="1">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9"/>
      <c r="AH68" s="289"/>
      <c r="AI68" s="289"/>
      <c r="AJ68" s="289"/>
      <c r="AK68" s="289"/>
      <c r="AL68" s="289"/>
      <c r="AM68" s="289"/>
      <c r="AN68" s="243"/>
      <c r="AO68" s="243"/>
      <c r="AP68" s="243"/>
      <c r="AQ68" s="243"/>
      <c r="AR68" s="243"/>
      <c r="AS68" s="243"/>
      <c r="AT68" s="243"/>
      <c r="AU68" s="243"/>
      <c r="AV68" s="243"/>
      <c r="AW68" s="243"/>
      <c r="AX68" s="243"/>
      <c r="AY68" s="243"/>
      <c r="AZ68" s="243"/>
      <c r="BA68" s="243"/>
      <c r="BB68" s="246"/>
      <c r="BC68" s="246"/>
      <c r="BD68" s="243"/>
      <c r="BE68" s="243"/>
      <c r="BF68" s="243"/>
      <c r="BG68" s="243"/>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row>
    <row r="69" spans="1:90">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9"/>
      <c r="AH69" s="289"/>
      <c r="AI69" s="289"/>
      <c r="AJ69" s="289"/>
      <c r="AK69" s="289"/>
      <c r="AL69" s="289"/>
      <c r="AM69" s="289"/>
      <c r="AN69" s="243"/>
      <c r="AO69" s="243"/>
      <c r="AP69" s="243"/>
      <c r="AQ69" s="243"/>
      <c r="AR69" s="243"/>
      <c r="AS69" s="243"/>
      <c r="AT69" s="243"/>
      <c r="AU69" s="243"/>
      <c r="AV69" s="243"/>
      <c r="AW69" s="243"/>
      <c r="AX69" s="243"/>
      <c r="AY69" s="243"/>
      <c r="AZ69" s="243"/>
      <c r="BA69" s="243"/>
      <c r="BB69" s="246"/>
      <c r="BC69" s="246"/>
      <c r="BD69" s="243"/>
      <c r="BE69" s="243"/>
      <c r="BF69" s="243"/>
      <c r="BG69" s="243"/>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row>
    <row r="70" spans="1:90">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9"/>
      <c r="AH70" s="289"/>
      <c r="AI70" s="289"/>
      <c r="AJ70" s="289"/>
      <c r="AK70" s="289"/>
      <c r="AL70" s="289"/>
      <c r="AM70" s="289"/>
      <c r="AN70" s="243"/>
      <c r="AO70" s="243"/>
      <c r="AP70" s="243"/>
      <c r="AQ70" s="243"/>
      <c r="AR70" s="243"/>
      <c r="AS70" s="243"/>
      <c r="AT70" s="243"/>
      <c r="AU70" s="243"/>
      <c r="AV70" s="243"/>
      <c r="AW70" s="243"/>
      <c r="AX70" s="243"/>
      <c r="AY70" s="243"/>
      <c r="AZ70" s="243"/>
      <c r="BA70" s="243"/>
      <c r="BB70" s="246"/>
      <c r="BC70" s="246"/>
      <c r="BD70" s="243"/>
      <c r="BE70" s="243"/>
      <c r="BF70" s="243"/>
      <c r="BG70" s="243"/>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row>
    <row r="71" spans="1:90">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9"/>
      <c r="AH71" s="289"/>
      <c r="AI71" s="289"/>
      <c r="AJ71" s="289"/>
      <c r="AK71" s="289"/>
      <c r="AL71" s="289"/>
      <c r="AM71" s="289"/>
      <c r="AN71" s="243"/>
      <c r="AO71" s="243"/>
      <c r="AP71" s="243"/>
      <c r="AQ71" s="243"/>
      <c r="AR71" s="243"/>
      <c r="AS71" s="243"/>
      <c r="AT71" s="243"/>
      <c r="AU71" s="243"/>
      <c r="AV71" s="243"/>
      <c r="AW71" s="243"/>
      <c r="AX71" s="243"/>
      <c r="AY71" s="243"/>
      <c r="AZ71" s="243"/>
      <c r="BA71" s="243"/>
      <c r="BB71" s="246"/>
      <c r="BC71" s="246"/>
      <c r="BD71" s="243"/>
      <c r="BE71" s="243"/>
      <c r="BF71" s="243"/>
      <c r="BG71" s="243"/>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row>
    <row r="72" spans="1:90">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9"/>
      <c r="AH72" s="289"/>
      <c r="AI72" s="289"/>
      <c r="AJ72" s="289"/>
      <c r="AK72" s="289"/>
      <c r="AL72" s="289"/>
      <c r="AM72" s="289"/>
      <c r="AN72" s="243"/>
      <c r="AO72" s="243"/>
      <c r="AP72" s="243"/>
      <c r="AQ72" s="243"/>
      <c r="AR72" s="243"/>
      <c r="AS72" s="243"/>
      <c r="AT72" s="243"/>
      <c r="AU72" s="243"/>
      <c r="AV72" s="243"/>
      <c r="AW72" s="243"/>
      <c r="AX72" s="243"/>
      <c r="AY72" s="243"/>
      <c r="AZ72" s="243"/>
      <c r="BA72" s="243"/>
      <c r="BB72" s="246"/>
      <c r="BC72" s="246"/>
      <c r="BD72" s="243"/>
      <c r="BE72" s="243"/>
      <c r="BF72" s="243"/>
      <c r="BG72" s="243"/>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row>
    <row r="73" spans="1:90">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9"/>
      <c r="AH73" s="289"/>
      <c r="AI73" s="289"/>
      <c r="AJ73" s="289"/>
      <c r="AK73" s="289"/>
      <c r="AL73" s="289"/>
      <c r="AM73" s="289"/>
      <c r="AN73" s="243"/>
      <c r="AO73" s="243"/>
      <c r="AP73" s="243"/>
      <c r="AQ73" s="243"/>
      <c r="AR73" s="243"/>
      <c r="AS73" s="243"/>
      <c r="AT73" s="243"/>
      <c r="AU73" s="243"/>
      <c r="AV73" s="243"/>
      <c r="AW73" s="243"/>
      <c r="AX73" s="243"/>
      <c r="AY73" s="243"/>
      <c r="AZ73" s="243"/>
      <c r="BA73" s="243"/>
      <c r="BB73" s="246"/>
      <c r="BC73" s="246"/>
      <c r="BD73" s="243"/>
      <c r="BE73" s="243"/>
      <c r="BF73" s="243"/>
      <c r="BG73" s="243"/>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row>
    <row r="74" spans="1:90">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9"/>
      <c r="AH74" s="289"/>
      <c r="AI74" s="289"/>
      <c r="AJ74" s="289"/>
      <c r="AK74" s="289"/>
      <c r="AL74" s="289"/>
      <c r="AM74" s="289"/>
      <c r="AN74" s="243"/>
      <c r="AO74" s="243"/>
      <c r="AP74" s="243"/>
      <c r="AQ74" s="243"/>
      <c r="AR74" s="243"/>
      <c r="AS74" s="243"/>
      <c r="AT74" s="243"/>
      <c r="AU74" s="243"/>
      <c r="AV74" s="243"/>
      <c r="AW74" s="243"/>
      <c r="AX74" s="243"/>
      <c r="AY74" s="243"/>
      <c r="AZ74" s="243"/>
      <c r="BA74" s="243"/>
      <c r="BB74" s="246"/>
      <c r="BC74" s="246"/>
      <c r="BD74" s="243"/>
      <c r="BE74" s="243"/>
      <c r="BF74" s="243"/>
      <c r="BG74" s="243"/>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row>
    <row r="75" spans="1:90">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9"/>
      <c r="AH75" s="289"/>
      <c r="AI75" s="289"/>
      <c r="AJ75" s="289"/>
      <c r="AK75" s="289"/>
      <c r="AL75" s="289"/>
      <c r="AM75" s="289"/>
      <c r="AN75" s="243"/>
      <c r="AO75" s="243"/>
      <c r="AP75" s="243"/>
      <c r="AQ75" s="243"/>
      <c r="AR75" s="243"/>
      <c r="AS75" s="243"/>
      <c r="AT75" s="243"/>
      <c r="AU75" s="243"/>
      <c r="AV75" s="243"/>
      <c r="AW75" s="243"/>
      <c r="AX75" s="243"/>
      <c r="AY75" s="243"/>
      <c r="AZ75" s="243"/>
      <c r="BA75" s="243"/>
      <c r="BB75" s="246"/>
      <c r="BC75" s="246"/>
      <c r="BD75" s="243"/>
      <c r="BE75" s="243"/>
      <c r="BF75" s="243"/>
      <c r="BG75" s="243"/>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row>
    <row r="76" spans="1:90">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9"/>
      <c r="AH76" s="289"/>
      <c r="AI76" s="289"/>
      <c r="AJ76" s="289"/>
      <c r="AK76" s="289"/>
      <c r="AL76" s="289"/>
      <c r="AM76" s="289"/>
      <c r="AN76" s="243"/>
      <c r="AO76" s="243"/>
      <c r="AP76" s="243"/>
      <c r="AQ76" s="243"/>
      <c r="AR76" s="243"/>
      <c r="AS76" s="243"/>
      <c r="AT76" s="243"/>
      <c r="AU76" s="243"/>
      <c r="AV76" s="243"/>
      <c r="AW76" s="243"/>
      <c r="AX76" s="243"/>
      <c r="AY76" s="243"/>
      <c r="AZ76" s="243"/>
      <c r="BA76" s="243"/>
      <c r="BB76" s="246"/>
      <c r="BC76" s="246"/>
      <c r="BD76" s="243"/>
      <c r="BE76" s="243"/>
      <c r="BF76" s="243"/>
      <c r="BG76" s="243"/>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row>
    <row r="77" spans="1:90">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9"/>
      <c r="AH77" s="289"/>
      <c r="AI77" s="289"/>
      <c r="AJ77" s="289"/>
      <c r="AK77" s="289"/>
      <c r="AL77" s="289"/>
      <c r="AM77" s="289"/>
      <c r="AN77" s="243"/>
      <c r="AO77" s="243"/>
      <c r="AP77" s="243"/>
      <c r="AQ77" s="243"/>
      <c r="AR77" s="243"/>
      <c r="AS77" s="243"/>
      <c r="AT77" s="243"/>
      <c r="AU77" s="243"/>
      <c r="AV77" s="243"/>
      <c r="AW77" s="243"/>
      <c r="AX77" s="243"/>
      <c r="AY77" s="243"/>
      <c r="AZ77" s="243"/>
      <c r="BA77" s="243"/>
      <c r="BB77" s="246"/>
      <c r="BC77" s="246"/>
      <c r="BD77" s="243"/>
      <c r="BE77" s="243"/>
      <c r="BF77" s="243"/>
      <c r="BG77" s="243"/>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row>
    <row r="78" spans="1:90">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9"/>
      <c r="AH78" s="289"/>
      <c r="AI78" s="289"/>
      <c r="AJ78" s="289"/>
      <c r="AK78" s="289"/>
      <c r="AL78" s="289"/>
      <c r="AM78" s="289"/>
      <c r="AN78" s="243"/>
      <c r="AO78" s="243"/>
      <c r="AP78" s="243"/>
      <c r="AQ78" s="243"/>
      <c r="AR78" s="243"/>
      <c r="AS78" s="243"/>
      <c r="AT78" s="243"/>
      <c r="AU78" s="243"/>
      <c r="AV78" s="243"/>
      <c r="AW78" s="243"/>
      <c r="AX78" s="243"/>
      <c r="AY78" s="243"/>
      <c r="AZ78" s="243"/>
      <c r="BA78" s="243"/>
      <c r="BB78" s="246"/>
      <c r="BC78" s="246"/>
      <c r="BD78" s="243"/>
      <c r="BE78" s="243"/>
      <c r="BF78" s="243"/>
      <c r="BG78" s="243"/>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row>
    <row r="79" spans="1:90">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9"/>
      <c r="AH79" s="289"/>
      <c r="AI79" s="289"/>
      <c r="AJ79" s="289"/>
      <c r="AK79" s="289"/>
      <c r="AL79" s="289"/>
      <c r="AM79" s="289"/>
      <c r="AN79" s="243"/>
      <c r="AO79" s="243"/>
      <c r="AP79" s="243"/>
      <c r="AQ79" s="243"/>
      <c r="AR79" s="243"/>
      <c r="AS79" s="243"/>
      <c r="AT79" s="243"/>
      <c r="AU79" s="243"/>
      <c r="AV79" s="243"/>
      <c r="AW79" s="243"/>
      <c r="AX79" s="243"/>
      <c r="AY79" s="243"/>
      <c r="AZ79" s="243"/>
      <c r="BA79" s="243"/>
      <c r="BB79" s="246"/>
      <c r="BC79" s="246"/>
      <c r="BD79" s="243"/>
      <c r="BE79" s="243"/>
      <c r="BF79" s="243"/>
      <c r="BG79" s="243"/>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row>
    <row r="80" spans="1:90">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9"/>
      <c r="AH80" s="289"/>
      <c r="AI80" s="289"/>
      <c r="AJ80" s="289"/>
      <c r="AK80" s="289"/>
      <c r="AL80" s="289"/>
      <c r="AM80" s="289"/>
      <c r="AN80" s="243"/>
      <c r="AO80" s="243"/>
      <c r="AP80" s="243"/>
      <c r="AQ80" s="243"/>
      <c r="AR80" s="243"/>
      <c r="AS80" s="243"/>
      <c r="AT80" s="243"/>
      <c r="AU80" s="243"/>
      <c r="AV80" s="243"/>
      <c r="AW80" s="243"/>
      <c r="AX80" s="243"/>
      <c r="AY80" s="243"/>
      <c r="AZ80" s="243"/>
      <c r="BA80" s="243"/>
      <c r="BB80" s="246"/>
      <c r="BC80" s="246"/>
      <c r="BD80" s="243"/>
      <c r="BE80" s="243"/>
      <c r="BF80" s="243"/>
      <c r="BG80" s="243"/>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row>
    <row r="81" spans="1:90">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9"/>
      <c r="AH81" s="289"/>
      <c r="AI81" s="289"/>
      <c r="AJ81" s="289"/>
      <c r="AK81" s="289"/>
      <c r="AL81" s="289"/>
      <c r="AM81" s="289"/>
      <c r="AN81" s="243"/>
      <c r="AO81" s="243"/>
      <c r="AP81" s="243"/>
      <c r="AQ81" s="243"/>
      <c r="AR81" s="243"/>
      <c r="AS81" s="243"/>
      <c r="AT81" s="243"/>
      <c r="AU81" s="243"/>
      <c r="AV81" s="243"/>
      <c r="AW81" s="243"/>
      <c r="AX81" s="243"/>
      <c r="AY81" s="243"/>
      <c r="AZ81" s="243"/>
      <c r="BA81" s="243"/>
      <c r="BB81" s="246"/>
      <c r="BC81" s="246"/>
      <c r="BD81" s="243"/>
      <c r="BE81" s="243"/>
      <c r="BF81" s="243"/>
      <c r="BG81" s="243"/>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row>
    <row r="82" spans="1:90">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9"/>
      <c r="AH82" s="289"/>
      <c r="AI82" s="289"/>
      <c r="AJ82" s="289"/>
      <c r="AK82" s="289"/>
      <c r="AL82" s="289"/>
      <c r="AM82" s="289"/>
      <c r="AN82" s="243"/>
      <c r="AO82" s="243"/>
      <c r="AP82" s="243"/>
      <c r="AQ82" s="243"/>
      <c r="AR82" s="243"/>
      <c r="AS82" s="243"/>
      <c r="AT82" s="243"/>
      <c r="AU82" s="243"/>
      <c r="AV82" s="243"/>
      <c r="AW82" s="243"/>
      <c r="AX82" s="243"/>
      <c r="AY82" s="243"/>
      <c r="AZ82" s="243"/>
      <c r="BA82" s="243"/>
      <c r="BB82" s="246"/>
      <c r="BC82" s="246"/>
      <c r="BD82" s="243"/>
      <c r="BE82" s="243"/>
      <c r="BF82" s="243"/>
      <c r="BG82" s="243"/>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row>
    <row r="83" spans="1:90">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9"/>
      <c r="AH83" s="289"/>
      <c r="AI83" s="289"/>
      <c r="AJ83" s="289"/>
      <c r="AK83" s="289"/>
      <c r="AL83" s="289"/>
      <c r="AM83" s="289"/>
      <c r="AN83" s="243"/>
      <c r="AO83" s="243"/>
      <c r="AP83" s="243"/>
      <c r="AQ83" s="243"/>
      <c r="AR83" s="243"/>
      <c r="AS83" s="243"/>
      <c r="AT83" s="243"/>
      <c r="AU83" s="243"/>
      <c r="AV83" s="243"/>
      <c r="AW83" s="243"/>
      <c r="AX83" s="243"/>
      <c r="AY83" s="243"/>
      <c r="AZ83" s="243"/>
      <c r="BA83" s="243"/>
      <c r="BB83" s="246"/>
      <c r="BC83" s="246"/>
      <c r="BD83" s="243"/>
      <c r="BE83" s="243"/>
      <c r="BF83" s="243"/>
      <c r="BG83" s="243"/>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row>
    <row r="84" spans="1:90">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9"/>
      <c r="AH84" s="289"/>
      <c r="AI84" s="289"/>
      <c r="AJ84" s="289"/>
      <c r="AK84" s="289"/>
      <c r="AL84" s="289"/>
      <c r="AM84" s="289"/>
      <c r="AN84" s="243"/>
      <c r="AO84" s="243"/>
      <c r="AP84" s="243"/>
      <c r="AQ84" s="243"/>
      <c r="AR84" s="243"/>
      <c r="AS84" s="243"/>
      <c r="AT84" s="243"/>
      <c r="AU84" s="243"/>
      <c r="AV84" s="243"/>
      <c r="AW84" s="243"/>
      <c r="AX84" s="243"/>
      <c r="AY84" s="243"/>
      <c r="AZ84" s="243"/>
      <c r="BA84" s="243"/>
      <c r="BB84" s="246"/>
      <c r="BC84" s="246"/>
      <c r="BD84" s="243"/>
      <c r="BE84" s="243"/>
      <c r="BF84" s="243"/>
      <c r="BG84" s="243"/>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row>
    <row r="85" spans="1:90">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9"/>
      <c r="AH85" s="289"/>
      <c r="AI85" s="289"/>
      <c r="AJ85" s="289"/>
      <c r="AK85" s="289"/>
      <c r="AL85" s="289"/>
      <c r="AM85" s="289"/>
      <c r="AN85" s="243"/>
      <c r="AO85" s="243"/>
      <c r="AP85" s="243"/>
      <c r="AQ85" s="243"/>
      <c r="AR85" s="243"/>
      <c r="AS85" s="243"/>
      <c r="AT85" s="243"/>
      <c r="AU85" s="243"/>
      <c r="AV85" s="243"/>
      <c r="AW85" s="243"/>
      <c r="AX85" s="243"/>
      <c r="AY85" s="243"/>
      <c r="AZ85" s="243"/>
      <c r="BA85" s="243"/>
      <c r="BB85" s="246"/>
      <c r="BC85" s="246"/>
      <c r="BD85" s="243"/>
      <c r="BE85" s="243"/>
      <c r="BF85" s="243"/>
      <c r="BG85" s="243"/>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row>
    <row r="86" spans="1:90">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9"/>
      <c r="AH86" s="289"/>
      <c r="AI86" s="289"/>
      <c r="AJ86" s="289"/>
      <c r="AK86" s="289"/>
      <c r="AL86" s="289"/>
      <c r="AM86" s="289"/>
      <c r="AN86" s="243"/>
      <c r="AO86" s="243"/>
      <c r="AP86" s="243"/>
      <c r="AQ86" s="243"/>
      <c r="AR86" s="243"/>
      <c r="AS86" s="243"/>
      <c r="AT86" s="243"/>
      <c r="AU86" s="243"/>
      <c r="AV86" s="243"/>
      <c r="AW86" s="243"/>
      <c r="AX86" s="243"/>
      <c r="AY86" s="243"/>
      <c r="AZ86" s="243"/>
      <c r="BA86" s="243"/>
      <c r="BB86" s="246"/>
      <c r="BC86" s="246"/>
      <c r="BD86" s="243"/>
      <c r="BE86" s="243"/>
      <c r="BF86" s="243"/>
      <c r="BG86" s="243"/>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row>
    <row r="87" spans="1:90">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9"/>
      <c r="AH87" s="289"/>
      <c r="AI87" s="289"/>
      <c r="AJ87" s="289"/>
      <c r="AK87" s="289"/>
      <c r="AL87" s="289"/>
      <c r="AM87" s="289"/>
      <c r="AN87" s="243"/>
      <c r="AO87" s="243"/>
      <c r="AP87" s="243"/>
      <c r="AQ87" s="243"/>
      <c r="AR87" s="243"/>
      <c r="AS87" s="243"/>
      <c r="AT87" s="243"/>
      <c r="AU87" s="243"/>
      <c r="AV87" s="243"/>
      <c r="AW87" s="243"/>
      <c r="AX87" s="243"/>
      <c r="AY87" s="243"/>
      <c r="AZ87" s="243"/>
      <c r="BA87" s="243"/>
      <c r="BB87" s="246"/>
      <c r="BC87" s="246"/>
      <c r="BD87" s="243"/>
      <c r="BE87" s="243"/>
      <c r="BF87" s="243"/>
      <c r="BG87" s="243"/>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row>
    <row r="88" spans="1:90">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9"/>
      <c r="AH88" s="289"/>
      <c r="AI88" s="289"/>
      <c r="AJ88" s="289"/>
      <c r="AK88" s="289"/>
      <c r="AL88" s="289"/>
      <c r="AM88" s="289"/>
      <c r="AN88" s="243"/>
      <c r="AO88" s="243"/>
      <c r="AP88" s="243"/>
      <c r="AQ88" s="243"/>
      <c r="AR88" s="243"/>
      <c r="AS88" s="243"/>
      <c r="AT88" s="243"/>
      <c r="AU88" s="243"/>
      <c r="AV88" s="243"/>
      <c r="AW88" s="243"/>
      <c r="AX88" s="243"/>
      <c r="AY88" s="243"/>
      <c r="AZ88" s="243"/>
      <c r="BA88" s="243"/>
      <c r="BB88" s="246"/>
      <c r="BC88" s="246"/>
      <c r="BD88" s="243"/>
      <c r="BE88" s="243"/>
      <c r="BF88" s="243"/>
      <c r="BG88" s="243"/>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row>
    <row r="89" spans="1:90">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9"/>
      <c r="AH89" s="289"/>
      <c r="AI89" s="289"/>
      <c r="AJ89" s="289"/>
      <c r="AK89" s="289"/>
      <c r="AL89" s="289"/>
      <c r="AM89" s="289"/>
      <c r="AN89" s="243"/>
      <c r="AO89" s="243"/>
      <c r="AP89" s="243"/>
      <c r="AQ89" s="243"/>
      <c r="AR89" s="243"/>
      <c r="AS89" s="243"/>
      <c r="AT89" s="243"/>
      <c r="AU89" s="243"/>
      <c r="AV89" s="243"/>
      <c r="AW89" s="243"/>
      <c r="AX89" s="243"/>
      <c r="AY89" s="243"/>
      <c r="AZ89" s="243"/>
      <c r="BA89" s="243"/>
      <c r="BB89" s="246"/>
      <c r="BC89" s="246"/>
      <c r="BD89" s="243"/>
      <c r="BE89" s="243"/>
      <c r="BF89" s="243"/>
      <c r="BG89" s="243"/>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row>
    <row r="90" spans="1:90">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9"/>
      <c r="AH90" s="289"/>
      <c r="AI90" s="289"/>
      <c r="AJ90" s="289"/>
      <c r="AK90" s="289"/>
      <c r="AL90" s="289"/>
      <c r="AM90" s="289"/>
      <c r="AN90" s="243"/>
      <c r="AO90" s="243"/>
      <c r="AP90" s="243"/>
      <c r="AQ90" s="243"/>
      <c r="AR90" s="243"/>
      <c r="AS90" s="243"/>
      <c r="AT90" s="243"/>
      <c r="AU90" s="243"/>
      <c r="AV90" s="243"/>
      <c r="AW90" s="243"/>
      <c r="AX90" s="243"/>
      <c r="AY90" s="243"/>
      <c r="AZ90" s="243"/>
      <c r="BA90" s="243"/>
      <c r="BB90" s="246"/>
      <c r="BC90" s="246"/>
      <c r="BD90" s="243"/>
      <c r="BE90" s="243"/>
      <c r="BF90" s="243"/>
      <c r="BG90" s="243"/>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row>
    <row r="91" spans="1:90">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9"/>
      <c r="AH91" s="289"/>
      <c r="AI91" s="289"/>
      <c r="AJ91" s="289"/>
      <c r="AK91" s="289"/>
      <c r="AL91" s="289"/>
      <c r="AM91" s="289"/>
      <c r="AN91" s="243"/>
      <c r="AO91" s="243"/>
      <c r="AP91" s="243"/>
      <c r="AQ91" s="243"/>
      <c r="AR91" s="243"/>
      <c r="AS91" s="243"/>
      <c r="AT91" s="243"/>
      <c r="AU91" s="243"/>
      <c r="AV91" s="243"/>
      <c r="AW91" s="243"/>
      <c r="AX91" s="243"/>
      <c r="AY91" s="243"/>
      <c r="AZ91" s="243"/>
      <c r="BA91" s="243"/>
      <c r="BB91" s="246"/>
      <c r="BC91" s="246"/>
      <c r="BD91" s="243"/>
      <c r="BE91" s="243"/>
      <c r="BF91" s="243"/>
      <c r="BG91" s="243"/>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row>
    <row r="92" spans="1:90">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9"/>
      <c r="AH92" s="289"/>
      <c r="AI92" s="289"/>
      <c r="AJ92" s="289"/>
      <c r="AK92" s="289"/>
      <c r="AL92" s="289"/>
      <c r="AM92" s="289"/>
      <c r="AN92" s="243"/>
      <c r="AO92" s="243"/>
      <c r="AP92" s="243"/>
      <c r="AQ92" s="243"/>
      <c r="AR92" s="243"/>
      <c r="AS92" s="243"/>
      <c r="AT92" s="243"/>
      <c r="AU92" s="243"/>
      <c r="AV92" s="243"/>
      <c r="AW92" s="243"/>
      <c r="AX92" s="243"/>
      <c r="AY92" s="243"/>
      <c r="AZ92" s="243"/>
      <c r="BA92" s="243"/>
      <c r="BB92" s="246"/>
      <c r="BC92" s="246"/>
      <c r="BD92" s="243"/>
      <c r="BE92" s="243"/>
      <c r="BF92" s="243"/>
      <c r="BG92" s="243"/>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row>
    <row r="93" spans="1:90">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9"/>
      <c r="AH93" s="289"/>
      <c r="AI93" s="289"/>
      <c r="AJ93" s="289"/>
      <c r="AK93" s="289"/>
      <c r="AL93" s="289"/>
      <c r="AM93" s="289"/>
      <c r="AN93" s="243"/>
      <c r="AO93" s="243"/>
      <c r="AP93" s="243"/>
      <c r="AQ93" s="243"/>
      <c r="AR93" s="243"/>
      <c r="AS93" s="243"/>
      <c r="AT93" s="243"/>
      <c r="AU93" s="243"/>
      <c r="AV93" s="243"/>
      <c r="AW93" s="243"/>
      <c r="AX93" s="243"/>
      <c r="AY93" s="243"/>
      <c r="AZ93" s="243"/>
      <c r="BA93" s="243"/>
      <c r="BB93" s="246"/>
      <c r="BC93" s="246"/>
      <c r="BD93" s="243"/>
      <c r="BE93" s="243"/>
      <c r="BF93" s="243"/>
      <c r="BG93" s="243"/>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row>
    <row r="94" spans="1:90">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9"/>
      <c r="AH94" s="289"/>
      <c r="AI94" s="289"/>
      <c r="AJ94" s="289"/>
      <c r="AK94" s="289"/>
      <c r="AL94" s="289"/>
      <c r="AM94" s="289"/>
      <c r="AN94" s="243"/>
      <c r="AO94" s="243"/>
      <c r="AP94" s="243"/>
      <c r="AQ94" s="243"/>
      <c r="AR94" s="243"/>
      <c r="AS94" s="243"/>
      <c r="AT94" s="243"/>
      <c r="AU94" s="243"/>
      <c r="AV94" s="243"/>
      <c r="AW94" s="243"/>
      <c r="AX94" s="243"/>
      <c r="AY94" s="243"/>
      <c r="AZ94" s="243"/>
      <c r="BA94" s="243"/>
      <c r="BB94" s="246"/>
      <c r="BC94" s="246"/>
      <c r="BD94" s="243"/>
      <c r="BE94" s="243"/>
      <c r="BF94" s="243"/>
      <c r="BG94" s="243"/>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row>
    <row r="95" spans="1:90">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9"/>
      <c r="AH95" s="289"/>
      <c r="AI95" s="289"/>
      <c r="AJ95" s="289"/>
      <c r="AK95" s="289"/>
      <c r="AL95" s="289"/>
      <c r="AM95" s="289"/>
      <c r="AN95" s="243"/>
      <c r="AO95" s="243"/>
      <c r="AP95" s="243"/>
      <c r="AQ95" s="243"/>
      <c r="AR95" s="243"/>
      <c r="AS95" s="243"/>
      <c r="AT95" s="243"/>
      <c r="AU95" s="243"/>
      <c r="AV95" s="243"/>
      <c r="AW95" s="243"/>
      <c r="AX95" s="243"/>
      <c r="AY95" s="243"/>
      <c r="AZ95" s="243"/>
      <c r="BA95" s="243"/>
      <c r="BB95" s="246"/>
      <c r="BC95" s="246"/>
      <c r="BD95" s="243"/>
      <c r="BE95" s="243"/>
      <c r="BF95" s="243"/>
      <c r="BG95" s="243"/>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row>
    <row r="96" spans="1:90">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9"/>
      <c r="AH96" s="289"/>
      <c r="AI96" s="289"/>
      <c r="AJ96" s="289"/>
      <c r="AK96" s="289"/>
      <c r="AL96" s="289"/>
      <c r="AM96" s="289"/>
      <c r="AN96" s="243"/>
      <c r="AO96" s="243"/>
      <c r="AP96" s="243"/>
      <c r="AQ96" s="243"/>
      <c r="AR96" s="243"/>
      <c r="AS96" s="243"/>
      <c r="AT96" s="243"/>
      <c r="AU96" s="243"/>
      <c r="AV96" s="243"/>
      <c r="AW96" s="243"/>
      <c r="AX96" s="243"/>
      <c r="AY96" s="243"/>
      <c r="AZ96" s="243"/>
      <c r="BA96" s="243"/>
      <c r="BB96" s="246"/>
      <c r="BC96" s="246"/>
      <c r="BD96" s="243"/>
      <c r="BE96" s="243"/>
      <c r="BF96" s="243"/>
      <c r="BG96" s="243"/>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row>
    <row r="97" spans="1:90">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9"/>
      <c r="AH97" s="289"/>
      <c r="AI97" s="289"/>
      <c r="AJ97" s="289"/>
      <c r="AK97" s="289"/>
      <c r="AL97" s="289"/>
      <c r="AM97" s="289"/>
      <c r="AN97" s="243"/>
      <c r="AO97" s="243"/>
      <c r="AP97" s="243"/>
      <c r="AQ97" s="243"/>
      <c r="AR97" s="243"/>
      <c r="AS97" s="243"/>
      <c r="AT97" s="243"/>
      <c r="AU97" s="243"/>
      <c r="AV97" s="243"/>
      <c r="AW97" s="243"/>
      <c r="AX97" s="243"/>
      <c r="AY97" s="243"/>
      <c r="AZ97" s="243"/>
      <c r="BA97" s="243"/>
      <c r="BB97" s="246"/>
      <c r="BC97" s="246"/>
      <c r="BD97" s="243"/>
      <c r="BE97" s="243"/>
      <c r="BF97" s="243"/>
      <c r="BG97" s="243"/>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row>
    <row r="98" spans="1:90">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9"/>
      <c r="AH98" s="289"/>
      <c r="AI98" s="289"/>
      <c r="AJ98" s="289"/>
      <c r="AK98" s="289"/>
      <c r="AL98" s="289"/>
      <c r="AM98" s="289"/>
      <c r="AN98" s="243"/>
      <c r="AO98" s="243"/>
      <c r="AP98" s="243"/>
      <c r="AQ98" s="243"/>
      <c r="AR98" s="243"/>
      <c r="AS98" s="243"/>
      <c r="AT98" s="243"/>
      <c r="AU98" s="243"/>
      <c r="AV98" s="243"/>
      <c r="AW98" s="243"/>
      <c r="AX98" s="243"/>
      <c r="AY98" s="243"/>
      <c r="AZ98" s="243"/>
      <c r="BA98" s="243"/>
      <c r="BB98" s="246"/>
      <c r="BC98" s="246"/>
      <c r="BD98" s="243"/>
      <c r="BE98" s="243"/>
      <c r="BF98" s="243"/>
      <c r="BG98" s="243"/>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row>
    <row r="99" spans="1:90">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9"/>
      <c r="AH99" s="289"/>
      <c r="AI99" s="289"/>
      <c r="AJ99" s="289"/>
      <c r="AK99" s="289"/>
      <c r="AL99" s="289"/>
      <c r="AM99" s="289"/>
      <c r="AN99" s="243"/>
      <c r="AO99" s="243"/>
      <c r="AP99" s="243"/>
      <c r="AQ99" s="243"/>
      <c r="AR99" s="243"/>
      <c r="AS99" s="243"/>
      <c r="AT99" s="243"/>
      <c r="AU99" s="243"/>
      <c r="AV99" s="243"/>
      <c r="AW99" s="243"/>
      <c r="AX99" s="243"/>
      <c r="AY99" s="243"/>
      <c r="AZ99" s="243"/>
      <c r="BA99" s="243"/>
      <c r="BB99" s="246"/>
      <c r="BC99" s="246"/>
      <c r="BD99" s="243"/>
      <c r="BE99" s="243"/>
      <c r="BF99" s="243"/>
      <c r="BG99" s="243"/>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row>
    <row r="100" spans="1:90">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9"/>
      <c r="AH100" s="289"/>
      <c r="AI100" s="289"/>
      <c r="AJ100" s="289"/>
      <c r="AK100" s="289"/>
      <c r="AL100" s="289"/>
      <c r="AM100" s="289"/>
      <c r="AN100" s="243"/>
      <c r="AO100" s="243"/>
      <c r="AP100" s="243"/>
      <c r="AQ100" s="243"/>
      <c r="AR100" s="243"/>
      <c r="AS100" s="243"/>
      <c r="AT100" s="243"/>
      <c r="AU100" s="243"/>
      <c r="AV100" s="243"/>
      <c r="AW100" s="243"/>
      <c r="AX100" s="243"/>
      <c r="AY100" s="243"/>
      <c r="AZ100" s="243"/>
      <c r="BA100" s="243"/>
      <c r="BB100" s="246"/>
      <c r="BC100" s="246"/>
      <c r="BD100" s="243"/>
      <c r="BE100" s="243"/>
      <c r="BF100" s="243"/>
      <c r="BG100" s="243"/>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row>
    <row r="101" spans="1:90">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9"/>
      <c r="AH101" s="289"/>
      <c r="AI101" s="289"/>
      <c r="AJ101" s="289"/>
      <c r="AK101" s="289"/>
      <c r="AL101" s="289"/>
      <c r="AM101" s="289"/>
      <c r="AN101" s="243"/>
      <c r="AO101" s="243"/>
      <c r="AP101" s="243"/>
      <c r="AQ101" s="243"/>
      <c r="AR101" s="243"/>
      <c r="AS101" s="243"/>
      <c r="AT101" s="243"/>
      <c r="AU101" s="243"/>
      <c r="AV101" s="243"/>
      <c r="AW101" s="243"/>
      <c r="AX101" s="243"/>
      <c r="AY101" s="243"/>
      <c r="AZ101" s="243"/>
      <c r="BA101" s="243"/>
      <c r="BB101" s="246"/>
      <c r="BC101" s="246"/>
      <c r="BD101" s="243"/>
      <c r="BE101" s="243"/>
      <c r="BF101" s="243"/>
      <c r="BG101" s="243"/>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row>
    <row r="102" spans="1:90">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9"/>
      <c r="AH102" s="289"/>
      <c r="AI102" s="289"/>
      <c r="AJ102" s="289"/>
      <c r="AK102" s="289"/>
      <c r="AL102" s="289"/>
      <c r="AM102" s="289"/>
      <c r="AN102" s="243"/>
      <c r="AO102" s="243"/>
      <c r="AP102" s="243"/>
      <c r="AQ102" s="243"/>
      <c r="AR102" s="243"/>
      <c r="AS102" s="243"/>
      <c r="AT102" s="243"/>
      <c r="AU102" s="243"/>
      <c r="AV102" s="243"/>
      <c r="AW102" s="243"/>
      <c r="AX102" s="243"/>
      <c r="AY102" s="243"/>
      <c r="AZ102" s="243"/>
      <c r="BA102" s="243"/>
      <c r="BB102" s="246"/>
      <c r="BC102" s="246"/>
      <c r="BD102" s="243"/>
      <c r="BE102" s="243"/>
      <c r="BF102" s="243"/>
      <c r="BG102" s="243"/>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row>
  </sheetData>
  <sheetProtection algorithmName="SHA-512" hashValue="6Qryj+7Wvub4647KP61e3AUSfzTto8W2iX08TICHnLmdJEfnkCEzjpHNhiV5MvLcH0qqZQDrLo9TOof/g/wvkQ==" saltValue="CGqEXYbT3sMq2IArsI8rDg==" spinCount="100000" sheet="1" objects="1" scenarios="1" selectLockedCells="1" selectUnlockedCells="1"/>
  <mergeCells count="171">
    <mergeCell ref="P39:Q39"/>
    <mergeCell ref="A39:E39"/>
    <mergeCell ref="F39:G39"/>
    <mergeCell ref="H39:I39"/>
    <mergeCell ref="J39:K39"/>
    <mergeCell ref="L39:M39"/>
    <mergeCell ref="N39:O39"/>
    <mergeCell ref="F38:G38"/>
    <mergeCell ref="H38:I38"/>
    <mergeCell ref="J38:K38"/>
    <mergeCell ref="L38:M38"/>
    <mergeCell ref="N38:O38"/>
    <mergeCell ref="P38:Q38"/>
    <mergeCell ref="F37:G37"/>
    <mergeCell ref="H37:I37"/>
    <mergeCell ref="J37:K37"/>
    <mergeCell ref="L37:M37"/>
    <mergeCell ref="N37:O37"/>
    <mergeCell ref="P37:Q37"/>
    <mergeCell ref="F36:G36"/>
    <mergeCell ref="H36:I36"/>
    <mergeCell ref="J36:K36"/>
    <mergeCell ref="L36:M36"/>
    <mergeCell ref="N36:O36"/>
    <mergeCell ref="P36:Q36"/>
    <mergeCell ref="F35:G35"/>
    <mergeCell ref="H35:I35"/>
    <mergeCell ref="J35:K35"/>
    <mergeCell ref="L35:M35"/>
    <mergeCell ref="N35:O35"/>
    <mergeCell ref="P35:Q35"/>
    <mergeCell ref="F34:G34"/>
    <mergeCell ref="H34:I34"/>
    <mergeCell ref="J34:K34"/>
    <mergeCell ref="L34:M34"/>
    <mergeCell ref="N34:O34"/>
    <mergeCell ref="P34:Q34"/>
    <mergeCell ref="P31:Q31"/>
    <mergeCell ref="F33:G33"/>
    <mergeCell ref="H33:I33"/>
    <mergeCell ref="J33:K33"/>
    <mergeCell ref="L33:M33"/>
    <mergeCell ref="N33:O33"/>
    <mergeCell ref="P33:Q33"/>
    <mergeCell ref="F32:G32"/>
    <mergeCell ref="H32:I32"/>
    <mergeCell ref="J32:K32"/>
    <mergeCell ref="L32:M32"/>
    <mergeCell ref="N32:O32"/>
    <mergeCell ref="P32:Q32"/>
    <mergeCell ref="T28:AE36"/>
    <mergeCell ref="F29:G29"/>
    <mergeCell ref="H29:I29"/>
    <mergeCell ref="J29:K29"/>
    <mergeCell ref="L29:M29"/>
    <mergeCell ref="N29:O29"/>
    <mergeCell ref="P29:Q29"/>
    <mergeCell ref="F30:G30"/>
    <mergeCell ref="H30:I30"/>
    <mergeCell ref="J30:K30"/>
    <mergeCell ref="F28:G28"/>
    <mergeCell ref="H28:I28"/>
    <mergeCell ref="J28:K28"/>
    <mergeCell ref="L28:M28"/>
    <mergeCell ref="N28:O28"/>
    <mergeCell ref="P28:Q28"/>
    <mergeCell ref="L30:M30"/>
    <mergeCell ref="N30:O30"/>
    <mergeCell ref="P30:Q30"/>
    <mergeCell ref="F31:G31"/>
    <mergeCell ref="H31:I31"/>
    <mergeCell ref="J31:K31"/>
    <mergeCell ref="L31:M31"/>
    <mergeCell ref="N31:O31"/>
    <mergeCell ref="F27:G27"/>
    <mergeCell ref="H27:I27"/>
    <mergeCell ref="J27:K27"/>
    <mergeCell ref="L27:M27"/>
    <mergeCell ref="N27:O27"/>
    <mergeCell ref="P27:Q27"/>
    <mergeCell ref="F26:G26"/>
    <mergeCell ref="H26:I26"/>
    <mergeCell ref="J26:K26"/>
    <mergeCell ref="L26:M26"/>
    <mergeCell ref="N26:O26"/>
    <mergeCell ref="P26:Q26"/>
    <mergeCell ref="F25:G25"/>
    <mergeCell ref="H25:I25"/>
    <mergeCell ref="J25:K25"/>
    <mergeCell ref="L25:M25"/>
    <mergeCell ref="N25:O25"/>
    <mergeCell ref="P25:Q25"/>
    <mergeCell ref="F24:G24"/>
    <mergeCell ref="H24:I24"/>
    <mergeCell ref="J24:K24"/>
    <mergeCell ref="L24:M24"/>
    <mergeCell ref="N24:O24"/>
    <mergeCell ref="P24:Q24"/>
    <mergeCell ref="F23:G23"/>
    <mergeCell ref="H23:I23"/>
    <mergeCell ref="J23:K23"/>
    <mergeCell ref="L23:M23"/>
    <mergeCell ref="N23:O23"/>
    <mergeCell ref="P23:Q23"/>
    <mergeCell ref="F22:G22"/>
    <mergeCell ref="H22:I22"/>
    <mergeCell ref="J22:K22"/>
    <mergeCell ref="L22:M22"/>
    <mergeCell ref="N22:O22"/>
    <mergeCell ref="P22:Q22"/>
    <mergeCell ref="F21:G21"/>
    <mergeCell ref="H21:I21"/>
    <mergeCell ref="J21:K21"/>
    <mergeCell ref="L21:M21"/>
    <mergeCell ref="N21:O21"/>
    <mergeCell ref="P21:Q21"/>
    <mergeCell ref="R19:S19"/>
    <mergeCell ref="F20:G20"/>
    <mergeCell ref="H20:I20"/>
    <mergeCell ref="J20:K20"/>
    <mergeCell ref="L20:M20"/>
    <mergeCell ref="N20:O20"/>
    <mergeCell ref="P20:Q20"/>
    <mergeCell ref="F19:G19"/>
    <mergeCell ref="H19:I19"/>
    <mergeCell ref="J19:K19"/>
    <mergeCell ref="L19:M19"/>
    <mergeCell ref="N19:O19"/>
    <mergeCell ref="P19:Q19"/>
    <mergeCell ref="P17:Q17"/>
    <mergeCell ref="F18:G18"/>
    <mergeCell ref="H18:I18"/>
    <mergeCell ref="J18:K18"/>
    <mergeCell ref="L18:M18"/>
    <mergeCell ref="N18:O18"/>
    <mergeCell ref="P18:Q18"/>
    <mergeCell ref="A14:E14"/>
    <mergeCell ref="F14:Q14"/>
    <mergeCell ref="A8:G9"/>
    <mergeCell ref="H8:AG9"/>
    <mergeCell ref="A10:H10"/>
    <mergeCell ref="I10:T10"/>
    <mergeCell ref="U10:X10"/>
    <mergeCell ref="Y10:AA10"/>
    <mergeCell ref="AB10:AD10"/>
    <mergeCell ref="AE10:AG10"/>
    <mergeCell ref="S14:AF18"/>
    <mergeCell ref="F15:I16"/>
    <mergeCell ref="J15:M16"/>
    <mergeCell ref="N15:Q16"/>
    <mergeCell ref="A17:E17"/>
    <mergeCell ref="F17:G17"/>
    <mergeCell ref="H17:I17"/>
    <mergeCell ref="J17:M17"/>
    <mergeCell ref="A11:AG12"/>
    <mergeCell ref="R13:S13"/>
    <mergeCell ref="T13:V13"/>
    <mergeCell ref="W13:X13"/>
    <mergeCell ref="Y13:Z13"/>
    <mergeCell ref="AA13:AC13"/>
    <mergeCell ref="AD13:AE13"/>
    <mergeCell ref="N17:O17"/>
    <mergeCell ref="A1:AG4"/>
    <mergeCell ref="A5:G5"/>
    <mergeCell ref="U5:X5"/>
    <mergeCell ref="Y5:AG5"/>
    <mergeCell ref="A6:G6"/>
    <mergeCell ref="U6:X6"/>
    <mergeCell ref="Y6:AG6"/>
    <mergeCell ref="A7:G7"/>
    <mergeCell ref="U7:X7"/>
  </mergeCells>
  <conditionalFormatting sqref="F39:M39 P39:Y39">
    <cfRule type="expression" dxfId="241" priority="7" stopIfTrue="1">
      <formula>F39=0</formula>
    </cfRule>
  </conditionalFormatting>
  <conditionalFormatting sqref="O54">
    <cfRule type="expression" dxfId="240" priority="4">
      <formula>O54=0</formula>
    </cfRule>
  </conditionalFormatting>
  <conditionalFormatting sqref="R18:R19 H18:Q38">
    <cfRule type="expression" dxfId="239" priority="5">
      <formula>H18=0</formula>
    </cfRule>
  </conditionalFormatting>
  <conditionalFormatting sqref="R24:AG27 R28:T28 AF28:AG36 R29:S36 R37:AG38">
    <cfRule type="expression" dxfId="238" priority="1">
      <formula>R24=0</formula>
    </cfRule>
  </conditionalFormatting>
  <conditionalFormatting sqref="V20:V23">
    <cfRule type="expression" dxfId="237" priority="2">
      <formula>(V20&lt;&gt;0)</formula>
    </cfRule>
    <cfRule type="expression" dxfId="236" priority="3">
      <formula>(V20=0)</formula>
    </cfRule>
  </conditionalFormatting>
  <conditionalFormatting sqref="AB39:AE39">
    <cfRule type="expression" dxfId="235" priority="8" stopIfTrue="1">
      <formula>AB39=0</formula>
    </cfRule>
  </conditionalFormatting>
  <conditionalFormatting sqref="AG18 T19:AG19 R20:S23 W20:AG23">
    <cfRule type="expression" dxfId="234" priority="6">
      <formula>R18=0</formula>
    </cfRule>
  </conditionalFormatting>
  <pageMargins left="0.7" right="0.7" top="0.75" bottom="0.75" header="0.3" footer="0.3"/>
  <pageSetup paperSize="9" scale="65" orientation="portrait" r:id="rId1"/>
  <headerFooter>
    <oddFooter>&amp;C_x000D_&amp;1#&amp;"Calibri"&amp;10&amp;K000000 Internal</oddFooter>
  </headerFooter>
  <colBreaks count="1" manualBreakCount="1">
    <brk id="33"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0EFC6-A8BF-4429-931F-55BBF9FD7D0A}">
  <sheetPr>
    <tabColor theme="4"/>
    <pageSetUpPr fitToPage="1"/>
  </sheetPr>
  <dimension ref="A1:CP125"/>
  <sheetViews>
    <sheetView showGridLines="0" view="pageBreakPreview" zoomScaleNormal="100" zoomScaleSheetLayoutView="100" workbookViewId="0">
      <selection sqref="A1:AK4"/>
    </sheetView>
  </sheetViews>
  <sheetFormatPr defaultColWidth="3.7109375" defaultRowHeight="15"/>
  <cols>
    <col min="1" max="6" width="3.7109375" style="290"/>
    <col min="7" max="7" width="4.42578125" style="290" customWidth="1"/>
    <col min="8" max="8" width="5.28515625" style="290" customWidth="1"/>
    <col min="9" max="9" width="3.7109375" style="290"/>
    <col min="10" max="16" width="5.28515625" style="290" customWidth="1"/>
    <col min="17" max="17" width="6.28515625" style="290" customWidth="1"/>
    <col min="18" max="21" width="5.28515625" style="290" customWidth="1"/>
    <col min="22" max="22" width="3.7109375" style="290"/>
    <col min="23" max="23" width="6.42578125" style="290" customWidth="1"/>
    <col min="24" max="24" width="9.28515625" style="290" customWidth="1"/>
    <col min="25" max="34" width="3.7109375" style="290"/>
    <col min="35" max="35" width="4.28515625" style="290" customWidth="1"/>
    <col min="36" max="37" width="3.7109375" style="290"/>
    <col min="38" max="38" width="3.7109375" style="247"/>
    <col min="39" max="50" width="8.7109375" style="247" customWidth="1"/>
    <col min="51" max="57" width="3.7109375" style="247"/>
    <col min="58" max="59" width="3.7109375" style="285"/>
    <col min="60" max="16384" width="3.7109375" style="247"/>
  </cols>
  <sheetData>
    <row r="1" spans="1:94"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8"/>
      <c r="AL1" s="238"/>
      <c r="AM1" s="238"/>
      <c r="AN1" s="238"/>
      <c r="AO1" s="238"/>
      <c r="AP1" s="238"/>
      <c r="AQ1" s="238"/>
      <c r="AR1" s="238"/>
      <c r="AS1" s="238"/>
      <c r="AT1" s="238"/>
      <c r="AU1" s="238"/>
      <c r="AV1" s="238"/>
      <c r="AW1" s="238"/>
      <c r="AX1" s="238"/>
      <c r="AY1" s="238"/>
      <c r="AZ1" s="238"/>
      <c r="BA1" s="238"/>
      <c r="BB1" s="238"/>
      <c r="BC1" s="238"/>
      <c r="BD1" s="238"/>
      <c r="BE1" s="238"/>
      <c r="BF1" s="239"/>
      <c r="BG1" s="239"/>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c r="CM1" s="238"/>
      <c r="CN1" s="238"/>
      <c r="CO1" s="238"/>
      <c r="CP1" s="238"/>
    </row>
    <row r="2" spans="1:94"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1"/>
      <c r="AL2" s="238"/>
      <c r="AM2" s="238"/>
      <c r="AN2" s="238"/>
      <c r="AO2" s="238"/>
      <c r="AP2" s="238"/>
      <c r="AQ2" s="238"/>
      <c r="AR2" s="238"/>
      <c r="AS2" s="238"/>
      <c r="AT2" s="238"/>
      <c r="AU2" s="238"/>
      <c r="AV2" s="238"/>
      <c r="AW2" s="238"/>
      <c r="AX2" s="238"/>
      <c r="AY2" s="238"/>
      <c r="AZ2" s="238"/>
      <c r="BA2" s="238"/>
      <c r="BB2" s="238"/>
      <c r="BC2" s="238"/>
      <c r="BD2" s="238"/>
      <c r="BE2" s="238"/>
      <c r="BF2" s="239"/>
      <c r="BG2" s="239"/>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row>
    <row r="3" spans="1:94"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1"/>
      <c r="AL3" s="238"/>
      <c r="AM3" s="238"/>
      <c r="AN3" s="238"/>
      <c r="AO3" s="238"/>
      <c r="AP3" s="238"/>
      <c r="AQ3" s="238"/>
      <c r="AR3" s="238"/>
      <c r="AS3" s="238"/>
      <c r="AT3" s="238"/>
      <c r="AU3" s="238"/>
      <c r="AV3" s="238"/>
      <c r="AW3" s="238"/>
      <c r="AX3" s="238"/>
      <c r="AY3" s="238"/>
      <c r="AZ3" s="238"/>
      <c r="BA3" s="238"/>
      <c r="BB3" s="238"/>
      <c r="BC3" s="238"/>
      <c r="BD3" s="238"/>
      <c r="BE3" s="238"/>
      <c r="BF3" s="239"/>
      <c r="BG3" s="239"/>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row>
    <row r="4" spans="1:94"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4"/>
      <c r="AL4" s="238"/>
      <c r="AM4" s="241"/>
      <c r="AN4" s="241"/>
      <c r="AO4" s="241"/>
      <c r="AP4" s="242" t="s">
        <v>576</v>
      </c>
      <c r="AQ4" s="242" t="s">
        <v>577</v>
      </c>
      <c r="AR4" s="242" t="s">
        <v>578</v>
      </c>
      <c r="AS4" s="241"/>
      <c r="AT4" s="241"/>
      <c r="AU4" s="241"/>
      <c r="AV4" s="241"/>
      <c r="AW4" s="241"/>
      <c r="AX4" s="238"/>
      <c r="AY4" s="238"/>
      <c r="AZ4" s="238"/>
      <c r="BA4" s="238"/>
      <c r="BB4" s="238"/>
      <c r="BC4" s="238"/>
      <c r="BD4" s="238"/>
      <c r="BE4" s="238"/>
      <c r="BF4" s="239"/>
      <c r="BG4" s="239"/>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row>
    <row r="5" spans="1:94" ht="15" customHeight="1">
      <c r="A5" s="875" t="s">
        <v>22</v>
      </c>
      <c r="B5" s="876"/>
      <c r="C5" s="876"/>
      <c r="D5" s="876"/>
      <c r="E5" s="876"/>
      <c r="F5" s="876"/>
      <c r="G5" s="876"/>
      <c r="H5" s="27" t="str">
        <f>'Emiss. Ops'!$C$2</f>
        <v>OMVP</v>
      </c>
      <c r="I5" s="27"/>
      <c r="J5" s="27"/>
      <c r="K5" s="27"/>
      <c r="L5" s="27"/>
      <c r="M5" s="27"/>
      <c r="N5" s="27"/>
      <c r="O5" s="27"/>
      <c r="P5" s="27"/>
      <c r="Q5" s="27"/>
      <c r="R5" s="27"/>
      <c r="S5" s="27"/>
      <c r="T5" s="27"/>
      <c r="U5" s="27"/>
      <c r="V5" s="27"/>
      <c r="W5" s="27"/>
      <c r="X5" s="27"/>
      <c r="Y5" s="876" t="s">
        <v>23</v>
      </c>
      <c r="Z5" s="876"/>
      <c r="AA5" s="876"/>
      <c r="AB5" s="876"/>
      <c r="AC5" s="877" t="str">
        <f>Effluents!$K$2</f>
        <v>PRJ-001030</v>
      </c>
      <c r="AD5" s="877"/>
      <c r="AE5" s="877"/>
      <c r="AF5" s="877"/>
      <c r="AG5" s="877"/>
      <c r="AH5" s="877"/>
      <c r="AI5" s="877"/>
      <c r="AJ5" s="877"/>
      <c r="AK5" s="878"/>
      <c r="AL5" s="243"/>
      <c r="AM5" s="244"/>
      <c r="AN5" s="244"/>
      <c r="AO5" s="244"/>
      <c r="AP5" s="245" t="s">
        <v>386</v>
      </c>
      <c r="AQ5" s="245" t="s">
        <v>729</v>
      </c>
      <c r="AR5" s="242">
        <v>1020</v>
      </c>
      <c r="AS5" s="244"/>
      <c r="AT5" s="244"/>
      <c r="AU5" s="244"/>
      <c r="AV5" s="244"/>
      <c r="AW5" s="244"/>
      <c r="AX5" s="238"/>
      <c r="AY5" s="238"/>
      <c r="AZ5" s="238"/>
      <c r="BA5" s="243"/>
      <c r="BB5" s="243"/>
      <c r="BC5" s="243"/>
      <c r="BD5" s="243"/>
      <c r="BE5" s="243"/>
      <c r="BF5" s="246"/>
      <c r="BG5" s="246"/>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row>
    <row r="6" spans="1:94" ht="15" customHeight="1">
      <c r="A6" s="862" t="s">
        <v>24</v>
      </c>
      <c r="B6" s="863"/>
      <c r="C6" s="863"/>
      <c r="D6" s="863"/>
      <c r="E6" s="863"/>
      <c r="F6" s="863"/>
      <c r="G6" s="863"/>
      <c r="H6" s="30" t="str">
        <f>'Emiss. Ops'!$C$3</f>
        <v>OMV Neptun BAT Study &amp; ESIA</v>
      </c>
      <c r="I6" s="30"/>
      <c r="J6" s="30"/>
      <c r="K6" s="30"/>
      <c r="L6" s="30"/>
      <c r="M6" s="30"/>
      <c r="N6" s="30"/>
      <c r="O6" s="30"/>
      <c r="P6" s="30"/>
      <c r="Q6" s="30"/>
      <c r="R6" s="30"/>
      <c r="S6" s="30"/>
      <c r="T6" s="30"/>
      <c r="U6" s="30"/>
      <c r="V6" s="30"/>
      <c r="W6" s="30"/>
      <c r="X6" s="30"/>
      <c r="Y6" s="863" t="s">
        <v>25</v>
      </c>
      <c r="Z6" s="863"/>
      <c r="AA6" s="863"/>
      <c r="AB6" s="863"/>
      <c r="AC6" s="860"/>
      <c r="AD6" s="860"/>
      <c r="AE6" s="860"/>
      <c r="AF6" s="860"/>
      <c r="AG6" s="860"/>
      <c r="AH6" s="860"/>
      <c r="AI6" s="860"/>
      <c r="AJ6" s="860"/>
      <c r="AK6" s="861"/>
      <c r="AL6" s="243"/>
      <c r="AM6" s="244"/>
      <c r="AN6" s="244"/>
      <c r="AO6" s="242"/>
      <c r="AP6" s="245" t="s">
        <v>406</v>
      </c>
      <c r="AQ6" s="245" t="s">
        <v>339</v>
      </c>
      <c r="AR6" s="245">
        <v>0.45400000000000001</v>
      </c>
      <c r="AS6" s="242"/>
      <c r="AT6" s="244"/>
      <c r="AU6" s="244"/>
      <c r="AV6" s="244"/>
      <c r="AW6" s="244"/>
      <c r="AX6" s="238"/>
      <c r="AY6" s="238"/>
      <c r="AZ6" s="238"/>
      <c r="BA6" s="243"/>
      <c r="BB6" s="243"/>
      <c r="BC6" s="243"/>
      <c r="BD6" s="243"/>
      <c r="BE6" s="243"/>
      <c r="BF6" s="246"/>
      <c r="BG6" s="246"/>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row>
    <row r="7" spans="1:94" ht="15" customHeight="1">
      <c r="A7" s="862" t="s">
        <v>26</v>
      </c>
      <c r="B7" s="863"/>
      <c r="C7" s="863"/>
      <c r="D7" s="863"/>
      <c r="E7" s="863"/>
      <c r="F7" s="863"/>
      <c r="G7" s="863"/>
      <c r="H7" s="30" t="str">
        <f>'Emiss. Ops'!$C$4</f>
        <v>Emissions Inventory</v>
      </c>
      <c r="I7" s="30"/>
      <c r="J7" s="30"/>
      <c r="K7" s="30"/>
      <c r="L7" s="30"/>
      <c r="M7" s="30"/>
      <c r="N7" s="30"/>
      <c r="O7" s="30"/>
      <c r="P7" s="30"/>
      <c r="Q7" s="30"/>
      <c r="R7" s="30"/>
      <c r="S7" s="30"/>
      <c r="T7" s="30"/>
      <c r="U7" s="30"/>
      <c r="V7" s="30"/>
      <c r="W7" s="30"/>
      <c r="X7" s="30"/>
      <c r="Y7" s="863" t="s">
        <v>27</v>
      </c>
      <c r="Z7" s="863"/>
      <c r="AA7" s="863"/>
      <c r="AB7" s="863"/>
      <c r="AC7" s="30" t="str">
        <f>'Emiss. Ops'!$I$4</f>
        <v>Normal Operations</v>
      </c>
      <c r="AD7" s="31"/>
      <c r="AE7" s="31"/>
      <c r="AF7" s="31"/>
      <c r="AG7" s="31"/>
      <c r="AH7" s="31"/>
      <c r="AI7" s="31"/>
      <c r="AJ7" s="31"/>
      <c r="AK7" s="32"/>
      <c r="AL7" s="243"/>
      <c r="AM7" s="244"/>
      <c r="AN7" s="244"/>
      <c r="AO7" s="242"/>
      <c r="AP7" s="245" t="s">
        <v>407</v>
      </c>
      <c r="AQ7" s="245" t="s">
        <v>730</v>
      </c>
      <c r="AR7" s="248">
        <f>0.305^3</f>
        <v>2.8372624999999999E-2</v>
      </c>
      <c r="AS7" s="242"/>
      <c r="AT7" s="244"/>
      <c r="AU7" s="244"/>
      <c r="AV7" s="244"/>
      <c r="AW7" s="244"/>
      <c r="AX7" s="238"/>
      <c r="AY7" s="238"/>
      <c r="AZ7" s="238"/>
      <c r="BA7" s="243"/>
      <c r="BB7" s="243"/>
      <c r="BC7" s="243"/>
      <c r="BD7" s="243"/>
      <c r="BE7" s="243"/>
      <c r="BF7" s="246"/>
      <c r="BG7" s="246"/>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row>
    <row r="8" spans="1:94"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8"/>
      <c r="AH8" s="1288"/>
      <c r="AI8" s="1288"/>
      <c r="AJ8" s="1288"/>
      <c r="AK8" s="1289"/>
      <c r="AL8" s="243"/>
      <c r="AM8" s="244"/>
      <c r="AN8" s="244"/>
      <c r="AO8" s="242"/>
      <c r="AP8" s="245" t="s">
        <v>729</v>
      </c>
      <c r="AQ8" s="245" t="s">
        <v>731</v>
      </c>
      <c r="AR8" s="249">
        <f>AR6/AR7 * ((AN18+273.15)/(AN20+273.15))</f>
        <v>16.912595854908194</v>
      </c>
      <c r="AS8" s="242"/>
      <c r="AT8" s="244"/>
      <c r="AU8" s="244"/>
      <c r="AV8" s="244"/>
      <c r="AW8" s="244"/>
      <c r="AX8" s="238"/>
      <c r="AY8" s="238"/>
      <c r="AZ8" s="238"/>
      <c r="BA8" s="243"/>
      <c r="BB8" s="243"/>
      <c r="BC8" s="243"/>
      <c r="BD8" s="243"/>
      <c r="BE8" s="243"/>
      <c r="BF8" s="246"/>
      <c r="BG8" s="246"/>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row>
    <row r="9" spans="1:94"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8"/>
      <c r="AH9" s="1288"/>
      <c r="AI9" s="1288"/>
      <c r="AJ9" s="1288"/>
      <c r="AK9" s="1289"/>
      <c r="AL9" s="243"/>
      <c r="AM9" s="244"/>
      <c r="AN9" s="244"/>
      <c r="AO9" s="242"/>
      <c r="AP9" s="242" t="s">
        <v>409</v>
      </c>
      <c r="AQ9" s="242" t="s">
        <v>410</v>
      </c>
      <c r="AR9" s="242">
        <v>947</v>
      </c>
      <c r="AS9" s="242"/>
      <c r="AT9" s="244"/>
      <c r="AU9" s="244"/>
      <c r="AV9" s="244"/>
      <c r="AW9" s="244"/>
      <c r="AX9" s="238"/>
      <c r="AY9" s="238"/>
      <c r="AZ9" s="238"/>
      <c r="BA9" s="243"/>
      <c r="BB9" s="243"/>
      <c r="BC9" s="243"/>
      <c r="BD9" s="243"/>
      <c r="BE9" s="243"/>
      <c r="BF9" s="246"/>
      <c r="BG9" s="246"/>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row>
    <row r="10" spans="1:94"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1283"/>
      <c r="V10" s="1283"/>
      <c r="W10" s="1283"/>
      <c r="X10" s="1283"/>
      <c r="Y10" s="859" t="s">
        <v>28</v>
      </c>
      <c r="Z10" s="859"/>
      <c r="AA10" s="859"/>
      <c r="AB10" s="859"/>
      <c r="AC10" s="1284"/>
      <c r="AD10" s="1284"/>
      <c r="AE10" s="1284"/>
      <c r="AF10" s="1285"/>
      <c r="AG10" s="1285"/>
      <c r="AH10" s="1285"/>
      <c r="AI10" s="1286"/>
      <c r="AJ10" s="1286"/>
      <c r="AK10" s="1287"/>
      <c r="AL10" s="238"/>
      <c r="AM10" s="241"/>
      <c r="AN10" s="241"/>
      <c r="AO10" s="245"/>
      <c r="AP10" s="245" t="s">
        <v>710</v>
      </c>
      <c r="AQ10" s="245" t="s">
        <v>709</v>
      </c>
      <c r="AR10" s="245">
        <v>1E-3</v>
      </c>
      <c r="AS10" s="245"/>
      <c r="AT10" s="241"/>
      <c r="AU10" s="241"/>
      <c r="AV10" s="241"/>
      <c r="AW10" s="241"/>
      <c r="AX10" s="238"/>
      <c r="AY10" s="238"/>
      <c r="AZ10" s="238"/>
      <c r="BA10" s="238"/>
      <c r="BB10" s="238"/>
      <c r="BC10" s="238"/>
      <c r="BD10" s="238"/>
      <c r="BE10" s="238"/>
      <c r="BF10" s="239"/>
      <c r="BG10" s="239"/>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row>
    <row r="11" spans="1:94" s="240" customFormat="1" ht="14.25" customHeight="1">
      <c r="A11" s="1271" t="s">
        <v>370</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3"/>
      <c r="AL11" s="238"/>
      <c r="AM11" s="241"/>
      <c r="AN11" s="241"/>
      <c r="AO11" s="245"/>
      <c r="AP11" s="245" t="s">
        <v>732</v>
      </c>
      <c r="AQ11" s="245" t="s">
        <v>409</v>
      </c>
      <c r="AR11" s="245">
        <f>1/(AR9/1000000)</f>
        <v>1055.9662090813094</v>
      </c>
      <c r="AS11" s="245"/>
      <c r="AT11" s="241"/>
      <c r="AU11" s="241"/>
      <c r="AV11" s="241"/>
      <c r="AW11" s="241"/>
      <c r="AX11" s="238"/>
      <c r="AY11" s="238"/>
      <c r="AZ11" s="238"/>
      <c r="BA11" s="238"/>
      <c r="BB11" s="238"/>
      <c r="BC11" s="238"/>
      <c r="BD11" s="238"/>
      <c r="BE11" s="238"/>
      <c r="BF11" s="239"/>
      <c r="BG11" s="239"/>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row>
    <row r="12" spans="1:94" s="240" customFormat="1" ht="14.25" customHeight="1">
      <c r="A12" s="1274"/>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5"/>
      <c r="AH12" s="1275"/>
      <c r="AI12" s="1275"/>
      <c r="AJ12" s="1275"/>
      <c r="AK12" s="1276"/>
      <c r="AL12" s="238"/>
      <c r="AM12" s="241"/>
      <c r="AN12" s="241"/>
      <c r="AO12" s="245"/>
      <c r="AP12" s="245"/>
      <c r="AQ12" s="245"/>
      <c r="AR12" s="245"/>
      <c r="AS12" s="245"/>
      <c r="AT12" s="241"/>
      <c r="AU12" s="241"/>
      <c r="AV12" s="241"/>
      <c r="AW12" s="241"/>
      <c r="AX12" s="238"/>
      <c r="AY12" s="238"/>
      <c r="AZ12" s="238"/>
      <c r="BA12" s="238"/>
      <c r="BB12" s="238"/>
      <c r="BC12" s="238"/>
      <c r="BD12" s="238"/>
      <c r="BE12" s="238"/>
      <c r="BF12" s="239"/>
      <c r="BG12" s="239"/>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row>
    <row r="13" spans="1:94" s="240" customFormat="1" ht="14.25" customHeight="1">
      <c r="A13" s="1277" t="s">
        <v>587</v>
      </c>
      <c r="B13" s="1278"/>
      <c r="C13" s="1278"/>
      <c r="D13" s="1278"/>
      <c r="E13" s="1278"/>
      <c r="F13" s="1278"/>
      <c r="G13" s="1279"/>
      <c r="H13" s="1280" t="s">
        <v>733</v>
      </c>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2"/>
      <c r="AL13" s="238"/>
      <c r="AM13" s="241"/>
      <c r="AN13" s="241"/>
      <c r="AO13" s="241"/>
      <c r="AP13" s="241"/>
      <c r="AQ13" s="241"/>
      <c r="AR13" s="241"/>
      <c r="AS13" s="241"/>
      <c r="AT13" s="241"/>
      <c r="AU13" s="241"/>
      <c r="AV13" s="241"/>
      <c r="AW13" s="241"/>
      <c r="AX13" s="241"/>
      <c r="AY13" s="241"/>
      <c r="AZ13" s="241"/>
      <c r="BA13" s="238"/>
      <c r="BB13" s="238"/>
      <c r="BC13" s="238"/>
      <c r="BD13" s="238"/>
      <c r="BE13" s="238"/>
      <c r="BF13" s="239"/>
      <c r="BG13" s="239"/>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row>
    <row r="14" spans="1:94" s="240" customFormat="1" ht="14.25" customHeight="1">
      <c r="A14" s="279" t="s">
        <v>589</v>
      </c>
      <c r="B14" s="429"/>
      <c r="C14" s="429"/>
      <c r="D14" s="429"/>
      <c r="E14" s="429"/>
      <c r="F14" s="429"/>
      <c r="G14" s="429"/>
      <c r="H14" s="1271" t="s">
        <v>590</v>
      </c>
      <c r="I14" s="1272"/>
      <c r="J14" s="1273"/>
      <c r="K14" s="1271" t="s">
        <v>591</v>
      </c>
      <c r="L14" s="1272"/>
      <c r="M14" s="1273"/>
      <c r="N14" s="1271" t="s">
        <v>592</v>
      </c>
      <c r="O14" s="1272"/>
      <c r="P14" s="1273"/>
      <c r="Q14" s="1271" t="s">
        <v>400</v>
      </c>
      <c r="R14" s="1272"/>
      <c r="S14" s="1273"/>
      <c r="T14" s="1271" t="s">
        <v>593</v>
      </c>
      <c r="U14" s="1272"/>
      <c r="V14" s="1273"/>
      <c r="W14" s="1271" t="s">
        <v>593</v>
      </c>
      <c r="X14" s="1272"/>
      <c r="Y14" s="1273"/>
      <c r="Z14" s="1271" t="s">
        <v>115</v>
      </c>
      <c r="AA14" s="1272"/>
      <c r="AB14" s="1273"/>
      <c r="AC14" s="1271" t="s">
        <v>115</v>
      </c>
      <c r="AD14" s="1272"/>
      <c r="AE14" s="1273"/>
      <c r="AF14" s="1271" t="s">
        <v>116</v>
      </c>
      <c r="AG14" s="1272"/>
      <c r="AH14" s="1273"/>
      <c r="AI14" s="1271" t="s">
        <v>116</v>
      </c>
      <c r="AJ14" s="1272"/>
      <c r="AK14" s="1273"/>
      <c r="AL14" s="238"/>
      <c r="AM14" s="241"/>
      <c r="AN14" s="241"/>
      <c r="AO14" s="241"/>
      <c r="AP14" s="241"/>
      <c r="AQ14" s="430"/>
      <c r="AR14" s="241"/>
      <c r="AS14" s="241"/>
      <c r="AT14" s="241"/>
      <c r="AU14" s="241"/>
      <c r="AV14" s="241"/>
      <c r="AW14" s="241"/>
      <c r="AX14" s="238"/>
      <c r="AY14" s="238"/>
      <c r="AZ14" s="238"/>
      <c r="BA14" s="238"/>
      <c r="BB14" s="238"/>
      <c r="BC14" s="238"/>
      <c r="BD14" s="238"/>
      <c r="BE14" s="238"/>
      <c r="BF14" s="239"/>
      <c r="BG14" s="239"/>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row>
    <row r="15" spans="1:94" s="240" customFormat="1" ht="14.25" customHeight="1">
      <c r="A15" s="250"/>
      <c r="B15" s="251"/>
      <c r="C15" s="251"/>
      <c r="D15" s="251"/>
      <c r="E15" s="251"/>
      <c r="F15" s="251"/>
      <c r="G15" s="251"/>
      <c r="H15" s="1302" t="s">
        <v>594</v>
      </c>
      <c r="I15" s="1283"/>
      <c r="J15" s="1303"/>
      <c r="K15" s="1302" t="s">
        <v>595</v>
      </c>
      <c r="L15" s="1283"/>
      <c r="M15" s="1303"/>
      <c r="N15" s="1302" t="s">
        <v>596</v>
      </c>
      <c r="O15" s="1283"/>
      <c r="P15" s="1303"/>
      <c r="Q15" s="1302" t="s">
        <v>597</v>
      </c>
      <c r="R15" s="1283"/>
      <c r="S15" s="1303"/>
      <c r="T15" s="1302" t="s">
        <v>734</v>
      </c>
      <c r="U15" s="1283"/>
      <c r="V15" s="1303"/>
      <c r="W15" s="1302" t="s">
        <v>599</v>
      </c>
      <c r="X15" s="1283"/>
      <c r="Y15" s="1303"/>
      <c r="Z15" s="1302" t="s">
        <v>734</v>
      </c>
      <c r="AA15" s="1283"/>
      <c r="AB15" s="1303"/>
      <c r="AC15" s="1302" t="s">
        <v>599</v>
      </c>
      <c r="AD15" s="1283"/>
      <c r="AE15" s="1303"/>
      <c r="AF15" s="1302" t="s">
        <v>734</v>
      </c>
      <c r="AG15" s="1283"/>
      <c r="AH15" s="1303"/>
      <c r="AI15" s="1302" t="s">
        <v>599</v>
      </c>
      <c r="AJ15" s="1283"/>
      <c r="AK15" s="1303"/>
      <c r="AL15" s="238"/>
      <c r="AM15" s="241"/>
      <c r="AN15" s="241"/>
      <c r="AO15" s="241"/>
      <c r="AP15" s="431" t="s">
        <v>393</v>
      </c>
      <c r="AQ15" s="432"/>
      <c r="AR15" s="433"/>
      <c r="AS15" s="431" t="s">
        <v>115</v>
      </c>
      <c r="AT15" s="432"/>
      <c r="AU15" s="433"/>
      <c r="AY15" s="238"/>
      <c r="AZ15" s="238"/>
      <c r="BA15" s="238"/>
      <c r="BB15" s="238"/>
      <c r="BC15" s="238"/>
      <c r="BD15" s="238"/>
      <c r="BE15" s="238"/>
      <c r="BF15" s="239"/>
      <c r="BG15" s="239"/>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row>
    <row r="16" spans="1:94" s="240" customFormat="1" ht="14.25" customHeight="1">
      <c r="A16" s="434" t="s">
        <v>735</v>
      </c>
      <c r="B16" s="435"/>
      <c r="C16" s="435"/>
      <c r="D16" s="435"/>
      <c r="E16" s="435"/>
      <c r="F16" s="435"/>
      <c r="G16" s="436"/>
      <c r="H16" s="1304"/>
      <c r="I16" s="1305"/>
      <c r="J16" s="1306"/>
      <c r="K16" s="1307"/>
      <c r="L16" s="1308"/>
      <c r="M16" s="1309"/>
      <c r="N16" s="1304"/>
      <c r="O16" s="1305"/>
      <c r="P16" s="1306"/>
      <c r="Q16" s="1415">
        <f>GTGs!Q15</f>
        <v>37.956295834166582</v>
      </c>
      <c r="R16" s="1416"/>
      <c r="S16" s="1417"/>
      <c r="T16" s="1418">
        <f>AR17</f>
        <v>1173.0576484964322</v>
      </c>
      <c r="U16" s="1419"/>
      <c r="V16" s="1420"/>
      <c r="W16" s="1304"/>
      <c r="X16" s="1305"/>
      <c r="Y16" s="1306"/>
      <c r="Z16" s="1418">
        <f>AU17</f>
        <v>6382.8136756423519</v>
      </c>
      <c r="AA16" s="1419"/>
      <c r="AB16" s="1420"/>
      <c r="AC16" s="1304"/>
      <c r="AD16" s="1305"/>
      <c r="AE16" s="1306"/>
      <c r="AF16" s="1379">
        <f>AR21</f>
        <v>40</v>
      </c>
      <c r="AG16" s="1380"/>
      <c r="AH16" s="1381"/>
      <c r="AI16" s="1304" t="s">
        <v>604</v>
      </c>
      <c r="AJ16" s="1305"/>
      <c r="AK16" s="1306"/>
      <c r="AL16" s="238"/>
      <c r="AM16" s="241" t="s">
        <v>605</v>
      </c>
      <c r="AN16" s="241"/>
      <c r="AO16" s="241"/>
      <c r="AP16" s="437" t="s">
        <v>386</v>
      </c>
      <c r="AQ16" s="437" t="s">
        <v>714</v>
      </c>
      <c r="AR16" s="437" t="s">
        <v>715</v>
      </c>
      <c r="AS16" s="437" t="s">
        <v>386</v>
      </c>
      <c r="AT16" s="437" t="s">
        <v>714</v>
      </c>
      <c r="AU16" s="437" t="s">
        <v>715</v>
      </c>
      <c r="AY16" s="238"/>
      <c r="AZ16" s="238"/>
      <c r="BA16" s="238"/>
      <c r="BB16" s="238"/>
      <c r="BC16" s="238"/>
      <c r="BD16" s="238"/>
      <c r="BE16" s="238"/>
      <c r="BF16" s="239"/>
      <c r="BG16" s="239"/>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row>
    <row r="17" spans="1:94" s="240" customFormat="1" ht="14.25" customHeight="1">
      <c r="A17" s="438" t="s">
        <v>736</v>
      </c>
      <c r="B17" s="439"/>
      <c r="C17" s="439"/>
      <c r="D17" s="439"/>
      <c r="E17" s="439"/>
      <c r="F17" s="439"/>
      <c r="G17" s="440"/>
      <c r="H17" s="1421">
        <f>CO2eEF!P16</f>
        <v>16.12</v>
      </c>
      <c r="I17" s="1422"/>
      <c r="J17" s="1423"/>
      <c r="K17" s="1424">
        <f>CO2eEF!P12</f>
        <v>0.69899999999999995</v>
      </c>
      <c r="L17" s="1425"/>
      <c r="M17" s="1426"/>
      <c r="N17" s="1421">
        <f>CO2eEF!P19</f>
        <v>49.78</v>
      </c>
      <c r="O17" s="1427"/>
      <c r="P17" s="1428"/>
      <c r="Q17" s="1421">
        <f>CO2eEF!P21</f>
        <v>37.770000000000003</v>
      </c>
      <c r="R17" s="1427"/>
      <c r="S17" s="1428"/>
      <c r="T17" s="1340">
        <f>Q17/Q16*T16</f>
        <v>1167.3000857957165</v>
      </c>
      <c r="U17" s="1341"/>
      <c r="V17" s="1342"/>
      <c r="W17" s="1322">
        <f>T17/1000000/K17</f>
        <v>1.6699572042857176E-3</v>
      </c>
      <c r="X17" s="1323"/>
      <c r="Y17" s="1324"/>
      <c r="Z17" s="1340">
        <f>Q17/Q16*Z16</f>
        <v>6351.4857609472811</v>
      </c>
      <c r="AA17" s="1341"/>
      <c r="AB17" s="1342"/>
      <c r="AC17" s="1322">
        <f>Z17/$K17/1000000</f>
        <v>9.0865318468487562E-3</v>
      </c>
      <c r="AD17" s="1323"/>
      <c r="AE17" s="1324"/>
      <c r="AF17" s="1299">
        <f>Q17/Q16*AF16</f>
        <v>39.80367332473061</v>
      </c>
      <c r="AG17" s="1300"/>
      <c r="AH17" s="1301"/>
      <c r="AI17" s="1322">
        <f>AF17/$K17/1000000</f>
        <v>5.6943738661989431E-5</v>
      </c>
      <c r="AJ17" s="1323"/>
      <c r="AK17" s="1324"/>
      <c r="AL17" s="238"/>
      <c r="AM17" s="441" t="s">
        <v>606</v>
      </c>
      <c r="AN17" s="241">
        <v>60</v>
      </c>
      <c r="AO17" s="241" t="s">
        <v>607</v>
      </c>
      <c r="AP17" s="442">
        <v>6.8000000000000005E-2</v>
      </c>
      <c r="AQ17" s="443">
        <f>AR5*$AP$17</f>
        <v>69.36</v>
      </c>
      <c r="AR17" s="443">
        <f>$AR$8*AQ17</f>
        <v>1173.0576484964322</v>
      </c>
      <c r="AS17" s="444">
        <v>0.37</v>
      </c>
      <c r="AT17" s="445">
        <f>AS17*AR5</f>
        <v>377.4</v>
      </c>
      <c r="AU17" s="446">
        <f>AT17*AR8</f>
        <v>6382.8136756423519</v>
      </c>
      <c r="AY17" s="238"/>
      <c r="AZ17" s="238"/>
      <c r="BA17" s="238"/>
      <c r="BB17" s="238"/>
      <c r="BC17" s="238"/>
      <c r="BD17" s="238"/>
      <c r="BE17" s="238"/>
      <c r="BF17" s="239"/>
      <c r="BG17" s="239"/>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row>
    <row r="18" spans="1:94" s="240" customFormat="1" ht="14.25" customHeight="1">
      <c r="A18" s="133"/>
      <c r="B18" s="251"/>
      <c r="C18" s="251"/>
      <c r="D18" s="251"/>
      <c r="E18" s="251"/>
      <c r="F18" s="251"/>
      <c r="G18" s="251"/>
      <c r="H18" s="1325"/>
      <c r="I18" s="1326"/>
      <c r="J18" s="1327"/>
      <c r="K18" s="1328"/>
      <c r="L18" s="1329"/>
      <c r="M18" s="1330"/>
      <c r="N18" s="1331"/>
      <c r="O18" s="1332"/>
      <c r="P18" s="1333"/>
      <c r="Q18" s="1334"/>
      <c r="R18" s="1335"/>
      <c r="S18" s="1336"/>
      <c r="T18" s="1337"/>
      <c r="U18" s="1338"/>
      <c r="V18" s="1339"/>
      <c r="W18" s="1302"/>
      <c r="X18" s="1283"/>
      <c r="Y18" s="1303"/>
      <c r="Z18" s="1337"/>
      <c r="AA18" s="1338"/>
      <c r="AB18" s="1339"/>
      <c r="AC18" s="1302"/>
      <c r="AD18" s="1283"/>
      <c r="AE18" s="1303"/>
      <c r="AF18" s="1343"/>
      <c r="AG18" s="1344"/>
      <c r="AH18" s="1345"/>
      <c r="AI18" s="1302"/>
      <c r="AJ18" s="1283"/>
      <c r="AK18" s="1303"/>
      <c r="AL18" s="238"/>
      <c r="AM18" s="441" t="s">
        <v>608</v>
      </c>
      <c r="AN18" s="447">
        <f>(AN17 - 32) * 5/9</f>
        <v>15.555555555555555</v>
      </c>
      <c r="AO18" s="241" t="s">
        <v>609</v>
      </c>
      <c r="AP18" s="444"/>
      <c r="AQ18" s="448"/>
      <c r="AR18" s="446"/>
      <c r="AS18" s="444"/>
      <c r="AT18" s="445"/>
      <c r="AU18" s="446"/>
      <c r="AY18" s="238"/>
      <c r="AZ18" s="238"/>
      <c r="BA18" s="238"/>
      <c r="BB18" s="238"/>
      <c r="BC18" s="238"/>
      <c r="BD18" s="238"/>
      <c r="BE18" s="238"/>
      <c r="BF18" s="239"/>
      <c r="BG18" s="239"/>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row>
    <row r="19" spans="1:94" s="240" customFormat="1" ht="14.25" customHeight="1">
      <c r="A19" s="279" t="s">
        <v>589</v>
      </c>
      <c r="B19" s="429"/>
      <c r="C19" s="429"/>
      <c r="D19" s="429"/>
      <c r="E19" s="429"/>
      <c r="F19" s="429"/>
      <c r="G19" s="449"/>
      <c r="H19" s="1271" t="s">
        <v>122</v>
      </c>
      <c r="I19" s="1272"/>
      <c r="J19" s="1273"/>
      <c r="K19" s="1271" t="s">
        <v>122</v>
      </c>
      <c r="L19" s="1272"/>
      <c r="M19" s="1273"/>
      <c r="N19" s="1271" t="s">
        <v>124</v>
      </c>
      <c r="O19" s="1272"/>
      <c r="P19" s="1273"/>
      <c r="Q19" s="1271" t="s">
        <v>124</v>
      </c>
      <c r="R19" s="1272"/>
      <c r="S19" s="1273"/>
      <c r="T19" s="1117" t="s">
        <v>123</v>
      </c>
      <c r="U19" s="1118"/>
      <c r="V19" s="1119"/>
      <c r="W19" s="1117" t="s">
        <v>123</v>
      </c>
      <c r="X19" s="1118"/>
      <c r="Y19" s="1119"/>
      <c r="Z19" s="1117" t="s">
        <v>716</v>
      </c>
      <c r="AA19" s="1118"/>
      <c r="AB19" s="1119"/>
      <c r="AC19" s="1117" t="s">
        <v>125</v>
      </c>
      <c r="AD19" s="1118"/>
      <c r="AE19" s="1119"/>
      <c r="AF19" s="30"/>
      <c r="AG19" s="30"/>
      <c r="AH19" s="30"/>
      <c r="AI19" s="30"/>
      <c r="AJ19" s="30"/>
      <c r="AK19" s="280"/>
      <c r="AL19" s="238"/>
      <c r="AM19" s="241"/>
      <c r="AN19" s="241"/>
      <c r="AO19" s="241"/>
      <c r="AP19" s="431" t="s">
        <v>116</v>
      </c>
      <c r="AQ19" s="432"/>
      <c r="AR19" s="433"/>
      <c r="AS19" s="431" t="s">
        <v>122</v>
      </c>
      <c r="AT19" s="432"/>
      <c r="AU19" s="433"/>
      <c r="AV19" s="238"/>
      <c r="AW19" s="238"/>
      <c r="AX19" s="238"/>
      <c r="AY19" s="238"/>
      <c r="AZ19" s="238"/>
      <c r="BA19" s="238"/>
      <c r="BB19" s="238"/>
      <c r="BC19" s="238"/>
      <c r="BD19" s="238"/>
      <c r="BE19" s="238"/>
      <c r="BF19" s="239"/>
      <c r="BG19" s="239"/>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row>
    <row r="20" spans="1:94" s="240" customFormat="1" ht="14.25" customHeight="1">
      <c r="A20" s="250"/>
      <c r="B20" s="251"/>
      <c r="C20" s="251"/>
      <c r="D20" s="251"/>
      <c r="E20" s="251"/>
      <c r="F20" s="251"/>
      <c r="G20" s="450"/>
      <c r="H20" s="1302" t="s">
        <v>734</v>
      </c>
      <c r="I20" s="1283"/>
      <c r="J20" s="1303"/>
      <c r="K20" s="1302" t="s">
        <v>599</v>
      </c>
      <c r="L20" s="1283"/>
      <c r="M20" s="1303"/>
      <c r="N20" s="1302" t="s">
        <v>734</v>
      </c>
      <c r="O20" s="1283"/>
      <c r="P20" s="1303"/>
      <c r="Q20" s="1302" t="s">
        <v>599</v>
      </c>
      <c r="R20" s="1283"/>
      <c r="S20" s="1303"/>
      <c r="T20" s="1089" t="s">
        <v>598</v>
      </c>
      <c r="U20" s="1090"/>
      <c r="V20" s="1091"/>
      <c r="W20" s="1089" t="s">
        <v>599</v>
      </c>
      <c r="X20" s="1090"/>
      <c r="Y20" s="1091"/>
      <c r="Z20" s="1089" t="s">
        <v>598</v>
      </c>
      <c r="AA20" s="1090"/>
      <c r="AB20" s="1091"/>
      <c r="AC20" s="1089" t="s">
        <v>599</v>
      </c>
      <c r="AD20" s="1090"/>
      <c r="AE20" s="1091"/>
      <c r="AF20" s="30"/>
      <c r="AG20" s="30"/>
      <c r="AH20" s="30"/>
      <c r="AI20" s="30"/>
      <c r="AJ20" s="30"/>
      <c r="AK20" s="253"/>
      <c r="AL20" s="238"/>
      <c r="AM20" s="441"/>
      <c r="AN20" s="241"/>
      <c r="AO20" s="241"/>
      <c r="AP20" s="437" t="s">
        <v>737</v>
      </c>
      <c r="AQ20" s="451" t="s">
        <v>738</v>
      </c>
      <c r="AR20" s="451" t="s">
        <v>731</v>
      </c>
      <c r="AS20" s="437" t="s">
        <v>386</v>
      </c>
      <c r="AT20" s="437" t="s">
        <v>714</v>
      </c>
      <c r="AU20" s="437" t="s">
        <v>715</v>
      </c>
      <c r="AV20" s="238"/>
      <c r="AW20" s="238"/>
      <c r="AX20" s="238"/>
      <c r="AY20" s="238"/>
      <c r="AZ20" s="238"/>
      <c r="BA20" s="238"/>
      <c r="BB20" s="238"/>
      <c r="BC20" s="238"/>
      <c r="BD20" s="238"/>
      <c r="BE20" s="238"/>
      <c r="BF20" s="239"/>
      <c r="BG20" s="239"/>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row>
    <row r="21" spans="1:94" s="240" customFormat="1" ht="14.25" customHeight="1">
      <c r="A21" s="434" t="s">
        <v>735</v>
      </c>
      <c r="B21" s="435"/>
      <c r="C21" s="435"/>
      <c r="D21" s="435"/>
      <c r="E21" s="435"/>
      <c r="F21" s="435"/>
      <c r="G21" s="436"/>
      <c r="H21" s="1418">
        <f>AU21</f>
        <v>2415.11868808089</v>
      </c>
      <c r="I21" s="1419"/>
      <c r="J21" s="1420"/>
      <c r="K21" s="1304"/>
      <c r="L21" s="1305"/>
      <c r="M21" s="1306"/>
      <c r="N21" s="1364"/>
      <c r="O21" s="1365"/>
      <c r="P21" s="1366"/>
      <c r="Q21" s="1367"/>
      <c r="R21" s="1368"/>
      <c r="S21" s="1369"/>
      <c r="T21" s="1262"/>
      <c r="U21" s="1263"/>
      <c r="V21" s="1264"/>
      <c r="W21" s="1265"/>
      <c r="X21" s="1266"/>
      <c r="Y21" s="1267"/>
      <c r="Z21" s="1262"/>
      <c r="AA21" s="1263"/>
      <c r="AB21" s="1264"/>
      <c r="AC21" s="1268"/>
      <c r="AD21" s="1269"/>
      <c r="AE21" s="1270"/>
      <c r="AF21" s="30"/>
      <c r="AG21" s="30"/>
      <c r="AH21" s="30"/>
      <c r="AI21" s="30"/>
      <c r="AJ21" s="30"/>
      <c r="AK21" s="253"/>
      <c r="AL21" s="238"/>
      <c r="AM21" s="241"/>
      <c r="AN21" s="241"/>
      <c r="AO21" s="241"/>
      <c r="AP21" s="444">
        <v>40</v>
      </c>
      <c r="AQ21" s="452">
        <f>AP21/1000000/1000/AR10</f>
        <v>4.0000000000000003E-5</v>
      </c>
      <c r="AR21" s="446">
        <f>AQ21*1000000</f>
        <v>40</v>
      </c>
      <c r="AS21" s="444">
        <v>0.14000000000000001</v>
      </c>
      <c r="AT21" s="443">
        <f>AS21*$AR$5</f>
        <v>142.80000000000001</v>
      </c>
      <c r="AU21" s="443">
        <f>$AR$8*AT21</f>
        <v>2415.11868808089</v>
      </c>
      <c r="AV21" s="238"/>
      <c r="AW21" s="238"/>
      <c r="AX21" s="238"/>
      <c r="AY21" s="238"/>
      <c r="AZ21" s="238"/>
      <c r="BA21" s="238"/>
      <c r="BB21" s="238"/>
      <c r="BC21" s="238"/>
      <c r="BD21" s="238"/>
      <c r="BE21" s="238"/>
      <c r="BF21" s="239"/>
      <c r="BG21" s="239"/>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row>
    <row r="22" spans="1:94" s="240" customFormat="1" ht="14.25" customHeight="1">
      <c r="A22" s="438" t="str">
        <f>A17</f>
        <v>Flare - Fuel Gas</v>
      </c>
      <c r="B22" s="439"/>
      <c r="C22" s="439"/>
      <c r="D22" s="439"/>
      <c r="E22" s="439"/>
      <c r="F22" s="439"/>
      <c r="G22" s="440"/>
      <c r="H22" s="1340">
        <f>Q17/Q16*H21</f>
        <v>2403.2648825205929</v>
      </c>
      <c r="I22" s="1341"/>
      <c r="J22" s="1342"/>
      <c r="K22" s="1322">
        <f>H22/1000000/$K17</f>
        <v>3.438147185294125E-3</v>
      </c>
      <c r="L22" s="1323"/>
      <c r="M22" s="1324"/>
      <c r="N22" s="1346"/>
      <c r="O22" s="1347"/>
      <c r="P22" s="1348"/>
      <c r="Q22" s="1349"/>
      <c r="R22" s="1350"/>
      <c r="S22" s="1351"/>
      <c r="T22" s="1256"/>
      <c r="U22" s="1257"/>
      <c r="V22" s="1258"/>
      <c r="W22" s="1253"/>
      <c r="X22" s="1254"/>
      <c r="Y22" s="1255"/>
      <c r="Z22" s="1250"/>
      <c r="AA22" s="1251"/>
      <c r="AB22" s="1252"/>
      <c r="AC22" s="1253"/>
      <c r="AD22" s="1254"/>
      <c r="AE22" s="1255"/>
      <c r="AF22" s="30"/>
      <c r="AG22" s="30"/>
      <c r="AH22" s="30"/>
      <c r="AI22" s="30"/>
      <c r="AJ22" s="30"/>
      <c r="AK22" s="253"/>
      <c r="AL22" s="238"/>
      <c r="AM22" s="241"/>
      <c r="AN22" s="241"/>
      <c r="AO22" s="241"/>
      <c r="AP22" s="444"/>
      <c r="AQ22" s="452"/>
      <c r="AR22" s="446"/>
      <c r="AS22" s="444"/>
      <c r="AT22" s="445"/>
      <c r="AU22" s="446"/>
      <c r="AV22" s="238"/>
      <c r="AW22" s="238"/>
      <c r="AX22" s="238"/>
      <c r="AY22" s="238"/>
      <c r="AZ22" s="238"/>
      <c r="BA22" s="238"/>
      <c r="BB22" s="238"/>
      <c r="BC22" s="238"/>
      <c r="BD22" s="238"/>
      <c r="BE22" s="238"/>
      <c r="BF22" s="239"/>
      <c r="BG22" s="239"/>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row>
    <row r="23" spans="1:94" s="240" customFormat="1" ht="14.25" customHeight="1">
      <c r="A23" s="133"/>
      <c r="B23" s="30"/>
      <c r="C23" s="30"/>
      <c r="D23" s="30"/>
      <c r="E23" s="30"/>
      <c r="F23" s="30"/>
      <c r="G23" s="253"/>
      <c r="H23" s="1352"/>
      <c r="I23" s="1353"/>
      <c r="J23" s="1354"/>
      <c r="K23" s="1355"/>
      <c r="L23" s="1356"/>
      <c r="M23" s="1357"/>
      <c r="N23" s="1358"/>
      <c r="O23" s="1359"/>
      <c r="P23" s="1360"/>
      <c r="Q23" s="1361"/>
      <c r="R23" s="1362"/>
      <c r="S23" s="1363"/>
      <c r="T23" s="1256"/>
      <c r="U23" s="1257"/>
      <c r="V23" s="1258"/>
      <c r="W23" s="1259"/>
      <c r="X23" s="1260"/>
      <c r="Y23" s="1261"/>
      <c r="Z23" s="1259"/>
      <c r="AA23" s="1260"/>
      <c r="AB23" s="1261"/>
      <c r="AC23" s="1259"/>
      <c r="AD23" s="1260"/>
      <c r="AE23" s="1261"/>
      <c r="AF23" s="30"/>
      <c r="AG23" s="30"/>
      <c r="AH23" s="30"/>
      <c r="AI23" s="30"/>
      <c r="AJ23" s="30"/>
      <c r="AK23" s="253"/>
      <c r="AL23" s="238"/>
      <c r="AM23" s="447">
        <f>X25/K17</f>
        <v>13412.017167381975</v>
      </c>
      <c r="AN23" s="241"/>
      <c r="AO23" s="241"/>
      <c r="AS23" s="245"/>
      <c r="AT23" s="454"/>
      <c r="AU23" s="455"/>
      <c r="AV23" s="238"/>
      <c r="AW23" s="238"/>
      <c r="AX23" s="238"/>
      <c r="AY23" s="238"/>
      <c r="AZ23" s="238"/>
      <c r="BA23" s="238"/>
      <c r="BB23" s="238"/>
      <c r="BC23" s="238"/>
      <c r="BD23" s="238"/>
      <c r="BE23" s="238"/>
      <c r="BF23" s="239"/>
      <c r="BG23" s="239"/>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row>
    <row r="24" spans="1:94" s="240" customFormat="1" ht="14.25" customHeight="1">
      <c r="A24" s="456" t="s">
        <v>612</v>
      </c>
      <c r="B24" s="457"/>
      <c r="C24" s="457"/>
      <c r="D24" s="457"/>
      <c r="E24" s="457"/>
      <c r="F24" s="457"/>
      <c r="G24" s="457"/>
      <c r="H24" s="457"/>
      <c r="I24" s="457"/>
      <c r="J24" s="457"/>
      <c r="K24" s="457"/>
      <c r="L24" s="457"/>
      <c r="M24" s="457"/>
      <c r="N24" s="457"/>
      <c r="O24" s="457"/>
      <c r="P24" s="457"/>
      <c r="Q24" s="457"/>
      <c r="R24" s="457"/>
      <c r="S24" s="458"/>
      <c r="T24" s="459" t="s">
        <v>613</v>
      </c>
      <c r="U24" s="460"/>
      <c r="V24" s="460"/>
      <c r="W24" s="460"/>
      <c r="X24" s="460"/>
      <c r="Y24" s="460"/>
      <c r="Z24" s="460"/>
      <c r="AA24" s="460"/>
      <c r="AB24" s="460"/>
      <c r="AC24" s="460"/>
      <c r="AD24" s="460"/>
      <c r="AE24" s="460"/>
      <c r="AF24" s="460"/>
      <c r="AG24" s="460"/>
      <c r="AH24" s="460"/>
      <c r="AI24" s="460"/>
      <c r="AJ24" s="460"/>
      <c r="AK24" s="461"/>
      <c r="AL24" s="238"/>
      <c r="AM24" s="241"/>
      <c r="AN24" s="241"/>
      <c r="AO24" s="241"/>
      <c r="AP24" s="241"/>
      <c r="AQ24" s="241"/>
      <c r="AR24" s="241"/>
      <c r="AS24" s="241"/>
      <c r="AT24" s="241"/>
      <c r="AU24" s="241"/>
      <c r="AV24" s="241"/>
      <c r="AW24" s="241"/>
      <c r="AX24" s="238"/>
      <c r="AY24" s="238"/>
      <c r="AZ24" s="238"/>
      <c r="BA24" s="238"/>
      <c r="BB24" s="238"/>
      <c r="BC24" s="238"/>
      <c r="BD24" s="238"/>
      <c r="BE24" s="238"/>
      <c r="BF24" s="239"/>
      <c r="BG24" s="239"/>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row>
    <row r="25" spans="1:94" s="240" customFormat="1" ht="14.25" customHeight="1">
      <c r="A25" s="462" t="s">
        <v>614</v>
      </c>
      <c r="B25" s="463"/>
      <c r="C25" s="463"/>
      <c r="D25" s="463"/>
      <c r="E25" s="463"/>
      <c r="F25" s="463"/>
      <c r="G25" s="463"/>
      <c r="H25" s="464"/>
      <c r="I25" s="463" t="s">
        <v>590</v>
      </c>
      <c r="J25" s="463"/>
      <c r="K25" s="463"/>
      <c r="L25" s="463" t="s">
        <v>615</v>
      </c>
      <c r="M25" s="463"/>
      <c r="N25" s="463"/>
      <c r="O25" s="463"/>
      <c r="P25" s="463"/>
      <c r="Q25" s="463"/>
      <c r="R25" s="463"/>
      <c r="S25" s="465" t="s">
        <v>616</v>
      </c>
      <c r="T25" s="1433" t="s">
        <v>757</v>
      </c>
      <c r="U25" s="1434"/>
      <c r="V25" s="1434"/>
      <c r="W25" s="1434"/>
      <c r="X25" s="1555">
        <f>X43*1000/6/24</f>
        <v>9375</v>
      </c>
      <c r="Y25" s="1555"/>
      <c r="Z25" s="1555"/>
      <c r="AA25" s="1434" t="s">
        <v>617</v>
      </c>
      <c r="AB25" s="1434"/>
      <c r="AC25" s="1435">
        <f>X25/H17</f>
        <v>581.575682382134</v>
      </c>
      <c r="AD25" s="1435"/>
      <c r="AE25" s="1434" t="s">
        <v>618</v>
      </c>
      <c r="AF25" s="1434"/>
      <c r="AG25" s="1434"/>
      <c r="AH25" s="1435">
        <f>X25*N17/3600</f>
        <v>129.63541666666666</v>
      </c>
      <c r="AI25" s="1435"/>
      <c r="AJ25" s="466" t="s">
        <v>590</v>
      </c>
      <c r="AK25" s="467"/>
      <c r="AL25" s="238"/>
      <c r="AM25" s="254">
        <f>X25*W22</f>
        <v>0</v>
      </c>
      <c r="AN25" s="241"/>
      <c r="AO25" s="241"/>
      <c r="AP25" s="241"/>
      <c r="AQ25" s="241"/>
      <c r="AR25" s="241"/>
      <c r="AS25" s="241"/>
      <c r="AT25" s="241"/>
      <c r="AU25" s="241"/>
      <c r="AV25" s="241"/>
      <c r="AW25" s="241"/>
      <c r="AX25" s="238"/>
      <c r="AY25" s="238"/>
      <c r="AZ25" s="238"/>
      <c r="BA25" s="238"/>
      <c r="BB25" s="238"/>
      <c r="BC25" s="238"/>
      <c r="BD25" s="238"/>
      <c r="BE25" s="238"/>
      <c r="BF25" s="239"/>
      <c r="BG25" s="239"/>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row>
    <row r="26" spans="1:94" s="240" customFormat="1" ht="14.25" customHeight="1">
      <c r="A26" s="468" t="s">
        <v>619</v>
      </c>
      <c r="B26" s="469"/>
      <c r="C26" s="469"/>
      <c r="D26" s="469"/>
      <c r="E26" s="469"/>
      <c r="F26" s="469"/>
      <c r="G26" s="469"/>
      <c r="H26" s="470"/>
      <c r="I26" s="469" t="s">
        <v>590</v>
      </c>
      <c r="J26" s="469"/>
      <c r="K26" s="469"/>
      <c r="L26" s="469"/>
      <c r="M26" s="469"/>
      <c r="N26" s="469"/>
      <c r="O26" s="469"/>
      <c r="P26" s="469"/>
      <c r="Q26" s="469"/>
      <c r="R26" s="469"/>
      <c r="S26" s="471"/>
      <c r="T26" s="1430"/>
      <c r="U26" s="1431"/>
      <c r="V26" s="1431"/>
      <c r="W26" s="1431"/>
      <c r="X26" s="1432"/>
      <c r="Y26" s="1432"/>
      <c r="Z26" s="1432"/>
      <c r="AA26" s="1431"/>
      <c r="AB26" s="1431"/>
      <c r="AC26" s="1432"/>
      <c r="AD26" s="1432"/>
      <c r="AE26" s="1431"/>
      <c r="AF26" s="1431"/>
      <c r="AG26" s="1431"/>
      <c r="AH26" s="1432"/>
      <c r="AI26" s="1432"/>
      <c r="AJ26" s="469"/>
      <c r="AK26" s="471"/>
      <c r="AL26" s="238"/>
      <c r="AM26" s="254">
        <f>W22*SUM(N34:O43)</f>
        <v>0</v>
      </c>
      <c r="AN26" s="241"/>
      <c r="AO26" s="241"/>
      <c r="AP26" s="241"/>
      <c r="AQ26" s="241"/>
      <c r="AR26" s="241"/>
      <c r="AS26" s="241"/>
      <c r="AT26" s="241"/>
      <c r="AU26" s="241"/>
      <c r="AV26" s="241"/>
      <c r="AW26" s="241"/>
      <c r="AX26" s="238"/>
      <c r="AY26" s="238"/>
      <c r="AZ26" s="238"/>
      <c r="BA26" s="238"/>
      <c r="BB26" s="238"/>
      <c r="BC26" s="238"/>
      <c r="BD26" s="238"/>
      <c r="BE26" s="238"/>
      <c r="BF26" s="239"/>
      <c r="BG26" s="239"/>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row>
    <row r="27" spans="1:94" s="240" customFormat="1" ht="14.25" customHeight="1">
      <c r="A27" s="250"/>
      <c r="B27" s="251"/>
      <c r="C27" s="251"/>
      <c r="D27" s="251"/>
      <c r="E27" s="251"/>
      <c r="F27" s="251"/>
      <c r="G27" s="251"/>
      <c r="H27" s="252"/>
      <c r="I27" s="251"/>
      <c r="J27" s="251"/>
      <c r="K27" s="251"/>
      <c r="L27" s="251"/>
      <c r="M27" s="251"/>
      <c r="N27" s="251"/>
      <c r="O27" s="251"/>
      <c r="P27" s="251"/>
      <c r="Q27" s="251"/>
      <c r="R27" s="251"/>
      <c r="S27" s="251"/>
      <c r="T27" s="472"/>
      <c r="U27" s="472"/>
      <c r="V27" s="473"/>
      <c r="W27" s="473"/>
      <c r="X27" s="474"/>
      <c r="Y27" s="474"/>
      <c r="Z27" s="474"/>
      <c r="AA27" s="473"/>
      <c r="AB27" s="473"/>
      <c r="AC27" s="474"/>
      <c r="AD27" s="474"/>
      <c r="AE27" s="473"/>
      <c r="AF27" s="473"/>
      <c r="AG27" s="473"/>
      <c r="AH27" s="474"/>
      <c r="AI27" s="474"/>
      <c r="AJ27" s="30"/>
      <c r="AK27" s="253"/>
      <c r="AL27" s="238"/>
      <c r="AM27" s="254"/>
      <c r="AN27" s="241"/>
      <c r="AO27" s="241"/>
      <c r="AP27" s="241"/>
      <c r="AQ27" s="241"/>
      <c r="AR27" s="241"/>
      <c r="AS27" s="241"/>
      <c r="AT27" s="241"/>
      <c r="AU27" s="241"/>
      <c r="AV27" s="241"/>
      <c r="AW27" s="241"/>
      <c r="AX27" s="238"/>
      <c r="AY27" s="238"/>
      <c r="AZ27" s="238"/>
      <c r="BA27" s="238"/>
      <c r="BB27" s="238"/>
      <c r="BC27" s="238"/>
      <c r="BD27" s="238"/>
      <c r="BE27" s="238"/>
      <c r="BF27" s="239"/>
      <c r="BG27" s="239"/>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row>
    <row r="28" spans="1:94" s="240" customFormat="1" ht="14.25" customHeight="1">
      <c r="A28" s="1370" t="s">
        <v>718</v>
      </c>
      <c r="B28" s="1370"/>
      <c r="C28" s="1370"/>
      <c r="D28" s="1370"/>
      <c r="E28" s="1370"/>
      <c r="F28" s="1371" t="str">
        <f>A17</f>
        <v>Flare - Fuel Gas</v>
      </c>
      <c r="G28" s="1372"/>
      <c r="H28" s="1372"/>
      <c r="I28" s="1372"/>
      <c r="J28" s="1372"/>
      <c r="K28" s="1372"/>
      <c r="L28" s="1372"/>
      <c r="M28" s="1372"/>
      <c r="N28" s="1372"/>
      <c r="O28" s="1372"/>
      <c r="P28" s="1372"/>
      <c r="Q28" s="1372"/>
      <c r="R28" s="1372"/>
      <c r="S28" s="1372"/>
      <c r="T28" s="1372"/>
      <c r="U28" s="1373"/>
      <c r="V28" s="30"/>
      <c r="W28" s="1402" t="s">
        <v>797</v>
      </c>
      <c r="X28" s="1184"/>
      <c r="Y28" s="1184"/>
      <c r="Z28" s="1184"/>
      <c r="AA28" s="1184"/>
      <c r="AB28" s="1184"/>
      <c r="AC28" s="1184"/>
      <c r="AD28" s="1184"/>
      <c r="AE28" s="1184"/>
      <c r="AF28" s="1184"/>
      <c r="AG28" s="1184"/>
      <c r="AH28" s="1184"/>
      <c r="AI28" s="1184"/>
      <c r="AJ28" s="1184"/>
      <c r="AK28" s="253"/>
      <c r="AL28" s="255"/>
      <c r="AM28" s="241"/>
      <c r="AN28" s="241"/>
      <c r="AO28" s="241"/>
      <c r="AP28" s="241"/>
      <c r="AQ28" s="241"/>
      <c r="AR28" s="241"/>
      <c r="AS28" s="241"/>
      <c r="AT28" s="241"/>
      <c r="AU28" s="241"/>
      <c r="AV28" s="241"/>
      <c r="AW28" s="241"/>
      <c r="AX28" s="241"/>
      <c r="AY28" s="241"/>
      <c r="AZ28" s="238"/>
      <c r="BA28" s="238"/>
      <c r="BB28" s="238"/>
      <c r="BC28" s="238"/>
      <c r="BD28" s="238"/>
      <c r="BE28" s="238"/>
      <c r="BF28" s="239"/>
      <c r="BG28" s="239"/>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38"/>
      <c r="CN28" s="238"/>
      <c r="CO28" s="238"/>
      <c r="CP28" s="238"/>
    </row>
    <row r="29" spans="1:94" s="240" customFormat="1" ht="14.25" customHeight="1">
      <c r="A29" s="256" t="s">
        <v>620</v>
      </c>
      <c r="B29" s="30"/>
      <c r="C29" s="30"/>
      <c r="D29" s="30"/>
      <c r="E29" s="30"/>
      <c r="F29" s="1374"/>
      <c r="G29" s="1374"/>
      <c r="H29" s="1374"/>
      <c r="I29" s="1374"/>
      <c r="J29" s="1375" t="s">
        <v>120</v>
      </c>
      <c r="K29" s="1375"/>
      <c r="L29" s="1375"/>
      <c r="M29" s="1375"/>
      <c r="N29" s="1374" t="s">
        <v>621</v>
      </c>
      <c r="O29" s="1374"/>
      <c r="P29" s="1375" t="s">
        <v>622</v>
      </c>
      <c r="Q29" s="1375"/>
      <c r="R29" s="1375"/>
      <c r="S29" s="1375"/>
      <c r="T29" s="1375"/>
      <c r="U29" s="1375"/>
      <c r="V29" s="257"/>
      <c r="W29" s="1184"/>
      <c r="X29" s="1184"/>
      <c r="Y29" s="1184"/>
      <c r="Z29" s="1184"/>
      <c r="AA29" s="1184"/>
      <c r="AB29" s="1184"/>
      <c r="AC29" s="1184"/>
      <c r="AD29" s="1184"/>
      <c r="AE29" s="1184"/>
      <c r="AF29" s="1184"/>
      <c r="AG29" s="1184"/>
      <c r="AH29" s="1184"/>
      <c r="AI29" s="1184"/>
      <c r="AJ29" s="1184"/>
      <c r="AK29" s="253"/>
      <c r="AL29" s="255"/>
      <c r="AM29" s="241"/>
      <c r="AN29" s="241"/>
      <c r="AO29" s="241"/>
      <c r="AP29" s="241"/>
      <c r="AQ29" s="241"/>
      <c r="AR29" s="241"/>
      <c r="AS29" s="241"/>
      <c r="AT29" s="241"/>
      <c r="AU29" s="241"/>
      <c r="AV29" s="241"/>
      <c r="AW29" s="241"/>
      <c r="AX29" s="241"/>
      <c r="AY29" s="241"/>
      <c r="AZ29" s="238"/>
      <c r="BA29" s="238"/>
      <c r="BB29" s="238"/>
      <c r="BC29" s="238"/>
      <c r="BD29" s="238"/>
      <c r="BE29" s="238"/>
      <c r="BF29" s="239"/>
      <c r="BG29" s="239"/>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row>
    <row r="30" spans="1:94" s="240" customFormat="1" ht="14.25" customHeight="1">
      <c r="A30" s="133"/>
      <c r="B30" s="30"/>
      <c r="C30" s="30"/>
      <c r="D30" s="30"/>
      <c r="E30" s="30"/>
      <c r="F30" s="1374"/>
      <c r="G30" s="1374"/>
      <c r="H30" s="1374"/>
      <c r="I30" s="1374"/>
      <c r="J30" s="1375" t="s">
        <v>624</v>
      </c>
      <c r="K30" s="1375"/>
      <c r="L30" s="1375" t="s">
        <v>625</v>
      </c>
      <c r="M30" s="1375"/>
      <c r="N30" s="1374"/>
      <c r="O30" s="1374"/>
      <c r="P30" s="1375"/>
      <c r="Q30" s="1375"/>
      <c r="R30" s="1375"/>
      <c r="S30" s="1375"/>
      <c r="T30" s="1375"/>
      <c r="U30" s="1375"/>
      <c r="V30" s="257"/>
      <c r="W30" s="1184"/>
      <c r="X30" s="1184"/>
      <c r="Y30" s="1184"/>
      <c r="Z30" s="1184"/>
      <c r="AA30" s="1184"/>
      <c r="AB30" s="1184"/>
      <c r="AC30" s="1184"/>
      <c r="AD30" s="1184"/>
      <c r="AE30" s="1184"/>
      <c r="AF30" s="1184"/>
      <c r="AG30" s="1184"/>
      <c r="AH30" s="1184"/>
      <c r="AI30" s="1184"/>
      <c r="AJ30" s="1184"/>
      <c r="AK30" s="253"/>
      <c r="AL30" s="258"/>
      <c r="AM30" s="259" t="s">
        <v>740</v>
      </c>
      <c r="AN30" s="259"/>
      <c r="AO30" s="259"/>
      <c r="AP30" s="259"/>
      <c r="AQ30" s="259"/>
      <c r="AR30" s="259"/>
      <c r="AS30" s="259" t="s">
        <v>741</v>
      </c>
      <c r="AT30" s="259"/>
      <c r="AU30" s="259" t="s">
        <v>742</v>
      </c>
      <c r="AV30" s="259"/>
      <c r="AW30" s="259"/>
      <c r="AX30" s="259"/>
      <c r="AY30" s="258"/>
      <c r="AZ30" s="238"/>
      <c r="BA30" s="238"/>
      <c r="BB30" s="238"/>
      <c r="BC30" s="238"/>
      <c r="BD30" s="238"/>
      <c r="BE30" s="238"/>
      <c r="BF30" s="239"/>
      <c r="BG30" s="239"/>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row>
    <row r="31" spans="1:94" s="240" customFormat="1" ht="14.25" customHeight="1">
      <c r="A31" s="1376" t="s">
        <v>630</v>
      </c>
      <c r="B31" s="1376"/>
      <c r="C31" s="1376"/>
      <c r="D31" s="1376"/>
      <c r="E31" s="1376"/>
      <c r="F31" s="1375" t="s">
        <v>631</v>
      </c>
      <c r="G31" s="1375"/>
      <c r="H31" s="1375" t="s">
        <v>618</v>
      </c>
      <c r="I31" s="1375"/>
      <c r="J31" s="1373" t="s">
        <v>618</v>
      </c>
      <c r="K31" s="1375"/>
      <c r="L31" s="1375" t="s">
        <v>618</v>
      </c>
      <c r="M31" s="1375"/>
      <c r="N31" s="1375" t="s">
        <v>617</v>
      </c>
      <c r="O31" s="1375"/>
      <c r="P31" s="1375" t="s">
        <v>631</v>
      </c>
      <c r="Q31" s="1375"/>
      <c r="R31" s="1371" t="s">
        <v>618</v>
      </c>
      <c r="S31" s="1373"/>
      <c r="T31" s="1371" t="s">
        <v>617</v>
      </c>
      <c r="U31" s="1373"/>
      <c r="V31" s="30"/>
      <c r="W31" s="1184"/>
      <c r="X31" s="1184"/>
      <c r="Y31" s="1184"/>
      <c r="Z31" s="1184"/>
      <c r="AA31" s="1184"/>
      <c r="AB31" s="1184"/>
      <c r="AC31" s="1184"/>
      <c r="AD31" s="1184"/>
      <c r="AE31" s="1184"/>
      <c r="AF31" s="1184"/>
      <c r="AG31" s="1184"/>
      <c r="AH31" s="1184"/>
      <c r="AI31" s="1184"/>
      <c r="AJ31" s="1184"/>
      <c r="AK31" s="253"/>
      <c r="AL31" s="258"/>
      <c r="AM31" s="259" t="s">
        <v>633</v>
      </c>
      <c r="AN31" s="259" t="s">
        <v>634</v>
      </c>
      <c r="AO31" s="259" t="s">
        <v>635</v>
      </c>
      <c r="AP31" s="259" t="s">
        <v>636</v>
      </c>
      <c r="AQ31" s="259" t="s">
        <v>637</v>
      </c>
      <c r="AR31" s="259" t="s">
        <v>590</v>
      </c>
      <c r="AS31" s="259" t="s">
        <v>428</v>
      </c>
      <c r="AT31" s="259" t="s">
        <v>429</v>
      </c>
      <c r="AU31" s="259" t="s">
        <v>126</v>
      </c>
      <c r="AV31" s="259" t="s">
        <v>431</v>
      </c>
      <c r="AW31" s="259" t="s">
        <v>429</v>
      </c>
      <c r="AX31" s="259" t="s">
        <v>124</v>
      </c>
      <c r="AY31" s="258"/>
      <c r="AZ31" s="238"/>
      <c r="BA31" s="238"/>
      <c r="BB31" s="238"/>
      <c r="BC31" s="238"/>
      <c r="BD31" s="238"/>
      <c r="BE31" s="238"/>
      <c r="BF31" s="239" t="s">
        <v>128</v>
      </c>
      <c r="BG31" s="239" t="s">
        <v>743</v>
      </c>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row>
    <row r="32" spans="1:94" s="240" customFormat="1" ht="14.25" customHeight="1">
      <c r="A32" s="260" t="s">
        <v>638</v>
      </c>
      <c r="B32" s="261"/>
      <c r="C32" s="261"/>
      <c r="D32" s="261"/>
      <c r="E32" s="262"/>
      <c r="F32" s="1441">
        <v>0</v>
      </c>
      <c r="G32" s="1442"/>
      <c r="H32" s="1379">
        <f t="shared" ref="H32:H52" si="0">F32*$AC$25</f>
        <v>0</v>
      </c>
      <c r="I32" s="1381"/>
      <c r="J32" s="1380"/>
      <c r="K32" s="1380"/>
      <c r="L32" s="1379"/>
      <c r="M32" s="1380"/>
      <c r="N32" s="1379">
        <f t="shared" ref="N32:N52" si="1">SUM(H32,J32,L32)*AR32</f>
        <v>0</v>
      </c>
      <c r="O32" s="1380"/>
      <c r="P32" s="1379"/>
      <c r="Q32" s="1381"/>
      <c r="R32" s="1379"/>
      <c r="S32" s="1380"/>
      <c r="T32" s="1379"/>
      <c r="U32" s="1381"/>
      <c r="V32" s="263"/>
      <c r="W32" s="1188"/>
      <c r="X32" s="1188"/>
      <c r="Y32" s="1188"/>
      <c r="Z32" s="1188"/>
      <c r="AA32" s="1188"/>
      <c r="AB32" s="1188"/>
      <c r="AC32" s="1188"/>
      <c r="AD32" s="1188"/>
      <c r="AE32" s="1188"/>
      <c r="AF32" s="1188"/>
      <c r="AG32" s="1188"/>
      <c r="AH32" s="1188"/>
      <c r="AI32" s="1188"/>
      <c r="AJ32" s="1188"/>
      <c r="AK32" s="264"/>
      <c r="AL32" s="258"/>
      <c r="AM32" s="259"/>
      <c r="AN32" s="259">
        <v>2</v>
      </c>
      <c r="AO32" s="259"/>
      <c r="AP32" s="259"/>
      <c r="AQ32" s="259"/>
      <c r="AR32" s="265">
        <f>AM32*12.01+AN32*1.008+AO32*16+AP32*14+AQ32*32</f>
        <v>2.016</v>
      </c>
      <c r="AS32" s="259">
        <f>AM32*1+AN32*0.25+AQ32*1</f>
        <v>0.5</v>
      </c>
      <c r="AT32" s="266">
        <f>0.79/0.21*AS32</f>
        <v>1.8809523809523812</v>
      </c>
      <c r="AU32" s="259">
        <f>1*AM32</f>
        <v>0</v>
      </c>
      <c r="AV32" s="259">
        <f>AN32/2</f>
        <v>1</v>
      </c>
      <c r="AW32" s="266">
        <f>AP32*0.5+AT32</f>
        <v>1.8809523809523812</v>
      </c>
      <c r="AX32" s="259">
        <f>AQ32*1</f>
        <v>0</v>
      </c>
      <c r="AY32" s="258"/>
      <c r="AZ32" s="238"/>
      <c r="BA32" s="238"/>
      <c r="BB32" s="238"/>
      <c r="BC32" s="238"/>
      <c r="BD32" s="238"/>
      <c r="BE32" s="239" t="s">
        <v>639</v>
      </c>
      <c r="BF32" s="239">
        <v>1.4200000000000001E-2</v>
      </c>
      <c r="BG32" s="239">
        <v>2.9999999999999997E-4</v>
      </c>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row>
    <row r="33" spans="1:94" s="240" customFormat="1" ht="14.25" customHeight="1">
      <c r="A33" s="267" t="s">
        <v>122</v>
      </c>
      <c r="B33" s="268"/>
      <c r="C33" s="268"/>
      <c r="D33" s="268"/>
      <c r="E33" s="269"/>
      <c r="F33" s="1377">
        <v>0.99629999999999996</v>
      </c>
      <c r="G33" s="1443"/>
      <c r="H33" s="1299">
        <f>F33*$AC$25</f>
        <v>579.42385235732013</v>
      </c>
      <c r="I33" s="1301"/>
      <c r="J33" s="1300"/>
      <c r="K33" s="1300"/>
      <c r="L33" s="1299"/>
      <c r="M33" s="1300"/>
      <c r="N33" s="1299">
        <f t="shared" si="1"/>
        <v>9295.1174395161306</v>
      </c>
      <c r="O33" s="1301"/>
      <c r="P33" s="1299">
        <f>R33/$R$53</f>
        <v>3.2820154466845256E-4</v>
      </c>
      <c r="Q33" s="1301"/>
      <c r="R33" s="1299">
        <f>T33/$AR33</f>
        <v>2.0092650456384749</v>
      </c>
      <c r="S33" s="1300"/>
      <c r="T33" s="1299">
        <f>$K22*$X25</f>
        <v>32.23262986213242</v>
      </c>
      <c r="U33" s="1301"/>
      <c r="V33" s="263"/>
      <c r="W33" s="263"/>
      <c r="X33" s="263"/>
      <c r="Y33" s="263"/>
      <c r="Z33" s="263"/>
      <c r="AA33" s="263"/>
      <c r="AB33" s="263"/>
      <c r="AC33" s="263"/>
      <c r="AD33" s="263"/>
      <c r="AE33" s="263"/>
      <c r="AF33" s="263"/>
      <c r="AG33" s="263"/>
      <c r="AH33" s="263"/>
      <c r="AI33" s="263"/>
      <c r="AJ33" s="263"/>
      <c r="AK33" s="264"/>
      <c r="AL33" s="258"/>
      <c r="AM33" s="259">
        <v>1</v>
      </c>
      <c r="AN33" s="259">
        <v>4</v>
      </c>
      <c r="AO33" s="259"/>
      <c r="AP33" s="259"/>
      <c r="AQ33" s="259"/>
      <c r="AR33" s="265">
        <f t="shared" ref="AR33:AR48" si="2">AM33*12.01+AN33*1.008+AO33*16+AP33*14+AQ33*32</f>
        <v>16.042000000000002</v>
      </c>
      <c r="AS33" s="259">
        <f t="shared" ref="AS33:AS47" si="3">AM33*1+AN33*0.25+AQ33*1</f>
        <v>2</v>
      </c>
      <c r="AT33" s="266">
        <f t="shared" ref="AT33:AT47" si="4">0.79/0.21*AS33</f>
        <v>7.5238095238095246</v>
      </c>
      <c r="AU33" s="259">
        <f t="shared" ref="AU33:AU47" si="5">1*AM33</f>
        <v>1</v>
      </c>
      <c r="AV33" s="259">
        <f t="shared" ref="AV33:AV47" si="6">AN33/2</f>
        <v>2</v>
      </c>
      <c r="AW33" s="266">
        <f t="shared" ref="AW33:AW47" si="7">AP33*0.5+AT33</f>
        <v>7.5238095238095246</v>
      </c>
      <c r="AX33" s="259">
        <f t="shared" ref="AX33:AX47" si="8">AQ33*1</f>
        <v>0</v>
      </c>
      <c r="AY33" s="258"/>
      <c r="AZ33" s="238"/>
      <c r="BA33" s="238"/>
      <c r="BB33" s="238"/>
      <c r="BC33" s="238"/>
      <c r="BD33" s="238"/>
      <c r="BE33" s="239" t="s">
        <v>126</v>
      </c>
      <c r="BF33" s="239">
        <v>9.5999999999999992E-3</v>
      </c>
      <c r="BG33" s="239">
        <v>0.77539999999999998</v>
      </c>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row>
    <row r="34" spans="1:94" s="240" customFormat="1" ht="14.25" customHeight="1">
      <c r="A34" s="267" t="s">
        <v>641</v>
      </c>
      <c r="B34" s="268"/>
      <c r="C34" s="268"/>
      <c r="D34" s="268"/>
      <c r="E34" s="269"/>
      <c r="F34" s="1377">
        <v>0</v>
      </c>
      <c r="G34" s="1443"/>
      <c r="H34" s="1299">
        <f t="shared" si="0"/>
        <v>0</v>
      </c>
      <c r="I34" s="1301"/>
      <c r="J34" s="1300"/>
      <c r="K34" s="1300"/>
      <c r="L34" s="1299"/>
      <c r="M34" s="1300"/>
      <c r="N34" s="1299">
        <f t="shared" si="1"/>
        <v>0</v>
      </c>
      <c r="O34" s="1301"/>
      <c r="P34" s="1299"/>
      <c r="Q34" s="1301"/>
      <c r="R34" s="1300"/>
      <c r="S34" s="1300"/>
      <c r="T34" s="1299"/>
      <c r="U34" s="1301"/>
      <c r="V34" s="263"/>
      <c r="W34" s="263"/>
      <c r="X34" s="270">
        <f>AH25</f>
        <v>129.63541666666666</v>
      </c>
      <c r="Y34" s="31" t="s">
        <v>590</v>
      </c>
      <c r="Z34" s="270"/>
      <c r="AA34" s="263"/>
      <c r="AB34" s="263"/>
      <c r="AC34" s="263"/>
      <c r="AD34" s="263"/>
      <c r="AE34" s="263"/>
      <c r="AF34" s="263"/>
      <c r="AG34" s="263"/>
      <c r="AH34" s="263"/>
      <c r="AI34" s="263"/>
      <c r="AJ34" s="263"/>
      <c r="AK34" s="264"/>
      <c r="AL34" s="258"/>
      <c r="AM34" s="259">
        <v>2</v>
      </c>
      <c r="AN34" s="259">
        <v>4</v>
      </c>
      <c r="AO34" s="259"/>
      <c r="AP34" s="259"/>
      <c r="AQ34" s="259"/>
      <c r="AR34" s="265">
        <f t="shared" si="2"/>
        <v>28.052</v>
      </c>
      <c r="AS34" s="259">
        <f t="shared" si="3"/>
        <v>3</v>
      </c>
      <c r="AT34" s="266">
        <f t="shared" si="4"/>
        <v>11.285714285714286</v>
      </c>
      <c r="AU34" s="259">
        <f t="shared" si="5"/>
        <v>2</v>
      </c>
      <c r="AV34" s="259">
        <f t="shared" si="6"/>
        <v>2</v>
      </c>
      <c r="AW34" s="266">
        <f t="shared" si="7"/>
        <v>11.285714285714286</v>
      </c>
      <c r="AX34" s="259">
        <f t="shared" si="8"/>
        <v>0</v>
      </c>
      <c r="AY34" s="258"/>
      <c r="AZ34" s="238"/>
      <c r="BA34" s="238"/>
      <c r="BB34" s="238"/>
      <c r="BC34" s="238"/>
      <c r="BD34" s="238"/>
      <c r="BE34" s="239" t="s">
        <v>642</v>
      </c>
      <c r="BF34" s="239">
        <v>0.60499999999999998</v>
      </c>
      <c r="BG34" s="239">
        <v>1.43E-2</v>
      </c>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38"/>
      <c r="CN34" s="238"/>
      <c r="CO34" s="238"/>
      <c r="CP34" s="238"/>
    </row>
    <row r="35" spans="1:94" s="240" customFormat="1" ht="14.25" customHeight="1">
      <c r="A35" s="267" t="s">
        <v>643</v>
      </c>
      <c r="B35" s="268"/>
      <c r="C35" s="268"/>
      <c r="D35" s="268"/>
      <c r="E35" s="269"/>
      <c r="F35" s="1377">
        <v>7.000000000000001E-4</v>
      </c>
      <c r="G35" s="1443"/>
      <c r="H35" s="1299">
        <f t="shared" si="0"/>
        <v>0.40710297766749387</v>
      </c>
      <c r="I35" s="1301"/>
      <c r="J35" s="1300"/>
      <c r="K35" s="1300"/>
      <c r="L35" s="1299"/>
      <c r="M35" s="1300"/>
      <c r="N35" s="1299">
        <f t="shared" si="1"/>
        <v>12.240772332506205</v>
      </c>
      <c r="O35" s="1301"/>
      <c r="P35" s="1299">
        <f>R35/$R$53</f>
        <v>0</v>
      </c>
      <c r="Q35" s="1301"/>
      <c r="R35" s="1300">
        <f>T35/$AR35</f>
        <v>0</v>
      </c>
      <c r="S35" s="1300"/>
      <c r="T35" s="1299">
        <f>$Q$22*N35</f>
        <v>0</v>
      </c>
      <c r="U35" s="1301"/>
      <c r="V35" s="263"/>
      <c r="W35" s="263"/>
      <c r="X35" s="31">
        <v>12.5</v>
      </c>
      <c r="Y35" s="31" t="s">
        <v>623</v>
      </c>
      <c r="Z35" s="270"/>
      <c r="AA35" s="263"/>
      <c r="AB35" s="263"/>
      <c r="AC35" s="263"/>
      <c r="AD35" s="263"/>
      <c r="AE35" s="263"/>
      <c r="AF35" s="263"/>
      <c r="AG35" s="263"/>
      <c r="AH35" s="263"/>
      <c r="AI35" s="263"/>
      <c r="AJ35" s="263"/>
      <c r="AK35" s="264"/>
      <c r="AL35" s="258"/>
      <c r="AM35" s="259">
        <v>2</v>
      </c>
      <c r="AN35" s="259">
        <v>6</v>
      </c>
      <c r="AO35" s="259"/>
      <c r="AP35" s="259"/>
      <c r="AQ35" s="259"/>
      <c r="AR35" s="265">
        <f t="shared" si="2"/>
        <v>30.067999999999998</v>
      </c>
      <c r="AS35" s="259">
        <f t="shared" si="3"/>
        <v>3.5</v>
      </c>
      <c r="AT35" s="266">
        <f t="shared" si="4"/>
        <v>13.166666666666668</v>
      </c>
      <c r="AU35" s="259">
        <f t="shared" si="5"/>
        <v>2</v>
      </c>
      <c r="AV35" s="259">
        <f t="shared" si="6"/>
        <v>3</v>
      </c>
      <c r="AW35" s="266">
        <f t="shared" si="7"/>
        <v>13.166666666666668</v>
      </c>
      <c r="AX35" s="259">
        <f t="shared" si="8"/>
        <v>0</v>
      </c>
      <c r="AY35" s="258"/>
      <c r="AZ35" s="238"/>
      <c r="BA35" s="238"/>
      <c r="BB35" s="238"/>
      <c r="BC35" s="238"/>
      <c r="BD35" s="238"/>
      <c r="BE35" s="239" t="s">
        <v>644</v>
      </c>
      <c r="BF35" s="239">
        <v>0.17519999999999999</v>
      </c>
      <c r="BG35" s="239">
        <v>1.9E-3</v>
      </c>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row>
    <row r="36" spans="1:94" s="240" customFormat="1" ht="14.25" customHeight="1">
      <c r="A36" s="267" t="s">
        <v>418</v>
      </c>
      <c r="B36" s="268"/>
      <c r="C36" s="268"/>
      <c r="D36" s="268"/>
      <c r="E36" s="269"/>
      <c r="F36" s="1377">
        <v>0</v>
      </c>
      <c r="G36" s="1443"/>
      <c r="H36" s="1299">
        <f t="shared" si="0"/>
        <v>0</v>
      </c>
      <c r="I36" s="1301"/>
      <c r="J36" s="1300"/>
      <c r="K36" s="1300"/>
      <c r="L36" s="1299"/>
      <c r="M36" s="1300"/>
      <c r="N36" s="1299">
        <f t="shared" si="1"/>
        <v>0</v>
      </c>
      <c r="O36" s="1301"/>
      <c r="P36" s="1299"/>
      <c r="Q36" s="1301"/>
      <c r="R36" s="1300"/>
      <c r="S36" s="1300"/>
      <c r="T36" s="1299"/>
      <c r="U36" s="1301"/>
      <c r="V36" s="263"/>
      <c r="W36" s="263"/>
      <c r="X36" s="272">
        <f>X34*X35</f>
        <v>1620.4427083333333</v>
      </c>
      <c r="Y36" s="31" t="s">
        <v>626</v>
      </c>
      <c r="Z36" s="270"/>
      <c r="AA36" s="263"/>
      <c r="AB36" s="263"/>
      <c r="AC36" s="263"/>
      <c r="AD36" s="263"/>
      <c r="AE36" s="263"/>
      <c r="AF36" s="263"/>
      <c r="AG36" s="263"/>
      <c r="AH36" s="263"/>
      <c r="AI36" s="263"/>
      <c r="AJ36" s="263"/>
      <c r="AK36" s="264"/>
      <c r="AL36" s="258"/>
      <c r="AM36" s="259">
        <v>3</v>
      </c>
      <c r="AN36" s="259">
        <v>6</v>
      </c>
      <c r="AO36" s="259"/>
      <c r="AP36" s="259"/>
      <c r="AQ36" s="259"/>
      <c r="AR36" s="265">
        <f t="shared" si="2"/>
        <v>42.078000000000003</v>
      </c>
      <c r="AS36" s="259">
        <f t="shared" si="3"/>
        <v>4.5</v>
      </c>
      <c r="AT36" s="266">
        <f t="shared" si="4"/>
        <v>16.928571428571431</v>
      </c>
      <c r="AU36" s="259">
        <f t="shared" si="5"/>
        <v>3</v>
      </c>
      <c r="AV36" s="259">
        <f t="shared" si="6"/>
        <v>3</v>
      </c>
      <c r="AW36" s="266">
        <f t="shared" si="7"/>
        <v>16.928571428571431</v>
      </c>
      <c r="AX36" s="259">
        <f t="shared" si="8"/>
        <v>0</v>
      </c>
      <c r="AY36" s="258"/>
      <c r="AZ36" s="238"/>
      <c r="BA36" s="238"/>
      <c r="BB36" s="238"/>
      <c r="BC36" s="238"/>
      <c r="BD36" s="238"/>
      <c r="BE36" s="239" t="s">
        <v>645</v>
      </c>
      <c r="BF36" s="239">
        <v>0.1139</v>
      </c>
      <c r="BG36" s="239">
        <v>3.5999999999999999E-3</v>
      </c>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row>
    <row r="37" spans="1:94" s="240" customFormat="1" ht="14.25" customHeight="1">
      <c r="A37" s="267" t="s">
        <v>419</v>
      </c>
      <c r="B37" s="268"/>
      <c r="C37" s="268"/>
      <c r="D37" s="268"/>
      <c r="E37" s="269"/>
      <c r="F37" s="1377">
        <v>2.0000000000000001E-4</v>
      </c>
      <c r="G37" s="1443"/>
      <c r="H37" s="1299">
        <f t="shared" si="0"/>
        <v>0.1163151364764268</v>
      </c>
      <c r="I37" s="1301"/>
      <c r="J37" s="1300"/>
      <c r="K37" s="1300"/>
      <c r="L37" s="1299"/>
      <c r="M37" s="1300"/>
      <c r="N37" s="1299">
        <f t="shared" si="1"/>
        <v>5.1287996277915635</v>
      </c>
      <c r="O37" s="1301"/>
      <c r="P37" s="1299">
        <f>R37/$R$53</f>
        <v>0</v>
      </c>
      <c r="Q37" s="1301"/>
      <c r="R37" s="1300">
        <f>T37/$AR37</f>
        <v>0</v>
      </c>
      <c r="S37" s="1300"/>
      <c r="T37" s="1299">
        <f>$Q$22*N37</f>
        <v>0</v>
      </c>
      <c r="U37" s="1301"/>
      <c r="V37" s="263"/>
      <c r="W37" s="263"/>
      <c r="X37" s="272">
        <f>X36*3600/1000</f>
        <v>5833.59375</v>
      </c>
      <c r="Y37" s="31" t="s">
        <v>632</v>
      </c>
      <c r="Z37" s="270"/>
      <c r="AA37" s="263"/>
      <c r="AB37" s="263"/>
      <c r="AC37" s="263"/>
      <c r="AD37" s="263"/>
      <c r="AE37" s="263"/>
      <c r="AF37" s="263"/>
      <c r="AG37" s="263"/>
      <c r="AH37" s="263"/>
      <c r="AI37" s="263"/>
      <c r="AJ37" s="263"/>
      <c r="AK37" s="264"/>
      <c r="AL37" s="258"/>
      <c r="AM37" s="259">
        <v>3</v>
      </c>
      <c r="AN37" s="259">
        <v>8</v>
      </c>
      <c r="AO37" s="259"/>
      <c r="AP37" s="259"/>
      <c r="AQ37" s="259"/>
      <c r="AR37" s="265">
        <f t="shared" si="2"/>
        <v>44.094000000000001</v>
      </c>
      <c r="AS37" s="259">
        <f t="shared" si="3"/>
        <v>5</v>
      </c>
      <c r="AT37" s="266">
        <f t="shared" si="4"/>
        <v>18.80952380952381</v>
      </c>
      <c r="AU37" s="259">
        <f t="shared" si="5"/>
        <v>3</v>
      </c>
      <c r="AV37" s="259">
        <f t="shared" si="6"/>
        <v>4</v>
      </c>
      <c r="AW37" s="266">
        <f t="shared" si="7"/>
        <v>18.80952380952381</v>
      </c>
      <c r="AX37" s="259">
        <f t="shared" si="8"/>
        <v>0</v>
      </c>
      <c r="AY37" s="258"/>
      <c r="AZ37" s="238"/>
      <c r="BA37" s="238"/>
      <c r="BB37" s="238"/>
      <c r="BC37" s="238"/>
      <c r="BD37" s="238"/>
      <c r="BE37" s="239" t="s">
        <v>646</v>
      </c>
      <c r="BF37" s="239">
        <v>1.7100000000000001E-2</v>
      </c>
      <c r="BG37" s="239">
        <v>1E-3</v>
      </c>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row>
    <row r="38" spans="1:94" s="240" customFormat="1" ht="14.25" customHeight="1">
      <c r="A38" s="267" t="s">
        <v>420</v>
      </c>
      <c r="B38" s="268"/>
      <c r="C38" s="268"/>
      <c r="D38" s="268"/>
      <c r="E38" s="269"/>
      <c r="F38" s="1377">
        <v>0</v>
      </c>
      <c r="G38" s="1443"/>
      <c r="H38" s="1299">
        <f t="shared" si="0"/>
        <v>0</v>
      </c>
      <c r="I38" s="1301"/>
      <c r="J38" s="1300"/>
      <c r="K38" s="1300"/>
      <c r="L38" s="1299"/>
      <c r="M38" s="1300"/>
      <c r="N38" s="1299">
        <f t="shared" si="1"/>
        <v>0</v>
      </c>
      <c r="O38" s="1301"/>
      <c r="P38" s="1299"/>
      <c r="Q38" s="1301"/>
      <c r="R38" s="1300"/>
      <c r="S38" s="1300"/>
      <c r="T38" s="1299"/>
      <c r="U38" s="1301"/>
      <c r="V38" s="263"/>
      <c r="W38" s="263"/>
      <c r="X38" s="263"/>
      <c r="Y38" s="263"/>
      <c r="Z38" s="263"/>
      <c r="AA38" s="263"/>
      <c r="AB38" s="263"/>
      <c r="AC38" s="263"/>
      <c r="AD38" s="263"/>
      <c r="AE38" s="263"/>
      <c r="AF38" s="263"/>
      <c r="AG38" s="263"/>
      <c r="AH38" s="263"/>
      <c r="AI38" s="263"/>
      <c r="AJ38" s="263"/>
      <c r="AK38" s="264"/>
      <c r="AL38" s="258"/>
      <c r="AM38" s="259">
        <v>4</v>
      </c>
      <c r="AN38" s="259">
        <v>8</v>
      </c>
      <c r="AO38" s="259"/>
      <c r="AP38" s="259"/>
      <c r="AQ38" s="259"/>
      <c r="AR38" s="265">
        <f t="shared" si="2"/>
        <v>56.103999999999999</v>
      </c>
      <c r="AS38" s="259">
        <f t="shared" si="3"/>
        <v>6</v>
      </c>
      <c r="AT38" s="266">
        <f t="shared" si="4"/>
        <v>22.571428571428573</v>
      </c>
      <c r="AU38" s="259">
        <f t="shared" si="5"/>
        <v>4</v>
      </c>
      <c r="AV38" s="259">
        <f t="shared" si="6"/>
        <v>4</v>
      </c>
      <c r="AW38" s="266">
        <f t="shared" si="7"/>
        <v>22.571428571428573</v>
      </c>
      <c r="AX38" s="259">
        <f t="shared" si="8"/>
        <v>0</v>
      </c>
      <c r="AY38" s="258"/>
      <c r="AZ38" s="238"/>
      <c r="BA38" s="238"/>
      <c r="BB38" s="238"/>
      <c r="BC38" s="238"/>
      <c r="BD38" s="238"/>
      <c r="BE38" s="239" t="s">
        <v>647</v>
      </c>
      <c r="BF38" s="239">
        <v>4.5900000000000003E-2</v>
      </c>
      <c r="BG38" s="239">
        <v>2.3999999999999998E-3</v>
      </c>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row>
    <row r="39" spans="1:94" s="240" customFormat="1" ht="14.25" customHeight="1">
      <c r="A39" s="267" t="s">
        <v>421</v>
      </c>
      <c r="B39" s="268"/>
      <c r="C39" s="268"/>
      <c r="D39" s="268"/>
      <c r="E39" s="269"/>
      <c r="F39" s="1377">
        <v>1E-4</v>
      </c>
      <c r="G39" s="1443"/>
      <c r="H39" s="1299">
        <f t="shared" si="0"/>
        <v>5.81575682382134E-2</v>
      </c>
      <c r="I39" s="1301"/>
      <c r="J39" s="1300"/>
      <c r="K39" s="1300"/>
      <c r="L39" s="1299"/>
      <c r="M39" s="1300"/>
      <c r="N39" s="1299">
        <f t="shared" si="1"/>
        <v>3.3801178660049627</v>
      </c>
      <c r="O39" s="1301"/>
      <c r="P39" s="1299">
        <f>R39/$R$53</f>
        <v>0</v>
      </c>
      <c r="Q39" s="1301"/>
      <c r="R39" s="1300">
        <f>T39/$AR39</f>
        <v>0</v>
      </c>
      <c r="S39" s="1300"/>
      <c r="T39" s="1299">
        <f>$Q$22*N39</f>
        <v>0</v>
      </c>
      <c r="U39" s="1301"/>
      <c r="V39" s="263"/>
      <c r="W39" s="263"/>
      <c r="X39" s="263"/>
      <c r="Y39" s="263"/>
      <c r="Z39" s="263"/>
      <c r="AA39" s="263"/>
      <c r="AB39" s="263"/>
      <c r="AC39" s="263"/>
      <c r="AD39" s="263"/>
      <c r="AE39" s="263"/>
      <c r="AF39" s="263"/>
      <c r="AG39" s="263"/>
      <c r="AH39" s="263"/>
      <c r="AI39" s="263"/>
      <c r="AJ39" s="263"/>
      <c r="AK39" s="264"/>
      <c r="AL39" s="258"/>
      <c r="AM39" s="259">
        <v>4</v>
      </c>
      <c r="AN39" s="259">
        <v>10</v>
      </c>
      <c r="AO39" s="259"/>
      <c r="AP39" s="259"/>
      <c r="AQ39" s="259"/>
      <c r="AR39" s="265">
        <f>AM39*12.01+AN39*1.008+AO39*16+AP39*14+AQ39*32</f>
        <v>58.12</v>
      </c>
      <c r="AS39" s="259">
        <f t="shared" si="3"/>
        <v>6.5</v>
      </c>
      <c r="AT39" s="266">
        <f t="shared" si="4"/>
        <v>24.452380952380956</v>
      </c>
      <c r="AU39" s="259">
        <f t="shared" si="5"/>
        <v>4</v>
      </c>
      <c r="AV39" s="259">
        <f t="shared" si="6"/>
        <v>5</v>
      </c>
      <c r="AW39" s="266">
        <f t="shared" si="7"/>
        <v>24.452380952380956</v>
      </c>
      <c r="AX39" s="259">
        <f t="shared" si="8"/>
        <v>0</v>
      </c>
      <c r="AY39" s="258"/>
      <c r="AZ39" s="238"/>
      <c r="BA39" s="238"/>
      <c r="BB39" s="238"/>
      <c r="BC39" s="238"/>
      <c r="BD39" s="238"/>
      <c r="BE39" s="239" t="s">
        <v>648</v>
      </c>
      <c r="BF39" s="239">
        <v>8.2000000000000007E-3</v>
      </c>
      <c r="BG39" s="239">
        <v>1.6000000000000001E-3</v>
      </c>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38"/>
      <c r="CN39" s="238"/>
      <c r="CO39" s="238"/>
      <c r="CP39" s="238"/>
    </row>
    <row r="40" spans="1:94" s="240" customFormat="1" ht="14.25" customHeight="1">
      <c r="A40" s="267" t="s">
        <v>422</v>
      </c>
      <c r="B40" s="268"/>
      <c r="C40" s="268"/>
      <c r="D40" s="268"/>
      <c r="E40" s="269"/>
      <c r="F40" s="1377">
        <v>0</v>
      </c>
      <c r="G40" s="1443"/>
      <c r="H40" s="1299">
        <f t="shared" si="0"/>
        <v>0</v>
      </c>
      <c r="I40" s="1301"/>
      <c r="J40" s="1300"/>
      <c r="K40" s="1300"/>
      <c r="L40" s="1299"/>
      <c r="M40" s="1300"/>
      <c r="N40" s="1299">
        <f t="shared" si="1"/>
        <v>0</v>
      </c>
      <c r="O40" s="1301"/>
      <c r="P40" s="1299">
        <f>R40/$R$53</f>
        <v>0</v>
      </c>
      <c r="Q40" s="1301"/>
      <c r="R40" s="1300">
        <f>T40/$AR40</f>
        <v>0</v>
      </c>
      <c r="S40" s="1300"/>
      <c r="T40" s="1299">
        <f>$Q$22*N40</f>
        <v>0</v>
      </c>
      <c r="U40" s="1301"/>
      <c r="V40" s="263"/>
      <c r="W40" s="263"/>
      <c r="X40" s="263" t="s">
        <v>761</v>
      </c>
      <c r="Y40" s="263"/>
      <c r="Z40" s="263"/>
      <c r="AA40" s="263"/>
      <c r="AB40" s="263"/>
      <c r="AC40" s="263"/>
      <c r="AD40" s="263"/>
      <c r="AE40" s="263"/>
      <c r="AF40" s="263"/>
      <c r="AG40" s="263"/>
      <c r="AH40" s="263"/>
      <c r="AI40" s="263"/>
      <c r="AJ40" s="263"/>
      <c r="AK40" s="264"/>
      <c r="AL40" s="258"/>
      <c r="AM40" s="259">
        <v>4</v>
      </c>
      <c r="AN40" s="259">
        <v>10</v>
      </c>
      <c r="AO40" s="259"/>
      <c r="AP40" s="259"/>
      <c r="AQ40" s="259"/>
      <c r="AR40" s="265">
        <f t="shared" si="2"/>
        <v>58.12</v>
      </c>
      <c r="AS40" s="259">
        <f t="shared" si="3"/>
        <v>6.5</v>
      </c>
      <c r="AT40" s="266">
        <f t="shared" si="4"/>
        <v>24.452380952380956</v>
      </c>
      <c r="AU40" s="259">
        <f t="shared" si="5"/>
        <v>4</v>
      </c>
      <c r="AV40" s="259">
        <f t="shared" si="6"/>
        <v>5</v>
      </c>
      <c r="AW40" s="266">
        <f t="shared" si="7"/>
        <v>24.452380952380956</v>
      </c>
      <c r="AX40" s="259">
        <f t="shared" si="8"/>
        <v>0</v>
      </c>
      <c r="AY40" s="258"/>
      <c r="AZ40" s="238"/>
      <c r="BA40" s="238"/>
      <c r="BB40" s="238"/>
      <c r="BC40" s="238"/>
      <c r="BD40" s="238"/>
      <c r="BE40" s="239" t="s">
        <v>649</v>
      </c>
      <c r="BF40" s="239">
        <v>2.0000000000000001E-4</v>
      </c>
      <c r="BG40" s="239">
        <v>0</v>
      </c>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row>
    <row r="41" spans="1:94" s="240" customFormat="1" ht="14.25" customHeight="1">
      <c r="A41" s="267" t="s">
        <v>423</v>
      </c>
      <c r="B41" s="268"/>
      <c r="C41" s="268"/>
      <c r="D41" s="268"/>
      <c r="E41" s="269"/>
      <c r="F41" s="1377">
        <v>1E-4</v>
      </c>
      <c r="G41" s="1443"/>
      <c r="H41" s="1299">
        <f t="shared" si="0"/>
        <v>5.81575682382134E-2</v>
      </c>
      <c r="I41" s="1301"/>
      <c r="J41" s="1300"/>
      <c r="K41" s="1300"/>
      <c r="L41" s="1299"/>
      <c r="M41" s="1300"/>
      <c r="N41" s="1299">
        <f t="shared" si="1"/>
        <v>4.1958359181141436</v>
      </c>
      <c r="O41" s="1301"/>
      <c r="P41" s="1299">
        <f>R41/$R$53</f>
        <v>0</v>
      </c>
      <c r="Q41" s="1301"/>
      <c r="R41" s="1300">
        <f>T41/$AR41</f>
        <v>0</v>
      </c>
      <c r="S41" s="1300"/>
      <c r="T41" s="1299">
        <f>$Q$22*N41</f>
        <v>0</v>
      </c>
      <c r="U41" s="1301"/>
      <c r="V41" s="263"/>
      <c r="W41" s="263"/>
      <c r="X41" s="263"/>
      <c r="Y41" s="263"/>
      <c r="Z41" s="263"/>
      <c r="AA41" s="263"/>
      <c r="AB41" s="263"/>
      <c r="AC41" s="263"/>
      <c r="AD41" s="263"/>
      <c r="AE41" s="263"/>
      <c r="AF41" s="263"/>
      <c r="AG41" s="263"/>
      <c r="AH41" s="263"/>
      <c r="AI41" s="263"/>
      <c r="AJ41" s="263"/>
      <c r="AK41" s="264"/>
      <c r="AL41" s="258"/>
      <c r="AM41" s="259">
        <v>5</v>
      </c>
      <c r="AN41" s="259">
        <v>12</v>
      </c>
      <c r="AO41" s="259"/>
      <c r="AP41" s="259"/>
      <c r="AQ41" s="259"/>
      <c r="AR41" s="265">
        <f t="shared" si="2"/>
        <v>72.146000000000001</v>
      </c>
      <c r="AS41" s="259">
        <f t="shared" si="3"/>
        <v>8</v>
      </c>
      <c r="AT41" s="266">
        <f t="shared" si="4"/>
        <v>30.095238095238098</v>
      </c>
      <c r="AU41" s="259">
        <f t="shared" si="5"/>
        <v>5</v>
      </c>
      <c r="AV41" s="259">
        <f t="shared" si="6"/>
        <v>6</v>
      </c>
      <c r="AW41" s="266">
        <f t="shared" si="7"/>
        <v>30.095238095238098</v>
      </c>
      <c r="AX41" s="259">
        <f t="shared" si="8"/>
        <v>0</v>
      </c>
      <c r="AY41" s="258"/>
      <c r="AZ41" s="238"/>
      <c r="BA41" s="238"/>
      <c r="BB41" s="238"/>
      <c r="BC41" s="238"/>
      <c r="BD41" s="238"/>
      <c r="BE41" s="239" t="s">
        <v>650</v>
      </c>
      <c r="BF41" s="239">
        <v>8.8999999999999999E-3</v>
      </c>
      <c r="BG41" s="239">
        <v>1.9E-3</v>
      </c>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row>
    <row r="42" spans="1:94" s="240" customFormat="1" ht="14.25" customHeight="1">
      <c r="A42" s="267" t="s">
        <v>424</v>
      </c>
      <c r="B42" s="268"/>
      <c r="C42" s="268"/>
      <c r="D42" s="268"/>
      <c r="E42" s="269"/>
      <c r="F42" s="1377">
        <v>1E-4</v>
      </c>
      <c r="G42" s="1443"/>
      <c r="H42" s="1299">
        <f t="shared" si="0"/>
        <v>5.81575682382134E-2</v>
      </c>
      <c r="I42" s="1301"/>
      <c r="J42" s="1300"/>
      <c r="K42" s="1300"/>
      <c r="L42" s="1299"/>
      <c r="M42" s="1300"/>
      <c r="N42" s="1299">
        <f t="shared" si="1"/>
        <v>4.1958359181141436</v>
      </c>
      <c r="O42" s="1301"/>
      <c r="P42" s="1299">
        <f>R42/$R$53</f>
        <v>0</v>
      </c>
      <c r="Q42" s="1301"/>
      <c r="R42" s="1300">
        <f>T42/$AR42</f>
        <v>0</v>
      </c>
      <c r="S42" s="1300"/>
      <c r="T42" s="1299">
        <f>$Q$22*N42</f>
        <v>0</v>
      </c>
      <c r="U42" s="1301"/>
      <c r="V42" s="263"/>
      <c r="W42" s="277"/>
      <c r="X42" s="276"/>
      <c r="Y42" s="263"/>
      <c r="Z42" s="263"/>
      <c r="AA42" s="263"/>
      <c r="AB42" s="263"/>
      <c r="AC42" s="263"/>
      <c r="AD42" s="263"/>
      <c r="AE42" s="263"/>
      <c r="AF42" s="263"/>
      <c r="AG42" s="263"/>
      <c r="AH42" s="263"/>
      <c r="AI42" s="263"/>
      <c r="AJ42" s="263"/>
      <c r="AK42" s="264"/>
      <c r="AL42" s="258"/>
      <c r="AM42" s="259">
        <v>5</v>
      </c>
      <c r="AN42" s="259">
        <v>12</v>
      </c>
      <c r="AO42" s="259"/>
      <c r="AP42" s="259"/>
      <c r="AQ42" s="259"/>
      <c r="AR42" s="265">
        <f t="shared" si="2"/>
        <v>72.146000000000001</v>
      </c>
      <c r="AS42" s="259">
        <f t="shared" si="3"/>
        <v>8</v>
      </c>
      <c r="AT42" s="266">
        <f t="shared" si="4"/>
        <v>30.095238095238098</v>
      </c>
      <c r="AU42" s="259">
        <f t="shared" si="5"/>
        <v>5</v>
      </c>
      <c r="AV42" s="259">
        <f t="shared" si="6"/>
        <v>6</v>
      </c>
      <c r="AW42" s="266">
        <f t="shared" si="7"/>
        <v>30.095238095238098</v>
      </c>
      <c r="AX42" s="259">
        <f t="shared" si="8"/>
        <v>0</v>
      </c>
      <c r="AY42" s="258"/>
      <c r="AZ42" s="238"/>
      <c r="BA42" s="238"/>
      <c r="BB42" s="238"/>
      <c r="BC42" s="238"/>
      <c r="BD42" s="238"/>
      <c r="BE42" s="239" t="s">
        <v>651</v>
      </c>
      <c r="BF42" s="239">
        <v>2.0000000000000001E-4</v>
      </c>
      <c r="BG42" s="239">
        <v>2.9999999999999997E-4</v>
      </c>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row>
    <row r="43" spans="1:94" s="240" customFormat="1" ht="14.25" customHeight="1">
      <c r="A43" s="267" t="s">
        <v>721</v>
      </c>
      <c r="B43" s="268"/>
      <c r="C43" s="268"/>
      <c r="D43" s="268"/>
      <c r="E43" s="269"/>
      <c r="F43" s="1377">
        <v>2.00000000000089E-4</v>
      </c>
      <c r="G43" s="1443"/>
      <c r="H43" s="1299">
        <f t="shared" si="0"/>
        <v>0.11631513647647856</v>
      </c>
      <c r="I43" s="1301"/>
      <c r="J43" s="1300"/>
      <c r="K43" s="1300"/>
      <c r="L43" s="1299"/>
      <c r="M43" s="1300"/>
      <c r="N43" s="1299">
        <f t="shared" si="1"/>
        <v>10.02310794045111</v>
      </c>
      <c r="O43" s="1301"/>
      <c r="P43" s="1299">
        <f>R43/$R$53</f>
        <v>0</v>
      </c>
      <c r="Q43" s="1301"/>
      <c r="R43" s="1300">
        <f>T43/$AR43</f>
        <v>0</v>
      </c>
      <c r="S43" s="1300"/>
      <c r="T43" s="1299">
        <f>$Q$22*N43</f>
        <v>0</v>
      </c>
      <c r="U43" s="1301"/>
      <c r="V43" s="263"/>
      <c r="W43" s="277"/>
      <c r="X43" s="589">
        <f>(64+161)*X44</f>
        <v>1350</v>
      </c>
      <c r="Y43" s="589" t="s">
        <v>744</v>
      </c>
      <c r="Z43" s="263"/>
      <c r="AA43" s="263"/>
      <c r="AB43" s="263"/>
      <c r="AC43" s="263"/>
      <c r="AD43" s="263"/>
      <c r="AE43" s="263"/>
      <c r="AF43" s="263"/>
      <c r="AG43" s="263"/>
      <c r="AH43" s="263"/>
      <c r="AI43" s="263"/>
      <c r="AJ43" s="263"/>
      <c r="AK43" s="264"/>
      <c r="AL43" s="258"/>
      <c r="AM43" s="259">
        <v>6</v>
      </c>
      <c r="AN43" s="259">
        <v>14</v>
      </c>
      <c r="AO43" s="259"/>
      <c r="AP43" s="259"/>
      <c r="AQ43" s="259"/>
      <c r="AR43" s="265">
        <f t="shared" si="2"/>
        <v>86.171999999999997</v>
      </c>
      <c r="AS43" s="259">
        <f t="shared" si="3"/>
        <v>9.5</v>
      </c>
      <c r="AT43" s="266">
        <f t="shared" si="4"/>
        <v>35.738095238095241</v>
      </c>
      <c r="AU43" s="259">
        <f t="shared" si="5"/>
        <v>6</v>
      </c>
      <c r="AV43" s="259">
        <f t="shared" si="6"/>
        <v>7</v>
      </c>
      <c r="AW43" s="266">
        <f t="shared" si="7"/>
        <v>35.738095238095241</v>
      </c>
      <c r="AX43" s="259">
        <f t="shared" si="8"/>
        <v>0</v>
      </c>
      <c r="AY43" s="258"/>
      <c r="AZ43" s="238"/>
      <c r="BA43" s="238"/>
      <c r="BB43" s="238"/>
      <c r="BC43" s="238"/>
      <c r="BD43" s="238"/>
      <c r="BE43" s="239" t="s">
        <v>652</v>
      </c>
      <c r="BF43" s="239">
        <v>0</v>
      </c>
      <c r="BG43" s="239">
        <v>5.0000000000000001E-4</v>
      </c>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38"/>
      <c r="CN43" s="238"/>
      <c r="CO43" s="238"/>
      <c r="CP43" s="238"/>
    </row>
    <row r="44" spans="1:94" s="240" customFormat="1" ht="14.25" customHeight="1">
      <c r="A44" s="267" t="s">
        <v>426</v>
      </c>
      <c r="B44" s="268"/>
      <c r="C44" s="268"/>
      <c r="D44" s="268"/>
      <c r="E44" s="269"/>
      <c r="F44" s="1377">
        <v>0</v>
      </c>
      <c r="G44" s="1443"/>
      <c r="H44" s="1299">
        <f>F44*$AC$25</f>
        <v>0</v>
      </c>
      <c r="I44" s="1301"/>
      <c r="J44" s="1300"/>
      <c r="K44" s="1300"/>
      <c r="L44" s="1299"/>
      <c r="M44" s="1300"/>
      <c r="N44" s="1299">
        <f t="shared" si="1"/>
        <v>0</v>
      </c>
      <c r="O44" s="1301"/>
      <c r="P44" s="1299"/>
      <c r="Q44" s="1301"/>
      <c r="R44" s="1300"/>
      <c r="S44" s="1300"/>
      <c r="T44" s="1299"/>
      <c r="U44" s="1301"/>
      <c r="V44" s="263"/>
      <c r="W44" s="263"/>
      <c r="X44" s="589">
        <v>6</v>
      </c>
      <c r="Y44" s="589" t="s">
        <v>745</v>
      </c>
      <c r="Z44" s="263"/>
      <c r="AA44" s="263"/>
      <c r="AB44" s="263"/>
      <c r="AC44" s="263"/>
      <c r="AD44" s="263"/>
      <c r="AE44" s="263"/>
      <c r="AF44" s="263"/>
      <c r="AG44" s="263"/>
      <c r="AH44" s="263"/>
      <c r="AI44" s="263"/>
      <c r="AJ44" s="263"/>
      <c r="AK44" s="264"/>
      <c r="AL44" s="258"/>
      <c r="AM44" s="259"/>
      <c r="AN44" s="259"/>
      <c r="AO44" s="259"/>
      <c r="AP44" s="259"/>
      <c r="AQ44" s="259"/>
      <c r="AR44" s="265">
        <v>4.0030000000000001</v>
      </c>
      <c r="AS44" s="259"/>
      <c r="AT44" s="266"/>
      <c r="AU44" s="259"/>
      <c r="AV44" s="259"/>
      <c r="AW44" s="266"/>
      <c r="AX44" s="259"/>
      <c r="AY44" s="258"/>
      <c r="AZ44" s="238"/>
      <c r="BA44" s="238"/>
      <c r="BB44" s="238"/>
      <c r="BC44" s="238"/>
      <c r="BD44" s="238"/>
      <c r="BE44" s="239" t="s">
        <v>653</v>
      </c>
      <c r="BF44" s="239">
        <v>0</v>
      </c>
      <c r="BG44" s="239">
        <v>1E-4</v>
      </c>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row>
    <row r="45" spans="1:94" s="240" customFormat="1" ht="14.25" customHeight="1">
      <c r="A45" s="267" t="s">
        <v>427</v>
      </c>
      <c r="B45" s="268"/>
      <c r="C45" s="268"/>
      <c r="D45" s="268"/>
      <c r="E45" s="269"/>
      <c r="F45" s="1377">
        <v>0</v>
      </c>
      <c r="G45" s="1443"/>
      <c r="H45" s="1299">
        <f t="shared" si="0"/>
        <v>0</v>
      </c>
      <c r="I45" s="1301"/>
      <c r="J45" s="1300"/>
      <c r="K45" s="1300"/>
      <c r="L45" s="1299"/>
      <c r="M45" s="1300"/>
      <c r="N45" s="1299">
        <f t="shared" si="1"/>
        <v>0</v>
      </c>
      <c r="O45" s="1301"/>
      <c r="P45" s="1299"/>
      <c r="Q45" s="1301"/>
      <c r="R45" s="1299"/>
      <c r="S45" s="1301"/>
      <c r="T45" s="1299"/>
      <c r="U45" s="1301"/>
      <c r="V45" s="263"/>
      <c r="W45" s="263"/>
      <c r="X45" s="590">
        <f>X43/X44</f>
        <v>225</v>
      </c>
      <c r="Y45" s="589" t="s">
        <v>746</v>
      </c>
      <c r="Z45" s="263"/>
      <c r="AA45" s="263"/>
      <c r="AB45" s="263"/>
      <c r="AC45" s="263"/>
      <c r="AD45" s="263"/>
      <c r="AE45" s="263"/>
      <c r="AF45" s="263"/>
      <c r="AG45" s="263"/>
      <c r="AH45" s="263"/>
      <c r="AI45" s="263"/>
      <c r="AJ45" s="263"/>
      <c r="AK45" s="264"/>
      <c r="AL45" s="258"/>
      <c r="AM45" s="259"/>
      <c r="AN45" s="259">
        <v>2</v>
      </c>
      <c r="AO45" s="259"/>
      <c r="AP45" s="259"/>
      <c r="AQ45" s="259">
        <v>1</v>
      </c>
      <c r="AR45" s="265">
        <f t="shared" si="2"/>
        <v>34.015999999999998</v>
      </c>
      <c r="AS45" s="259">
        <f t="shared" si="3"/>
        <v>1.5</v>
      </c>
      <c r="AT45" s="266">
        <f t="shared" si="4"/>
        <v>5.6428571428571432</v>
      </c>
      <c r="AU45" s="259">
        <f t="shared" si="5"/>
        <v>0</v>
      </c>
      <c r="AV45" s="259">
        <f t="shared" si="6"/>
        <v>1</v>
      </c>
      <c r="AW45" s="266">
        <f t="shared" si="7"/>
        <v>5.6428571428571432</v>
      </c>
      <c r="AX45" s="259">
        <f t="shared" si="8"/>
        <v>1</v>
      </c>
      <c r="AY45" s="258"/>
      <c r="AZ45" s="238"/>
      <c r="BA45" s="238"/>
      <c r="BB45" s="238"/>
      <c r="BC45" s="238"/>
      <c r="BD45" s="238"/>
      <c r="BE45" s="239" t="s">
        <v>654</v>
      </c>
      <c r="BF45" s="239">
        <v>0</v>
      </c>
      <c r="BG45" s="239">
        <v>4.0000000000000002E-4</v>
      </c>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row>
    <row r="46" spans="1:94" s="240" customFormat="1" ht="14.25" customHeight="1">
      <c r="A46" s="267" t="s">
        <v>428</v>
      </c>
      <c r="B46" s="268"/>
      <c r="C46" s="268"/>
      <c r="D46" s="268"/>
      <c r="E46" s="269"/>
      <c r="F46" s="1377">
        <v>0</v>
      </c>
      <c r="G46" s="1443"/>
      <c r="H46" s="1299">
        <f t="shared" si="0"/>
        <v>0</v>
      </c>
      <c r="I46" s="1301"/>
      <c r="J46" s="1300">
        <f>SUMPRODUCT(H32:H52,AS32:AS52)-H46</f>
        <v>1163.267679900745</v>
      </c>
      <c r="K46" s="1300"/>
      <c r="L46" s="1299">
        <v>0</v>
      </c>
      <c r="M46" s="1300"/>
      <c r="N46" s="1299">
        <f t="shared" si="1"/>
        <v>37224.565756823838</v>
      </c>
      <c r="O46" s="1301"/>
      <c r="P46" s="1299">
        <f t="shared" ref="P46:P52" si="9">R46/$R$53</f>
        <v>6.5640308933690513E-4</v>
      </c>
      <c r="Q46" s="1301"/>
      <c r="R46" s="1300">
        <f>L46+SUMPRODUCT(R33:R45,$AS33:$AS45)</f>
        <v>4.0185300912769497</v>
      </c>
      <c r="S46" s="1300"/>
      <c r="T46" s="1299">
        <f>R46*$AR46</f>
        <v>128.59296292086239</v>
      </c>
      <c r="U46" s="1301"/>
      <c r="V46" s="263"/>
      <c r="W46" s="263"/>
      <c r="X46" s="590">
        <f>X45/24*1000</f>
        <v>9375</v>
      </c>
      <c r="Y46" s="589" t="s">
        <v>617</v>
      </c>
      <c r="Z46" s="263"/>
      <c r="AA46" s="263" t="s">
        <v>798</v>
      </c>
      <c r="AB46" s="263"/>
      <c r="AC46" s="263"/>
      <c r="AD46" s="263"/>
      <c r="AE46" s="263"/>
      <c r="AF46" s="263"/>
      <c r="AG46" s="263"/>
      <c r="AH46" s="263"/>
      <c r="AI46" s="263"/>
      <c r="AJ46" s="263"/>
      <c r="AK46" s="264"/>
      <c r="AL46" s="258"/>
      <c r="AM46" s="259"/>
      <c r="AN46" s="259"/>
      <c r="AO46" s="259">
        <v>2</v>
      </c>
      <c r="AP46" s="259"/>
      <c r="AQ46" s="259"/>
      <c r="AR46" s="265">
        <f t="shared" si="2"/>
        <v>32</v>
      </c>
      <c r="AS46" s="259">
        <f t="shared" si="3"/>
        <v>0</v>
      </c>
      <c r="AT46" s="266">
        <f t="shared" si="4"/>
        <v>0</v>
      </c>
      <c r="AU46" s="259">
        <f t="shared" si="5"/>
        <v>0</v>
      </c>
      <c r="AV46" s="259">
        <f t="shared" si="6"/>
        <v>0</v>
      </c>
      <c r="AW46" s="266">
        <f t="shared" si="7"/>
        <v>0</v>
      </c>
      <c r="AX46" s="259">
        <f t="shared" si="8"/>
        <v>0</v>
      </c>
      <c r="AY46" s="258"/>
      <c r="AZ46" s="238"/>
      <c r="BA46" s="238"/>
      <c r="BB46" s="238"/>
      <c r="BC46" s="238"/>
      <c r="BD46" s="238"/>
      <c r="BE46" s="239" t="s">
        <v>655</v>
      </c>
      <c r="BF46" s="239">
        <v>0</v>
      </c>
      <c r="BG46" s="239">
        <v>2.0000000000000001E-4</v>
      </c>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row>
    <row r="47" spans="1:94" s="240" customFormat="1" ht="14.25" customHeight="1">
      <c r="A47" s="267" t="s">
        <v>429</v>
      </c>
      <c r="B47" s="268"/>
      <c r="C47" s="268"/>
      <c r="D47" s="268"/>
      <c r="E47" s="269"/>
      <c r="F47" s="1377">
        <v>1.5E-3</v>
      </c>
      <c r="G47" s="1443"/>
      <c r="H47" s="1299">
        <f t="shared" si="0"/>
        <v>0.87236352357320102</v>
      </c>
      <c r="I47" s="1301"/>
      <c r="J47" s="1300">
        <f>0.79/0.21*J46</f>
        <v>4376.1022243885172</v>
      </c>
      <c r="K47" s="1301"/>
      <c r="L47" s="1299">
        <f>0.71/0.29*L46</f>
        <v>0</v>
      </c>
      <c r="M47" s="1300"/>
      <c r="N47" s="1299">
        <f t="shared" si="1"/>
        <v>122555.28846153853</v>
      </c>
      <c r="O47" s="1301"/>
      <c r="P47" s="1299">
        <f t="shared" si="9"/>
        <v>0.71492507822389051</v>
      </c>
      <c r="Q47" s="1301"/>
      <c r="R47" s="1299">
        <f>$H47+J47+L47-R50/2</f>
        <v>4376.8044156426313</v>
      </c>
      <c r="S47" s="1301"/>
      <c r="T47" s="1340">
        <f>R47*$AR47</f>
        <v>122550.52363799367</v>
      </c>
      <c r="U47" s="1342"/>
      <c r="V47" s="263"/>
      <c r="W47" s="263"/>
      <c r="X47" s="263"/>
      <c r="Y47" s="263"/>
      <c r="Z47" s="263"/>
      <c r="AA47" s="263"/>
      <c r="AB47" s="263"/>
      <c r="AC47" s="263"/>
      <c r="AD47" s="263"/>
      <c r="AE47" s="263"/>
      <c r="AF47" s="263"/>
      <c r="AG47" s="263"/>
      <c r="AH47" s="263"/>
      <c r="AI47" s="263"/>
      <c r="AJ47" s="263"/>
      <c r="AK47" s="264"/>
      <c r="AL47" s="258"/>
      <c r="AM47" s="259"/>
      <c r="AN47" s="259"/>
      <c r="AO47" s="259"/>
      <c r="AP47" s="259">
        <v>2</v>
      </c>
      <c r="AQ47" s="259"/>
      <c r="AR47" s="265">
        <f t="shared" si="2"/>
        <v>28</v>
      </c>
      <c r="AS47" s="259">
        <f t="shared" si="3"/>
        <v>0</v>
      </c>
      <c r="AT47" s="266">
        <f t="shared" si="4"/>
        <v>0</v>
      </c>
      <c r="AU47" s="259">
        <f t="shared" si="5"/>
        <v>0</v>
      </c>
      <c r="AV47" s="259">
        <f t="shared" si="6"/>
        <v>0</v>
      </c>
      <c r="AW47" s="266">
        <f t="shared" si="7"/>
        <v>1</v>
      </c>
      <c r="AX47" s="259">
        <f t="shared" si="8"/>
        <v>0</v>
      </c>
      <c r="AY47" s="258"/>
      <c r="AZ47" s="238"/>
      <c r="BA47" s="238"/>
      <c r="BB47" s="238"/>
      <c r="BC47" s="238"/>
      <c r="BD47" s="238"/>
      <c r="BE47" s="239" t="s">
        <v>656</v>
      </c>
      <c r="BF47" s="239">
        <v>1.5E-3</v>
      </c>
      <c r="BG47" s="239">
        <v>0</v>
      </c>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row>
    <row r="48" spans="1:94" s="240" customFormat="1" ht="14.25" customHeight="1">
      <c r="A48" s="267" t="s">
        <v>115</v>
      </c>
      <c r="B48" s="268"/>
      <c r="C48" s="268"/>
      <c r="D48" s="268"/>
      <c r="E48" s="269"/>
      <c r="F48" s="1377">
        <v>0</v>
      </c>
      <c r="G48" s="1443"/>
      <c r="H48" s="1299">
        <f t="shared" si="0"/>
        <v>0</v>
      </c>
      <c r="I48" s="1301"/>
      <c r="J48" s="1300"/>
      <c r="K48" s="1300"/>
      <c r="L48" s="1299"/>
      <c r="M48" s="1300"/>
      <c r="N48" s="1299">
        <f t="shared" si="1"/>
        <v>0</v>
      </c>
      <c r="O48" s="1301"/>
      <c r="P48" s="1299">
        <f t="shared" si="9"/>
        <v>4.9677497741658263E-4</v>
      </c>
      <c r="Q48" s="1301"/>
      <c r="R48" s="1300">
        <f>T48/$AR$48</f>
        <v>3.0412794025065013</v>
      </c>
      <c r="S48" s="1300"/>
      <c r="T48" s="1299">
        <f>$AC17*$X25</f>
        <v>85.186236064207094</v>
      </c>
      <c r="U48" s="1301"/>
      <c r="V48" s="263"/>
      <c r="W48" s="263"/>
      <c r="X48" s="263"/>
      <c r="Y48" s="263"/>
      <c r="Z48" s="263"/>
      <c r="AA48" s="263"/>
      <c r="AB48" s="263"/>
      <c r="AC48" s="263"/>
      <c r="AD48" s="263"/>
      <c r="AE48" s="263"/>
      <c r="AF48" s="263"/>
      <c r="AG48" s="263"/>
      <c r="AH48" s="263"/>
      <c r="AI48" s="263"/>
      <c r="AJ48" s="263"/>
      <c r="AK48" s="264"/>
      <c r="AL48" s="258"/>
      <c r="AM48" s="258">
        <v>1</v>
      </c>
      <c r="AN48" s="258"/>
      <c r="AO48" s="258">
        <v>1</v>
      </c>
      <c r="AP48" s="258"/>
      <c r="AQ48" s="258"/>
      <c r="AR48" s="265">
        <f t="shared" si="2"/>
        <v>28.009999999999998</v>
      </c>
      <c r="AS48" s="259"/>
      <c r="AT48" s="258"/>
      <c r="AU48" s="258"/>
      <c r="AV48" s="258"/>
      <c r="AW48" s="258"/>
      <c r="AX48" s="258"/>
      <c r="AY48" s="258"/>
      <c r="AZ48" s="238"/>
      <c r="BA48" s="238"/>
      <c r="BB48" s="238"/>
      <c r="BC48" s="238"/>
      <c r="BD48" s="238"/>
      <c r="BE48" s="239" t="s">
        <v>657</v>
      </c>
      <c r="BF48" s="239">
        <v>1E-4</v>
      </c>
      <c r="BG48" s="239">
        <v>0</v>
      </c>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38"/>
      <c r="CN48" s="238"/>
      <c r="CO48" s="238"/>
      <c r="CP48" s="238"/>
    </row>
    <row r="49" spans="1:94" s="240" customFormat="1" ht="14.25" customHeight="1">
      <c r="A49" s="267" t="s">
        <v>126</v>
      </c>
      <c r="B49" s="268"/>
      <c r="C49" s="268"/>
      <c r="D49" s="268"/>
      <c r="E49" s="269"/>
      <c r="F49" s="1377">
        <v>8.0000000000000004E-4</v>
      </c>
      <c r="G49" s="1443"/>
      <c r="H49" s="1299">
        <f t="shared" si="0"/>
        <v>0.4652605459057072</v>
      </c>
      <c r="I49" s="1301"/>
      <c r="J49" s="1300"/>
      <c r="K49" s="1300"/>
      <c r="L49" s="1299"/>
      <c r="M49" s="1300"/>
      <c r="N49" s="1299">
        <f t="shared" si="1"/>
        <v>20.476116625310173</v>
      </c>
      <c r="O49" s="1301"/>
      <c r="P49" s="1299">
        <f t="shared" si="9"/>
        <v>9.4333461424103704E-2</v>
      </c>
      <c r="Q49" s="1301"/>
      <c r="R49" s="1300">
        <f>SUMPRODUCT($H32:$H52,$AU32:$AU52)+$H49-R48-SUMPRODUCT(R33:R43,$AU33:$AU43)</f>
        <v>577.5138165940391</v>
      </c>
      <c r="S49" s="1300"/>
      <c r="T49" s="1299">
        <f>R49*$AR49</f>
        <v>25416.383068303661</v>
      </c>
      <c r="U49" s="1301"/>
      <c r="V49" s="263"/>
      <c r="W49" s="263"/>
      <c r="X49" s="263"/>
      <c r="Y49" s="263"/>
      <c r="Z49" s="263"/>
      <c r="AA49" s="263"/>
      <c r="AB49" s="263"/>
      <c r="AC49" s="263"/>
      <c r="AD49" s="263"/>
      <c r="AE49" s="263"/>
      <c r="AF49" s="263"/>
      <c r="AG49" s="263"/>
      <c r="AH49" s="263"/>
      <c r="AI49" s="263"/>
      <c r="AJ49" s="263"/>
      <c r="AK49" s="264"/>
      <c r="AL49" s="258"/>
      <c r="AM49" s="259">
        <v>1</v>
      </c>
      <c r="AN49" s="259"/>
      <c r="AO49" s="259">
        <v>2</v>
      </c>
      <c r="AP49" s="259"/>
      <c r="AQ49" s="259"/>
      <c r="AR49" s="265">
        <f>AM49*12.01+AN49*1.008+AO49*16+AP49*14+AQ49*32</f>
        <v>44.01</v>
      </c>
      <c r="AS49" s="259"/>
      <c r="AT49" s="259"/>
      <c r="AU49" s="259"/>
      <c r="AV49" s="259"/>
      <c r="AW49" s="259"/>
      <c r="AX49" s="259"/>
      <c r="AY49" s="258"/>
      <c r="AZ49" s="238"/>
      <c r="BA49" s="238"/>
      <c r="BB49" s="238"/>
      <c r="BC49" s="238"/>
      <c r="BD49" s="238"/>
      <c r="BE49" s="239" t="s">
        <v>658</v>
      </c>
      <c r="BF49" s="239">
        <v>0</v>
      </c>
      <c r="BG49" s="239">
        <v>0</v>
      </c>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row>
    <row r="50" spans="1:94" s="240" customFormat="1" ht="14.25" customHeight="1">
      <c r="A50" s="267" t="s">
        <v>430</v>
      </c>
      <c r="B50" s="268"/>
      <c r="C50" s="268"/>
      <c r="D50" s="268"/>
      <c r="E50" s="269"/>
      <c r="F50" s="1377">
        <v>0</v>
      </c>
      <c r="G50" s="1443"/>
      <c r="H50" s="1299">
        <f t="shared" si="0"/>
        <v>0</v>
      </c>
      <c r="I50" s="1301"/>
      <c r="J50" s="1300"/>
      <c r="K50" s="1300"/>
      <c r="L50" s="1299"/>
      <c r="M50" s="1300"/>
      <c r="N50" s="1299">
        <f t="shared" si="1"/>
        <v>0</v>
      </c>
      <c r="O50" s="1301"/>
      <c r="P50" s="1299">
        <f t="shared" si="9"/>
        <v>5.55932646290139E-5</v>
      </c>
      <c r="Q50" s="1301"/>
      <c r="R50" s="1300">
        <f>T50/$AR50</f>
        <v>0.34034453891692612</v>
      </c>
      <c r="S50" s="1300"/>
      <c r="T50" s="1299">
        <f>$W17*$X25</f>
        <v>15.655848790178602</v>
      </c>
      <c r="U50" s="1301"/>
      <c r="V50" s="263"/>
      <c r="W50" s="263"/>
      <c r="X50" s="263"/>
      <c r="Y50" s="263"/>
      <c r="Z50" s="263"/>
      <c r="AA50" s="263"/>
      <c r="AB50" s="263"/>
      <c r="AC50" s="263"/>
      <c r="AD50" s="263"/>
      <c r="AE50" s="263"/>
      <c r="AF50" s="263"/>
      <c r="AG50" s="263"/>
      <c r="AH50" s="263"/>
      <c r="AI50" s="263"/>
      <c r="AJ50" s="263"/>
      <c r="AK50" s="264"/>
      <c r="AL50" s="258"/>
      <c r="AM50" s="258"/>
      <c r="AN50" s="258"/>
      <c r="AO50" s="258">
        <v>2</v>
      </c>
      <c r="AP50" s="258">
        <v>1</v>
      </c>
      <c r="AQ50" s="258"/>
      <c r="AR50" s="265">
        <f>AM50*12.01+AN50*1.008+AO50*16+AP50*14+AQ50*32</f>
        <v>46</v>
      </c>
      <c r="AS50" s="259"/>
      <c r="AT50" s="258"/>
      <c r="AU50" s="258"/>
      <c r="AV50" s="258"/>
      <c r="AW50" s="258"/>
      <c r="AX50" s="258"/>
      <c r="AY50" s="258"/>
      <c r="AZ50" s="238"/>
      <c r="BA50" s="238"/>
      <c r="BB50" s="238"/>
      <c r="BC50" s="238"/>
      <c r="BD50" s="238"/>
      <c r="BE50" s="239" t="s">
        <v>659</v>
      </c>
      <c r="BF50" s="239">
        <v>0</v>
      </c>
      <c r="BG50" s="239">
        <v>0</v>
      </c>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38"/>
      <c r="CN50" s="238"/>
      <c r="CO50" s="238"/>
      <c r="CP50" s="238"/>
    </row>
    <row r="51" spans="1:94" s="240" customFormat="1" ht="14.25" customHeight="1">
      <c r="A51" s="267" t="s">
        <v>124</v>
      </c>
      <c r="B51" s="268"/>
      <c r="C51" s="268"/>
      <c r="D51" s="268"/>
      <c r="E51" s="269"/>
      <c r="F51" s="1377">
        <v>0</v>
      </c>
      <c r="G51" s="1443"/>
      <c r="H51" s="1299">
        <f t="shared" si="0"/>
        <v>0</v>
      </c>
      <c r="I51" s="1301"/>
      <c r="J51" s="1300"/>
      <c r="K51" s="1300"/>
      <c r="L51" s="1299"/>
      <c r="M51" s="1300"/>
      <c r="N51" s="1299">
        <f t="shared" si="1"/>
        <v>0</v>
      </c>
      <c r="O51" s="1301"/>
      <c r="P51" s="1299">
        <f t="shared" si="9"/>
        <v>0</v>
      </c>
      <c r="Q51" s="1301"/>
      <c r="R51" s="1299">
        <f>SUMPRODUCT(H32:H52,$AX32:$AX52)+H51</f>
        <v>0</v>
      </c>
      <c r="S51" s="1300"/>
      <c r="T51" s="1299">
        <f>R51*$AR51</f>
        <v>0</v>
      </c>
      <c r="U51" s="1301"/>
      <c r="V51" s="263"/>
      <c r="W51" s="263"/>
      <c r="X51" s="263"/>
      <c r="Y51" s="263"/>
      <c r="Z51" s="263"/>
      <c r="AA51" s="263"/>
      <c r="AB51" s="263"/>
      <c r="AC51" s="263"/>
      <c r="AD51" s="263"/>
      <c r="AE51" s="263"/>
      <c r="AF51" s="263"/>
      <c r="AG51" s="263"/>
      <c r="AH51" s="263"/>
      <c r="AI51" s="263"/>
      <c r="AJ51" s="263"/>
      <c r="AK51" s="264"/>
      <c r="AL51" s="258"/>
      <c r="AM51" s="258"/>
      <c r="AN51" s="258"/>
      <c r="AO51" s="258">
        <v>2</v>
      </c>
      <c r="AP51" s="258"/>
      <c r="AQ51" s="258">
        <v>1</v>
      </c>
      <c r="AR51" s="265">
        <f>AM51*12.01+AN51*1.008+AO51*16+AP51*14+AQ51*32</f>
        <v>64</v>
      </c>
      <c r="AS51" s="259"/>
      <c r="AT51" s="258"/>
      <c r="AU51" s="258"/>
      <c r="AV51" s="258"/>
      <c r="AW51" s="258"/>
      <c r="AX51" s="258"/>
      <c r="AY51" s="258"/>
      <c r="AZ51" s="238"/>
      <c r="BA51" s="238"/>
      <c r="BB51" s="238"/>
      <c r="BC51" s="238"/>
      <c r="BD51" s="238"/>
      <c r="BE51" s="239" t="s">
        <v>660</v>
      </c>
      <c r="BF51" s="239">
        <v>0</v>
      </c>
      <c r="BG51" s="239">
        <v>0</v>
      </c>
      <c r="BH51" s="238"/>
      <c r="BI51" s="238"/>
      <c r="BJ51" s="238"/>
      <c r="BK51" s="238"/>
      <c r="BL51" s="238"/>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38"/>
      <c r="CN51" s="238"/>
      <c r="CO51" s="238"/>
      <c r="CP51" s="238"/>
    </row>
    <row r="52" spans="1:94" s="240" customFormat="1" ht="14.25" customHeight="1">
      <c r="A52" s="273" t="s">
        <v>431</v>
      </c>
      <c r="B52" s="274"/>
      <c r="C52" s="274"/>
      <c r="D52" s="274"/>
      <c r="E52" s="274"/>
      <c r="F52" s="1444">
        <v>0</v>
      </c>
      <c r="G52" s="1445"/>
      <c r="H52" s="1299">
        <f t="shared" si="0"/>
        <v>0</v>
      </c>
      <c r="I52" s="1301"/>
      <c r="J52" s="1384"/>
      <c r="K52" s="1384"/>
      <c r="L52" s="1382"/>
      <c r="M52" s="1384"/>
      <c r="N52" s="1299">
        <f t="shared" si="1"/>
        <v>0</v>
      </c>
      <c r="O52" s="1301"/>
      <c r="P52" s="1343">
        <f t="shared" si="9"/>
        <v>0.18920448747595486</v>
      </c>
      <c r="Q52" s="1345"/>
      <c r="R52" s="1300">
        <f>SUMPRODUCT(H32:H52,$AV32:$AV52)+H52-SUMPRODUCT(R33:R43,$AV33:$AV43)</f>
        <v>1158.3186287176566</v>
      </c>
      <c r="S52" s="1300"/>
      <c r="T52" s="1382">
        <f>R52*$AR52</f>
        <v>20868.268414977298</v>
      </c>
      <c r="U52" s="1383"/>
      <c r="V52" s="263"/>
      <c r="W52" s="263"/>
      <c r="X52" s="263"/>
      <c r="Y52" s="263"/>
      <c r="Z52" s="263"/>
      <c r="AA52" s="263"/>
      <c r="AB52" s="263"/>
      <c r="AC52" s="263"/>
      <c r="AD52" s="263"/>
      <c r="AE52" s="263"/>
      <c r="AF52" s="263"/>
      <c r="AG52" s="263"/>
      <c r="AH52" s="263"/>
      <c r="AI52" s="263"/>
      <c r="AJ52" s="263"/>
      <c r="AK52" s="264"/>
      <c r="AL52" s="258"/>
      <c r="AM52" s="258"/>
      <c r="AN52" s="258">
        <v>2</v>
      </c>
      <c r="AO52" s="258">
        <v>1</v>
      </c>
      <c r="AP52" s="258"/>
      <c r="AQ52" s="258"/>
      <c r="AR52" s="265">
        <f>AM52*12.01+AN52*1.008+AO52*16+AP52*14+AQ52*32</f>
        <v>18.015999999999998</v>
      </c>
      <c r="AS52" s="259"/>
      <c r="AT52" s="258"/>
      <c r="AU52" s="258"/>
      <c r="AV52" s="258"/>
      <c r="AW52" s="258"/>
      <c r="AX52" s="258"/>
      <c r="AY52" s="258"/>
      <c r="AZ52" s="238"/>
      <c r="BA52" s="238"/>
      <c r="BB52" s="238"/>
      <c r="BC52" s="238"/>
      <c r="BD52" s="238"/>
      <c r="BE52" s="239" t="s">
        <v>661</v>
      </c>
      <c r="BF52" s="239">
        <v>0</v>
      </c>
      <c r="BG52" s="239">
        <v>0</v>
      </c>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row>
    <row r="53" spans="1:94" s="240" customFormat="1" ht="14.25" customHeight="1">
      <c r="A53" s="1391" t="s">
        <v>663</v>
      </c>
      <c r="B53" s="1392"/>
      <c r="C53" s="1392"/>
      <c r="D53" s="1392"/>
      <c r="E53" s="1393"/>
      <c r="F53" s="1394">
        <f>SUM(F32:F52)</f>
        <v>1</v>
      </c>
      <c r="G53" s="1395"/>
      <c r="H53" s="1371">
        <f>SUM(H32:H52)</f>
        <v>581.57568238213412</v>
      </c>
      <c r="I53" s="1373"/>
      <c r="J53" s="1396">
        <f>SUM(J32:J52)</f>
        <v>5539.3699042892622</v>
      </c>
      <c r="K53" s="1396"/>
      <c r="L53" s="1371">
        <f>SUM(L32:L52)</f>
        <v>0</v>
      </c>
      <c r="M53" s="1372"/>
      <c r="N53" s="1385">
        <f>SUM(N32:N52)</f>
        <v>169134.61224410677</v>
      </c>
      <c r="O53" s="1386"/>
      <c r="P53" s="1385">
        <f>SUM(P32:P52)</f>
        <v>1</v>
      </c>
      <c r="Q53" s="1386"/>
      <c r="R53" s="1371">
        <f>SUM(R32:R52)</f>
        <v>6122.0462800326659</v>
      </c>
      <c r="S53" s="1373"/>
      <c r="T53" s="1387">
        <f>SUM(T32:T52)</f>
        <v>169096.84279891202</v>
      </c>
      <c r="U53" s="1388"/>
      <c r="V53" s="275"/>
      <c r="W53" s="275"/>
      <c r="X53" s="30"/>
      <c r="Y53" s="30"/>
      <c r="Z53" s="276"/>
      <c r="AA53" s="276"/>
      <c r="AB53" s="30"/>
      <c r="AC53" s="30"/>
      <c r="AD53" s="277"/>
      <c r="AE53" s="277"/>
      <c r="AF53" s="263"/>
      <c r="AG53" s="263"/>
      <c r="AH53" s="30"/>
      <c r="AI53" s="30"/>
      <c r="AJ53" s="277"/>
      <c r="AK53" s="278"/>
      <c r="AL53" s="238"/>
      <c r="AM53" s="238"/>
      <c r="AN53" s="238"/>
      <c r="AO53" s="238"/>
      <c r="AP53" s="238"/>
      <c r="AQ53" s="238"/>
      <c r="AR53" s="238"/>
      <c r="AS53" s="238"/>
      <c r="AT53" s="238"/>
      <c r="AU53" s="238"/>
      <c r="AV53" s="238"/>
      <c r="AW53" s="238"/>
      <c r="AX53" s="238"/>
      <c r="AY53" s="238"/>
      <c r="AZ53" s="238"/>
      <c r="BA53" s="238"/>
      <c r="BB53" s="238"/>
      <c r="BC53" s="238"/>
      <c r="BD53" s="238"/>
      <c r="BE53" s="239" t="s">
        <v>662</v>
      </c>
      <c r="BF53" s="239">
        <v>0</v>
      </c>
      <c r="BG53" s="239">
        <v>0</v>
      </c>
      <c r="BH53" s="238"/>
      <c r="BI53" s="238"/>
      <c r="BJ53" s="238"/>
      <c r="BK53" s="238"/>
      <c r="BL53" s="238"/>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38"/>
      <c r="CN53" s="238"/>
      <c r="CO53" s="238"/>
      <c r="CP53" s="238"/>
    </row>
    <row r="54" spans="1:94" s="240" customFormat="1" ht="14.25" customHeight="1">
      <c r="A54" s="475" t="s">
        <v>665</v>
      </c>
      <c r="B54" s="476"/>
      <c r="C54" s="476"/>
      <c r="D54" s="476"/>
      <c r="E54" s="435"/>
      <c r="F54" s="435"/>
      <c r="G54" s="435"/>
      <c r="H54" s="435"/>
      <c r="I54" s="435"/>
      <c r="J54" s="435"/>
      <c r="K54" s="435"/>
      <c r="L54" s="1189" t="s">
        <v>666</v>
      </c>
      <c r="M54" s="1190"/>
      <c r="N54" s="477"/>
      <c r="O54" s="484" t="s">
        <v>617</v>
      </c>
      <c r="P54" s="1558" t="s">
        <v>332</v>
      </c>
      <c r="Q54" s="1558"/>
      <c r="R54" s="477"/>
      <c r="U54" s="477"/>
      <c r="V54" s="479"/>
      <c r="W54" s="479"/>
      <c r="X54" s="1482"/>
      <c r="Y54" s="1482"/>
      <c r="Z54" s="1482"/>
      <c r="AA54" s="1482"/>
      <c r="AB54" s="1482"/>
      <c r="AC54" s="1482"/>
      <c r="AD54" s="1482"/>
      <c r="AE54" s="1482"/>
      <c r="AF54" s="1482"/>
      <c r="AG54" s="479"/>
      <c r="AH54" s="479"/>
      <c r="AI54" s="479"/>
      <c r="AJ54" s="479"/>
      <c r="AK54" s="480"/>
      <c r="AL54" s="481"/>
      <c r="AM54" s="238"/>
      <c r="AN54" s="238"/>
      <c r="AO54" s="238"/>
      <c r="AP54" s="238"/>
      <c r="AQ54" s="238"/>
      <c r="AR54" s="238"/>
      <c r="AS54" s="238"/>
      <c r="AT54" s="238"/>
      <c r="AU54" s="238"/>
      <c r="AV54" s="238"/>
      <c r="AW54" s="238"/>
      <c r="AX54" s="238"/>
      <c r="AY54" s="238"/>
      <c r="AZ54" s="238"/>
      <c r="BA54" s="238"/>
      <c r="BB54" s="238"/>
      <c r="BC54" s="238"/>
      <c r="BD54" s="238"/>
      <c r="BE54" s="239" t="s">
        <v>664</v>
      </c>
      <c r="BF54" s="239">
        <v>0</v>
      </c>
      <c r="BG54" s="239">
        <v>0</v>
      </c>
      <c r="BH54" s="238"/>
      <c r="BI54" s="238"/>
      <c r="BJ54" s="238"/>
      <c r="BK54" s="238"/>
      <c r="BL54" s="238"/>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38"/>
      <c r="CN54" s="238"/>
      <c r="CO54" s="238"/>
      <c r="CP54" s="238"/>
    </row>
    <row r="55" spans="1:94" s="240" customFormat="1" ht="14.25" customHeight="1">
      <c r="A55" s="483" t="s">
        <v>748</v>
      </c>
      <c r="B55" s="484"/>
      <c r="C55" s="484"/>
      <c r="D55" s="484"/>
      <c r="E55" s="484"/>
      <c r="F55" s="484"/>
      <c r="G55" s="484"/>
      <c r="H55" s="484"/>
      <c r="I55" s="484"/>
      <c r="J55" s="484"/>
      <c r="K55" s="484"/>
      <c r="L55" s="1185">
        <f>N55*1000/3600</f>
        <v>0.14829098609893082</v>
      </c>
      <c r="M55" s="1556"/>
      <c r="N55" s="1557">
        <f>AI17*X25</f>
        <v>0.53384754995615091</v>
      </c>
      <c r="O55" s="1557"/>
      <c r="P55" s="1559">
        <f>N55*24*6/1000</f>
        <v>7.6874047193685721E-2</v>
      </c>
      <c r="Q55" s="1559"/>
      <c r="V55" s="484"/>
      <c r="W55" s="484"/>
      <c r="X55" s="484"/>
      <c r="Y55" s="1483"/>
      <c r="Z55" s="1483"/>
      <c r="AA55" s="484"/>
      <c r="AB55" s="484"/>
      <c r="AC55" s="1484"/>
      <c r="AD55" s="1484"/>
      <c r="AE55" s="1390"/>
      <c r="AF55" s="1390"/>
      <c r="AG55" s="484"/>
      <c r="AH55" s="484"/>
      <c r="AI55" s="484"/>
      <c r="AJ55" s="485"/>
      <c r="AK55" s="486"/>
      <c r="AL55" s="238"/>
      <c r="AM55" s="238"/>
      <c r="AN55" s="281"/>
      <c r="AO55" s="238"/>
      <c r="AP55" s="238"/>
      <c r="AQ55" s="238"/>
      <c r="AR55" s="238"/>
      <c r="AS55" s="238"/>
      <c r="AT55" s="238"/>
      <c r="AU55" s="238"/>
      <c r="AV55" s="238"/>
      <c r="AW55" s="238"/>
      <c r="AX55" s="238"/>
      <c r="AY55" s="238"/>
      <c r="AZ55" s="238"/>
      <c r="BA55" s="238"/>
      <c r="BB55" s="238"/>
      <c r="BC55" s="238"/>
      <c r="BD55" s="238"/>
      <c r="BE55" s="239" t="s">
        <v>667</v>
      </c>
      <c r="BF55" s="239">
        <v>0</v>
      </c>
      <c r="BG55" s="239">
        <v>4.4999999999999997E-3</v>
      </c>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38"/>
      <c r="CN55" s="238"/>
      <c r="CO55" s="238"/>
      <c r="CP55" s="238"/>
    </row>
    <row r="56" spans="1:94" s="240" customFormat="1" ht="14.25" customHeight="1">
      <c r="A56" s="273" t="s">
        <v>668</v>
      </c>
      <c r="B56" s="30"/>
      <c r="C56" s="30"/>
      <c r="D56" s="30"/>
      <c r="E56" s="30"/>
      <c r="F56" s="30"/>
      <c r="G56" s="30"/>
      <c r="H56" s="30"/>
      <c r="I56" s="30"/>
      <c r="J56" s="30"/>
      <c r="K56" s="30"/>
      <c r="L56" s="1185">
        <f t="shared" ref="L56:L61" si="10">N56*1000/3600</f>
        <v>4.3488468861607235</v>
      </c>
      <c r="M56" s="1556"/>
      <c r="N56" s="1560">
        <f>W17*$X$25</f>
        <v>15.655848790178602</v>
      </c>
      <c r="O56" s="1560"/>
      <c r="P56" s="1559">
        <f t="shared" ref="P56:P62" si="11">N56*24*6/1000</f>
        <v>2.2544422257857186</v>
      </c>
      <c r="Q56" s="1559"/>
      <c r="T56" s="860"/>
      <c r="U56" s="860"/>
      <c r="V56" s="30"/>
      <c r="W56" s="30"/>
      <c r="X56" s="30"/>
      <c r="Y56" s="1485"/>
      <c r="Z56" s="1485"/>
      <c r="AA56" s="30"/>
      <c r="AB56" s="30"/>
      <c r="AC56" s="1486"/>
      <c r="AD56" s="1486"/>
      <c r="AE56" s="860"/>
      <c r="AF56" s="860"/>
      <c r="AG56" s="30"/>
      <c r="AH56" s="30"/>
      <c r="AI56" s="30"/>
      <c r="AJ56" s="30"/>
      <c r="AK56" s="253"/>
      <c r="AL56" s="238"/>
      <c r="AM56" s="238"/>
      <c r="AN56" s="238"/>
      <c r="AO56" s="482"/>
      <c r="AP56" s="238"/>
      <c r="AQ56" s="238"/>
      <c r="AR56" s="238"/>
      <c r="AS56" s="238"/>
      <c r="AT56" s="238"/>
      <c r="AU56" s="238"/>
      <c r="AV56" s="238"/>
      <c r="AW56" s="238"/>
      <c r="AX56" s="238"/>
      <c r="AY56" s="238"/>
      <c r="AZ56" s="238"/>
      <c r="BA56" s="238"/>
      <c r="BB56" s="238"/>
      <c r="BC56" s="238"/>
      <c r="BD56" s="238"/>
      <c r="BE56" s="239" t="s">
        <v>669</v>
      </c>
      <c r="BF56" s="239">
        <v>0</v>
      </c>
      <c r="BG56" s="239">
        <v>1.5800000000000002E-2</v>
      </c>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38"/>
      <c r="CN56" s="238"/>
      <c r="CO56" s="238"/>
      <c r="CP56" s="238"/>
    </row>
    <row r="57" spans="1:94" s="240" customFormat="1" ht="14.25" customHeight="1">
      <c r="A57" s="273" t="s">
        <v>670</v>
      </c>
      <c r="B57" s="30"/>
      <c r="C57" s="30"/>
      <c r="D57" s="30"/>
      <c r="E57" s="30"/>
      <c r="F57" s="30"/>
      <c r="G57" s="30"/>
      <c r="H57" s="30"/>
      <c r="I57" s="30"/>
      <c r="J57" s="30"/>
      <c r="K57" s="30"/>
      <c r="L57" s="1185">
        <f t="shared" si="10"/>
        <v>23.66284335116864</v>
      </c>
      <c r="M57" s="1556"/>
      <c r="N57" s="1560">
        <f>AC17*$X$25</f>
        <v>85.186236064207094</v>
      </c>
      <c r="O57" s="1560"/>
      <c r="P57" s="1559">
        <f t="shared" si="11"/>
        <v>12.266817993245823</v>
      </c>
      <c r="Q57" s="1559"/>
      <c r="T57" s="473"/>
      <c r="U57" s="473"/>
      <c r="V57" s="30"/>
      <c r="W57" s="30"/>
      <c r="X57" s="30"/>
      <c r="Y57" s="1485"/>
      <c r="Z57" s="1485"/>
      <c r="AA57" s="30"/>
      <c r="AB57" s="30"/>
      <c r="AC57" s="1486"/>
      <c r="AD57" s="1486"/>
      <c r="AE57" s="473"/>
      <c r="AF57" s="473"/>
      <c r="AG57" s="30"/>
      <c r="AH57" s="30"/>
      <c r="AI57" s="30"/>
      <c r="AJ57" s="30"/>
      <c r="AK57" s="253"/>
      <c r="AL57" s="238"/>
      <c r="AM57" s="238"/>
      <c r="AN57" s="238"/>
      <c r="AO57" s="482"/>
      <c r="AP57" s="238"/>
      <c r="AQ57" s="238"/>
      <c r="AR57" s="238"/>
      <c r="AS57" s="238"/>
      <c r="AT57" s="238"/>
      <c r="AU57" s="238"/>
      <c r="AV57" s="238"/>
      <c r="AW57" s="238"/>
      <c r="AX57" s="238"/>
      <c r="AY57" s="238"/>
      <c r="AZ57" s="238"/>
      <c r="BA57" s="238"/>
      <c r="BB57" s="238"/>
      <c r="BC57" s="238"/>
      <c r="BD57" s="238"/>
      <c r="BE57" s="239"/>
      <c r="BF57" s="239"/>
      <c r="BG57" s="239"/>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38"/>
      <c r="CN57" s="238"/>
      <c r="CO57" s="238"/>
      <c r="CP57" s="238"/>
    </row>
    <row r="58" spans="1:94" s="240" customFormat="1" ht="14.25" customHeight="1">
      <c r="A58" s="273" t="s">
        <v>673</v>
      </c>
      <c r="B58" s="30"/>
      <c r="C58" s="30"/>
      <c r="D58" s="30"/>
      <c r="E58" s="30"/>
      <c r="F58" s="30"/>
      <c r="G58" s="30"/>
      <c r="H58" s="30"/>
      <c r="I58" s="30"/>
      <c r="J58" s="30"/>
      <c r="K58" s="30"/>
      <c r="L58" s="1187">
        <f t="shared" si="10"/>
        <v>0</v>
      </c>
      <c r="M58" s="1562"/>
      <c r="N58" s="1560">
        <f>W22*$X$25</f>
        <v>0</v>
      </c>
      <c r="O58" s="1560"/>
      <c r="P58" s="1559">
        <f t="shared" si="11"/>
        <v>0</v>
      </c>
      <c r="Q58" s="1559"/>
      <c r="T58" s="860"/>
      <c r="U58" s="860"/>
      <c r="V58" s="30"/>
      <c r="W58" s="30"/>
      <c r="X58" s="30"/>
      <c r="Y58" s="1485"/>
      <c r="Z58" s="1485"/>
      <c r="AA58" s="30"/>
      <c r="AB58" s="30"/>
      <c r="AC58" s="1486"/>
      <c r="AD58" s="1486"/>
      <c r="AE58" s="860"/>
      <c r="AF58" s="860"/>
      <c r="AG58" s="30"/>
      <c r="AH58" s="30"/>
      <c r="AI58" s="30"/>
      <c r="AJ58" s="30"/>
      <c r="AK58" s="253"/>
      <c r="AL58" s="238"/>
      <c r="AM58" s="238"/>
      <c r="AN58" s="238"/>
      <c r="AO58" s="482"/>
      <c r="AP58" s="238"/>
      <c r="AQ58" s="238"/>
      <c r="AR58" s="238"/>
      <c r="AS58" s="238"/>
      <c r="AT58" s="238"/>
      <c r="AU58" s="238"/>
      <c r="AV58" s="238"/>
      <c r="AW58" s="238"/>
      <c r="AX58" s="238"/>
      <c r="AY58" s="238"/>
      <c r="AZ58" s="238"/>
      <c r="BA58" s="238"/>
      <c r="BB58" s="238"/>
      <c r="BC58" s="238"/>
      <c r="BD58" s="238"/>
      <c r="BE58" s="239"/>
      <c r="BF58" s="239"/>
      <c r="BG58" s="239"/>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row>
    <row r="59" spans="1:94" s="240" customFormat="1" ht="14.25" customHeight="1">
      <c r="A59" s="273" t="s">
        <v>672</v>
      </c>
      <c r="B59" s="30"/>
      <c r="C59" s="30"/>
      <c r="D59" s="30"/>
      <c r="E59" s="30"/>
      <c r="F59" s="30"/>
      <c r="G59" s="30"/>
      <c r="H59" s="30"/>
      <c r="I59" s="30"/>
      <c r="J59" s="30"/>
      <c r="K59" s="30"/>
      <c r="L59" s="1185">
        <f t="shared" si="10"/>
        <v>8.9535082950367837</v>
      </c>
      <c r="M59" s="1556"/>
      <c r="N59" s="1561">
        <f>K22*$X$25</f>
        <v>32.23262986213242</v>
      </c>
      <c r="O59" s="1561"/>
      <c r="P59" s="1559">
        <f t="shared" si="11"/>
        <v>4.6414987001470678</v>
      </c>
      <c r="Q59" s="1559"/>
      <c r="T59" s="473"/>
      <c r="U59" s="473"/>
      <c r="V59" s="30"/>
      <c r="W59" s="30"/>
      <c r="X59" s="30"/>
      <c r="Y59" s="1485"/>
      <c r="Z59" s="1485"/>
      <c r="AA59" s="30"/>
      <c r="AB59" s="30"/>
      <c r="AC59" s="1486"/>
      <c r="AD59" s="1486"/>
      <c r="AE59" s="473"/>
      <c r="AF59" s="473"/>
      <c r="AG59" s="30"/>
      <c r="AH59" s="30"/>
      <c r="AI59" s="30"/>
      <c r="AJ59" s="30"/>
      <c r="AK59" s="253"/>
      <c r="AL59" s="238"/>
      <c r="AM59" s="238"/>
      <c r="AN59" s="238"/>
      <c r="AO59" s="482"/>
      <c r="AP59" s="238"/>
      <c r="AQ59" s="238"/>
      <c r="AR59" s="238"/>
      <c r="AS59" s="238"/>
      <c r="AT59" s="238"/>
      <c r="AU59" s="238"/>
      <c r="AV59" s="238"/>
      <c r="AW59" s="238"/>
      <c r="AX59" s="238"/>
      <c r="AY59" s="238"/>
      <c r="AZ59" s="238"/>
      <c r="BA59" s="238"/>
      <c r="BB59" s="238"/>
      <c r="BC59" s="238"/>
      <c r="BD59" s="238"/>
      <c r="BE59" s="239"/>
      <c r="BF59" s="239"/>
      <c r="BG59" s="239"/>
      <c r="BH59" s="238"/>
      <c r="BI59" s="238"/>
      <c r="BJ59" s="238"/>
      <c r="BK59" s="238"/>
      <c r="BL59" s="238"/>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38"/>
      <c r="CN59" s="238"/>
      <c r="CO59" s="238"/>
      <c r="CP59" s="238"/>
    </row>
    <row r="60" spans="1:94" s="240" customFormat="1" ht="14.25" customHeight="1">
      <c r="A60" s="273" t="s">
        <v>675</v>
      </c>
      <c r="B60" s="30"/>
      <c r="C60" s="30"/>
      <c r="D60" s="30"/>
      <c r="E60" s="30"/>
      <c r="F60" s="30"/>
      <c r="G60" s="30"/>
      <c r="H60" s="30"/>
      <c r="I60" s="30"/>
      <c r="J60" s="30"/>
      <c r="K60" s="30"/>
      <c r="L60" s="1187">
        <f t="shared" si="10"/>
        <v>0</v>
      </c>
      <c r="M60" s="1562"/>
      <c r="N60" s="1565"/>
      <c r="O60" s="1565"/>
      <c r="P60" s="1559">
        <f t="shared" si="11"/>
        <v>0</v>
      </c>
      <c r="Q60" s="1559"/>
      <c r="T60" s="473"/>
      <c r="U60" s="473"/>
      <c r="V60" s="30"/>
      <c r="W60" s="30"/>
      <c r="X60" s="30"/>
      <c r="Y60" s="1485"/>
      <c r="Z60" s="1485"/>
      <c r="AA60" s="30"/>
      <c r="AB60" s="30"/>
      <c r="AC60" s="1486"/>
      <c r="AD60" s="1486"/>
      <c r="AE60" s="473"/>
      <c r="AF60" s="473"/>
      <c r="AG60" s="30"/>
      <c r="AH60" s="30"/>
      <c r="AI60" s="30"/>
      <c r="AJ60" s="30"/>
      <c r="AK60" s="253"/>
      <c r="AL60" s="238"/>
      <c r="AM60" s="238"/>
      <c r="AN60" s="238"/>
      <c r="AO60" s="482"/>
      <c r="AP60" s="238"/>
      <c r="AQ60" s="238"/>
      <c r="AR60" s="238"/>
      <c r="AS60" s="238"/>
      <c r="AT60" s="238"/>
      <c r="AU60" s="238"/>
      <c r="AV60" s="238"/>
      <c r="AW60" s="238"/>
      <c r="AX60" s="238"/>
      <c r="AY60" s="238"/>
      <c r="AZ60" s="238"/>
      <c r="BA60" s="238"/>
      <c r="BB60" s="238"/>
      <c r="BC60" s="238"/>
      <c r="BD60" s="238"/>
      <c r="BE60" s="239"/>
      <c r="BF60" s="239"/>
      <c r="BG60" s="239"/>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row>
    <row r="61" spans="1:94" s="240" customFormat="1" ht="14.25" customHeight="1">
      <c r="A61" s="273" t="s">
        <v>676</v>
      </c>
      <c r="B61" s="30"/>
      <c r="C61" s="30"/>
      <c r="D61" s="30"/>
      <c r="E61" s="30"/>
      <c r="F61" s="30"/>
      <c r="G61" s="30"/>
      <c r="H61" s="30"/>
      <c r="I61" s="30"/>
      <c r="J61" s="30"/>
      <c r="K61" s="30"/>
      <c r="L61" s="1187">
        <f t="shared" si="10"/>
        <v>0</v>
      </c>
      <c r="M61" s="1562"/>
      <c r="N61" s="1565"/>
      <c r="O61" s="1565"/>
      <c r="P61" s="1559">
        <f t="shared" si="11"/>
        <v>0</v>
      </c>
      <c r="Q61" s="1559"/>
      <c r="T61" s="30"/>
      <c r="U61" s="30"/>
      <c r="V61" s="30"/>
      <c r="W61" s="30"/>
      <c r="X61" s="30"/>
      <c r="Y61" s="1485"/>
      <c r="Z61" s="1485"/>
      <c r="AA61" s="30"/>
      <c r="AB61" s="30"/>
      <c r="AC61" s="1486"/>
      <c r="AD61" s="1486"/>
      <c r="AE61" s="30"/>
      <c r="AF61" s="30"/>
      <c r="AG61" s="30"/>
      <c r="AH61" s="30"/>
      <c r="AI61" s="30"/>
      <c r="AJ61" s="30"/>
      <c r="AK61" s="253"/>
      <c r="AL61" s="238"/>
      <c r="AM61" s="238"/>
      <c r="AN61" s="238"/>
      <c r="AO61" s="281"/>
      <c r="AP61" s="238"/>
      <c r="AQ61" s="238"/>
      <c r="AR61" s="238"/>
      <c r="AS61" s="238"/>
      <c r="AT61" s="238"/>
      <c r="AU61" s="238"/>
      <c r="AV61" s="238"/>
      <c r="AW61" s="238"/>
      <c r="AX61" s="238"/>
      <c r="AY61" s="238"/>
      <c r="AZ61" s="238"/>
      <c r="BA61" s="238"/>
      <c r="BB61" s="238"/>
      <c r="BC61" s="238"/>
      <c r="BD61" s="238"/>
      <c r="BE61" s="239"/>
      <c r="BF61" s="239"/>
      <c r="BG61" s="239"/>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row>
    <row r="62" spans="1:94" s="240" customFormat="1" ht="14.25" customHeight="1">
      <c r="A62" s="273" t="s">
        <v>677</v>
      </c>
      <c r="B62" s="30"/>
      <c r="C62" s="30"/>
      <c r="D62" s="30"/>
      <c r="E62" s="30"/>
      <c r="F62" s="30"/>
      <c r="G62" s="30"/>
      <c r="H62" s="30"/>
      <c r="I62" s="30"/>
      <c r="J62" s="30"/>
      <c r="K62" s="30"/>
      <c r="L62" s="1246">
        <f>N62*1000/3600</f>
        <v>7116.7868927795644</v>
      </c>
      <c r="M62" s="1563"/>
      <c r="N62" s="1564">
        <f>X25*CO2eEF!I28</f>
        <v>25620.432814006432</v>
      </c>
      <c r="O62" s="1564"/>
      <c r="P62" s="1413">
        <f t="shared" si="11"/>
        <v>3689.3423252169264</v>
      </c>
      <c r="Q62" s="1413"/>
      <c r="T62" s="284"/>
      <c r="U62" s="284"/>
      <c r="V62" s="284"/>
      <c r="W62" s="284"/>
      <c r="X62" s="284"/>
      <c r="Y62" s="1487"/>
      <c r="Z62" s="1487"/>
      <c r="AA62" s="593"/>
      <c r="AB62" s="594"/>
      <c r="AC62" s="1488"/>
      <c r="AD62" s="1488"/>
      <c r="AE62" s="30"/>
      <c r="AF62" s="30"/>
      <c r="AG62" s="30"/>
      <c r="AH62" s="30"/>
      <c r="AI62" s="30"/>
      <c r="AJ62" s="30"/>
      <c r="AK62" s="253"/>
      <c r="AL62" s="238"/>
      <c r="AM62" s="238"/>
      <c r="AN62" s="238"/>
      <c r="AO62" s="281"/>
      <c r="AP62" s="238"/>
      <c r="AQ62" s="238"/>
      <c r="AR62" s="238"/>
      <c r="AS62" s="238"/>
      <c r="AT62" s="238"/>
      <c r="AU62" s="238"/>
      <c r="AV62" s="238"/>
      <c r="AW62" s="238"/>
      <c r="AX62" s="238"/>
      <c r="AY62" s="238"/>
      <c r="AZ62" s="238"/>
      <c r="BA62" s="238"/>
      <c r="BB62" s="238"/>
      <c r="BC62" s="238"/>
      <c r="BD62" s="238"/>
      <c r="BE62" s="239"/>
      <c r="BF62" s="239"/>
      <c r="BG62" s="239"/>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row>
    <row r="63" spans="1:94" s="240" customFormat="1" ht="14.25" customHeight="1">
      <c r="A63" s="279" t="s">
        <v>749</v>
      </c>
      <c r="B63" s="132"/>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c r="AJ63" s="132"/>
      <c r="AK63" s="280"/>
      <c r="AL63" s="238"/>
      <c r="AM63" s="238"/>
      <c r="AN63" s="238"/>
      <c r="AO63" s="281"/>
      <c r="AP63" s="238"/>
      <c r="AQ63" s="238"/>
      <c r="AR63" s="238"/>
      <c r="AS63" s="238"/>
      <c r="AT63" s="238"/>
      <c r="AU63" s="238"/>
      <c r="AV63" s="238"/>
      <c r="AW63" s="238"/>
      <c r="AX63" s="238"/>
      <c r="AY63" s="238"/>
      <c r="AZ63" s="238"/>
      <c r="BA63" s="238"/>
      <c r="BB63" s="238"/>
      <c r="BC63" s="238"/>
      <c r="BD63" s="238"/>
      <c r="BE63" s="239"/>
      <c r="BF63" s="239"/>
      <c r="BG63" s="239"/>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row>
    <row r="64" spans="1:94" s="240" customFormat="1" ht="14.25" customHeight="1">
      <c r="A64" s="282" t="s">
        <v>31</v>
      </c>
      <c r="B64" s="30" t="s">
        <v>750</v>
      </c>
      <c r="C64" s="30"/>
      <c r="D64" s="30"/>
      <c r="E64" s="30"/>
      <c r="F64" s="30"/>
      <c r="G64" s="30"/>
      <c r="H64" s="30"/>
      <c r="I64" s="30"/>
      <c r="J64" s="30"/>
      <c r="K64" s="30"/>
      <c r="L64" s="30"/>
      <c r="M64" s="30"/>
      <c r="N64" s="283"/>
      <c r="O64" s="283"/>
      <c r="P64" s="283"/>
      <c r="Q64" s="30"/>
      <c r="R64" s="30"/>
      <c r="S64" s="30"/>
      <c r="T64" s="30"/>
      <c r="U64" s="30"/>
      <c r="V64" s="30"/>
      <c r="W64" s="30"/>
      <c r="X64" s="30"/>
      <c r="Y64" s="30"/>
      <c r="Z64" s="30"/>
      <c r="AA64" s="30"/>
      <c r="AB64" s="30"/>
      <c r="AC64" s="30"/>
      <c r="AD64" s="30"/>
      <c r="AE64" s="30"/>
      <c r="AF64" s="30"/>
      <c r="AG64" s="30"/>
      <c r="AH64" s="30"/>
      <c r="AI64" s="30"/>
      <c r="AJ64" s="30"/>
      <c r="AK64" s="253"/>
      <c r="AL64" s="238"/>
      <c r="AM64" s="238"/>
      <c r="AN64" s="238"/>
      <c r="AO64" s="238"/>
      <c r="AP64" s="238"/>
      <c r="AQ64" s="238"/>
      <c r="AR64" s="238"/>
      <c r="AS64" s="238"/>
      <c r="AT64" s="238"/>
      <c r="AU64" s="238"/>
      <c r="AV64" s="238"/>
      <c r="AW64" s="238"/>
      <c r="AX64" s="238"/>
      <c r="AY64" s="238"/>
      <c r="AZ64" s="238"/>
      <c r="BA64" s="238"/>
      <c r="BB64" s="238"/>
      <c r="BC64" s="238"/>
      <c r="BD64" s="238"/>
      <c r="BE64" s="239" t="s">
        <v>679</v>
      </c>
      <c r="BF64" s="239">
        <v>0</v>
      </c>
      <c r="BG64" s="239">
        <v>0</v>
      </c>
      <c r="BH64" s="238"/>
      <c r="BI64" s="238"/>
      <c r="BJ64" s="238"/>
      <c r="BK64" s="238"/>
      <c r="BL64" s="238"/>
      <c r="BM64" s="238"/>
      <c r="BN64" s="238"/>
      <c r="BO64" s="238"/>
      <c r="BP64" s="238"/>
      <c r="BQ64" s="238"/>
      <c r="BR64" s="238"/>
      <c r="BS64" s="238"/>
      <c r="BT64" s="238"/>
      <c r="BU64" s="238"/>
      <c r="BV64" s="238"/>
      <c r="BW64" s="238"/>
      <c r="BX64" s="238"/>
      <c r="BY64" s="238"/>
      <c r="BZ64" s="238"/>
      <c r="CA64" s="238"/>
      <c r="CB64" s="238"/>
      <c r="CC64" s="238"/>
      <c r="CD64" s="238"/>
      <c r="CE64" s="238"/>
      <c r="CF64" s="238"/>
      <c r="CG64" s="238"/>
      <c r="CH64" s="238"/>
      <c r="CI64" s="238"/>
      <c r="CJ64" s="238"/>
      <c r="CK64" s="238"/>
      <c r="CL64" s="238"/>
      <c r="CM64" s="238"/>
      <c r="CN64" s="238"/>
      <c r="CO64" s="238"/>
      <c r="CP64" s="238"/>
    </row>
    <row r="65" spans="1:94" ht="14.25" customHeight="1">
      <c r="A65" s="282" t="s">
        <v>33</v>
      </c>
      <c r="B65" s="31" t="s">
        <v>751</v>
      </c>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6"/>
      <c r="AL65" s="243"/>
      <c r="AM65" s="243"/>
      <c r="AN65" s="243"/>
      <c r="AO65" s="243"/>
      <c r="AP65" s="243"/>
      <c r="AQ65" s="243"/>
      <c r="AR65" s="243"/>
      <c r="AS65" s="243"/>
      <c r="AT65" s="243"/>
      <c r="AU65" s="243"/>
      <c r="AV65" s="243"/>
      <c r="AW65" s="243"/>
      <c r="AX65" s="243"/>
      <c r="AY65" s="243"/>
      <c r="AZ65" s="243"/>
      <c r="BA65" s="243"/>
      <c r="BB65" s="243"/>
      <c r="BC65" s="243"/>
      <c r="BD65" s="243"/>
      <c r="BE65" s="246" t="s">
        <v>681</v>
      </c>
      <c r="BF65" s="246">
        <v>0</v>
      </c>
      <c r="BG65" s="246">
        <v>0</v>
      </c>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c r="CM65" s="243"/>
      <c r="CN65" s="243"/>
      <c r="CO65" s="243"/>
      <c r="CP65" s="243"/>
    </row>
    <row r="66" spans="1:94" ht="14.25" customHeight="1">
      <c r="A66" s="282" t="s">
        <v>752</v>
      </c>
      <c r="B66" s="30" t="s">
        <v>753</v>
      </c>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6"/>
      <c r="AL66" s="243"/>
      <c r="AM66" s="243"/>
      <c r="AN66" s="243"/>
      <c r="AO66" s="243"/>
      <c r="AP66" s="243"/>
      <c r="AQ66" s="243"/>
      <c r="AR66" s="243"/>
      <c r="AS66" s="243"/>
      <c r="AT66" s="243"/>
      <c r="AU66" s="243"/>
      <c r="AV66" s="243"/>
      <c r="AW66" s="243"/>
      <c r="AX66" s="243"/>
      <c r="AY66" s="243"/>
      <c r="AZ66" s="243"/>
      <c r="BA66" s="243"/>
      <c r="BB66" s="243"/>
      <c r="BC66" s="243"/>
      <c r="BD66" s="243"/>
      <c r="BE66" s="246" t="s">
        <v>684</v>
      </c>
      <c r="BF66" s="246">
        <v>0</v>
      </c>
      <c r="BG66" s="246">
        <v>0</v>
      </c>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row>
    <row r="67" spans="1:94" ht="14.25" customHeight="1">
      <c r="A67" s="282" t="s">
        <v>38</v>
      </c>
      <c r="B67" s="31" t="s">
        <v>725</v>
      </c>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6"/>
      <c r="AL67" s="243"/>
      <c r="AM67" s="243"/>
      <c r="AN67" s="243"/>
      <c r="AO67" s="243"/>
      <c r="AP67" s="243"/>
      <c r="AQ67" s="243"/>
      <c r="AR67" s="243"/>
      <c r="AS67" s="243"/>
      <c r="AT67" s="243"/>
      <c r="AU67" s="243"/>
      <c r="AV67" s="243"/>
      <c r="AW67" s="243"/>
      <c r="AX67" s="243"/>
      <c r="AY67" s="243"/>
      <c r="AZ67" s="243"/>
      <c r="BA67" s="243"/>
      <c r="BB67" s="243"/>
      <c r="BC67" s="243"/>
      <c r="BD67" s="243"/>
      <c r="BE67" s="246"/>
      <c r="BF67" s="246"/>
      <c r="BG67" s="246"/>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c r="CM67" s="243"/>
      <c r="CN67" s="243"/>
      <c r="CO67" s="243"/>
      <c r="CP67" s="243"/>
    </row>
    <row r="68" spans="1:94" ht="13.15" customHeight="1">
      <c r="A68" s="282" t="s">
        <v>41</v>
      </c>
      <c r="B68" s="284" t="s">
        <v>726</v>
      </c>
      <c r="C68" s="487"/>
      <c r="D68" s="487"/>
      <c r="E68" s="487"/>
      <c r="F68" s="487"/>
      <c r="G68" s="487"/>
      <c r="H68" s="487"/>
      <c r="I68" s="487"/>
      <c r="J68" s="487"/>
      <c r="K68" s="487"/>
      <c r="L68" s="487"/>
      <c r="M68" s="487"/>
      <c r="N68" s="487"/>
      <c r="O68" s="487"/>
      <c r="P68" s="487"/>
      <c r="Q68" s="487"/>
      <c r="R68" s="487"/>
      <c r="S68" s="487"/>
      <c r="T68" s="487"/>
      <c r="U68" s="487"/>
      <c r="V68" s="487"/>
      <c r="W68" s="487"/>
      <c r="X68" s="487"/>
      <c r="Y68" s="487"/>
      <c r="Z68" s="487"/>
      <c r="AA68" s="487"/>
      <c r="AB68" s="487"/>
      <c r="AC68" s="487"/>
      <c r="AD68" s="487"/>
      <c r="AE68" s="487"/>
      <c r="AF68" s="487"/>
      <c r="AG68" s="487"/>
      <c r="AH68" s="487"/>
      <c r="AI68" s="487"/>
      <c r="AJ68" s="487"/>
      <c r="AK68" s="488"/>
      <c r="AL68" s="243"/>
      <c r="AM68" s="243"/>
      <c r="AN68" s="243"/>
      <c r="AO68" s="243"/>
      <c r="AP68" s="243"/>
      <c r="AQ68" s="243"/>
      <c r="AR68" s="243"/>
      <c r="AS68" s="243"/>
      <c r="AT68" s="243"/>
      <c r="AU68" s="243"/>
      <c r="AV68" s="243"/>
      <c r="AW68" s="243"/>
      <c r="AX68" s="243"/>
      <c r="AY68" s="243"/>
      <c r="AZ68" s="243"/>
      <c r="BA68" s="243"/>
      <c r="BB68" s="243"/>
      <c r="BC68" s="243"/>
      <c r="BD68" s="243"/>
      <c r="BE68" s="246" t="s">
        <v>686</v>
      </c>
      <c r="BF68" s="246">
        <v>0</v>
      </c>
      <c r="BG68" s="246">
        <v>0</v>
      </c>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c r="CM68" s="243"/>
      <c r="CN68" s="243"/>
      <c r="CO68" s="243"/>
      <c r="CP68" s="243"/>
    </row>
    <row r="69" spans="1:94">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9"/>
      <c r="AL69" s="289"/>
      <c r="AM69" s="289"/>
      <c r="AN69" s="289"/>
      <c r="AO69" s="289"/>
      <c r="AP69" s="289"/>
      <c r="AQ69" s="289"/>
      <c r="AR69" s="243"/>
      <c r="AS69" s="243"/>
      <c r="AT69" s="243"/>
      <c r="AU69" s="243"/>
      <c r="AV69" s="243"/>
      <c r="AW69" s="243"/>
      <c r="AX69" s="243"/>
      <c r="AY69" s="243"/>
      <c r="AZ69" s="243"/>
      <c r="BA69" s="243"/>
      <c r="BB69" s="243"/>
      <c r="BC69" s="243"/>
      <c r="BD69" s="243"/>
      <c r="BE69" s="246" t="s">
        <v>690</v>
      </c>
      <c r="BF69" s="246">
        <v>2.9999999999999997E-4</v>
      </c>
      <c r="BG69" s="246">
        <v>0</v>
      </c>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row>
    <row r="70" spans="1:94">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9"/>
      <c r="AL70" s="289"/>
      <c r="AM70" s="289"/>
      <c r="AN70" s="289"/>
      <c r="AO70" s="289"/>
      <c r="AP70" s="289"/>
      <c r="AQ70" s="289"/>
      <c r="AR70" s="243"/>
      <c r="AS70" s="243"/>
      <c r="AT70" s="243"/>
      <c r="AU70" s="243"/>
      <c r="AV70" s="243"/>
      <c r="AW70" s="243"/>
      <c r="AX70" s="243"/>
      <c r="AY70" s="243"/>
      <c r="AZ70" s="243"/>
      <c r="BA70" s="243"/>
      <c r="BB70" s="243"/>
      <c r="BC70" s="243"/>
      <c r="BD70" s="243"/>
      <c r="BE70" s="246" t="s">
        <v>691</v>
      </c>
      <c r="BF70" s="246">
        <v>0</v>
      </c>
      <c r="BG70" s="246">
        <v>0</v>
      </c>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row>
    <row r="71" spans="1:94">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9"/>
      <c r="AL71" s="289"/>
      <c r="AM71" s="289"/>
      <c r="AN71" s="289"/>
      <c r="AO71" s="289"/>
      <c r="AP71" s="289"/>
      <c r="AQ71" s="289"/>
      <c r="AR71" s="243"/>
      <c r="AS71" s="243"/>
      <c r="AT71" s="243"/>
      <c r="AU71" s="243"/>
      <c r="AV71" s="243"/>
      <c r="AW71" s="243"/>
      <c r="AX71" s="243"/>
      <c r="AY71" s="243"/>
      <c r="AZ71" s="243"/>
      <c r="BA71" s="243"/>
      <c r="BB71" s="243"/>
      <c r="BC71" s="243"/>
      <c r="BD71" s="243"/>
      <c r="BE71" s="246" t="s">
        <v>692</v>
      </c>
      <c r="BF71" s="246">
        <v>0</v>
      </c>
      <c r="BG71" s="246">
        <v>0</v>
      </c>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row>
    <row r="72" spans="1:94">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9"/>
      <c r="AL72" s="289"/>
      <c r="AM72" s="289"/>
      <c r="AN72" s="289"/>
      <c r="AO72" s="289"/>
      <c r="AP72" s="289"/>
      <c r="AQ72" s="289"/>
      <c r="AR72" s="243"/>
      <c r="AS72" s="243"/>
      <c r="AT72" s="243"/>
      <c r="AU72" s="243"/>
      <c r="AV72" s="243"/>
      <c r="AW72" s="243"/>
      <c r="AX72" s="243"/>
      <c r="AY72" s="243"/>
      <c r="AZ72" s="243"/>
      <c r="BA72" s="243"/>
      <c r="BB72" s="243"/>
      <c r="BC72" s="243"/>
      <c r="BD72" s="243"/>
      <c r="BE72" s="246" t="s">
        <v>693</v>
      </c>
      <c r="BF72" s="246">
        <v>0</v>
      </c>
      <c r="BG72" s="246">
        <v>0</v>
      </c>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row>
    <row r="73" spans="1:94">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9"/>
      <c r="AL73" s="289"/>
      <c r="AM73" s="289"/>
      <c r="AN73" s="289"/>
      <c r="AO73" s="289"/>
      <c r="AP73" s="289"/>
      <c r="AQ73" s="289"/>
      <c r="AR73" s="243"/>
      <c r="AS73" s="243"/>
      <c r="AT73" s="243"/>
      <c r="AU73" s="243"/>
      <c r="AV73" s="243"/>
      <c r="AW73" s="243"/>
      <c r="AX73" s="243"/>
      <c r="AY73" s="243"/>
      <c r="AZ73" s="243"/>
      <c r="BA73" s="243"/>
      <c r="BB73" s="243"/>
      <c r="BC73" s="243"/>
      <c r="BD73" s="243"/>
      <c r="BE73" s="246" t="s">
        <v>694</v>
      </c>
      <c r="BF73" s="246">
        <v>0</v>
      </c>
      <c r="BG73" s="246">
        <v>0</v>
      </c>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243"/>
      <c r="CO73" s="243"/>
      <c r="CP73" s="243"/>
    </row>
    <row r="74" spans="1:94">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9"/>
      <c r="AL74" s="289"/>
      <c r="AM74" s="289"/>
      <c r="AN74" s="289"/>
      <c r="AO74" s="289"/>
      <c r="AP74" s="289"/>
      <c r="AQ74" s="289"/>
      <c r="AR74" s="243"/>
      <c r="AS74" s="243"/>
      <c r="AT74" s="243"/>
      <c r="AU74" s="243"/>
      <c r="AV74" s="243"/>
      <c r="AW74" s="243"/>
      <c r="AX74" s="243"/>
      <c r="AY74" s="243"/>
      <c r="AZ74" s="243"/>
      <c r="BA74" s="243"/>
      <c r="BB74" s="243"/>
      <c r="BC74" s="243"/>
      <c r="BD74" s="243"/>
      <c r="BE74" s="246" t="s">
        <v>695</v>
      </c>
      <c r="BF74" s="246">
        <v>0</v>
      </c>
      <c r="BG74" s="246">
        <v>0</v>
      </c>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row>
    <row r="75" spans="1:94">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9"/>
      <c r="AL75" s="289"/>
      <c r="AM75" s="289"/>
      <c r="AN75" s="289"/>
      <c r="AO75" s="289"/>
      <c r="AP75" s="289"/>
      <c r="AQ75" s="289"/>
      <c r="AR75" s="243"/>
      <c r="AS75" s="243"/>
      <c r="AT75" s="243"/>
      <c r="AU75" s="243"/>
      <c r="AV75" s="243"/>
      <c r="AW75" s="243"/>
      <c r="AX75" s="243"/>
      <c r="AY75" s="243"/>
      <c r="AZ75" s="243"/>
      <c r="BA75" s="243"/>
      <c r="BB75" s="243"/>
      <c r="BC75" s="243"/>
      <c r="BD75" s="243"/>
      <c r="BE75" s="246" t="s">
        <v>696</v>
      </c>
      <c r="BF75" s="246">
        <v>0</v>
      </c>
      <c r="BG75" s="246">
        <v>0</v>
      </c>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row>
    <row r="76" spans="1:94">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8"/>
      <c r="AH76" s="288"/>
      <c r="AI76" s="288"/>
      <c r="AJ76" s="288"/>
      <c r="AK76" s="289"/>
      <c r="AL76" s="289"/>
      <c r="AM76" s="289"/>
      <c r="AN76" s="289"/>
      <c r="AO76" s="289"/>
      <c r="AP76" s="289"/>
      <c r="AQ76" s="289"/>
      <c r="AR76" s="243"/>
      <c r="AS76" s="243"/>
      <c r="AT76" s="243"/>
      <c r="AU76" s="243"/>
      <c r="AV76" s="243"/>
      <c r="AW76" s="243"/>
      <c r="AX76" s="243"/>
      <c r="AY76" s="243"/>
      <c r="AZ76" s="243"/>
      <c r="BA76" s="243"/>
      <c r="BB76" s="243"/>
      <c r="BC76" s="243"/>
      <c r="BD76" s="243"/>
      <c r="BE76" s="246" t="s">
        <v>697</v>
      </c>
      <c r="BF76" s="246">
        <v>0</v>
      </c>
      <c r="BG76" s="246">
        <v>0</v>
      </c>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c r="CM76" s="243"/>
      <c r="CN76" s="243"/>
      <c r="CO76" s="243"/>
      <c r="CP76" s="243"/>
    </row>
    <row r="77" spans="1:94" s="290" customForma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9"/>
      <c r="AL77" s="289"/>
      <c r="AM77" s="289"/>
      <c r="AN77" s="289"/>
      <c r="AO77" s="289"/>
      <c r="AP77" s="289"/>
      <c r="AQ77" s="289"/>
      <c r="AR77" s="243"/>
      <c r="AS77" s="243"/>
      <c r="AT77" s="243"/>
      <c r="AU77" s="243"/>
      <c r="AV77" s="243"/>
      <c r="AW77" s="243"/>
      <c r="AX77" s="243"/>
      <c r="AY77" s="243"/>
      <c r="AZ77" s="243"/>
      <c r="BA77" s="243"/>
      <c r="BB77" s="243"/>
      <c r="BC77" s="243"/>
      <c r="BD77" s="243"/>
      <c r="BE77" s="246" t="s">
        <v>431</v>
      </c>
      <c r="BF77" s="246">
        <v>1E-4</v>
      </c>
      <c r="BG77" s="246">
        <v>0.17530000000000001</v>
      </c>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c r="CM77" s="243"/>
      <c r="CN77" s="243"/>
      <c r="CO77" s="243"/>
      <c r="CP77" s="243"/>
    </row>
    <row r="78" spans="1:94" s="290" customForma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9"/>
      <c r="AL78" s="289"/>
      <c r="AM78" s="289"/>
      <c r="AN78" s="289"/>
      <c r="AO78" s="289"/>
      <c r="AP78" s="289"/>
      <c r="AQ78" s="289"/>
      <c r="AR78" s="243"/>
      <c r="AS78" s="243"/>
      <c r="AT78" s="243"/>
      <c r="AU78" s="243"/>
      <c r="AV78" s="243"/>
      <c r="AW78" s="243"/>
      <c r="AX78" s="243"/>
      <c r="AY78" s="243"/>
      <c r="AZ78" s="243"/>
      <c r="BA78" s="243"/>
      <c r="BB78" s="243"/>
      <c r="BC78" s="243"/>
      <c r="BD78" s="243"/>
      <c r="BE78" s="243"/>
      <c r="BF78" s="246"/>
      <c r="BG78" s="246"/>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c r="CM78" s="243"/>
      <c r="CN78" s="243"/>
      <c r="CO78" s="243"/>
      <c r="CP78" s="243"/>
    </row>
    <row r="79" spans="1:94" s="290" customForma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9"/>
      <c r="AL79" s="289"/>
      <c r="AM79" s="289"/>
      <c r="AN79" s="289"/>
      <c r="AO79" s="289"/>
      <c r="AP79" s="289"/>
      <c r="AQ79" s="289"/>
      <c r="AR79" s="243"/>
      <c r="AS79" s="243"/>
      <c r="AT79" s="243"/>
      <c r="AU79" s="243"/>
      <c r="AV79" s="243"/>
      <c r="AW79" s="243"/>
      <c r="AX79" s="243"/>
      <c r="AY79" s="243"/>
      <c r="AZ79" s="243"/>
      <c r="BA79" s="243"/>
      <c r="BB79" s="243"/>
      <c r="BC79" s="243"/>
      <c r="BD79" s="243"/>
      <c r="BE79" s="243"/>
      <c r="BF79" s="246"/>
      <c r="BG79" s="246"/>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c r="CM79" s="243"/>
      <c r="CN79" s="243"/>
      <c r="CO79" s="243"/>
      <c r="CP79" s="243"/>
    </row>
    <row r="80" spans="1:94" s="290" customForma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9"/>
      <c r="AL80" s="289"/>
      <c r="AM80" s="289"/>
      <c r="AN80" s="289"/>
      <c r="AO80" s="289"/>
      <c r="AP80" s="289"/>
      <c r="AQ80" s="289"/>
      <c r="AR80" s="243"/>
      <c r="AS80" s="243"/>
      <c r="AT80" s="243"/>
      <c r="AU80" s="243"/>
      <c r="AV80" s="243"/>
      <c r="AW80" s="243"/>
      <c r="AX80" s="243"/>
      <c r="AY80" s="243"/>
      <c r="AZ80" s="243"/>
      <c r="BA80" s="243"/>
      <c r="BB80" s="243"/>
      <c r="BC80" s="243"/>
      <c r="BD80" s="243"/>
      <c r="BE80" s="243"/>
      <c r="BF80" s="246"/>
      <c r="BG80" s="246"/>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c r="CM80" s="243"/>
      <c r="CN80" s="243"/>
      <c r="CO80" s="243"/>
      <c r="CP80" s="243"/>
    </row>
    <row r="81" spans="1:94" s="290" customForma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9"/>
      <c r="AL81" s="289"/>
      <c r="AM81" s="289"/>
      <c r="AN81" s="289"/>
      <c r="AO81" s="289"/>
      <c r="AP81" s="289"/>
      <c r="AQ81" s="289"/>
      <c r="AR81" s="243"/>
      <c r="AS81" s="243"/>
      <c r="AT81" s="243"/>
      <c r="AU81" s="243"/>
      <c r="AV81" s="243"/>
      <c r="AW81" s="243"/>
      <c r="AX81" s="243"/>
      <c r="AY81" s="243"/>
      <c r="AZ81" s="243"/>
      <c r="BA81" s="243"/>
      <c r="BB81" s="243"/>
      <c r="BC81" s="243"/>
      <c r="BD81" s="243"/>
      <c r="BE81" s="243"/>
      <c r="BF81" s="246"/>
      <c r="BG81" s="246"/>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c r="CM81" s="243"/>
      <c r="CN81" s="243"/>
      <c r="CO81" s="243"/>
      <c r="CP81" s="243"/>
    </row>
    <row r="82" spans="1:94" s="290" customForma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9"/>
      <c r="AL82" s="289"/>
      <c r="AM82" s="289"/>
      <c r="AN82" s="289"/>
      <c r="AO82" s="289"/>
      <c r="AP82" s="289"/>
      <c r="AQ82" s="289"/>
      <c r="AR82" s="243"/>
      <c r="AS82" s="243"/>
      <c r="AT82" s="243"/>
      <c r="AU82" s="243"/>
      <c r="AV82" s="243"/>
      <c r="AW82" s="243"/>
      <c r="AX82" s="243"/>
      <c r="AY82" s="243"/>
      <c r="AZ82" s="243"/>
      <c r="BA82" s="243"/>
      <c r="BB82" s="243"/>
      <c r="BC82" s="243"/>
      <c r="BD82" s="243"/>
      <c r="BE82" s="243"/>
      <c r="BF82" s="246"/>
      <c r="BG82" s="246"/>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c r="CM82" s="243"/>
      <c r="CN82" s="243"/>
      <c r="CO82" s="243"/>
      <c r="CP82" s="243"/>
    </row>
    <row r="83" spans="1:94" s="290" customForma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9"/>
      <c r="AL83" s="289"/>
      <c r="AM83" s="289"/>
      <c r="AN83" s="289"/>
      <c r="AO83" s="289"/>
      <c r="AP83" s="289"/>
      <c r="AQ83" s="289"/>
      <c r="AR83" s="243"/>
      <c r="AS83" s="243"/>
      <c r="AT83" s="243"/>
      <c r="AU83" s="243"/>
      <c r="AV83" s="243"/>
      <c r="AW83" s="243"/>
      <c r="AX83" s="243"/>
      <c r="AY83" s="243"/>
      <c r="AZ83" s="243"/>
      <c r="BA83" s="243"/>
      <c r="BB83" s="243"/>
      <c r="BC83" s="243"/>
      <c r="BD83" s="243"/>
      <c r="BE83" s="243"/>
      <c r="BF83" s="246"/>
      <c r="BG83" s="246"/>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c r="CM83" s="243"/>
      <c r="CN83" s="243"/>
      <c r="CO83" s="243"/>
      <c r="CP83" s="243"/>
    </row>
    <row r="84" spans="1:94" s="290" customForma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9"/>
      <c r="AL84" s="289"/>
      <c r="AM84" s="289"/>
      <c r="AN84" s="289"/>
      <c r="AO84" s="289"/>
      <c r="AP84" s="289"/>
      <c r="AQ84" s="289"/>
      <c r="AR84" s="243"/>
      <c r="AS84" s="243"/>
      <c r="AT84" s="243"/>
      <c r="AU84" s="243"/>
      <c r="AV84" s="243"/>
      <c r="AW84" s="243"/>
      <c r="AX84" s="243"/>
      <c r="AY84" s="243"/>
      <c r="AZ84" s="243"/>
      <c r="BA84" s="243"/>
      <c r="BB84" s="243"/>
      <c r="BC84" s="243"/>
      <c r="BD84" s="243"/>
      <c r="BE84" s="243"/>
      <c r="BF84" s="246"/>
      <c r="BG84" s="246"/>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c r="CM84" s="243"/>
      <c r="CN84" s="243"/>
      <c r="CO84" s="243"/>
      <c r="CP84" s="243"/>
    </row>
    <row r="85" spans="1:94" s="290" customForma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9"/>
      <c r="AL85" s="289"/>
      <c r="AM85" s="289"/>
      <c r="AN85" s="289"/>
      <c r="AO85" s="289"/>
      <c r="AP85" s="289"/>
      <c r="AQ85" s="289"/>
      <c r="AR85" s="243"/>
      <c r="AS85" s="243"/>
      <c r="AT85" s="243"/>
      <c r="AU85" s="243"/>
      <c r="AV85" s="243"/>
      <c r="AW85" s="243"/>
      <c r="AX85" s="243"/>
      <c r="AY85" s="243"/>
      <c r="AZ85" s="243"/>
      <c r="BA85" s="243"/>
      <c r="BB85" s="243"/>
      <c r="BC85" s="243"/>
      <c r="BD85" s="243"/>
      <c r="BE85" s="243"/>
      <c r="BF85" s="246"/>
      <c r="BG85" s="246"/>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c r="CM85" s="243"/>
      <c r="CN85" s="243"/>
      <c r="CO85" s="243"/>
      <c r="CP85" s="243"/>
    </row>
    <row r="86" spans="1:94" s="290" customForma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9"/>
      <c r="AL86" s="289"/>
      <c r="AM86" s="289"/>
      <c r="AN86" s="289"/>
      <c r="AO86" s="289"/>
      <c r="AP86" s="289"/>
      <c r="AQ86" s="289"/>
      <c r="AR86" s="243"/>
      <c r="AS86" s="243"/>
      <c r="AT86" s="243"/>
      <c r="AU86" s="243"/>
      <c r="AV86" s="243"/>
      <c r="AW86" s="243"/>
      <c r="AX86" s="243"/>
      <c r="AY86" s="243"/>
      <c r="AZ86" s="243"/>
      <c r="BA86" s="243"/>
      <c r="BB86" s="243"/>
      <c r="BC86" s="243"/>
      <c r="BD86" s="243"/>
      <c r="BE86" s="243"/>
      <c r="BF86" s="246"/>
      <c r="BG86" s="246"/>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row>
    <row r="87" spans="1:94" s="290" customForma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9"/>
      <c r="AL87" s="289"/>
      <c r="AM87" s="289"/>
      <c r="AN87" s="289"/>
      <c r="AO87" s="289"/>
      <c r="AP87" s="289"/>
      <c r="AQ87" s="289"/>
      <c r="AR87" s="243"/>
      <c r="AS87" s="243"/>
      <c r="AT87" s="243"/>
      <c r="AU87" s="243"/>
      <c r="AV87" s="243"/>
      <c r="AW87" s="243"/>
      <c r="AX87" s="243"/>
      <c r="AY87" s="243"/>
      <c r="AZ87" s="243"/>
      <c r="BA87" s="243"/>
      <c r="BB87" s="243"/>
      <c r="BC87" s="243"/>
      <c r="BD87" s="243"/>
      <c r="BE87" s="243"/>
      <c r="BF87" s="246"/>
      <c r="BG87" s="246"/>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c r="CM87" s="243"/>
      <c r="CN87" s="243"/>
      <c r="CO87" s="243"/>
      <c r="CP87" s="243"/>
    </row>
    <row r="88" spans="1:94" s="290" customForma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9"/>
      <c r="AL88" s="289"/>
      <c r="AM88" s="289"/>
      <c r="AN88" s="289"/>
      <c r="AO88" s="289"/>
      <c r="AP88" s="289"/>
      <c r="AQ88" s="289"/>
      <c r="AR88" s="243"/>
      <c r="AS88" s="243"/>
      <c r="AT88" s="243"/>
      <c r="AU88" s="243"/>
      <c r="AV88" s="243"/>
      <c r="AW88" s="243"/>
      <c r="AX88" s="243"/>
      <c r="AY88" s="243"/>
      <c r="AZ88" s="243"/>
      <c r="BA88" s="243"/>
      <c r="BB88" s="243"/>
      <c r="BC88" s="243"/>
      <c r="BD88" s="243"/>
      <c r="BE88" s="243"/>
      <c r="BF88" s="246"/>
      <c r="BG88" s="246"/>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c r="CM88" s="243"/>
      <c r="CN88" s="243"/>
      <c r="CO88" s="243"/>
      <c r="CP88" s="243"/>
    </row>
    <row r="89" spans="1:94" s="290" customForma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9"/>
      <c r="AL89" s="289"/>
      <c r="AM89" s="289"/>
      <c r="AN89" s="289"/>
      <c r="AO89" s="289"/>
      <c r="AP89" s="289"/>
      <c r="AQ89" s="289"/>
      <c r="AR89" s="243"/>
      <c r="AS89" s="243"/>
      <c r="AT89" s="243"/>
      <c r="AU89" s="243"/>
      <c r="AV89" s="243"/>
      <c r="AW89" s="243"/>
      <c r="AX89" s="243"/>
      <c r="AY89" s="243"/>
      <c r="AZ89" s="243"/>
      <c r="BA89" s="243"/>
      <c r="BB89" s="243"/>
      <c r="BC89" s="243"/>
      <c r="BD89" s="243"/>
      <c r="BE89" s="243"/>
      <c r="BF89" s="246"/>
      <c r="BG89" s="246"/>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row>
    <row r="90" spans="1:94" s="290" customForma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9"/>
      <c r="AL90" s="289"/>
      <c r="AM90" s="289"/>
      <c r="AN90" s="289"/>
      <c r="AO90" s="289"/>
      <c r="AP90" s="289"/>
      <c r="AQ90" s="289"/>
      <c r="AR90" s="243"/>
      <c r="AS90" s="243"/>
      <c r="AT90" s="243"/>
      <c r="AU90" s="243"/>
      <c r="AV90" s="243"/>
      <c r="AW90" s="243"/>
      <c r="AX90" s="243"/>
      <c r="AY90" s="243"/>
      <c r="AZ90" s="243"/>
      <c r="BA90" s="243"/>
      <c r="BB90" s="243"/>
      <c r="BC90" s="243"/>
      <c r="BD90" s="243"/>
      <c r="BE90" s="243"/>
      <c r="BF90" s="246"/>
      <c r="BG90" s="246"/>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row>
    <row r="91" spans="1:94" s="290" customFormat="1">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9"/>
      <c r="AL91" s="289"/>
      <c r="AM91" s="289"/>
      <c r="AN91" s="289"/>
      <c r="AO91" s="289"/>
      <c r="AP91" s="289"/>
      <c r="AQ91" s="289"/>
      <c r="AR91" s="243"/>
      <c r="AS91" s="243"/>
      <c r="AT91" s="243"/>
      <c r="AU91" s="243"/>
      <c r="AV91" s="243"/>
      <c r="AW91" s="243"/>
      <c r="AX91" s="243"/>
      <c r="AY91" s="243"/>
      <c r="AZ91" s="243"/>
      <c r="BA91" s="243"/>
      <c r="BB91" s="243"/>
      <c r="BC91" s="243"/>
      <c r="BD91" s="243"/>
      <c r="BE91" s="243"/>
      <c r="BF91" s="246"/>
      <c r="BG91" s="246"/>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row>
    <row r="92" spans="1:94" s="290" customFormat="1">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9"/>
      <c r="AL92" s="289"/>
      <c r="AM92" s="289"/>
      <c r="AN92" s="289"/>
      <c r="AO92" s="289"/>
      <c r="AP92" s="289"/>
      <c r="AQ92" s="289"/>
      <c r="AR92" s="243"/>
      <c r="AS92" s="243"/>
      <c r="AT92" s="243"/>
      <c r="AU92" s="243"/>
      <c r="AV92" s="243"/>
      <c r="AW92" s="243"/>
      <c r="AX92" s="243"/>
      <c r="AY92" s="243"/>
      <c r="AZ92" s="243"/>
      <c r="BA92" s="243"/>
      <c r="BB92" s="243"/>
      <c r="BC92" s="243"/>
      <c r="BD92" s="243"/>
      <c r="BE92" s="243"/>
      <c r="BF92" s="246"/>
      <c r="BG92" s="246"/>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row>
    <row r="93" spans="1:94">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9"/>
      <c r="AL93" s="289"/>
      <c r="AM93" s="289"/>
      <c r="AN93" s="289"/>
      <c r="AO93" s="289"/>
      <c r="AP93" s="289"/>
      <c r="AQ93" s="289"/>
      <c r="AR93" s="243"/>
      <c r="AS93" s="243"/>
      <c r="AT93" s="243"/>
      <c r="AU93" s="243"/>
      <c r="AV93" s="243"/>
      <c r="AW93" s="243"/>
      <c r="AX93" s="243"/>
      <c r="AY93" s="243"/>
      <c r="AZ93" s="243"/>
      <c r="BA93" s="243"/>
      <c r="BB93" s="243"/>
      <c r="BC93" s="243"/>
      <c r="BD93" s="243"/>
      <c r="BE93" s="243"/>
      <c r="BF93" s="246"/>
      <c r="BG93" s="246"/>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row>
    <row r="94" spans="1:94">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9"/>
      <c r="AL94" s="289"/>
      <c r="AM94" s="289"/>
      <c r="AN94" s="289"/>
      <c r="AO94" s="289"/>
      <c r="AP94" s="289"/>
      <c r="AQ94" s="289"/>
      <c r="AR94" s="243"/>
      <c r="AS94" s="243"/>
      <c r="AT94" s="243"/>
      <c r="AU94" s="243"/>
      <c r="AV94" s="243"/>
      <c r="AW94" s="243"/>
      <c r="AX94" s="243"/>
      <c r="AY94" s="243"/>
      <c r="AZ94" s="243"/>
      <c r="BA94" s="243"/>
      <c r="BB94" s="243"/>
      <c r="BC94" s="243"/>
      <c r="BD94" s="243"/>
      <c r="BE94" s="243"/>
      <c r="BF94" s="246"/>
      <c r="BG94" s="246"/>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row>
    <row r="95" spans="1:94">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9"/>
      <c r="AL95" s="289"/>
      <c r="AM95" s="289"/>
      <c r="AN95" s="289"/>
      <c r="AO95" s="289"/>
      <c r="AP95" s="289"/>
      <c r="AQ95" s="289"/>
      <c r="AR95" s="243"/>
      <c r="AS95" s="243"/>
      <c r="AT95" s="243"/>
      <c r="AU95" s="243"/>
      <c r="AV95" s="243"/>
      <c r="AW95" s="243"/>
      <c r="AX95" s="243"/>
      <c r="AY95" s="243"/>
      <c r="AZ95" s="243"/>
      <c r="BA95" s="243"/>
      <c r="BB95" s="243"/>
      <c r="BC95" s="243"/>
      <c r="BD95" s="243"/>
      <c r="BE95" s="243"/>
      <c r="BF95" s="246"/>
      <c r="BG95" s="246"/>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row>
    <row r="96" spans="1:94">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9"/>
      <c r="AL96" s="289"/>
      <c r="AM96" s="289"/>
      <c r="AN96" s="289"/>
      <c r="AO96" s="289"/>
      <c r="AP96" s="289"/>
      <c r="AQ96" s="289"/>
      <c r="AR96" s="243"/>
      <c r="AS96" s="243"/>
      <c r="AT96" s="243"/>
      <c r="AU96" s="243"/>
      <c r="AV96" s="243"/>
      <c r="AW96" s="243"/>
      <c r="AX96" s="243"/>
      <c r="AY96" s="243"/>
      <c r="AZ96" s="243"/>
      <c r="BA96" s="243"/>
      <c r="BB96" s="243"/>
      <c r="BC96" s="243"/>
      <c r="BD96" s="243"/>
      <c r="BE96" s="243"/>
      <c r="BF96" s="246"/>
      <c r="BG96" s="246"/>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row>
    <row r="97" spans="1:94">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9"/>
      <c r="AL97" s="289"/>
      <c r="AM97" s="289"/>
      <c r="AN97" s="289"/>
      <c r="AO97" s="289"/>
      <c r="AP97" s="289"/>
      <c r="AQ97" s="289"/>
      <c r="AR97" s="243"/>
      <c r="AS97" s="243"/>
      <c r="AT97" s="243"/>
      <c r="AU97" s="243"/>
      <c r="AV97" s="243"/>
      <c r="AW97" s="243"/>
      <c r="AX97" s="243"/>
      <c r="AY97" s="243"/>
      <c r="AZ97" s="243"/>
      <c r="BA97" s="243"/>
      <c r="BB97" s="243"/>
      <c r="BC97" s="243"/>
      <c r="BD97" s="243"/>
      <c r="BE97" s="243"/>
      <c r="BF97" s="246"/>
      <c r="BG97" s="246"/>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c r="CM97" s="243"/>
      <c r="CN97" s="243"/>
      <c r="CO97" s="243"/>
      <c r="CP97" s="243"/>
    </row>
    <row r="98" spans="1:94">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9"/>
      <c r="AL98" s="289"/>
      <c r="AM98" s="289"/>
      <c r="AN98" s="289"/>
      <c r="AO98" s="289"/>
      <c r="AP98" s="289"/>
      <c r="AQ98" s="289"/>
      <c r="AR98" s="243"/>
      <c r="AS98" s="243"/>
      <c r="AT98" s="243"/>
      <c r="AU98" s="243"/>
      <c r="AV98" s="243"/>
      <c r="AW98" s="243"/>
      <c r="AX98" s="243"/>
      <c r="AY98" s="243"/>
      <c r="AZ98" s="243"/>
      <c r="BA98" s="243"/>
      <c r="BB98" s="243"/>
      <c r="BC98" s="243"/>
      <c r="BD98" s="243"/>
      <c r="BE98" s="243"/>
      <c r="BF98" s="246"/>
      <c r="BG98" s="246"/>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c r="CM98" s="243"/>
      <c r="CN98" s="243"/>
      <c r="CO98" s="243"/>
      <c r="CP98" s="243"/>
    </row>
    <row r="99" spans="1:94">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9"/>
      <c r="AL99" s="289"/>
      <c r="AM99" s="289"/>
      <c r="AN99" s="289"/>
      <c r="AO99" s="289"/>
      <c r="AP99" s="289"/>
      <c r="AQ99" s="289"/>
      <c r="AR99" s="243"/>
      <c r="AS99" s="243"/>
      <c r="AT99" s="243"/>
      <c r="AU99" s="243"/>
      <c r="AV99" s="243"/>
      <c r="AW99" s="243"/>
      <c r="AX99" s="243"/>
      <c r="AY99" s="243"/>
      <c r="AZ99" s="243"/>
      <c r="BA99" s="243"/>
      <c r="BB99" s="243"/>
      <c r="BC99" s="243"/>
      <c r="BD99" s="243"/>
      <c r="BE99" s="243"/>
      <c r="BF99" s="246"/>
      <c r="BG99" s="246"/>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c r="CM99" s="243"/>
      <c r="CN99" s="243"/>
      <c r="CO99" s="243"/>
      <c r="CP99" s="243"/>
    </row>
    <row r="100" spans="1:94">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9"/>
      <c r="AL100" s="289"/>
      <c r="AM100" s="289"/>
      <c r="AN100" s="289"/>
      <c r="AO100" s="289"/>
      <c r="AP100" s="289"/>
      <c r="AQ100" s="289"/>
      <c r="AR100" s="243"/>
      <c r="AS100" s="243"/>
      <c r="AT100" s="243"/>
      <c r="AU100" s="243"/>
      <c r="AV100" s="243"/>
      <c r="AW100" s="243"/>
      <c r="AX100" s="243"/>
      <c r="AY100" s="243"/>
      <c r="AZ100" s="243"/>
      <c r="BA100" s="243"/>
      <c r="BB100" s="243"/>
      <c r="BC100" s="243"/>
      <c r="BD100" s="243"/>
      <c r="BE100" s="243"/>
      <c r="BF100" s="246"/>
      <c r="BG100" s="246"/>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c r="CM100" s="243"/>
      <c r="CN100" s="243"/>
      <c r="CO100" s="243"/>
      <c r="CP100" s="243"/>
    </row>
    <row r="101" spans="1:94">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9"/>
      <c r="AL101" s="289"/>
      <c r="AM101" s="289"/>
      <c r="AN101" s="289"/>
      <c r="AO101" s="289"/>
      <c r="AP101" s="289"/>
      <c r="AQ101" s="289"/>
      <c r="AR101" s="243"/>
      <c r="AS101" s="243"/>
      <c r="AT101" s="243"/>
      <c r="AU101" s="243"/>
      <c r="AV101" s="243"/>
      <c r="AW101" s="243"/>
      <c r="AX101" s="243"/>
      <c r="AY101" s="243"/>
      <c r="AZ101" s="243"/>
      <c r="BA101" s="243"/>
      <c r="BB101" s="243"/>
      <c r="BC101" s="243"/>
      <c r="BD101" s="243"/>
      <c r="BE101" s="243"/>
      <c r="BF101" s="246"/>
      <c r="BG101" s="246"/>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c r="CM101" s="243"/>
      <c r="CN101" s="243"/>
      <c r="CO101" s="243"/>
      <c r="CP101" s="243"/>
    </row>
    <row r="102" spans="1:94">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9"/>
      <c r="AL102" s="289"/>
      <c r="AM102" s="289"/>
      <c r="AN102" s="289"/>
      <c r="AO102" s="289"/>
      <c r="AP102" s="289"/>
      <c r="AQ102" s="289"/>
      <c r="AR102" s="243"/>
      <c r="AS102" s="243"/>
      <c r="AT102" s="243"/>
      <c r="AU102" s="243"/>
      <c r="AV102" s="243"/>
      <c r="AW102" s="243"/>
      <c r="AX102" s="243"/>
      <c r="AY102" s="243"/>
      <c r="AZ102" s="243"/>
      <c r="BA102" s="243"/>
      <c r="BB102" s="243"/>
      <c r="BC102" s="243"/>
      <c r="BD102" s="243"/>
      <c r="BE102" s="243"/>
      <c r="BF102" s="246"/>
      <c r="BG102" s="246"/>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row>
    <row r="103" spans="1:94">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9"/>
      <c r="AL103" s="289"/>
      <c r="AM103" s="289"/>
      <c r="AN103" s="289"/>
      <c r="AO103" s="289"/>
      <c r="AP103" s="289"/>
      <c r="AQ103" s="289"/>
      <c r="AR103" s="243"/>
      <c r="AS103" s="243"/>
      <c r="AT103" s="243"/>
      <c r="AU103" s="243"/>
      <c r="AV103" s="243"/>
      <c r="AW103" s="243"/>
      <c r="AX103" s="243"/>
      <c r="AY103" s="243"/>
      <c r="AZ103" s="243"/>
      <c r="BA103" s="243"/>
      <c r="BB103" s="243"/>
      <c r="BC103" s="243"/>
      <c r="BD103" s="243"/>
      <c r="BE103" s="243"/>
      <c r="BF103" s="246"/>
      <c r="BG103" s="246"/>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row>
    <row r="104" spans="1:94">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9"/>
      <c r="AL104" s="289"/>
      <c r="AM104" s="289"/>
      <c r="AN104" s="289"/>
      <c r="AO104" s="289"/>
      <c r="AP104" s="289"/>
      <c r="AQ104" s="289"/>
      <c r="AR104" s="243"/>
      <c r="AS104" s="243"/>
      <c r="AT104" s="243"/>
      <c r="AU104" s="243"/>
      <c r="AV104" s="243"/>
      <c r="AW104" s="243"/>
      <c r="AX104" s="243"/>
      <c r="AY104" s="243"/>
      <c r="AZ104" s="243"/>
      <c r="BA104" s="243"/>
      <c r="BB104" s="243"/>
      <c r="BC104" s="243"/>
      <c r="BD104" s="243"/>
      <c r="BE104" s="243"/>
      <c r="BF104" s="246"/>
      <c r="BG104" s="246"/>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row>
    <row r="105" spans="1:94">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9"/>
      <c r="AL105" s="289"/>
      <c r="AM105" s="289"/>
      <c r="AN105" s="289"/>
      <c r="AO105" s="289"/>
      <c r="AP105" s="289"/>
      <c r="AQ105" s="289"/>
      <c r="AR105" s="243"/>
      <c r="AS105" s="243"/>
      <c r="AT105" s="243"/>
      <c r="AU105" s="243"/>
      <c r="AV105" s="243"/>
      <c r="AW105" s="243"/>
      <c r="AX105" s="243"/>
      <c r="AY105" s="243"/>
      <c r="AZ105" s="243"/>
      <c r="BA105" s="243"/>
      <c r="BB105" s="243"/>
      <c r="BC105" s="243"/>
      <c r="BD105" s="243"/>
      <c r="BE105" s="243"/>
      <c r="BF105" s="246"/>
      <c r="BG105" s="246"/>
      <c r="BH105" s="243"/>
      <c r="BI105" s="243"/>
      <c r="BJ105" s="243"/>
      <c r="BK105" s="243"/>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row>
    <row r="106" spans="1:94">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9"/>
      <c r="AL106" s="289"/>
      <c r="AM106" s="289"/>
      <c r="AN106" s="289"/>
      <c r="AO106" s="289"/>
      <c r="AP106" s="289"/>
      <c r="AQ106" s="289"/>
      <c r="AR106" s="243"/>
      <c r="AS106" s="243"/>
      <c r="AT106" s="243"/>
      <c r="AU106" s="243"/>
      <c r="AV106" s="243"/>
      <c r="AW106" s="243"/>
      <c r="AX106" s="243"/>
      <c r="AY106" s="243"/>
      <c r="AZ106" s="243"/>
      <c r="BA106" s="243"/>
      <c r="BB106" s="243"/>
      <c r="BC106" s="243"/>
      <c r="BD106" s="243"/>
      <c r="BE106" s="243"/>
      <c r="BF106" s="246"/>
      <c r="BG106" s="246"/>
      <c r="BH106" s="243"/>
      <c r="BI106" s="243"/>
      <c r="BJ106" s="243"/>
      <c r="BK106" s="243"/>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row>
    <row r="107" spans="1:94">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9"/>
      <c r="AL107" s="289"/>
      <c r="AM107" s="289"/>
      <c r="AN107" s="289"/>
      <c r="AO107" s="289"/>
      <c r="AP107" s="289"/>
      <c r="AQ107" s="289"/>
      <c r="AR107" s="243"/>
      <c r="AS107" s="243"/>
      <c r="AT107" s="243"/>
      <c r="AU107" s="243"/>
      <c r="AV107" s="243"/>
      <c r="AW107" s="243"/>
      <c r="AX107" s="243"/>
      <c r="AY107" s="243"/>
      <c r="AZ107" s="243"/>
      <c r="BA107" s="243"/>
      <c r="BB107" s="243"/>
      <c r="BC107" s="243"/>
      <c r="BD107" s="243"/>
      <c r="BE107" s="243"/>
      <c r="BF107" s="246"/>
      <c r="BG107" s="246"/>
      <c r="BH107" s="243"/>
      <c r="BI107" s="243"/>
      <c r="BJ107" s="243"/>
      <c r="BK107" s="243"/>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row>
    <row r="108" spans="1:94">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9"/>
      <c r="AL108" s="289"/>
      <c r="AM108" s="289"/>
      <c r="AN108" s="289"/>
      <c r="AO108" s="289"/>
      <c r="AP108" s="289"/>
      <c r="AQ108" s="289"/>
      <c r="AR108" s="243"/>
      <c r="AS108" s="243"/>
      <c r="AT108" s="243"/>
      <c r="AU108" s="243"/>
      <c r="AV108" s="243"/>
      <c r="AW108" s="243"/>
      <c r="AX108" s="243"/>
      <c r="AY108" s="243"/>
      <c r="AZ108" s="243"/>
      <c r="BA108" s="243"/>
      <c r="BB108" s="243"/>
      <c r="BC108" s="243"/>
      <c r="BD108" s="243"/>
      <c r="BE108" s="243"/>
      <c r="BF108" s="246"/>
      <c r="BG108" s="246"/>
      <c r="BH108" s="243"/>
      <c r="BI108" s="243"/>
      <c r="BJ108" s="243"/>
      <c r="BK108" s="243"/>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row>
    <row r="109" spans="1:94">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9"/>
      <c r="AL109" s="289"/>
      <c r="AM109" s="289"/>
      <c r="AN109" s="289"/>
      <c r="AO109" s="289"/>
      <c r="AP109" s="289"/>
      <c r="AQ109" s="289"/>
      <c r="AR109" s="243"/>
      <c r="AS109" s="243"/>
      <c r="AT109" s="243"/>
      <c r="AU109" s="243"/>
      <c r="AV109" s="243"/>
      <c r="AW109" s="243"/>
      <c r="AX109" s="243"/>
      <c r="AY109" s="243"/>
      <c r="AZ109" s="243"/>
      <c r="BA109" s="243"/>
      <c r="BB109" s="243"/>
      <c r="BC109" s="243"/>
      <c r="BD109" s="243"/>
      <c r="BE109" s="243"/>
      <c r="BF109" s="246"/>
      <c r="BG109" s="246"/>
      <c r="BH109" s="243"/>
      <c r="BI109" s="243"/>
      <c r="BJ109" s="243"/>
      <c r="BK109" s="243"/>
      <c r="BL109" s="243"/>
      <c r="BM109" s="243"/>
      <c r="BN109" s="243"/>
      <c r="BO109" s="243"/>
      <c r="BP109" s="243"/>
      <c r="BQ109" s="243"/>
      <c r="BR109" s="243"/>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c r="CM109" s="243"/>
      <c r="CN109" s="243"/>
      <c r="CO109" s="243"/>
      <c r="CP109" s="243"/>
    </row>
    <row r="110" spans="1:94">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9"/>
      <c r="AL110" s="289"/>
      <c r="AM110" s="289"/>
      <c r="AN110" s="289"/>
      <c r="AO110" s="289"/>
      <c r="AP110" s="289"/>
      <c r="AQ110" s="289"/>
      <c r="AR110" s="243"/>
      <c r="AS110" s="243"/>
      <c r="AT110" s="243"/>
      <c r="AU110" s="243"/>
      <c r="AV110" s="243"/>
      <c r="AW110" s="243"/>
      <c r="AX110" s="243"/>
      <c r="AY110" s="243"/>
      <c r="AZ110" s="243"/>
      <c r="BA110" s="243"/>
      <c r="BB110" s="243"/>
      <c r="BC110" s="243"/>
      <c r="BD110" s="243"/>
      <c r="BE110" s="243"/>
      <c r="BF110" s="246"/>
      <c r="BG110" s="246"/>
      <c r="BH110" s="243"/>
      <c r="BI110" s="243"/>
      <c r="BJ110" s="243"/>
      <c r="BK110" s="243"/>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row>
    <row r="111" spans="1:94">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9"/>
      <c r="AL111" s="289"/>
      <c r="AM111" s="289"/>
      <c r="AN111" s="289"/>
      <c r="AO111" s="289"/>
      <c r="AP111" s="289"/>
      <c r="AQ111" s="289"/>
      <c r="AR111" s="243"/>
      <c r="AS111" s="243"/>
      <c r="AT111" s="243"/>
      <c r="AU111" s="243"/>
      <c r="AV111" s="243"/>
      <c r="AW111" s="243"/>
      <c r="AX111" s="243"/>
      <c r="AY111" s="243"/>
      <c r="AZ111" s="243"/>
      <c r="BA111" s="243"/>
      <c r="BB111" s="243"/>
      <c r="BC111" s="243"/>
      <c r="BD111" s="243"/>
      <c r="BE111" s="243"/>
      <c r="BF111" s="246"/>
      <c r="BG111" s="246"/>
      <c r="BH111" s="243"/>
      <c r="BI111" s="243"/>
      <c r="BJ111" s="243"/>
      <c r="BK111" s="243"/>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row>
    <row r="112" spans="1:94">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9"/>
      <c r="AL112" s="289"/>
      <c r="AM112" s="289"/>
      <c r="AN112" s="289"/>
      <c r="AO112" s="289"/>
      <c r="AP112" s="289"/>
      <c r="AQ112" s="289"/>
      <c r="AR112" s="243"/>
      <c r="AS112" s="243"/>
      <c r="AT112" s="243"/>
      <c r="AU112" s="243"/>
      <c r="AV112" s="243"/>
      <c r="AW112" s="243"/>
      <c r="AX112" s="243"/>
      <c r="AY112" s="243"/>
      <c r="AZ112" s="243"/>
      <c r="BA112" s="243"/>
      <c r="BB112" s="243"/>
      <c r="BC112" s="243"/>
      <c r="BD112" s="243"/>
      <c r="BE112" s="243"/>
      <c r="BF112" s="246"/>
      <c r="BG112" s="246"/>
      <c r="BH112" s="243"/>
      <c r="BI112" s="243"/>
      <c r="BJ112" s="243"/>
      <c r="BK112" s="243"/>
      <c r="BL112" s="243"/>
      <c r="BM112" s="243"/>
      <c r="BN112" s="243"/>
      <c r="BO112" s="243"/>
      <c r="BP112" s="243"/>
      <c r="BQ112" s="243"/>
      <c r="BR112" s="243"/>
      <c r="BS112" s="243"/>
      <c r="BT112" s="243"/>
      <c r="BU112" s="243"/>
      <c r="BV112" s="243"/>
      <c r="BW112" s="243"/>
      <c r="BX112" s="243"/>
      <c r="BY112" s="243"/>
      <c r="BZ112" s="243"/>
      <c r="CA112" s="243"/>
      <c r="CB112" s="243"/>
      <c r="CC112" s="243"/>
      <c r="CD112" s="243"/>
      <c r="CE112" s="243"/>
      <c r="CF112" s="243"/>
      <c r="CG112" s="243"/>
      <c r="CH112" s="243"/>
      <c r="CI112" s="243"/>
      <c r="CJ112" s="243"/>
      <c r="CK112" s="243"/>
      <c r="CL112" s="243"/>
      <c r="CM112" s="243"/>
      <c r="CN112" s="243"/>
      <c r="CO112" s="243"/>
      <c r="CP112" s="243"/>
    </row>
    <row r="113" spans="1:94">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9"/>
      <c r="AL113" s="289"/>
      <c r="AM113" s="289"/>
      <c r="AN113" s="289"/>
      <c r="AO113" s="289"/>
      <c r="AP113" s="289"/>
      <c r="AQ113" s="289"/>
      <c r="AR113" s="243"/>
      <c r="AS113" s="243"/>
      <c r="AT113" s="243"/>
      <c r="AU113" s="243"/>
      <c r="AV113" s="243"/>
      <c r="AW113" s="243"/>
      <c r="AX113" s="243"/>
      <c r="AY113" s="243"/>
      <c r="AZ113" s="243"/>
      <c r="BA113" s="243"/>
      <c r="BB113" s="243"/>
      <c r="BC113" s="243"/>
      <c r="BD113" s="243"/>
      <c r="BE113" s="243"/>
      <c r="BF113" s="246"/>
      <c r="BG113" s="246"/>
      <c r="BH113" s="243"/>
      <c r="BI113" s="243"/>
      <c r="BJ113" s="243"/>
      <c r="BK113" s="243"/>
      <c r="BL113" s="243"/>
      <c r="BM113" s="243"/>
      <c r="BN113" s="243"/>
      <c r="BO113" s="243"/>
      <c r="BP113" s="243"/>
      <c r="BQ113" s="243"/>
      <c r="BR113" s="243"/>
      <c r="BS113" s="243"/>
      <c r="BT113" s="243"/>
      <c r="BU113" s="243"/>
      <c r="BV113" s="243"/>
      <c r="BW113" s="243"/>
      <c r="BX113" s="243"/>
      <c r="BY113" s="243"/>
      <c r="BZ113" s="243"/>
      <c r="CA113" s="243"/>
      <c r="CB113" s="243"/>
      <c r="CC113" s="243"/>
      <c r="CD113" s="243"/>
      <c r="CE113" s="243"/>
      <c r="CF113" s="243"/>
      <c r="CG113" s="243"/>
      <c r="CH113" s="243"/>
      <c r="CI113" s="243"/>
      <c r="CJ113" s="243"/>
      <c r="CK113" s="243"/>
      <c r="CL113" s="243"/>
      <c r="CM113" s="243"/>
      <c r="CN113" s="243"/>
      <c r="CO113" s="243"/>
      <c r="CP113" s="243"/>
    </row>
    <row r="114" spans="1:94">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9"/>
      <c r="AL114" s="289"/>
      <c r="AM114" s="289"/>
      <c r="AN114" s="289"/>
      <c r="AO114" s="289"/>
      <c r="AP114" s="289"/>
      <c r="AQ114" s="289"/>
      <c r="AR114" s="243"/>
      <c r="AS114" s="243"/>
      <c r="AT114" s="243"/>
      <c r="AU114" s="243"/>
      <c r="AV114" s="243"/>
      <c r="AW114" s="243"/>
      <c r="AX114" s="243"/>
      <c r="AY114" s="243"/>
      <c r="AZ114" s="243"/>
      <c r="BA114" s="243"/>
      <c r="BB114" s="243"/>
      <c r="BC114" s="243"/>
      <c r="BD114" s="243"/>
      <c r="BE114" s="243"/>
      <c r="BF114" s="246"/>
      <c r="BG114" s="246"/>
      <c r="BH114" s="243"/>
      <c r="BI114" s="243"/>
      <c r="BJ114" s="243"/>
      <c r="BK114" s="243"/>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row>
    <row r="115" spans="1:94">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9"/>
      <c r="AL115" s="289"/>
      <c r="AM115" s="289"/>
      <c r="AN115" s="289"/>
      <c r="AO115" s="289"/>
      <c r="AP115" s="289"/>
      <c r="AQ115" s="289"/>
      <c r="AR115" s="243"/>
      <c r="AS115" s="243"/>
      <c r="AT115" s="243"/>
      <c r="AU115" s="243"/>
      <c r="AV115" s="243"/>
      <c r="AW115" s="243"/>
      <c r="AX115" s="243"/>
      <c r="AY115" s="243"/>
      <c r="AZ115" s="243"/>
      <c r="BA115" s="243"/>
      <c r="BB115" s="243"/>
      <c r="BC115" s="243"/>
      <c r="BD115" s="243"/>
      <c r="BE115" s="243"/>
      <c r="BF115" s="246"/>
      <c r="BG115" s="246"/>
      <c r="BH115" s="243"/>
      <c r="BI115" s="243"/>
      <c r="BJ115" s="243"/>
      <c r="BK115" s="243"/>
      <c r="BL115" s="243"/>
      <c r="BM115" s="243"/>
      <c r="BN115" s="243"/>
      <c r="BO115" s="243"/>
      <c r="BP115" s="243"/>
      <c r="BQ115" s="243"/>
      <c r="BR115" s="243"/>
      <c r="BS115" s="243"/>
      <c r="BT115" s="243"/>
      <c r="BU115" s="243"/>
      <c r="BV115" s="243"/>
      <c r="BW115" s="243"/>
      <c r="BX115" s="243"/>
      <c r="BY115" s="243"/>
      <c r="BZ115" s="243"/>
      <c r="CA115" s="243"/>
      <c r="CB115" s="243"/>
      <c r="CC115" s="243"/>
      <c r="CD115" s="243"/>
      <c r="CE115" s="243"/>
      <c r="CF115" s="243"/>
      <c r="CG115" s="243"/>
      <c r="CH115" s="243"/>
      <c r="CI115" s="243"/>
      <c r="CJ115" s="243"/>
      <c r="CK115" s="243"/>
      <c r="CL115" s="243"/>
      <c r="CM115" s="243"/>
      <c r="CN115" s="243"/>
      <c r="CO115" s="243"/>
      <c r="CP115" s="243"/>
    </row>
    <row r="116" spans="1:94">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9"/>
      <c r="AL116" s="289"/>
      <c r="AM116" s="289"/>
      <c r="AN116" s="289"/>
      <c r="AO116" s="289"/>
      <c r="AP116" s="289"/>
      <c r="AQ116" s="289"/>
      <c r="AR116" s="243"/>
      <c r="AS116" s="243"/>
      <c r="AT116" s="243"/>
      <c r="AU116" s="243"/>
      <c r="AV116" s="243"/>
      <c r="AW116" s="243"/>
      <c r="AX116" s="243"/>
      <c r="AY116" s="243"/>
      <c r="AZ116" s="243"/>
      <c r="BA116" s="243"/>
      <c r="BB116" s="243"/>
      <c r="BC116" s="243"/>
      <c r="BD116" s="243"/>
      <c r="BE116" s="243"/>
      <c r="BF116" s="246"/>
      <c r="BG116" s="246"/>
      <c r="BH116" s="243"/>
      <c r="BI116" s="243"/>
      <c r="BJ116" s="243"/>
      <c r="BK116" s="243"/>
      <c r="BL116" s="243"/>
      <c r="BM116" s="243"/>
      <c r="BN116" s="243"/>
      <c r="BO116" s="243"/>
      <c r="BP116" s="243"/>
      <c r="BQ116" s="243"/>
      <c r="BR116" s="243"/>
      <c r="BS116" s="243"/>
      <c r="BT116" s="243"/>
      <c r="BU116" s="243"/>
      <c r="BV116" s="243"/>
      <c r="BW116" s="243"/>
      <c r="BX116" s="243"/>
      <c r="BY116" s="243"/>
      <c r="BZ116" s="243"/>
      <c r="CA116" s="243"/>
      <c r="CB116" s="243"/>
      <c r="CC116" s="243"/>
      <c r="CD116" s="243"/>
      <c r="CE116" s="243"/>
      <c r="CF116" s="243"/>
      <c r="CG116" s="243"/>
      <c r="CH116" s="243"/>
      <c r="CI116" s="243"/>
      <c r="CJ116" s="243"/>
      <c r="CK116" s="243"/>
      <c r="CL116" s="243"/>
      <c r="CM116" s="243"/>
      <c r="CN116" s="243"/>
      <c r="CO116" s="243"/>
      <c r="CP116" s="243"/>
    </row>
    <row r="117" spans="1:94">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9"/>
      <c r="AL117" s="289"/>
      <c r="AM117" s="289"/>
      <c r="AN117" s="289"/>
      <c r="AO117" s="289"/>
      <c r="AP117" s="289"/>
      <c r="AQ117" s="289"/>
      <c r="AR117" s="243"/>
      <c r="AS117" s="243"/>
      <c r="AT117" s="243"/>
      <c r="AU117" s="243"/>
      <c r="AV117" s="243"/>
      <c r="AW117" s="243"/>
      <c r="AX117" s="243"/>
      <c r="AY117" s="243"/>
      <c r="AZ117" s="243"/>
      <c r="BA117" s="243"/>
      <c r="BB117" s="243"/>
      <c r="BC117" s="243"/>
      <c r="BD117" s="243"/>
      <c r="BE117" s="243"/>
      <c r="BF117" s="246"/>
      <c r="BG117" s="246"/>
      <c r="BH117" s="243"/>
      <c r="BI117" s="243"/>
      <c r="BJ117" s="243"/>
      <c r="BK117" s="243"/>
      <c r="BL117" s="243"/>
      <c r="BM117" s="243"/>
      <c r="BN117" s="243"/>
      <c r="BO117" s="243"/>
      <c r="BP117" s="243"/>
      <c r="BQ117" s="243"/>
      <c r="BR117" s="243"/>
      <c r="BS117" s="243"/>
      <c r="BT117" s="243"/>
      <c r="BU117" s="243"/>
      <c r="BV117" s="243"/>
      <c r="BW117" s="243"/>
      <c r="BX117" s="243"/>
      <c r="BY117" s="243"/>
      <c r="BZ117" s="243"/>
      <c r="CA117" s="243"/>
      <c r="CB117" s="243"/>
      <c r="CC117" s="243"/>
      <c r="CD117" s="243"/>
      <c r="CE117" s="243"/>
      <c r="CF117" s="243"/>
      <c r="CG117" s="243"/>
      <c r="CH117" s="243"/>
      <c r="CI117" s="243"/>
      <c r="CJ117" s="243"/>
      <c r="CK117" s="243"/>
      <c r="CL117" s="243"/>
      <c r="CM117" s="243"/>
      <c r="CN117" s="243"/>
      <c r="CO117" s="243"/>
      <c r="CP117" s="243"/>
    </row>
    <row r="118" spans="1:94">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9"/>
      <c r="AL118" s="289"/>
      <c r="AM118" s="289"/>
      <c r="AN118" s="289"/>
      <c r="AO118" s="289"/>
      <c r="AP118" s="289"/>
      <c r="AQ118" s="289"/>
      <c r="AR118" s="243"/>
      <c r="AS118" s="243"/>
      <c r="AT118" s="243"/>
      <c r="AU118" s="243"/>
      <c r="AV118" s="243"/>
      <c r="AW118" s="243"/>
      <c r="AX118" s="243"/>
      <c r="AY118" s="243"/>
      <c r="AZ118" s="243"/>
      <c r="BA118" s="243"/>
      <c r="BB118" s="243"/>
      <c r="BC118" s="243"/>
      <c r="BD118" s="243"/>
      <c r="BE118" s="243"/>
      <c r="BF118" s="246"/>
      <c r="BG118" s="246"/>
      <c r="BH118" s="243"/>
      <c r="BI118" s="243"/>
      <c r="BJ118" s="243"/>
      <c r="BK118" s="243"/>
      <c r="BL118" s="243"/>
      <c r="BM118" s="243"/>
      <c r="BN118" s="243"/>
      <c r="BO118" s="243"/>
      <c r="BP118" s="243"/>
      <c r="BQ118" s="243"/>
      <c r="BR118" s="243"/>
      <c r="BS118" s="243"/>
      <c r="BT118" s="243"/>
      <c r="BU118" s="243"/>
      <c r="BV118" s="243"/>
      <c r="BW118" s="243"/>
      <c r="BX118" s="243"/>
      <c r="BY118" s="243"/>
      <c r="BZ118" s="243"/>
      <c r="CA118" s="243"/>
      <c r="CB118" s="243"/>
      <c r="CC118" s="243"/>
      <c r="CD118" s="243"/>
      <c r="CE118" s="243"/>
      <c r="CF118" s="243"/>
      <c r="CG118" s="243"/>
      <c r="CH118" s="243"/>
      <c r="CI118" s="243"/>
      <c r="CJ118" s="243"/>
      <c r="CK118" s="243"/>
      <c r="CL118" s="243"/>
      <c r="CM118" s="243"/>
      <c r="CN118" s="243"/>
      <c r="CO118" s="243"/>
      <c r="CP118" s="243"/>
    </row>
    <row r="119" spans="1:94">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9"/>
      <c r="AL119" s="289"/>
      <c r="AM119" s="289"/>
      <c r="AN119" s="289"/>
      <c r="AO119" s="289"/>
      <c r="AP119" s="289"/>
      <c r="AQ119" s="289"/>
      <c r="AR119" s="243"/>
      <c r="AS119" s="243"/>
      <c r="AT119" s="243"/>
      <c r="AU119" s="243"/>
      <c r="AV119" s="243"/>
      <c r="AW119" s="243"/>
      <c r="AX119" s="243"/>
      <c r="AY119" s="243"/>
      <c r="AZ119" s="243"/>
      <c r="BA119" s="243"/>
      <c r="BB119" s="243"/>
      <c r="BC119" s="243"/>
      <c r="BD119" s="243"/>
      <c r="BE119" s="243"/>
      <c r="BF119" s="246"/>
      <c r="BG119" s="246"/>
      <c r="BH119" s="243"/>
      <c r="BI119" s="243"/>
      <c r="BJ119" s="243"/>
      <c r="BK119" s="243"/>
      <c r="BL119" s="243"/>
      <c r="BM119" s="243"/>
      <c r="BN119" s="243"/>
      <c r="BO119" s="243"/>
      <c r="BP119" s="243"/>
      <c r="BQ119" s="243"/>
      <c r="BR119" s="243"/>
      <c r="BS119" s="243"/>
      <c r="BT119" s="243"/>
      <c r="BU119" s="243"/>
      <c r="BV119" s="243"/>
      <c r="BW119" s="243"/>
      <c r="BX119" s="243"/>
      <c r="BY119" s="243"/>
      <c r="BZ119" s="243"/>
      <c r="CA119" s="243"/>
      <c r="CB119" s="243"/>
      <c r="CC119" s="243"/>
      <c r="CD119" s="243"/>
      <c r="CE119" s="243"/>
      <c r="CF119" s="243"/>
      <c r="CG119" s="243"/>
      <c r="CH119" s="243"/>
      <c r="CI119" s="243"/>
      <c r="CJ119" s="243"/>
      <c r="CK119" s="243"/>
      <c r="CL119" s="243"/>
      <c r="CM119" s="243"/>
      <c r="CN119" s="243"/>
      <c r="CO119" s="243"/>
      <c r="CP119" s="243"/>
    </row>
    <row r="120" spans="1:94">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9"/>
      <c r="AL120" s="289"/>
      <c r="AM120" s="289"/>
      <c r="AN120" s="289"/>
      <c r="AO120" s="289"/>
      <c r="AP120" s="289"/>
      <c r="AQ120" s="289"/>
      <c r="AR120" s="243"/>
      <c r="AS120" s="243"/>
      <c r="AT120" s="243"/>
      <c r="AU120" s="243"/>
      <c r="AV120" s="243"/>
      <c r="AW120" s="243"/>
      <c r="AX120" s="243"/>
      <c r="AY120" s="243"/>
      <c r="AZ120" s="243"/>
      <c r="BA120" s="243"/>
      <c r="BB120" s="243"/>
      <c r="BC120" s="243"/>
      <c r="BD120" s="243"/>
      <c r="BE120" s="243"/>
      <c r="BF120" s="246"/>
      <c r="BG120" s="246"/>
      <c r="BH120" s="243"/>
      <c r="BI120" s="243"/>
      <c r="BJ120" s="243"/>
      <c r="BK120" s="243"/>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row>
    <row r="121" spans="1:94">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9"/>
      <c r="AL121" s="289"/>
      <c r="AM121" s="289"/>
      <c r="AN121" s="289"/>
      <c r="AO121" s="289"/>
      <c r="AP121" s="289"/>
      <c r="AQ121" s="289"/>
      <c r="AR121" s="243"/>
      <c r="AS121" s="243"/>
      <c r="AT121" s="243"/>
      <c r="AU121" s="243"/>
      <c r="AV121" s="243"/>
      <c r="AW121" s="243"/>
      <c r="AX121" s="243"/>
      <c r="AY121" s="243"/>
      <c r="AZ121" s="243"/>
      <c r="BA121" s="243"/>
      <c r="BB121" s="243"/>
      <c r="BC121" s="243"/>
      <c r="BD121" s="243"/>
      <c r="BE121" s="243"/>
      <c r="BF121" s="246"/>
      <c r="BG121" s="246"/>
      <c r="BH121" s="243"/>
      <c r="BI121" s="243"/>
      <c r="BJ121" s="243"/>
      <c r="BK121" s="243"/>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row>
    <row r="122" spans="1:94">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9"/>
      <c r="AL122" s="289"/>
      <c r="AM122" s="289"/>
      <c r="AN122" s="289"/>
      <c r="AO122" s="289"/>
      <c r="AP122" s="289"/>
      <c r="AQ122" s="289"/>
      <c r="AR122" s="243"/>
      <c r="AS122" s="243"/>
      <c r="AT122" s="243"/>
      <c r="AU122" s="243"/>
      <c r="AV122" s="243"/>
      <c r="AW122" s="243"/>
      <c r="AX122" s="243"/>
      <c r="AY122" s="243"/>
      <c r="AZ122" s="243"/>
      <c r="BA122" s="243"/>
      <c r="BB122" s="243"/>
      <c r="BC122" s="243"/>
      <c r="BD122" s="243"/>
      <c r="BE122" s="243"/>
      <c r="BF122" s="246"/>
      <c r="BG122" s="246"/>
      <c r="BH122" s="243"/>
      <c r="BI122" s="243"/>
      <c r="BJ122" s="243"/>
      <c r="BK122" s="243"/>
      <c r="BL122" s="243"/>
      <c r="BM122" s="243"/>
      <c r="BN122" s="243"/>
      <c r="BO122" s="243"/>
      <c r="BP122" s="243"/>
      <c r="BQ122" s="243"/>
      <c r="BR122" s="243"/>
      <c r="BS122" s="243"/>
      <c r="BT122" s="243"/>
      <c r="BU122" s="243"/>
      <c r="BV122" s="243"/>
      <c r="BW122" s="243"/>
      <c r="BX122" s="243"/>
      <c r="BY122" s="243"/>
      <c r="BZ122" s="243"/>
      <c r="CA122" s="243"/>
      <c r="CB122" s="243"/>
      <c r="CC122" s="243"/>
      <c r="CD122" s="243"/>
      <c r="CE122" s="243"/>
      <c r="CF122" s="243"/>
      <c r="CG122" s="243"/>
      <c r="CH122" s="243"/>
      <c r="CI122" s="243"/>
      <c r="CJ122" s="243"/>
      <c r="CK122" s="243"/>
      <c r="CL122" s="243"/>
      <c r="CM122" s="243"/>
      <c r="CN122" s="243"/>
      <c r="CO122" s="243"/>
      <c r="CP122" s="243"/>
    </row>
    <row r="123" spans="1:94">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9"/>
      <c r="AL123" s="289"/>
      <c r="AM123" s="289"/>
      <c r="AN123" s="289"/>
      <c r="AO123" s="289"/>
      <c r="AP123" s="289"/>
      <c r="AQ123" s="289"/>
      <c r="AR123" s="243"/>
      <c r="AS123" s="243"/>
      <c r="AT123" s="243"/>
      <c r="AU123" s="243"/>
      <c r="AV123" s="243"/>
      <c r="AW123" s="243"/>
      <c r="AX123" s="243"/>
      <c r="AY123" s="243"/>
      <c r="AZ123" s="243"/>
      <c r="BA123" s="243"/>
      <c r="BB123" s="243"/>
      <c r="BC123" s="243"/>
      <c r="BD123" s="243"/>
      <c r="BE123" s="243"/>
      <c r="BF123" s="246"/>
      <c r="BG123" s="246"/>
      <c r="BH123" s="243"/>
      <c r="BI123" s="243"/>
      <c r="BJ123" s="243"/>
      <c r="BK123" s="243"/>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row>
    <row r="124" spans="1:94">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9"/>
      <c r="AL124" s="289"/>
      <c r="AM124" s="289"/>
      <c r="AN124" s="289"/>
      <c r="AO124" s="289"/>
      <c r="AP124" s="289"/>
      <c r="AQ124" s="289"/>
      <c r="AR124" s="243"/>
      <c r="AS124" s="243"/>
      <c r="AT124" s="243"/>
      <c r="AU124" s="243"/>
      <c r="AV124" s="243"/>
      <c r="AW124" s="243"/>
      <c r="AX124" s="243"/>
      <c r="AY124" s="243"/>
      <c r="AZ124" s="243"/>
      <c r="BA124" s="243"/>
      <c r="BB124" s="243"/>
      <c r="BC124" s="243"/>
      <c r="BD124" s="243"/>
      <c r="BE124" s="243"/>
      <c r="BF124" s="246"/>
      <c r="BG124" s="246"/>
      <c r="BH124" s="243"/>
      <c r="BI124" s="243"/>
      <c r="BJ124" s="243"/>
      <c r="BK124" s="243"/>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row>
    <row r="125" spans="1:94">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c r="AD125" s="288"/>
      <c r="AE125" s="288"/>
      <c r="AF125" s="288"/>
      <c r="AG125" s="288"/>
      <c r="AH125" s="288"/>
      <c r="AI125" s="288"/>
      <c r="AJ125" s="288"/>
      <c r="AK125" s="289"/>
      <c r="AL125" s="289"/>
      <c r="AM125" s="289"/>
      <c r="AN125" s="289"/>
      <c r="AO125" s="289"/>
      <c r="AP125" s="289"/>
      <c r="AQ125" s="289"/>
      <c r="AR125" s="243"/>
      <c r="AS125" s="243"/>
      <c r="AT125" s="243"/>
      <c r="AU125" s="243"/>
      <c r="AV125" s="243"/>
      <c r="AW125" s="243"/>
      <c r="AX125" s="243"/>
      <c r="AY125" s="243"/>
      <c r="AZ125" s="243"/>
      <c r="BA125" s="243"/>
      <c r="BB125" s="243"/>
      <c r="BC125" s="243"/>
      <c r="BD125" s="243"/>
      <c r="BE125" s="243"/>
      <c r="BF125" s="246"/>
      <c r="BG125" s="246"/>
      <c r="BH125" s="243"/>
      <c r="BI125" s="243"/>
      <c r="BJ125" s="243"/>
      <c r="BK125" s="243"/>
      <c r="BL125" s="243"/>
      <c r="BM125" s="243"/>
      <c r="BN125" s="243"/>
      <c r="BO125" s="243"/>
      <c r="BP125" s="243"/>
      <c r="BQ125" s="243"/>
      <c r="BR125" s="243"/>
      <c r="BS125" s="243"/>
      <c r="BT125" s="243"/>
      <c r="BU125" s="243"/>
      <c r="BV125" s="243"/>
      <c r="BW125" s="243"/>
      <c r="BX125" s="243"/>
      <c r="BY125" s="243"/>
      <c r="BZ125" s="243"/>
      <c r="CA125" s="243"/>
      <c r="CB125" s="243"/>
      <c r="CC125" s="243"/>
      <c r="CD125" s="243"/>
      <c r="CE125" s="243"/>
      <c r="CF125" s="243"/>
      <c r="CG125" s="243"/>
      <c r="CH125" s="243"/>
      <c r="CI125" s="243"/>
      <c r="CJ125" s="243"/>
      <c r="CK125" s="243"/>
      <c r="CL125" s="243"/>
      <c r="CM125" s="243"/>
      <c r="CN125" s="243"/>
      <c r="CO125" s="243"/>
      <c r="CP125" s="243"/>
    </row>
  </sheetData>
  <sheetProtection algorithmName="SHA-512" hashValue="+sjbAaI4Aoq6NX8yUiU1CUcI2+X8/N6SqSr7YOwpvAVPBzznyU1qIcopt0iMpwbLeeysonkpDPaHWXUwjfZo8Q==" saltValue="uZu7R1SOT+/8zEcxic86bA==" spinCount="100000" sheet="1" objects="1" scenarios="1" selectLockedCells="1" selectUnlockedCells="1"/>
  <mergeCells count="365">
    <mergeCell ref="L62:M62"/>
    <mergeCell ref="N62:O62"/>
    <mergeCell ref="Y62:Z62"/>
    <mergeCell ref="AC62:AD62"/>
    <mergeCell ref="L60:M60"/>
    <mergeCell ref="N60:O60"/>
    <mergeCell ref="Y60:Z60"/>
    <mergeCell ref="AC60:AD60"/>
    <mergeCell ref="L61:M61"/>
    <mergeCell ref="N61:O61"/>
    <mergeCell ref="Y61:Z61"/>
    <mergeCell ref="AC61:AD61"/>
    <mergeCell ref="P60:Q60"/>
    <mergeCell ref="P61:Q61"/>
    <mergeCell ref="P62:Q62"/>
    <mergeCell ref="L59:M59"/>
    <mergeCell ref="N59:O59"/>
    <mergeCell ref="Y59:Z59"/>
    <mergeCell ref="AC59:AD59"/>
    <mergeCell ref="L57:M57"/>
    <mergeCell ref="N57:O57"/>
    <mergeCell ref="Y57:Z57"/>
    <mergeCell ref="AC57:AD57"/>
    <mergeCell ref="L58:M58"/>
    <mergeCell ref="N58:O58"/>
    <mergeCell ref="T58:U58"/>
    <mergeCell ref="Y58:Z58"/>
    <mergeCell ref="P59:Q59"/>
    <mergeCell ref="L56:M56"/>
    <mergeCell ref="N56:O56"/>
    <mergeCell ref="T56:U56"/>
    <mergeCell ref="Y56:Z56"/>
    <mergeCell ref="AC56:AD56"/>
    <mergeCell ref="AE56:AF56"/>
    <mergeCell ref="AC58:AD58"/>
    <mergeCell ref="AE58:AF58"/>
    <mergeCell ref="P56:Q56"/>
    <mergeCell ref="P57:Q57"/>
    <mergeCell ref="P58:Q58"/>
    <mergeCell ref="T53:U53"/>
    <mergeCell ref="L54:M54"/>
    <mergeCell ref="X54:AF54"/>
    <mergeCell ref="L55:M55"/>
    <mergeCell ref="N55:O55"/>
    <mergeCell ref="P54:Q54"/>
    <mergeCell ref="Y55:Z55"/>
    <mergeCell ref="AC55:AD55"/>
    <mergeCell ref="AE55:AF55"/>
    <mergeCell ref="P55:Q55"/>
    <mergeCell ref="A53:E53"/>
    <mergeCell ref="F53:G53"/>
    <mergeCell ref="H53:I53"/>
    <mergeCell ref="J53:K53"/>
    <mergeCell ref="L53:M53"/>
    <mergeCell ref="N53:O53"/>
    <mergeCell ref="R51:S51"/>
    <mergeCell ref="T51:U51"/>
    <mergeCell ref="F52:G52"/>
    <mergeCell ref="H52:I52"/>
    <mergeCell ref="J52:K52"/>
    <mergeCell ref="L52:M52"/>
    <mergeCell ref="N52:O52"/>
    <mergeCell ref="P52:Q52"/>
    <mergeCell ref="R52:S52"/>
    <mergeCell ref="T52:U52"/>
    <mergeCell ref="F51:G51"/>
    <mergeCell ref="H51:I51"/>
    <mergeCell ref="J51:K51"/>
    <mergeCell ref="L51:M51"/>
    <mergeCell ref="N51:O51"/>
    <mergeCell ref="P51:Q51"/>
    <mergeCell ref="P53:Q53"/>
    <mergeCell ref="R53:S53"/>
    <mergeCell ref="R49:S49"/>
    <mergeCell ref="T49:U49"/>
    <mergeCell ref="F50:G50"/>
    <mergeCell ref="H50:I50"/>
    <mergeCell ref="J50:K50"/>
    <mergeCell ref="L50:M50"/>
    <mergeCell ref="N50:O50"/>
    <mergeCell ref="P50:Q50"/>
    <mergeCell ref="R50:S50"/>
    <mergeCell ref="T50:U50"/>
    <mergeCell ref="F49:G49"/>
    <mergeCell ref="H49:I49"/>
    <mergeCell ref="J49:K49"/>
    <mergeCell ref="L49:M49"/>
    <mergeCell ref="N49:O49"/>
    <mergeCell ref="P49:Q49"/>
    <mergeCell ref="R47:S47"/>
    <mergeCell ref="T47:U47"/>
    <mergeCell ref="F48:G48"/>
    <mergeCell ref="H48:I48"/>
    <mergeCell ref="J48:K48"/>
    <mergeCell ref="L48:M48"/>
    <mergeCell ref="N48:O48"/>
    <mergeCell ref="P48:Q48"/>
    <mergeCell ref="R48:S48"/>
    <mergeCell ref="T48:U48"/>
    <mergeCell ref="F47:G47"/>
    <mergeCell ref="H47:I47"/>
    <mergeCell ref="J47:K47"/>
    <mergeCell ref="L47:M47"/>
    <mergeCell ref="N47:O47"/>
    <mergeCell ref="P47:Q47"/>
    <mergeCell ref="R45:S45"/>
    <mergeCell ref="T45:U45"/>
    <mergeCell ref="F46:G46"/>
    <mergeCell ref="H46:I46"/>
    <mergeCell ref="J46:K46"/>
    <mergeCell ref="L46:M46"/>
    <mergeCell ref="N46:O46"/>
    <mergeCell ref="P46:Q46"/>
    <mergeCell ref="R46:S46"/>
    <mergeCell ref="T46:U46"/>
    <mergeCell ref="F45:G45"/>
    <mergeCell ref="H45:I45"/>
    <mergeCell ref="J45:K45"/>
    <mergeCell ref="L45:M45"/>
    <mergeCell ref="N45:O45"/>
    <mergeCell ref="P45:Q45"/>
    <mergeCell ref="R43:S43"/>
    <mergeCell ref="T43:U43"/>
    <mergeCell ref="F44:G44"/>
    <mergeCell ref="H44:I44"/>
    <mergeCell ref="J44:K44"/>
    <mergeCell ref="L44:M44"/>
    <mergeCell ref="N44:O44"/>
    <mergeCell ref="P44:Q44"/>
    <mergeCell ref="R44:S44"/>
    <mergeCell ref="T44:U44"/>
    <mergeCell ref="F43:G43"/>
    <mergeCell ref="H43:I43"/>
    <mergeCell ref="J43:K43"/>
    <mergeCell ref="L43:M43"/>
    <mergeCell ref="N43:O43"/>
    <mergeCell ref="P43:Q43"/>
    <mergeCell ref="R41:S41"/>
    <mergeCell ref="T41:U41"/>
    <mergeCell ref="F42:G42"/>
    <mergeCell ref="H42:I42"/>
    <mergeCell ref="J42:K42"/>
    <mergeCell ref="L42:M42"/>
    <mergeCell ref="N42:O42"/>
    <mergeCell ref="P42:Q42"/>
    <mergeCell ref="R42:S42"/>
    <mergeCell ref="T42:U42"/>
    <mergeCell ref="F41:G41"/>
    <mergeCell ref="H41:I41"/>
    <mergeCell ref="J41:K41"/>
    <mergeCell ref="L41:M41"/>
    <mergeCell ref="N41:O41"/>
    <mergeCell ref="P41:Q41"/>
    <mergeCell ref="R39:S39"/>
    <mergeCell ref="T39:U39"/>
    <mergeCell ref="F40:G40"/>
    <mergeCell ref="H40:I40"/>
    <mergeCell ref="J40:K40"/>
    <mergeCell ref="L40:M40"/>
    <mergeCell ref="N40:O40"/>
    <mergeCell ref="P40:Q40"/>
    <mergeCell ref="R40:S40"/>
    <mergeCell ref="T40:U40"/>
    <mergeCell ref="F39:G39"/>
    <mergeCell ref="H39:I39"/>
    <mergeCell ref="J39:K39"/>
    <mergeCell ref="L39:M39"/>
    <mergeCell ref="N39:O39"/>
    <mergeCell ref="P39:Q39"/>
    <mergeCell ref="R37:S37"/>
    <mergeCell ref="T37:U37"/>
    <mergeCell ref="F38:G38"/>
    <mergeCell ref="H38:I38"/>
    <mergeCell ref="J38:K38"/>
    <mergeCell ref="L38:M38"/>
    <mergeCell ref="N38:O38"/>
    <mergeCell ref="P38:Q38"/>
    <mergeCell ref="R38:S38"/>
    <mergeCell ref="T38:U38"/>
    <mergeCell ref="F37:G37"/>
    <mergeCell ref="H37:I37"/>
    <mergeCell ref="J37:K37"/>
    <mergeCell ref="L37:M37"/>
    <mergeCell ref="N37:O37"/>
    <mergeCell ref="P37:Q37"/>
    <mergeCell ref="R35:S35"/>
    <mergeCell ref="T35:U35"/>
    <mergeCell ref="F36:G36"/>
    <mergeCell ref="H36:I36"/>
    <mergeCell ref="J36:K36"/>
    <mergeCell ref="L36:M36"/>
    <mergeCell ref="N36:O36"/>
    <mergeCell ref="P36:Q36"/>
    <mergeCell ref="R36:S36"/>
    <mergeCell ref="T36:U36"/>
    <mergeCell ref="F35:G35"/>
    <mergeCell ref="H35:I35"/>
    <mergeCell ref="J35:K35"/>
    <mergeCell ref="L35:M35"/>
    <mergeCell ref="N35:O35"/>
    <mergeCell ref="P35:Q35"/>
    <mergeCell ref="R33:S33"/>
    <mergeCell ref="T33:U33"/>
    <mergeCell ref="F34:G34"/>
    <mergeCell ref="H34:I34"/>
    <mergeCell ref="J34:K34"/>
    <mergeCell ref="L34:M34"/>
    <mergeCell ref="N34:O34"/>
    <mergeCell ref="P34:Q34"/>
    <mergeCell ref="R34:S34"/>
    <mergeCell ref="T34:U34"/>
    <mergeCell ref="F33:G33"/>
    <mergeCell ref="H33:I33"/>
    <mergeCell ref="J33:K33"/>
    <mergeCell ref="L33:M33"/>
    <mergeCell ref="N33:O33"/>
    <mergeCell ref="P33:Q33"/>
    <mergeCell ref="F32:G32"/>
    <mergeCell ref="H32:I32"/>
    <mergeCell ref="J32:K32"/>
    <mergeCell ref="L32:M32"/>
    <mergeCell ref="N32:O32"/>
    <mergeCell ref="P32:Q32"/>
    <mergeCell ref="R32:S32"/>
    <mergeCell ref="T32:U32"/>
    <mergeCell ref="F31:G31"/>
    <mergeCell ref="H31:I31"/>
    <mergeCell ref="J31:K31"/>
    <mergeCell ref="L31:M31"/>
    <mergeCell ref="N31:O31"/>
    <mergeCell ref="P31:Q31"/>
    <mergeCell ref="A28:E28"/>
    <mergeCell ref="F28:U28"/>
    <mergeCell ref="F29:I30"/>
    <mergeCell ref="J29:M29"/>
    <mergeCell ref="N29:O30"/>
    <mergeCell ref="P29:U30"/>
    <mergeCell ref="J30:K30"/>
    <mergeCell ref="L30:M30"/>
    <mergeCell ref="A31:E31"/>
    <mergeCell ref="R31:S31"/>
    <mergeCell ref="T31:U31"/>
    <mergeCell ref="W28:AJ32"/>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F53:M53 P53:S53">
    <cfRule type="expression" dxfId="233" priority="8" stopIfTrue="1">
      <formula>F53=0</formula>
    </cfRule>
  </conditionalFormatting>
  <conditionalFormatting sqref="H32:V32 AK32 H33:AK33 H34:W37 AA34:AK37">
    <cfRule type="expression" dxfId="232" priority="7">
      <formula>H32=0</formula>
    </cfRule>
  </conditionalFormatting>
  <conditionalFormatting sqref="H38:AK52">
    <cfRule type="expression" dxfId="231" priority="1">
      <formula>H38=0</formula>
    </cfRule>
  </conditionalFormatting>
  <conditionalFormatting sqref="V53:AC53">
    <cfRule type="expression" dxfId="230" priority="9" stopIfTrue="1">
      <formula>V53=0</formula>
    </cfRule>
  </conditionalFormatting>
  <conditionalFormatting sqref="Z34:Z37">
    <cfRule type="expression" dxfId="229" priority="5">
      <formula>(Z34&lt;&gt;0)</formula>
    </cfRule>
    <cfRule type="expression" dxfId="228" priority="6">
      <formula>(Z34=0)</formula>
    </cfRule>
  </conditionalFormatting>
  <conditionalFormatting sqref="AF53:AI53 N55 AC55:AD55 P55:P62 AC57 N58 AC58:AD58 AC59:AC60">
    <cfRule type="expression" dxfId="227" priority="10" stopIfTrue="1">
      <formula>N53=0</formula>
    </cfRule>
  </conditionalFormatting>
  <pageMargins left="0.74803149606299213" right="0.19685039370078741" top="0.39370078740157483" bottom="0.39370078740157483" header="0.19685039370078741" footer="0.19685039370078741"/>
  <pageSetup paperSize="9" scale="55"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222C6-F7A0-4A85-B368-018F53D52B06}">
  <sheetPr>
    <tabColor rgb="FFFF0000"/>
    <pageSetUpPr fitToPage="1"/>
  </sheetPr>
  <dimension ref="A1:CP124"/>
  <sheetViews>
    <sheetView showGridLines="0" view="pageBreakPreview" zoomScaleNormal="100" zoomScaleSheetLayoutView="100" workbookViewId="0">
      <selection sqref="A1:AK4"/>
    </sheetView>
  </sheetViews>
  <sheetFormatPr defaultColWidth="9.28515625" defaultRowHeight="15"/>
  <cols>
    <col min="1" max="13" width="3.7109375" style="290" customWidth="1"/>
    <col min="14" max="14" width="4.7109375" style="290" customWidth="1"/>
    <col min="15" max="15" width="6.42578125" style="290" customWidth="1"/>
    <col min="16" max="17" width="3.7109375" style="290" customWidth="1"/>
    <col min="18" max="19" width="4.7109375" style="290" customWidth="1"/>
    <col min="20" max="23" width="3.7109375" style="290" customWidth="1"/>
    <col min="24" max="24" width="9" style="290" bestFit="1" customWidth="1"/>
    <col min="25" max="37" width="3.7109375" style="290" customWidth="1"/>
    <col min="38" max="38" width="9.28515625" style="247"/>
    <col min="39" max="50" width="8.7109375" style="247" customWidth="1"/>
    <col min="51" max="57" width="9.28515625" style="247"/>
    <col min="58" max="59" width="9.28515625" style="285"/>
    <col min="60" max="16384" width="9.28515625" style="247"/>
  </cols>
  <sheetData>
    <row r="1" spans="1:94"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8"/>
      <c r="AL1" s="238"/>
      <c r="AM1" s="238"/>
      <c r="AN1" s="238"/>
      <c r="AO1" s="238"/>
      <c r="AP1" s="238"/>
      <c r="AQ1" s="238"/>
      <c r="AR1" s="238"/>
      <c r="AS1" s="238"/>
      <c r="AT1" s="238"/>
      <c r="AU1" s="238"/>
      <c r="AV1" s="238"/>
      <c r="AW1" s="238"/>
      <c r="AX1" s="238"/>
      <c r="AY1" s="238"/>
      <c r="AZ1" s="238"/>
      <c r="BA1" s="238"/>
      <c r="BB1" s="238"/>
      <c r="BC1" s="238"/>
      <c r="BD1" s="238"/>
      <c r="BE1" s="238"/>
      <c r="BF1" s="239"/>
      <c r="BG1" s="239"/>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c r="CM1" s="238"/>
      <c r="CN1" s="238"/>
      <c r="CO1" s="238"/>
      <c r="CP1" s="238"/>
    </row>
    <row r="2" spans="1:94"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1"/>
      <c r="AL2" s="238"/>
      <c r="AM2" s="238"/>
      <c r="AN2" s="238"/>
      <c r="AO2" s="238"/>
      <c r="AP2" s="238"/>
      <c r="AQ2" s="238"/>
      <c r="AR2" s="238"/>
      <c r="AS2" s="238"/>
      <c r="AT2" s="238"/>
      <c r="AU2" s="238"/>
      <c r="AV2" s="238"/>
      <c r="AW2" s="238"/>
      <c r="AX2" s="238"/>
      <c r="AY2" s="238"/>
      <c r="AZ2" s="238"/>
      <c r="BA2" s="238"/>
      <c r="BB2" s="238"/>
      <c r="BC2" s="238"/>
      <c r="BD2" s="238"/>
      <c r="BE2" s="238"/>
      <c r="BF2" s="239"/>
      <c r="BG2" s="239"/>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row>
    <row r="3" spans="1:94"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1"/>
      <c r="AL3" s="238"/>
      <c r="AM3" s="238"/>
      <c r="AN3" s="238"/>
      <c r="AO3" s="238"/>
      <c r="AP3" s="238"/>
      <c r="AQ3" s="238"/>
      <c r="AR3" s="238"/>
      <c r="AS3" s="238"/>
      <c r="AT3" s="238"/>
      <c r="AU3" s="238"/>
      <c r="AV3" s="238"/>
      <c r="AW3" s="238"/>
      <c r="AX3" s="238"/>
      <c r="AY3" s="238"/>
      <c r="AZ3" s="238"/>
      <c r="BA3" s="238"/>
      <c r="BB3" s="238"/>
      <c r="BC3" s="238"/>
      <c r="BD3" s="238"/>
      <c r="BE3" s="238"/>
      <c r="BF3" s="239"/>
      <c r="BG3" s="239"/>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row>
    <row r="4" spans="1:94"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4"/>
      <c r="AL4" s="238"/>
      <c r="AM4" s="241"/>
      <c r="AN4" s="241"/>
      <c r="AO4" s="241"/>
      <c r="AP4" s="242" t="s">
        <v>576</v>
      </c>
      <c r="AQ4" s="242" t="s">
        <v>577</v>
      </c>
      <c r="AR4" s="242" t="s">
        <v>578</v>
      </c>
      <c r="AS4" s="241"/>
      <c r="AT4" s="241"/>
      <c r="AU4" s="241"/>
      <c r="AV4" s="241"/>
      <c r="AW4" s="241"/>
      <c r="AX4" s="238"/>
      <c r="AY4" s="238"/>
      <c r="AZ4" s="238"/>
      <c r="BA4" s="238"/>
      <c r="BB4" s="238"/>
      <c r="BC4" s="238"/>
      <c r="BD4" s="238"/>
      <c r="BE4" s="238"/>
      <c r="BF4" s="239"/>
      <c r="BG4" s="239"/>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row>
    <row r="5" spans="1:94" ht="15" customHeight="1">
      <c r="A5" s="875" t="s">
        <v>22</v>
      </c>
      <c r="B5" s="876"/>
      <c r="C5" s="876"/>
      <c r="D5" s="876"/>
      <c r="E5" s="876"/>
      <c r="F5" s="876"/>
      <c r="G5" s="876"/>
      <c r="H5" s="27" t="str">
        <f>'Emiss. Ops'!$C$2</f>
        <v>OMVP</v>
      </c>
      <c r="I5" s="27"/>
      <c r="J5" s="27"/>
      <c r="K5" s="27"/>
      <c r="L5" s="27"/>
      <c r="M5" s="27"/>
      <c r="N5" s="27"/>
      <c r="O5" s="27"/>
      <c r="P5" s="27"/>
      <c r="Q5" s="27"/>
      <c r="R5" s="27"/>
      <c r="S5" s="27"/>
      <c r="T5" s="27"/>
      <c r="U5" s="27"/>
      <c r="V5" s="27"/>
      <c r="W5" s="27"/>
      <c r="X5" s="27"/>
      <c r="Y5" s="876" t="s">
        <v>23</v>
      </c>
      <c r="Z5" s="876"/>
      <c r="AA5" s="876"/>
      <c r="AB5" s="876"/>
      <c r="AC5" s="877" t="str">
        <f>Effluents!$K$2</f>
        <v>PRJ-001030</v>
      </c>
      <c r="AD5" s="877"/>
      <c r="AE5" s="877"/>
      <c r="AF5" s="877"/>
      <c r="AG5" s="877"/>
      <c r="AH5" s="877"/>
      <c r="AI5" s="877"/>
      <c r="AJ5" s="877"/>
      <c r="AK5" s="878"/>
      <c r="AL5" s="243"/>
      <c r="AM5" s="244"/>
      <c r="AN5" s="244"/>
      <c r="AO5" s="244"/>
      <c r="AP5" s="245" t="s">
        <v>386</v>
      </c>
      <c r="AQ5" s="245" t="s">
        <v>729</v>
      </c>
      <c r="AR5" s="242">
        <v>1020</v>
      </c>
      <c r="AS5" s="244"/>
      <c r="AT5" s="244"/>
      <c r="AU5" s="244"/>
      <c r="AV5" s="244"/>
      <c r="AW5" s="244"/>
      <c r="AX5" s="238"/>
      <c r="AY5" s="238"/>
      <c r="AZ5" s="238"/>
      <c r="BA5" s="243"/>
      <c r="BB5" s="243"/>
      <c r="BC5" s="243"/>
      <c r="BD5" s="243"/>
      <c r="BE5" s="243"/>
      <c r="BF5" s="246"/>
      <c r="BG5" s="246"/>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row>
    <row r="6" spans="1:94" ht="15" customHeight="1">
      <c r="A6" s="862" t="s">
        <v>24</v>
      </c>
      <c r="B6" s="863"/>
      <c r="C6" s="863"/>
      <c r="D6" s="863"/>
      <c r="E6" s="863"/>
      <c r="F6" s="863"/>
      <c r="G6" s="863"/>
      <c r="H6" s="30" t="str">
        <f>'Emiss. Ops'!$C$3</f>
        <v>OMV Neptun BAT Study &amp; ESIA</v>
      </c>
      <c r="I6" s="30"/>
      <c r="J6" s="30"/>
      <c r="K6" s="30"/>
      <c r="L6" s="30"/>
      <c r="M6" s="30"/>
      <c r="N6" s="30"/>
      <c r="O6" s="30"/>
      <c r="P6" s="30"/>
      <c r="Q6" s="30"/>
      <c r="R6" s="30"/>
      <c r="S6" s="30"/>
      <c r="T6" s="30"/>
      <c r="U6" s="30"/>
      <c r="V6" s="30"/>
      <c r="W6" s="30"/>
      <c r="X6" s="30"/>
      <c r="Y6" s="863" t="s">
        <v>25</v>
      </c>
      <c r="Z6" s="863"/>
      <c r="AA6" s="863"/>
      <c r="AB6" s="863"/>
      <c r="AC6" s="860"/>
      <c r="AD6" s="860"/>
      <c r="AE6" s="860"/>
      <c r="AF6" s="860"/>
      <c r="AG6" s="860"/>
      <c r="AH6" s="860"/>
      <c r="AI6" s="860"/>
      <c r="AJ6" s="860"/>
      <c r="AK6" s="861"/>
      <c r="AL6" s="243"/>
      <c r="AM6" s="244"/>
      <c r="AN6" s="244"/>
      <c r="AO6" s="242"/>
      <c r="AP6" s="245" t="s">
        <v>406</v>
      </c>
      <c r="AQ6" s="245" t="s">
        <v>339</v>
      </c>
      <c r="AR6" s="245">
        <v>0.45400000000000001</v>
      </c>
      <c r="AS6" s="242"/>
      <c r="AT6" s="244"/>
      <c r="AU6" s="244"/>
      <c r="AV6" s="244"/>
      <c r="AW6" s="244"/>
      <c r="AX6" s="238"/>
      <c r="AY6" s="238"/>
      <c r="AZ6" s="238"/>
      <c r="BA6" s="243"/>
      <c r="BB6" s="243"/>
      <c r="BC6" s="243"/>
      <c r="BD6" s="243"/>
      <c r="BE6" s="243"/>
      <c r="BF6" s="246"/>
      <c r="BG6" s="246"/>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row>
    <row r="7" spans="1:94" ht="15" customHeight="1">
      <c r="A7" s="862" t="s">
        <v>26</v>
      </c>
      <c r="B7" s="863"/>
      <c r="C7" s="863"/>
      <c r="D7" s="863"/>
      <c r="E7" s="863"/>
      <c r="F7" s="863"/>
      <c r="G7" s="863"/>
      <c r="H7" s="30" t="str">
        <f>'Emiss. Ops'!$C$4</f>
        <v>Emissions Inventory</v>
      </c>
      <c r="I7" s="30"/>
      <c r="J7" s="30"/>
      <c r="K7" s="30"/>
      <c r="L7" s="30"/>
      <c r="M7" s="30"/>
      <c r="N7" s="30"/>
      <c r="O7" s="30"/>
      <c r="P7" s="30"/>
      <c r="Q7" s="30"/>
      <c r="R7" s="30"/>
      <c r="S7" s="30"/>
      <c r="T7" s="30"/>
      <c r="U7" s="30"/>
      <c r="V7" s="30"/>
      <c r="W7" s="30"/>
      <c r="X7" s="30"/>
      <c r="Y7" s="863" t="s">
        <v>27</v>
      </c>
      <c r="Z7" s="863"/>
      <c r="AA7" s="863"/>
      <c r="AB7" s="863"/>
      <c r="AC7" s="30" t="str">
        <f>'Emiss. Ops'!$I$4</f>
        <v>Normal Operations</v>
      </c>
      <c r="AD7" s="31"/>
      <c r="AE7" s="31"/>
      <c r="AF7" s="31"/>
      <c r="AG7" s="31"/>
      <c r="AH7" s="31"/>
      <c r="AI7" s="31"/>
      <c r="AJ7" s="31"/>
      <c r="AK7" s="32"/>
      <c r="AL7" s="243"/>
      <c r="AM7" s="244"/>
      <c r="AN7" s="244"/>
      <c r="AO7" s="242"/>
      <c r="AP7" s="245" t="s">
        <v>407</v>
      </c>
      <c r="AQ7" s="245" t="s">
        <v>730</v>
      </c>
      <c r="AR7" s="248">
        <f>0.305^3</f>
        <v>2.8372624999999999E-2</v>
      </c>
      <c r="AS7" s="242"/>
      <c r="AT7" s="244"/>
      <c r="AU7" s="244"/>
      <c r="AV7" s="244"/>
      <c r="AW7" s="244"/>
      <c r="AX7" s="238"/>
      <c r="AY7" s="238"/>
      <c r="AZ7" s="238"/>
      <c r="BA7" s="243"/>
      <c r="BB7" s="243"/>
      <c r="BC7" s="243"/>
      <c r="BD7" s="243"/>
      <c r="BE7" s="243"/>
      <c r="BF7" s="246"/>
      <c r="BG7" s="246"/>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row>
    <row r="8" spans="1:94"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8"/>
      <c r="AH8" s="1288"/>
      <c r="AI8" s="1288"/>
      <c r="AJ8" s="1288"/>
      <c r="AK8" s="1289"/>
      <c r="AL8" s="243"/>
      <c r="AM8" s="244"/>
      <c r="AN8" s="244"/>
      <c r="AO8" s="242"/>
      <c r="AP8" s="245" t="s">
        <v>729</v>
      </c>
      <c r="AQ8" s="245" t="s">
        <v>731</v>
      </c>
      <c r="AR8" s="249">
        <f>AR6/AR7 * ((AN18+273.15)/(AN20+273.15))</f>
        <v>16.912595854908194</v>
      </c>
      <c r="AS8" s="242"/>
      <c r="AT8" s="244"/>
      <c r="AU8" s="244"/>
      <c r="AV8" s="244"/>
      <c r="AW8" s="244"/>
      <c r="AX8" s="238"/>
      <c r="AY8" s="238"/>
      <c r="AZ8" s="238"/>
      <c r="BA8" s="243"/>
      <c r="BB8" s="243"/>
      <c r="BC8" s="243"/>
      <c r="BD8" s="243"/>
      <c r="BE8" s="243"/>
      <c r="BF8" s="246"/>
      <c r="BG8" s="246"/>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row>
    <row r="9" spans="1:94"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8"/>
      <c r="AH9" s="1288"/>
      <c r="AI9" s="1288"/>
      <c r="AJ9" s="1288"/>
      <c r="AK9" s="1289"/>
      <c r="AL9" s="243"/>
      <c r="AM9" s="244"/>
      <c r="AN9" s="244"/>
      <c r="AO9" s="242"/>
      <c r="AP9" s="242" t="s">
        <v>409</v>
      </c>
      <c r="AQ9" s="242" t="s">
        <v>410</v>
      </c>
      <c r="AR9" s="242">
        <v>947</v>
      </c>
      <c r="AS9" s="242"/>
      <c r="AT9" s="244"/>
      <c r="AU9" s="244"/>
      <c r="AV9" s="244"/>
      <c r="AW9" s="244"/>
      <c r="AX9" s="238"/>
      <c r="AY9" s="238"/>
      <c r="AZ9" s="238"/>
      <c r="BA9" s="243"/>
      <c r="BB9" s="243"/>
      <c r="BC9" s="243"/>
      <c r="BD9" s="243"/>
      <c r="BE9" s="243"/>
      <c r="BF9" s="246"/>
      <c r="BG9" s="246"/>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row>
    <row r="10" spans="1:94"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1283"/>
      <c r="V10" s="1283"/>
      <c r="W10" s="1283"/>
      <c r="X10" s="1283"/>
      <c r="Y10" s="859" t="s">
        <v>28</v>
      </c>
      <c r="Z10" s="859"/>
      <c r="AA10" s="859"/>
      <c r="AB10" s="859"/>
      <c r="AC10" s="1284"/>
      <c r="AD10" s="1284"/>
      <c r="AE10" s="1284"/>
      <c r="AF10" s="1285"/>
      <c r="AG10" s="1285"/>
      <c r="AH10" s="1285"/>
      <c r="AI10" s="1286"/>
      <c r="AJ10" s="1286"/>
      <c r="AK10" s="1287"/>
      <c r="AL10" s="238"/>
      <c r="AM10" s="241"/>
      <c r="AN10" s="241"/>
      <c r="AO10" s="245"/>
      <c r="AP10" s="245" t="s">
        <v>710</v>
      </c>
      <c r="AQ10" s="245" t="s">
        <v>709</v>
      </c>
      <c r="AR10" s="245">
        <v>1E-3</v>
      </c>
      <c r="AS10" s="245"/>
      <c r="AT10" s="241"/>
      <c r="AU10" s="241"/>
      <c r="AV10" s="241"/>
      <c r="AW10" s="241"/>
      <c r="AX10" s="238"/>
      <c r="AY10" s="238"/>
      <c r="AZ10" s="238"/>
      <c r="BA10" s="238"/>
      <c r="BB10" s="238"/>
      <c r="BC10" s="238"/>
      <c r="BD10" s="238"/>
      <c r="BE10" s="238"/>
      <c r="BF10" s="239"/>
      <c r="BG10" s="239"/>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row>
    <row r="11" spans="1:94" s="240" customFormat="1" ht="14.25" customHeight="1">
      <c r="A11" s="1271" t="s">
        <v>372</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3"/>
      <c r="AL11" s="238"/>
      <c r="AM11" s="241"/>
      <c r="AN11" s="241"/>
      <c r="AO11" s="245"/>
      <c r="AP11" s="245" t="s">
        <v>732</v>
      </c>
      <c r="AQ11" s="245" t="s">
        <v>409</v>
      </c>
      <c r="AR11" s="245">
        <f>1/(AR9/1000000)</f>
        <v>1055.9662090813094</v>
      </c>
      <c r="AS11" s="245"/>
      <c r="AT11" s="241"/>
      <c r="AU11" s="241"/>
      <c r="AV11" s="241"/>
      <c r="AW11" s="241"/>
      <c r="AX11" s="238"/>
      <c r="AY11" s="238"/>
      <c r="AZ11" s="238"/>
      <c r="BA11" s="238"/>
      <c r="BB11" s="238"/>
      <c r="BC11" s="238"/>
      <c r="BD11" s="238"/>
      <c r="BE11" s="238"/>
      <c r="BF11" s="239"/>
      <c r="BG11" s="239"/>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row>
    <row r="12" spans="1:94" s="240" customFormat="1" ht="14.25" customHeight="1">
      <c r="A12" s="1274"/>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5"/>
      <c r="AH12" s="1275"/>
      <c r="AI12" s="1275"/>
      <c r="AJ12" s="1275"/>
      <c r="AK12" s="1276"/>
      <c r="AL12" s="238"/>
      <c r="AM12" s="241"/>
      <c r="AN12" s="241"/>
      <c r="AO12" s="245"/>
      <c r="AP12" s="245"/>
      <c r="AQ12" s="245"/>
      <c r="AR12" s="245"/>
      <c r="AS12" s="245"/>
      <c r="AT12" s="241"/>
      <c r="AU12" s="241"/>
      <c r="AV12" s="241"/>
      <c r="AW12" s="241"/>
      <c r="AX12" s="238"/>
      <c r="AY12" s="238"/>
      <c r="AZ12" s="238"/>
      <c r="BA12" s="238"/>
      <c r="BB12" s="238"/>
      <c r="BC12" s="238"/>
      <c r="BD12" s="238"/>
      <c r="BE12" s="238"/>
      <c r="BF12" s="239"/>
      <c r="BG12" s="239"/>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row>
    <row r="13" spans="1:94" s="240" customFormat="1" ht="14.25" customHeight="1">
      <c r="A13" s="1277" t="s">
        <v>587</v>
      </c>
      <c r="B13" s="1278"/>
      <c r="C13" s="1278"/>
      <c r="D13" s="1278"/>
      <c r="E13" s="1278"/>
      <c r="F13" s="1278"/>
      <c r="G13" s="1279"/>
      <c r="H13" s="1280" t="s">
        <v>799</v>
      </c>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2"/>
      <c r="AL13" s="238"/>
      <c r="AM13" s="241"/>
      <c r="AN13" s="241"/>
      <c r="AO13" s="241"/>
      <c r="AP13" s="241"/>
      <c r="AQ13" s="241"/>
      <c r="AR13" s="241"/>
      <c r="AS13" s="241"/>
      <c r="AT13" s="241"/>
      <c r="AU13" s="241"/>
      <c r="AV13" s="241"/>
      <c r="AW13" s="241"/>
      <c r="AX13" s="241"/>
      <c r="AY13" s="241"/>
      <c r="AZ13" s="241"/>
      <c r="BA13" s="238"/>
      <c r="BB13" s="238"/>
      <c r="BC13" s="238"/>
      <c r="BD13" s="238"/>
      <c r="BE13" s="238"/>
      <c r="BF13" s="239"/>
      <c r="BG13" s="239"/>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row>
    <row r="14" spans="1:94" s="240" customFormat="1" ht="14.25" customHeight="1">
      <c r="A14" s="279" t="s">
        <v>589</v>
      </c>
      <c r="B14" s="429"/>
      <c r="C14" s="429"/>
      <c r="D14" s="429"/>
      <c r="E14" s="429"/>
      <c r="F14" s="429"/>
      <c r="G14" s="429"/>
      <c r="H14" s="1271" t="s">
        <v>590</v>
      </c>
      <c r="I14" s="1272"/>
      <c r="J14" s="1273"/>
      <c r="K14" s="1271" t="s">
        <v>591</v>
      </c>
      <c r="L14" s="1272"/>
      <c r="M14" s="1273"/>
      <c r="N14" s="1271" t="s">
        <v>592</v>
      </c>
      <c r="O14" s="1272"/>
      <c r="P14" s="1273"/>
      <c r="Q14" s="1271" t="s">
        <v>400</v>
      </c>
      <c r="R14" s="1272"/>
      <c r="S14" s="1273"/>
      <c r="T14" s="1271" t="s">
        <v>593</v>
      </c>
      <c r="U14" s="1272"/>
      <c r="V14" s="1273"/>
      <c r="W14" s="1271" t="s">
        <v>593</v>
      </c>
      <c r="X14" s="1272"/>
      <c r="Y14" s="1273"/>
      <c r="Z14" s="1271" t="s">
        <v>115</v>
      </c>
      <c r="AA14" s="1272"/>
      <c r="AB14" s="1273"/>
      <c r="AC14" s="1271" t="s">
        <v>115</v>
      </c>
      <c r="AD14" s="1272"/>
      <c r="AE14" s="1273"/>
      <c r="AF14" s="1271" t="s">
        <v>116</v>
      </c>
      <c r="AG14" s="1272"/>
      <c r="AH14" s="1273"/>
      <c r="AI14" s="1271" t="s">
        <v>116</v>
      </c>
      <c r="AJ14" s="1272"/>
      <c r="AK14" s="1273"/>
      <c r="AL14" s="238"/>
      <c r="AM14" s="241"/>
      <c r="AN14" s="241"/>
      <c r="AO14" s="241"/>
      <c r="AP14" s="241"/>
      <c r="AQ14" s="430"/>
      <c r="AR14" s="241"/>
      <c r="AS14" s="241"/>
      <c r="AT14" s="241"/>
      <c r="AU14" s="241"/>
      <c r="AV14" s="241"/>
      <c r="AW14" s="241"/>
      <c r="AX14" s="238"/>
      <c r="AY14" s="238"/>
      <c r="AZ14" s="238"/>
      <c r="BA14" s="238"/>
      <c r="BB14" s="238"/>
      <c r="BC14" s="238"/>
      <c r="BD14" s="238"/>
      <c r="BE14" s="238"/>
      <c r="BF14" s="239"/>
      <c r="BG14" s="239"/>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row>
    <row r="15" spans="1:94" s="240" customFormat="1" ht="14.25" customHeight="1">
      <c r="A15" s="250"/>
      <c r="B15" s="251"/>
      <c r="C15" s="251"/>
      <c r="D15" s="251"/>
      <c r="E15" s="251"/>
      <c r="F15" s="251"/>
      <c r="G15" s="251"/>
      <c r="H15" s="1302" t="s">
        <v>594</v>
      </c>
      <c r="I15" s="1283"/>
      <c r="J15" s="1303"/>
      <c r="K15" s="1302" t="s">
        <v>595</v>
      </c>
      <c r="L15" s="1283"/>
      <c r="M15" s="1303"/>
      <c r="N15" s="1302" t="s">
        <v>596</v>
      </c>
      <c r="O15" s="1283"/>
      <c r="P15" s="1303"/>
      <c r="Q15" s="1302" t="s">
        <v>597</v>
      </c>
      <c r="R15" s="1283"/>
      <c r="S15" s="1303"/>
      <c r="T15" s="1302" t="s">
        <v>734</v>
      </c>
      <c r="U15" s="1283"/>
      <c r="V15" s="1303"/>
      <c r="W15" s="1302" t="s">
        <v>599</v>
      </c>
      <c r="X15" s="1283"/>
      <c r="Y15" s="1303"/>
      <c r="Z15" s="1302" t="s">
        <v>734</v>
      </c>
      <c r="AA15" s="1283"/>
      <c r="AB15" s="1303"/>
      <c r="AC15" s="1302" t="s">
        <v>599</v>
      </c>
      <c r="AD15" s="1283"/>
      <c r="AE15" s="1303"/>
      <c r="AF15" s="1302" t="s">
        <v>734</v>
      </c>
      <c r="AG15" s="1283"/>
      <c r="AH15" s="1303"/>
      <c r="AI15" s="1302" t="s">
        <v>599</v>
      </c>
      <c r="AJ15" s="1283"/>
      <c r="AK15" s="1303"/>
      <c r="AL15" s="238"/>
      <c r="AM15" s="241"/>
      <c r="AN15" s="241"/>
      <c r="AO15" s="241"/>
      <c r="AP15" s="431" t="s">
        <v>393</v>
      </c>
      <c r="AQ15" s="432"/>
      <c r="AR15" s="433"/>
      <c r="AS15" s="431" t="s">
        <v>115</v>
      </c>
      <c r="AT15" s="432"/>
      <c r="AU15" s="433"/>
      <c r="AY15" s="238"/>
      <c r="AZ15" s="238"/>
      <c r="BA15" s="238"/>
      <c r="BB15" s="238"/>
      <c r="BC15" s="238"/>
      <c r="BD15" s="238"/>
      <c r="BE15" s="238"/>
      <c r="BF15" s="239"/>
      <c r="BG15" s="239"/>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row>
    <row r="16" spans="1:94" s="240" customFormat="1" ht="14.25" customHeight="1">
      <c r="A16" s="434" t="s">
        <v>735</v>
      </c>
      <c r="B16" s="435"/>
      <c r="C16" s="435"/>
      <c r="D16" s="435"/>
      <c r="E16" s="435"/>
      <c r="F16" s="435"/>
      <c r="G16" s="436"/>
      <c r="H16" s="1304"/>
      <c r="I16" s="1305"/>
      <c r="J16" s="1306"/>
      <c r="K16" s="1307"/>
      <c r="L16" s="1308"/>
      <c r="M16" s="1309"/>
      <c r="N16" s="1304"/>
      <c r="O16" s="1305"/>
      <c r="P16" s="1306"/>
      <c r="Q16" s="1566">
        <v>37.96</v>
      </c>
      <c r="R16" s="1567"/>
      <c r="S16" s="1568"/>
      <c r="T16" s="1418">
        <f>AR17</f>
        <v>1173.0576484964322</v>
      </c>
      <c r="U16" s="1419"/>
      <c r="V16" s="1420"/>
      <c r="W16" s="1304"/>
      <c r="X16" s="1305"/>
      <c r="Y16" s="1306"/>
      <c r="Z16" s="1418">
        <f>AU17</f>
        <v>6382.8136756423519</v>
      </c>
      <c r="AA16" s="1419"/>
      <c r="AB16" s="1420"/>
      <c r="AC16" s="1304"/>
      <c r="AD16" s="1305"/>
      <c r="AE16" s="1306"/>
      <c r="AF16" s="1379">
        <f>AR22</f>
        <v>40</v>
      </c>
      <c r="AG16" s="1380"/>
      <c r="AH16" s="1381"/>
      <c r="AI16" s="1304" t="s">
        <v>604</v>
      </c>
      <c r="AJ16" s="1305"/>
      <c r="AK16" s="1306"/>
      <c r="AL16" s="238"/>
      <c r="AM16" s="241" t="s">
        <v>605</v>
      </c>
      <c r="AN16" s="241"/>
      <c r="AO16" s="241"/>
      <c r="AP16" s="437" t="s">
        <v>386</v>
      </c>
      <c r="AQ16" s="437" t="s">
        <v>714</v>
      </c>
      <c r="AR16" s="437" t="s">
        <v>715</v>
      </c>
      <c r="AS16" s="437" t="s">
        <v>386</v>
      </c>
      <c r="AT16" s="437" t="s">
        <v>714</v>
      </c>
      <c r="AU16" s="437" t="s">
        <v>715</v>
      </c>
      <c r="AY16" s="238"/>
      <c r="AZ16" s="238"/>
      <c r="BA16" s="238"/>
      <c r="BB16" s="238"/>
      <c r="BC16" s="238"/>
      <c r="BD16" s="238"/>
      <c r="BE16" s="238"/>
      <c r="BF16" s="239"/>
      <c r="BG16" s="239"/>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row>
    <row r="17" spans="1:94" s="240" customFormat="1" ht="14.25" customHeight="1">
      <c r="A17" s="438" t="s">
        <v>800</v>
      </c>
      <c r="B17" s="439"/>
      <c r="C17" s="439"/>
      <c r="D17" s="439"/>
      <c r="E17" s="439"/>
      <c r="F17" s="439"/>
      <c r="G17" s="440"/>
      <c r="H17" s="1421">
        <f>CO2eEF!P16</f>
        <v>16.12</v>
      </c>
      <c r="I17" s="1422"/>
      <c r="J17" s="1423"/>
      <c r="K17" s="1424">
        <f>CO2eEF!P12</f>
        <v>0.69899999999999995</v>
      </c>
      <c r="L17" s="1425"/>
      <c r="M17" s="1426"/>
      <c r="N17" s="1421">
        <f>CO2eEF!P19</f>
        <v>49.78</v>
      </c>
      <c r="O17" s="1427"/>
      <c r="P17" s="1428"/>
      <c r="Q17" s="1421">
        <f>CO2eEF!P21</f>
        <v>37.770000000000003</v>
      </c>
      <c r="R17" s="1427"/>
      <c r="S17" s="1428"/>
      <c r="T17" s="1340">
        <f>(Q17/Q16)*T16</f>
        <v>1167.1861797605438</v>
      </c>
      <c r="U17" s="1341"/>
      <c r="V17" s="1342"/>
      <c r="W17" s="1569">
        <f>T17/1000000/$K17</f>
        <v>1.6697942485844693E-3</v>
      </c>
      <c r="X17" s="1570"/>
      <c r="Y17" s="1571"/>
      <c r="Z17" s="1340">
        <f>Q17/Q16*Z16</f>
        <v>6350.8659781088418</v>
      </c>
      <c r="AA17" s="1341"/>
      <c r="AB17" s="1342"/>
      <c r="AC17" s="1569">
        <f>Z17/$K17/1000000</f>
        <v>9.085645176121376E-3</v>
      </c>
      <c r="AD17" s="1570"/>
      <c r="AE17" s="1571"/>
      <c r="AF17" s="1299">
        <f>Q17/Q16*AF16</f>
        <v>39.799789251844047</v>
      </c>
      <c r="AG17" s="1300"/>
      <c r="AH17" s="1301"/>
      <c r="AI17" s="1572">
        <f>AF17/$K17/1000000</f>
        <v>5.6938182048417806E-5</v>
      </c>
      <c r="AJ17" s="1573"/>
      <c r="AK17" s="1574"/>
      <c r="AL17" s="238"/>
      <c r="AM17" s="441" t="s">
        <v>606</v>
      </c>
      <c r="AN17" s="241">
        <v>60</v>
      </c>
      <c r="AO17" s="241" t="s">
        <v>607</v>
      </c>
      <c r="AP17" s="442">
        <v>6.8000000000000005E-2</v>
      </c>
      <c r="AQ17" s="443">
        <f>AR5*$AP$17</f>
        <v>69.36</v>
      </c>
      <c r="AR17" s="443">
        <f>$AR$8*AQ17</f>
        <v>1173.0576484964322</v>
      </c>
      <c r="AS17" s="444">
        <v>0.37</v>
      </c>
      <c r="AT17" s="445">
        <f>AS17*AR5</f>
        <v>377.4</v>
      </c>
      <c r="AU17" s="446">
        <f>AT17*AR8</f>
        <v>6382.8136756423519</v>
      </c>
      <c r="AY17" s="238"/>
      <c r="AZ17" s="238"/>
      <c r="BA17" s="238"/>
      <c r="BB17" s="238"/>
      <c r="BC17" s="238"/>
      <c r="BD17" s="238"/>
      <c r="BE17" s="238"/>
      <c r="BF17" s="239"/>
      <c r="BG17" s="239"/>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row>
    <row r="18" spans="1:94" s="240" customFormat="1" ht="14.25" customHeight="1">
      <c r="A18" s="133"/>
      <c r="B18" s="251"/>
      <c r="C18" s="251"/>
      <c r="D18" s="251"/>
      <c r="E18" s="251"/>
      <c r="F18" s="251"/>
      <c r="G18" s="251"/>
      <c r="H18" s="1325"/>
      <c r="I18" s="1326"/>
      <c r="J18" s="1327"/>
      <c r="K18" s="1328">
        <v>1.05</v>
      </c>
      <c r="L18" s="1329"/>
      <c r="M18" s="1330"/>
      <c r="N18" s="1331"/>
      <c r="O18" s="1332"/>
      <c r="P18" s="1333"/>
      <c r="Q18" s="1334"/>
      <c r="R18" s="1335"/>
      <c r="S18" s="1336"/>
      <c r="T18" s="1337"/>
      <c r="U18" s="1338"/>
      <c r="V18" s="1339"/>
      <c r="W18" s="1302"/>
      <c r="X18" s="1283"/>
      <c r="Y18" s="1303"/>
      <c r="Z18" s="1337"/>
      <c r="AA18" s="1338"/>
      <c r="AB18" s="1339"/>
      <c r="AC18" s="1302"/>
      <c r="AD18" s="1283"/>
      <c r="AE18" s="1303"/>
      <c r="AF18" s="1343"/>
      <c r="AG18" s="1344"/>
      <c r="AH18" s="1345"/>
      <c r="AI18" s="1302"/>
      <c r="AJ18" s="1283"/>
      <c r="AK18" s="1303"/>
      <c r="AL18" s="238"/>
      <c r="AM18" s="441" t="s">
        <v>608</v>
      </c>
      <c r="AN18" s="447">
        <f>(AN17 - 32) * 5/9</f>
        <v>15.555555555555555</v>
      </c>
      <c r="AO18" s="241" t="s">
        <v>609</v>
      </c>
      <c r="AP18" s="444"/>
      <c r="AQ18" s="448"/>
      <c r="AR18" s="446"/>
      <c r="AS18" s="444"/>
      <c r="AT18" s="445"/>
      <c r="AU18" s="446"/>
      <c r="AY18" s="238"/>
      <c r="AZ18" s="238"/>
      <c r="BA18" s="238"/>
      <c r="BB18" s="238"/>
      <c r="BC18" s="238"/>
      <c r="BD18" s="238"/>
      <c r="BE18" s="238"/>
      <c r="BF18" s="239"/>
      <c r="BG18" s="239"/>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row>
    <row r="19" spans="1:94" s="240" customFormat="1" ht="14.25" customHeight="1">
      <c r="A19" s="279" t="s">
        <v>589</v>
      </c>
      <c r="B19" s="429"/>
      <c r="C19" s="429"/>
      <c r="D19" s="429"/>
      <c r="E19" s="429"/>
      <c r="F19" s="429"/>
      <c r="G19" s="449"/>
      <c r="H19" s="1271" t="s">
        <v>122</v>
      </c>
      <c r="I19" s="1272"/>
      <c r="J19" s="1273"/>
      <c r="K19" s="1271" t="s">
        <v>122</v>
      </c>
      <c r="L19" s="1272"/>
      <c r="M19" s="1273"/>
      <c r="N19" s="1271" t="s">
        <v>124</v>
      </c>
      <c r="O19" s="1272"/>
      <c r="P19" s="1273"/>
      <c r="Q19" s="1271" t="s">
        <v>124</v>
      </c>
      <c r="R19" s="1272"/>
      <c r="S19" s="1273"/>
      <c r="T19" s="1117" t="s">
        <v>123</v>
      </c>
      <c r="U19" s="1118"/>
      <c r="V19" s="1119"/>
      <c r="W19" s="1117" t="s">
        <v>123</v>
      </c>
      <c r="X19" s="1118"/>
      <c r="Y19" s="1119"/>
      <c r="Z19" s="1117" t="s">
        <v>716</v>
      </c>
      <c r="AA19" s="1118"/>
      <c r="AB19" s="1119"/>
      <c r="AC19" s="1117" t="s">
        <v>125</v>
      </c>
      <c r="AD19" s="1118"/>
      <c r="AE19" s="1119"/>
      <c r="AF19" s="30"/>
      <c r="AG19" s="30"/>
      <c r="AH19" s="30"/>
      <c r="AI19" s="30"/>
      <c r="AJ19" s="30"/>
      <c r="AK19" s="280"/>
      <c r="AL19" s="238"/>
      <c r="AM19" s="241"/>
      <c r="AN19" s="241"/>
      <c r="AO19" s="241"/>
      <c r="AP19" s="238"/>
      <c r="AQ19" s="238"/>
      <c r="AR19" s="238"/>
      <c r="AS19" s="238"/>
      <c r="AT19" s="238"/>
      <c r="AU19" s="238"/>
      <c r="AV19" s="238"/>
      <c r="AW19" s="238"/>
      <c r="AX19" s="238"/>
      <c r="AY19" s="238"/>
      <c r="AZ19" s="238"/>
      <c r="BA19" s="238"/>
      <c r="BB19" s="238"/>
      <c r="BC19" s="238"/>
      <c r="BD19" s="238"/>
      <c r="BE19" s="238"/>
      <c r="BF19" s="239"/>
      <c r="BG19" s="239"/>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row>
    <row r="20" spans="1:94" s="240" customFormat="1" ht="14.25" customHeight="1">
      <c r="A20" s="250"/>
      <c r="B20" s="251"/>
      <c r="C20" s="251"/>
      <c r="D20" s="251"/>
      <c r="E20" s="251"/>
      <c r="F20" s="251"/>
      <c r="G20" s="450"/>
      <c r="H20" s="1302" t="s">
        <v>734</v>
      </c>
      <c r="I20" s="1283"/>
      <c r="J20" s="1303"/>
      <c r="K20" s="1302" t="s">
        <v>599</v>
      </c>
      <c r="L20" s="1283"/>
      <c r="M20" s="1303"/>
      <c r="N20" s="1302" t="s">
        <v>734</v>
      </c>
      <c r="O20" s="1283"/>
      <c r="P20" s="1303"/>
      <c r="Q20" s="1302" t="s">
        <v>599</v>
      </c>
      <c r="R20" s="1283"/>
      <c r="S20" s="1303"/>
      <c r="T20" s="1089" t="s">
        <v>598</v>
      </c>
      <c r="U20" s="1090"/>
      <c r="V20" s="1091"/>
      <c r="W20" s="1089" t="s">
        <v>599</v>
      </c>
      <c r="X20" s="1090"/>
      <c r="Y20" s="1091"/>
      <c r="Z20" s="1089" t="s">
        <v>598</v>
      </c>
      <c r="AA20" s="1090"/>
      <c r="AB20" s="1091"/>
      <c r="AC20" s="1089" t="s">
        <v>599</v>
      </c>
      <c r="AD20" s="1090"/>
      <c r="AE20" s="1091"/>
      <c r="AF20" s="30"/>
      <c r="AG20" s="30"/>
      <c r="AH20" s="30"/>
      <c r="AI20" s="30"/>
      <c r="AJ20" s="30"/>
      <c r="AK20" s="253"/>
      <c r="AL20" s="238"/>
      <c r="AM20" s="441"/>
      <c r="AN20" s="241"/>
      <c r="AO20" s="241"/>
      <c r="AP20" s="431" t="s">
        <v>116</v>
      </c>
      <c r="AQ20" s="432"/>
      <c r="AR20" s="433"/>
      <c r="AS20" s="431" t="s">
        <v>122</v>
      </c>
      <c r="AT20" s="432"/>
      <c r="AU20" s="433"/>
      <c r="AV20" s="238"/>
      <c r="AW20" s="238"/>
      <c r="AX20" s="238"/>
      <c r="AY20" s="238"/>
      <c r="AZ20" s="238"/>
      <c r="BA20" s="238"/>
      <c r="BB20" s="238"/>
      <c r="BC20" s="238"/>
      <c r="BD20" s="238"/>
      <c r="BE20" s="238"/>
      <c r="BF20" s="239"/>
      <c r="BG20" s="239"/>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row>
    <row r="21" spans="1:94" s="240" customFormat="1" ht="14.25" customHeight="1">
      <c r="A21" s="434" t="s">
        <v>735</v>
      </c>
      <c r="B21" s="435"/>
      <c r="C21" s="435"/>
      <c r="D21" s="435"/>
      <c r="E21" s="435"/>
      <c r="F21" s="435"/>
      <c r="G21" s="436"/>
      <c r="H21" s="1418">
        <f>AU22</f>
        <v>2415.11868808089</v>
      </c>
      <c r="I21" s="1419"/>
      <c r="J21" s="1420"/>
      <c r="K21" s="1304"/>
      <c r="L21" s="1305"/>
      <c r="M21" s="1306"/>
      <c r="N21" s="1364"/>
      <c r="O21" s="1365"/>
      <c r="P21" s="1366"/>
      <c r="Q21" s="1367"/>
      <c r="R21" s="1368"/>
      <c r="S21" s="1369"/>
      <c r="T21" s="1262"/>
      <c r="U21" s="1263"/>
      <c r="V21" s="1264"/>
      <c r="W21" s="1265"/>
      <c r="X21" s="1266"/>
      <c r="Y21" s="1267"/>
      <c r="Z21" s="1262"/>
      <c r="AA21" s="1263"/>
      <c r="AB21" s="1264"/>
      <c r="AC21" s="1268"/>
      <c r="AD21" s="1269"/>
      <c r="AE21" s="1270"/>
      <c r="AF21" s="30"/>
      <c r="AG21" s="30"/>
      <c r="AH21" s="30"/>
      <c r="AI21" s="30"/>
      <c r="AJ21" s="30"/>
      <c r="AK21" s="253"/>
      <c r="AL21" s="238"/>
      <c r="AM21" s="241"/>
      <c r="AN21" s="241"/>
      <c r="AO21" s="241"/>
      <c r="AP21" s="437" t="s">
        <v>737</v>
      </c>
      <c r="AQ21" s="451" t="s">
        <v>738</v>
      </c>
      <c r="AR21" s="451" t="s">
        <v>731</v>
      </c>
      <c r="AS21" s="437" t="s">
        <v>386</v>
      </c>
      <c r="AT21" s="437" t="s">
        <v>714</v>
      </c>
      <c r="AU21" s="437" t="s">
        <v>715</v>
      </c>
      <c r="AV21" s="238"/>
      <c r="AW21" s="238"/>
      <c r="AX21" s="238"/>
      <c r="AY21" s="238"/>
      <c r="AZ21" s="238"/>
      <c r="BA21" s="238"/>
      <c r="BB21" s="238"/>
      <c r="BC21" s="238"/>
      <c r="BD21" s="238"/>
      <c r="BE21" s="238"/>
      <c r="BF21" s="239"/>
      <c r="BG21" s="239"/>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row>
    <row r="22" spans="1:94" s="240" customFormat="1" ht="14.25" customHeight="1">
      <c r="A22" s="438" t="s">
        <v>800</v>
      </c>
      <c r="B22" s="439"/>
      <c r="C22" s="439"/>
      <c r="D22" s="439"/>
      <c r="E22" s="439"/>
      <c r="F22" s="439"/>
      <c r="G22" s="440"/>
      <c r="H22" s="1543">
        <f>Q17/Q16*H21</f>
        <v>2403.0303700952377</v>
      </c>
      <c r="I22" s="1550"/>
      <c r="J22" s="1544"/>
      <c r="K22" s="1569">
        <f>H22/1000000/$K17</f>
        <v>3.4378116882621433E-3</v>
      </c>
      <c r="L22" s="1570"/>
      <c r="M22" s="1571"/>
      <c r="N22" s="1346"/>
      <c r="O22" s="1347"/>
      <c r="P22" s="1348"/>
      <c r="Q22" s="1349"/>
      <c r="R22" s="1350"/>
      <c r="S22" s="1351"/>
      <c r="T22" s="1256"/>
      <c r="U22" s="1257"/>
      <c r="V22" s="1258"/>
      <c r="W22" s="1253"/>
      <c r="X22" s="1254"/>
      <c r="Y22" s="1255"/>
      <c r="Z22" s="1250"/>
      <c r="AA22" s="1251"/>
      <c r="AB22" s="1252"/>
      <c r="AC22" s="1253"/>
      <c r="AD22" s="1254"/>
      <c r="AE22" s="1255"/>
      <c r="AF22" s="30"/>
      <c r="AG22" s="30"/>
      <c r="AH22" s="30"/>
      <c r="AI22" s="30"/>
      <c r="AJ22" s="30"/>
      <c r="AK22" s="253"/>
      <c r="AL22" s="238"/>
      <c r="AM22" s="241"/>
      <c r="AN22" s="241"/>
      <c r="AO22" s="241"/>
      <c r="AP22" s="444">
        <v>40</v>
      </c>
      <c r="AQ22" s="452">
        <f>AP22/1000000/1000/AR10</f>
        <v>4.0000000000000003E-5</v>
      </c>
      <c r="AR22" s="446">
        <f>AQ22*1000000</f>
        <v>40</v>
      </c>
      <c r="AS22" s="444">
        <v>0.14000000000000001</v>
      </c>
      <c r="AT22" s="443">
        <f>AS22*$AR$5</f>
        <v>142.80000000000001</v>
      </c>
      <c r="AU22" s="443">
        <f>$AR$8*AT22</f>
        <v>2415.11868808089</v>
      </c>
      <c r="AV22" s="238"/>
      <c r="AW22" s="238"/>
      <c r="AX22" s="238"/>
      <c r="AY22" s="238"/>
      <c r="AZ22" s="238"/>
      <c r="BA22" s="238"/>
      <c r="BB22" s="238"/>
      <c r="BC22" s="238"/>
      <c r="BD22" s="238"/>
      <c r="BE22" s="238"/>
      <c r="BF22" s="239"/>
      <c r="BG22" s="239"/>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row>
    <row r="23" spans="1:94" s="240" customFormat="1" ht="14.25" customHeight="1">
      <c r="A23" s="133"/>
      <c r="B23" s="30"/>
      <c r="C23" s="30"/>
      <c r="D23" s="30"/>
      <c r="E23" s="30"/>
      <c r="F23" s="30"/>
      <c r="G23" s="253"/>
      <c r="H23" s="1352"/>
      <c r="I23" s="1353"/>
      <c r="J23" s="1354"/>
      <c r="K23" s="1355"/>
      <c r="L23" s="1356"/>
      <c r="M23" s="1357"/>
      <c r="N23" s="1358"/>
      <c r="O23" s="1359"/>
      <c r="P23" s="1360"/>
      <c r="Q23" s="1361"/>
      <c r="R23" s="1362"/>
      <c r="S23" s="1363"/>
      <c r="T23" s="1256"/>
      <c r="U23" s="1257"/>
      <c r="V23" s="1258"/>
      <c r="W23" s="1259"/>
      <c r="X23" s="1260"/>
      <c r="Y23" s="1261"/>
      <c r="Z23" s="1259"/>
      <c r="AA23" s="1260"/>
      <c r="AB23" s="1261"/>
      <c r="AC23" s="1259"/>
      <c r="AD23" s="1260"/>
      <c r="AE23" s="1261"/>
      <c r="AF23" s="30"/>
      <c r="AG23" s="30"/>
      <c r="AH23" s="30"/>
      <c r="AI23" s="30"/>
      <c r="AJ23" s="30"/>
      <c r="AK23" s="253"/>
      <c r="AL23" s="238"/>
      <c r="AM23" s="453">
        <f>X25/K17</f>
        <v>119217.93037672866</v>
      </c>
      <c r="AN23" s="241"/>
      <c r="AO23" s="241"/>
      <c r="AP23" s="444"/>
      <c r="AQ23" s="452"/>
      <c r="AR23" s="446"/>
      <c r="AS23" s="444"/>
      <c r="AT23" s="445"/>
      <c r="AU23" s="446"/>
      <c r="AV23" s="238"/>
      <c r="AW23" s="238"/>
      <c r="AX23" s="238"/>
      <c r="AY23" s="238"/>
      <c r="AZ23" s="238"/>
      <c r="BA23" s="238"/>
      <c r="BB23" s="238"/>
      <c r="BC23" s="238"/>
      <c r="BD23" s="238"/>
      <c r="BE23" s="238"/>
      <c r="BF23" s="239"/>
      <c r="BG23" s="239"/>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row>
    <row r="24" spans="1:94" s="240" customFormat="1" ht="14.25" customHeight="1">
      <c r="A24" s="279" t="s">
        <v>612</v>
      </c>
      <c r="B24" s="132"/>
      <c r="C24" s="132"/>
      <c r="D24" s="132"/>
      <c r="E24" s="132"/>
      <c r="F24" s="132"/>
      <c r="G24" s="132"/>
      <c r="H24" s="132"/>
      <c r="I24" s="132"/>
      <c r="J24" s="132"/>
      <c r="K24" s="132"/>
      <c r="L24" s="132"/>
      <c r="M24" s="132"/>
      <c r="N24" s="132"/>
      <c r="O24" s="132"/>
      <c r="P24" s="132"/>
      <c r="Q24" s="132"/>
      <c r="R24" s="132"/>
      <c r="S24" s="280"/>
      <c r="T24" s="587" t="s">
        <v>613</v>
      </c>
      <c r="U24" s="435"/>
      <c r="V24" s="435"/>
      <c r="W24" s="435"/>
      <c r="X24" s="435"/>
      <c r="Y24" s="435"/>
      <c r="Z24" s="435"/>
      <c r="AA24" s="435"/>
      <c r="AB24" s="435"/>
      <c r="AC24" s="435"/>
      <c r="AD24" s="435"/>
      <c r="AE24" s="435"/>
      <c r="AF24" s="435"/>
      <c r="AG24" s="435"/>
      <c r="AH24" s="435"/>
      <c r="AI24" s="435"/>
      <c r="AJ24" s="435"/>
      <c r="AK24" s="436"/>
      <c r="AL24" s="238"/>
      <c r="AM24" s="241"/>
      <c r="AN24" s="241"/>
      <c r="AO24" s="241"/>
      <c r="AP24" s="241"/>
      <c r="AQ24" s="241"/>
      <c r="AR24" s="241"/>
      <c r="AS24" s="241"/>
      <c r="AT24" s="241"/>
      <c r="AU24" s="241"/>
      <c r="AV24" s="241"/>
      <c r="AW24" s="241"/>
      <c r="AX24" s="238"/>
      <c r="AY24" s="238"/>
      <c r="AZ24" s="238"/>
      <c r="BA24" s="238"/>
      <c r="BB24" s="238"/>
      <c r="BC24" s="238"/>
      <c r="BD24" s="238"/>
      <c r="BE24" s="238"/>
      <c r="BF24" s="239"/>
      <c r="BG24" s="239"/>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row>
    <row r="25" spans="1:94" s="240" customFormat="1" ht="14.25" customHeight="1">
      <c r="A25" s="133" t="s">
        <v>614</v>
      </c>
      <c r="B25" s="30"/>
      <c r="C25" s="30"/>
      <c r="D25" s="30"/>
      <c r="E25" s="30"/>
      <c r="F25" s="30"/>
      <c r="G25" s="30"/>
      <c r="H25" s="588"/>
      <c r="I25" s="30" t="s">
        <v>590</v>
      </c>
      <c r="J25" s="30"/>
      <c r="K25" s="30"/>
      <c r="L25" s="30" t="s">
        <v>615</v>
      </c>
      <c r="M25" s="30"/>
      <c r="N25" s="30"/>
      <c r="O25" s="30"/>
      <c r="P25" s="30"/>
      <c r="Q25" s="30"/>
      <c r="R25" s="30"/>
      <c r="S25" s="253" t="s">
        <v>616</v>
      </c>
      <c r="T25" s="1294" t="s">
        <v>800</v>
      </c>
      <c r="U25" s="1295"/>
      <c r="V25" s="1295"/>
      <c r="W25" s="1295"/>
      <c r="X25" s="1296">
        <f>X42*1000/6/24</f>
        <v>83333.333333333328</v>
      </c>
      <c r="Y25" s="1296"/>
      <c r="Z25" s="1296"/>
      <c r="AA25" s="1295" t="s">
        <v>617</v>
      </c>
      <c r="AB25" s="1295"/>
      <c r="AC25" s="1297">
        <f>X25/H17</f>
        <v>5169.5616211745237</v>
      </c>
      <c r="AD25" s="1297"/>
      <c r="AE25" s="1295" t="s">
        <v>618</v>
      </c>
      <c r="AF25" s="1295"/>
      <c r="AG25" s="1295"/>
      <c r="AH25" s="1297">
        <f>X25*N17/3600</f>
        <v>1152.3148148148148</v>
      </c>
      <c r="AI25" s="1297"/>
      <c r="AJ25" s="479" t="s">
        <v>590</v>
      </c>
      <c r="AK25" s="480"/>
      <c r="AL25" s="238"/>
      <c r="AM25" s="254">
        <f>X25*W22</f>
        <v>0</v>
      </c>
      <c r="AN25" s="241"/>
      <c r="AO25" s="241"/>
      <c r="AP25" s="241"/>
      <c r="AQ25" s="241"/>
      <c r="AR25" s="241"/>
      <c r="AS25" s="241"/>
      <c r="AT25" s="241"/>
      <c r="AU25" s="241"/>
      <c r="AV25" s="241"/>
      <c r="AW25" s="241"/>
      <c r="AX25" s="238"/>
      <c r="AY25" s="238"/>
      <c r="AZ25" s="238"/>
      <c r="BA25" s="238"/>
      <c r="BB25" s="238"/>
      <c r="BC25" s="238"/>
      <c r="BD25" s="238"/>
      <c r="BE25" s="238"/>
      <c r="BF25" s="239"/>
      <c r="BG25" s="239"/>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row>
    <row r="26" spans="1:94" s="240" customFormat="1" ht="14.25" customHeight="1">
      <c r="A26" s="250" t="s">
        <v>619</v>
      </c>
      <c r="B26" s="251"/>
      <c r="C26" s="251"/>
      <c r="D26" s="251"/>
      <c r="E26" s="251"/>
      <c r="F26" s="251"/>
      <c r="G26" s="251"/>
      <c r="H26" s="252"/>
      <c r="I26" s="251" t="s">
        <v>590</v>
      </c>
      <c r="J26" s="251"/>
      <c r="K26" s="251"/>
      <c r="L26" s="251"/>
      <c r="M26" s="251"/>
      <c r="N26" s="251"/>
      <c r="O26" s="251"/>
      <c r="P26" s="251"/>
      <c r="Q26" s="251"/>
      <c r="R26" s="251"/>
      <c r="S26" s="450"/>
      <c r="T26" s="1292"/>
      <c r="U26" s="1286"/>
      <c r="V26" s="860"/>
      <c r="W26" s="860"/>
      <c r="X26" s="1293"/>
      <c r="Y26" s="1293"/>
      <c r="Z26" s="1293"/>
      <c r="AA26" s="860"/>
      <c r="AB26" s="860"/>
      <c r="AC26" s="1293"/>
      <c r="AD26" s="1293"/>
      <c r="AE26" s="860"/>
      <c r="AF26" s="860"/>
      <c r="AG26" s="860"/>
      <c r="AH26" s="1293"/>
      <c r="AI26" s="1293"/>
      <c r="AJ26" s="30"/>
      <c r="AK26" s="253"/>
      <c r="AL26" s="238"/>
      <c r="AM26" s="254">
        <f>W22*SUM(N33:O42)</f>
        <v>0</v>
      </c>
      <c r="AN26" s="241"/>
      <c r="AO26" s="241"/>
      <c r="AP26" s="241"/>
      <c r="AQ26" s="241"/>
      <c r="AR26" s="241"/>
      <c r="AS26" s="241"/>
      <c r="AT26" s="241"/>
      <c r="AU26" s="241"/>
      <c r="AV26" s="241"/>
      <c r="AW26" s="241"/>
      <c r="AX26" s="238"/>
      <c r="AY26" s="238"/>
      <c r="AZ26" s="238"/>
      <c r="BA26" s="238"/>
      <c r="BB26" s="238"/>
      <c r="BC26" s="238"/>
      <c r="BD26" s="238"/>
      <c r="BE26" s="238"/>
      <c r="BF26" s="239"/>
      <c r="BG26" s="239"/>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row>
    <row r="27" spans="1:94" s="240" customFormat="1" ht="14.25" customHeight="1">
      <c r="A27" s="1370" t="s">
        <v>718</v>
      </c>
      <c r="B27" s="1370"/>
      <c r="C27" s="1370"/>
      <c r="D27" s="1370"/>
      <c r="E27" s="1370"/>
      <c r="F27" s="1371" t="s">
        <v>801</v>
      </c>
      <c r="G27" s="1372"/>
      <c r="H27" s="1372"/>
      <c r="I27" s="1372"/>
      <c r="J27" s="1372"/>
      <c r="K27" s="1372"/>
      <c r="L27" s="1372"/>
      <c r="M27" s="1372"/>
      <c r="N27" s="1372"/>
      <c r="O27" s="1372"/>
      <c r="P27" s="1372"/>
      <c r="Q27" s="1372"/>
      <c r="R27" s="1372"/>
      <c r="S27" s="1372"/>
      <c r="T27" s="1372"/>
      <c r="U27" s="1373"/>
      <c r="V27" s="1575" t="s">
        <v>802</v>
      </c>
      <c r="W27" s="1576"/>
      <c r="X27" s="1576"/>
      <c r="Y27" s="1576"/>
      <c r="Z27" s="1576"/>
      <c r="AA27" s="1576"/>
      <c r="AB27" s="1576"/>
      <c r="AC27" s="1576"/>
      <c r="AD27" s="1576"/>
      <c r="AE27" s="1576"/>
      <c r="AF27" s="1576"/>
      <c r="AG27" s="1576"/>
      <c r="AH27" s="1576"/>
      <c r="AI27" s="1576"/>
      <c r="AJ27" s="1576"/>
      <c r="AK27" s="253"/>
      <c r="AL27" s="255"/>
      <c r="AM27" s="241"/>
      <c r="AN27" s="241"/>
      <c r="AO27" s="241"/>
      <c r="AP27" s="241"/>
      <c r="AQ27" s="241"/>
      <c r="AR27" s="241"/>
      <c r="AS27" s="241"/>
      <c r="AT27" s="241"/>
      <c r="AU27" s="241"/>
      <c r="AV27" s="241"/>
      <c r="AW27" s="241"/>
      <c r="AX27" s="241"/>
      <c r="AY27" s="241"/>
      <c r="AZ27" s="238"/>
      <c r="BA27" s="238"/>
      <c r="BB27" s="238"/>
      <c r="BC27" s="238"/>
      <c r="BD27" s="238"/>
      <c r="BE27" s="238"/>
      <c r="BF27" s="239"/>
      <c r="BG27" s="239"/>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row>
    <row r="28" spans="1:94" s="240" customFormat="1" ht="14.25" customHeight="1">
      <c r="A28" s="256" t="s">
        <v>620</v>
      </c>
      <c r="B28" s="30"/>
      <c r="C28" s="30"/>
      <c r="D28" s="30"/>
      <c r="E28" s="30"/>
      <c r="F28" s="1374"/>
      <c r="G28" s="1374"/>
      <c r="H28" s="1374"/>
      <c r="I28" s="1374"/>
      <c r="J28" s="1375" t="s">
        <v>120</v>
      </c>
      <c r="K28" s="1375"/>
      <c r="L28" s="1375"/>
      <c r="M28" s="1375"/>
      <c r="N28" s="1374" t="s">
        <v>621</v>
      </c>
      <c r="O28" s="1374"/>
      <c r="P28" s="1375" t="s">
        <v>622</v>
      </c>
      <c r="Q28" s="1375"/>
      <c r="R28" s="1375"/>
      <c r="S28" s="1375"/>
      <c r="T28" s="1375"/>
      <c r="U28" s="1375"/>
      <c r="V28" s="1577"/>
      <c r="W28" s="1576"/>
      <c r="X28" s="1576"/>
      <c r="Y28" s="1576"/>
      <c r="Z28" s="1576"/>
      <c r="AA28" s="1576"/>
      <c r="AB28" s="1576"/>
      <c r="AC28" s="1576"/>
      <c r="AD28" s="1576"/>
      <c r="AE28" s="1576"/>
      <c r="AF28" s="1576"/>
      <c r="AG28" s="1576"/>
      <c r="AH28" s="1576"/>
      <c r="AI28" s="1576"/>
      <c r="AJ28" s="1576"/>
      <c r="AK28" s="253"/>
      <c r="AL28" s="255"/>
      <c r="AM28" s="241"/>
      <c r="AN28" s="241"/>
      <c r="AO28" s="241"/>
      <c r="AP28" s="241"/>
      <c r="AQ28" s="241"/>
      <c r="AR28" s="241"/>
      <c r="AS28" s="241"/>
      <c r="AT28" s="241"/>
      <c r="AU28" s="241"/>
      <c r="AV28" s="241"/>
      <c r="AW28" s="241"/>
      <c r="AX28" s="241"/>
      <c r="AY28" s="241"/>
      <c r="AZ28" s="238"/>
      <c r="BA28" s="238"/>
      <c r="BB28" s="238"/>
      <c r="BC28" s="238"/>
      <c r="BD28" s="238"/>
      <c r="BE28" s="238"/>
      <c r="BF28" s="239"/>
      <c r="BG28" s="239"/>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38"/>
      <c r="CN28" s="238"/>
      <c r="CO28" s="238"/>
      <c r="CP28" s="238"/>
    </row>
    <row r="29" spans="1:94" s="240" customFormat="1" ht="14.25" customHeight="1">
      <c r="A29" s="133"/>
      <c r="B29" s="30"/>
      <c r="C29" s="30"/>
      <c r="D29" s="30"/>
      <c r="E29" s="30"/>
      <c r="F29" s="1374"/>
      <c r="G29" s="1374"/>
      <c r="H29" s="1374"/>
      <c r="I29" s="1374"/>
      <c r="J29" s="1375" t="s">
        <v>624</v>
      </c>
      <c r="K29" s="1375"/>
      <c r="L29" s="1375" t="s">
        <v>625</v>
      </c>
      <c r="M29" s="1375"/>
      <c r="N29" s="1374"/>
      <c r="O29" s="1374"/>
      <c r="P29" s="1375"/>
      <c r="Q29" s="1375"/>
      <c r="R29" s="1375"/>
      <c r="S29" s="1375"/>
      <c r="T29" s="1375"/>
      <c r="U29" s="1375"/>
      <c r="V29" s="1577"/>
      <c r="W29" s="1576"/>
      <c r="X29" s="1576"/>
      <c r="Y29" s="1576"/>
      <c r="Z29" s="1576"/>
      <c r="AA29" s="1576"/>
      <c r="AB29" s="1576"/>
      <c r="AC29" s="1576"/>
      <c r="AD29" s="1576"/>
      <c r="AE29" s="1576"/>
      <c r="AF29" s="1576"/>
      <c r="AG29" s="1576"/>
      <c r="AH29" s="1576"/>
      <c r="AI29" s="1576"/>
      <c r="AJ29" s="1576"/>
      <c r="AK29" s="253"/>
      <c r="AL29" s="258"/>
      <c r="AM29" s="259" t="s">
        <v>740</v>
      </c>
      <c r="AN29" s="259"/>
      <c r="AO29" s="259"/>
      <c r="AP29" s="259"/>
      <c r="AQ29" s="259"/>
      <c r="AR29" s="259"/>
      <c r="AS29" s="259" t="s">
        <v>741</v>
      </c>
      <c r="AT29" s="259"/>
      <c r="AU29" s="259" t="s">
        <v>742</v>
      </c>
      <c r="AV29" s="259"/>
      <c r="AW29" s="259"/>
      <c r="AX29" s="259"/>
      <c r="AY29" s="258"/>
      <c r="AZ29" s="238"/>
      <c r="BA29" s="238"/>
      <c r="BB29" s="238"/>
      <c r="BC29" s="238"/>
      <c r="BD29" s="238"/>
      <c r="BE29" s="238"/>
      <c r="BF29" s="239"/>
      <c r="BG29" s="239"/>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row>
    <row r="30" spans="1:94" s="240" customFormat="1" ht="14.25" customHeight="1">
      <c r="A30" s="1376" t="s">
        <v>630</v>
      </c>
      <c r="B30" s="1376"/>
      <c r="C30" s="1376"/>
      <c r="D30" s="1376"/>
      <c r="E30" s="1376"/>
      <c r="F30" s="1375" t="s">
        <v>631</v>
      </c>
      <c r="G30" s="1375"/>
      <c r="H30" s="1375" t="s">
        <v>618</v>
      </c>
      <c r="I30" s="1375"/>
      <c r="J30" s="1373" t="s">
        <v>618</v>
      </c>
      <c r="K30" s="1375"/>
      <c r="L30" s="1375" t="s">
        <v>618</v>
      </c>
      <c r="M30" s="1375"/>
      <c r="N30" s="1375" t="s">
        <v>617</v>
      </c>
      <c r="O30" s="1375"/>
      <c r="P30" s="1375" t="s">
        <v>631</v>
      </c>
      <c r="Q30" s="1375"/>
      <c r="R30" s="1371" t="s">
        <v>618</v>
      </c>
      <c r="S30" s="1373"/>
      <c r="T30" s="1371" t="s">
        <v>617</v>
      </c>
      <c r="U30" s="1373"/>
      <c r="V30" s="1577"/>
      <c r="W30" s="1576"/>
      <c r="X30" s="1576"/>
      <c r="Y30" s="1576"/>
      <c r="Z30" s="1576"/>
      <c r="AA30" s="1576"/>
      <c r="AB30" s="1576"/>
      <c r="AC30" s="1576"/>
      <c r="AD30" s="1576"/>
      <c r="AE30" s="1576"/>
      <c r="AF30" s="1576"/>
      <c r="AG30" s="1576"/>
      <c r="AH30" s="1576"/>
      <c r="AI30" s="1576"/>
      <c r="AJ30" s="1576"/>
      <c r="AK30" s="253"/>
      <c r="AL30" s="258"/>
      <c r="AM30" s="259" t="s">
        <v>633</v>
      </c>
      <c r="AN30" s="259" t="s">
        <v>634</v>
      </c>
      <c r="AO30" s="259" t="s">
        <v>635</v>
      </c>
      <c r="AP30" s="259" t="s">
        <v>636</v>
      </c>
      <c r="AQ30" s="259" t="s">
        <v>637</v>
      </c>
      <c r="AR30" s="259" t="s">
        <v>590</v>
      </c>
      <c r="AS30" s="259" t="s">
        <v>428</v>
      </c>
      <c r="AT30" s="259" t="s">
        <v>429</v>
      </c>
      <c r="AU30" s="259" t="s">
        <v>126</v>
      </c>
      <c r="AV30" s="259" t="s">
        <v>431</v>
      </c>
      <c r="AW30" s="259" t="s">
        <v>429</v>
      </c>
      <c r="AX30" s="259" t="s">
        <v>124</v>
      </c>
      <c r="AY30" s="258"/>
      <c r="AZ30" s="238"/>
      <c r="BA30" s="238"/>
      <c r="BB30" s="238"/>
      <c r="BC30" s="238"/>
      <c r="BD30" s="238"/>
      <c r="BE30" s="238"/>
      <c r="BF30" s="239" t="s">
        <v>128</v>
      </c>
      <c r="BG30" s="239" t="s">
        <v>743</v>
      </c>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row>
    <row r="31" spans="1:94" s="240" customFormat="1" ht="14.25" customHeight="1">
      <c r="A31" s="260" t="s">
        <v>638</v>
      </c>
      <c r="B31" s="261"/>
      <c r="C31" s="261"/>
      <c r="D31" s="261"/>
      <c r="E31" s="262"/>
      <c r="F31" s="1377">
        <v>0</v>
      </c>
      <c r="G31" s="1378"/>
      <c r="H31" s="1379">
        <v>0</v>
      </c>
      <c r="I31" s="1381"/>
      <c r="J31" s="1380"/>
      <c r="K31" s="1380"/>
      <c r="L31" s="1379"/>
      <c r="M31" s="1380"/>
      <c r="N31" s="1379">
        <f t="shared" ref="N31:N51" si="0">SUM(H31,J31,L31)*AR31</f>
        <v>0</v>
      </c>
      <c r="O31" s="1380"/>
      <c r="P31" s="1379"/>
      <c r="Q31" s="1381"/>
      <c r="R31" s="1379"/>
      <c r="S31" s="1380"/>
      <c r="T31" s="1379"/>
      <c r="U31" s="1381"/>
      <c r="V31" s="1577"/>
      <c r="W31" s="1576"/>
      <c r="X31" s="1576"/>
      <c r="Y31" s="1576"/>
      <c r="Z31" s="1576"/>
      <c r="AA31" s="1576"/>
      <c r="AB31" s="1576"/>
      <c r="AC31" s="1576"/>
      <c r="AD31" s="1576"/>
      <c r="AE31" s="1576"/>
      <c r="AF31" s="1576"/>
      <c r="AG31" s="1576"/>
      <c r="AH31" s="1576"/>
      <c r="AI31" s="1576"/>
      <c r="AJ31" s="1576"/>
      <c r="AK31" s="264"/>
      <c r="AL31" s="258"/>
      <c r="AM31" s="259"/>
      <c r="AN31" s="259">
        <v>2</v>
      </c>
      <c r="AO31" s="259"/>
      <c r="AP31" s="259"/>
      <c r="AQ31" s="259"/>
      <c r="AR31" s="265">
        <f>AM31*12.01+AN31*1.008+AO31*16+AP31*14+AQ31*32</f>
        <v>2.016</v>
      </c>
      <c r="AS31" s="259">
        <f>AM31*1+AN31*0.25+AQ31*1</f>
        <v>0.5</v>
      </c>
      <c r="AT31" s="266">
        <f>0.79/0.21*AS31</f>
        <v>1.8809523809523812</v>
      </c>
      <c r="AU31" s="259">
        <f>1*AM31</f>
        <v>0</v>
      </c>
      <c r="AV31" s="259">
        <f>AN31/2</f>
        <v>1</v>
      </c>
      <c r="AW31" s="266">
        <f>AP31*0.5+AT31</f>
        <v>1.8809523809523812</v>
      </c>
      <c r="AX31" s="259">
        <f>AQ31*1</f>
        <v>0</v>
      </c>
      <c r="AY31" s="258"/>
      <c r="AZ31" s="238"/>
      <c r="BA31" s="238"/>
      <c r="BB31" s="238"/>
      <c r="BC31" s="238"/>
      <c r="BD31" s="238"/>
      <c r="BE31" s="239" t="s">
        <v>639</v>
      </c>
      <c r="BF31" s="239">
        <v>1.4200000000000001E-2</v>
      </c>
      <c r="BG31" s="239">
        <v>2.9999999999999997E-4</v>
      </c>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row>
    <row r="32" spans="1:94" s="240" customFormat="1" ht="14.25" customHeight="1">
      <c r="A32" s="267" t="s">
        <v>122</v>
      </c>
      <c r="B32" s="268"/>
      <c r="C32" s="268"/>
      <c r="D32" s="268"/>
      <c r="E32" s="269"/>
      <c r="F32" s="1377">
        <f>CO2eEF!P26</f>
        <v>0.99629999999999996</v>
      </c>
      <c r="G32" s="1378"/>
      <c r="H32" s="1299">
        <f>F32*$AC$25</f>
        <v>5150.4342431761779</v>
      </c>
      <c r="I32" s="1301"/>
      <c r="J32" s="1300"/>
      <c r="K32" s="1300"/>
      <c r="L32" s="1299"/>
      <c r="M32" s="1300"/>
      <c r="N32" s="1299">
        <f t="shared" si="0"/>
        <v>82623.266129032258</v>
      </c>
      <c r="O32" s="1301"/>
      <c r="P32" s="1547">
        <f>R32/$R$52</f>
        <v>1.896427680702095E-3</v>
      </c>
      <c r="Q32" s="1548"/>
      <c r="R32" s="1299">
        <f>T32/$AR32</f>
        <v>103.00868486352356</v>
      </c>
      <c r="S32" s="1300"/>
      <c r="T32" s="1299">
        <f>H32*0.02*AR32</f>
        <v>1652.4653225806451</v>
      </c>
      <c r="U32" s="1301"/>
      <c r="V32" s="1577"/>
      <c r="W32" s="1576"/>
      <c r="X32" s="1576"/>
      <c r="Y32" s="1576"/>
      <c r="Z32" s="1576"/>
      <c r="AA32" s="1576"/>
      <c r="AB32" s="1576"/>
      <c r="AC32" s="1576"/>
      <c r="AD32" s="1576"/>
      <c r="AE32" s="1576"/>
      <c r="AF32" s="1576"/>
      <c r="AG32" s="1576"/>
      <c r="AH32" s="1576"/>
      <c r="AI32" s="1576"/>
      <c r="AJ32" s="1576"/>
      <c r="AK32" s="264"/>
      <c r="AL32" s="258"/>
      <c r="AM32" s="259">
        <v>1</v>
      </c>
      <c r="AN32" s="259">
        <v>4</v>
      </c>
      <c r="AO32" s="259"/>
      <c r="AP32" s="259"/>
      <c r="AQ32" s="259"/>
      <c r="AR32" s="265">
        <f t="shared" ref="AR32:AR47" si="1">AM32*12.01+AN32*1.008+AO32*16+AP32*14+AQ32*32</f>
        <v>16.042000000000002</v>
      </c>
      <c r="AS32" s="259">
        <f t="shared" ref="AS32:AS46" si="2">AM32*1+AN32*0.25+AQ32*1</f>
        <v>2</v>
      </c>
      <c r="AT32" s="266">
        <f t="shared" ref="AT32:AT46" si="3">0.79/0.21*AS32</f>
        <v>7.5238095238095246</v>
      </c>
      <c r="AU32" s="259">
        <f t="shared" ref="AU32:AU46" si="4">1*AM32</f>
        <v>1</v>
      </c>
      <c r="AV32" s="259">
        <f t="shared" ref="AV32:AV46" si="5">AN32/2</f>
        <v>2</v>
      </c>
      <c r="AW32" s="266">
        <f t="shared" ref="AW32:AW46" si="6">AP32*0.5+AT32</f>
        <v>7.5238095238095246</v>
      </c>
      <c r="AX32" s="259">
        <f t="shared" ref="AX32:AX46" si="7">AQ32*1</f>
        <v>0</v>
      </c>
      <c r="AY32" s="258"/>
      <c r="AZ32" s="238"/>
      <c r="BA32" s="238"/>
      <c r="BB32" s="238"/>
      <c r="BC32" s="238"/>
      <c r="BD32" s="238"/>
      <c r="BE32" s="239" t="s">
        <v>126</v>
      </c>
      <c r="BF32" s="239">
        <v>9.5999999999999992E-3</v>
      </c>
      <c r="BG32" s="239">
        <v>0.77539999999999998</v>
      </c>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row>
    <row r="33" spans="1:94" s="240" customFormat="1" ht="14.25" customHeight="1">
      <c r="A33" s="267" t="s">
        <v>641</v>
      </c>
      <c r="B33" s="268"/>
      <c r="C33" s="268"/>
      <c r="D33" s="268"/>
      <c r="E33" s="269"/>
      <c r="F33" s="1377">
        <v>0</v>
      </c>
      <c r="G33" s="1378"/>
      <c r="H33" s="1299">
        <f t="shared" ref="H33:H51" si="8">F33*$AC$25</f>
        <v>0</v>
      </c>
      <c r="I33" s="1301"/>
      <c r="J33" s="1300"/>
      <c r="K33" s="1300"/>
      <c r="L33" s="1299"/>
      <c r="M33" s="1300"/>
      <c r="N33" s="1299">
        <f t="shared" si="0"/>
        <v>0</v>
      </c>
      <c r="O33" s="1301"/>
      <c r="P33" s="1299">
        <f t="shared" ref="P33:P51" si="9">R33/$R$52</f>
        <v>0</v>
      </c>
      <c r="Q33" s="1301"/>
      <c r="R33" s="1300"/>
      <c r="S33" s="1300"/>
      <c r="T33" s="1299"/>
      <c r="U33" s="1301"/>
      <c r="V33" s="263"/>
      <c r="W33" s="263"/>
      <c r="X33" s="270">
        <f>AH25</f>
        <v>1152.3148148148148</v>
      </c>
      <c r="Y33" s="31" t="s">
        <v>590</v>
      </c>
      <c r="Z33" s="270"/>
      <c r="AA33" s="263"/>
      <c r="AB33" s="263"/>
      <c r="AC33" s="263"/>
      <c r="AD33" s="263"/>
      <c r="AE33" s="263"/>
      <c r="AF33" s="263"/>
      <c r="AG33" s="263"/>
      <c r="AH33" s="263"/>
      <c r="AI33" s="263"/>
      <c r="AJ33" s="263"/>
      <c r="AK33" s="264"/>
      <c r="AL33" s="258"/>
      <c r="AM33" s="259">
        <v>2</v>
      </c>
      <c r="AN33" s="259">
        <v>4</v>
      </c>
      <c r="AO33" s="259"/>
      <c r="AP33" s="259"/>
      <c r="AQ33" s="259"/>
      <c r="AR33" s="265">
        <f t="shared" si="1"/>
        <v>28.052</v>
      </c>
      <c r="AS33" s="259">
        <f t="shared" si="2"/>
        <v>3</v>
      </c>
      <c r="AT33" s="266">
        <f t="shared" si="3"/>
        <v>11.285714285714286</v>
      </c>
      <c r="AU33" s="259">
        <f t="shared" si="4"/>
        <v>2</v>
      </c>
      <c r="AV33" s="259">
        <f t="shared" si="5"/>
        <v>2</v>
      </c>
      <c r="AW33" s="266">
        <f t="shared" si="6"/>
        <v>11.285714285714286</v>
      </c>
      <c r="AX33" s="259">
        <f t="shared" si="7"/>
        <v>0</v>
      </c>
      <c r="AY33" s="258"/>
      <c r="AZ33" s="238"/>
      <c r="BA33" s="238"/>
      <c r="BB33" s="238"/>
      <c r="BC33" s="238"/>
      <c r="BD33" s="238"/>
      <c r="BE33" s="239" t="s">
        <v>642</v>
      </c>
      <c r="BF33" s="239">
        <v>0.60499999999999998</v>
      </c>
      <c r="BG33" s="239">
        <v>1.43E-2</v>
      </c>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row>
    <row r="34" spans="1:94" s="240" customFormat="1" ht="14.25" customHeight="1">
      <c r="A34" s="267" t="s">
        <v>643</v>
      </c>
      <c r="B34" s="268"/>
      <c r="C34" s="268"/>
      <c r="D34" s="268"/>
      <c r="E34" s="269"/>
      <c r="F34" s="1377">
        <f>CO2eEF!P27</f>
        <v>7.000000000000001E-4</v>
      </c>
      <c r="G34" s="1378"/>
      <c r="H34" s="1299">
        <f t="shared" si="8"/>
        <v>3.6186931348221671</v>
      </c>
      <c r="I34" s="1301"/>
      <c r="J34" s="1300"/>
      <c r="K34" s="1300"/>
      <c r="L34" s="1299"/>
      <c r="M34" s="1300"/>
      <c r="N34" s="1299">
        <f t="shared" si="0"/>
        <v>108.80686517783292</v>
      </c>
      <c r="O34" s="1301"/>
      <c r="P34" s="1578">
        <f t="shared" si="9"/>
        <v>0</v>
      </c>
      <c r="Q34" s="1579"/>
      <c r="R34" s="1300">
        <f>T34/$AR34</f>
        <v>0</v>
      </c>
      <c r="S34" s="1300"/>
      <c r="T34" s="1299">
        <f>$Q$22*N34</f>
        <v>0</v>
      </c>
      <c r="U34" s="1301"/>
      <c r="V34" s="263"/>
      <c r="W34" s="263"/>
      <c r="X34" s="31">
        <v>24</v>
      </c>
      <c r="Y34" s="31" t="s">
        <v>623</v>
      </c>
      <c r="Z34" s="270"/>
      <c r="AA34" s="263"/>
      <c r="AB34" s="263"/>
      <c r="AC34" s="263"/>
      <c r="AD34" s="263"/>
      <c r="AE34" s="263"/>
      <c r="AF34" s="263"/>
      <c r="AG34" s="263"/>
      <c r="AH34" s="263"/>
      <c r="AI34" s="263"/>
      <c r="AJ34" s="263"/>
      <c r="AK34" s="264"/>
      <c r="AL34" s="258"/>
      <c r="AM34" s="259">
        <v>2</v>
      </c>
      <c r="AN34" s="259">
        <v>6</v>
      </c>
      <c r="AO34" s="259"/>
      <c r="AP34" s="259"/>
      <c r="AQ34" s="259"/>
      <c r="AR34" s="265">
        <f t="shared" si="1"/>
        <v>30.067999999999998</v>
      </c>
      <c r="AS34" s="259">
        <f t="shared" si="2"/>
        <v>3.5</v>
      </c>
      <c r="AT34" s="266">
        <f t="shared" si="3"/>
        <v>13.166666666666668</v>
      </c>
      <c r="AU34" s="259">
        <f t="shared" si="4"/>
        <v>2</v>
      </c>
      <c r="AV34" s="259">
        <f t="shared" si="5"/>
        <v>3</v>
      </c>
      <c r="AW34" s="266">
        <f t="shared" si="6"/>
        <v>13.166666666666668</v>
      </c>
      <c r="AX34" s="259">
        <f t="shared" si="7"/>
        <v>0</v>
      </c>
      <c r="AY34" s="258"/>
      <c r="AZ34" s="238"/>
      <c r="BA34" s="238"/>
      <c r="BB34" s="238"/>
      <c r="BC34" s="238"/>
      <c r="BD34" s="238"/>
      <c r="BE34" s="239" t="s">
        <v>644</v>
      </c>
      <c r="BF34" s="239">
        <v>0.17519999999999999</v>
      </c>
      <c r="BG34" s="239">
        <v>1.9E-3</v>
      </c>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38"/>
      <c r="CN34" s="238"/>
      <c r="CO34" s="238"/>
      <c r="CP34" s="238"/>
    </row>
    <row r="35" spans="1:94" s="240" customFormat="1" ht="14.25" customHeight="1">
      <c r="A35" s="267" t="s">
        <v>418</v>
      </c>
      <c r="B35" s="268"/>
      <c r="C35" s="268"/>
      <c r="D35" s="268"/>
      <c r="E35" s="269"/>
      <c r="F35" s="1377">
        <v>0</v>
      </c>
      <c r="G35" s="1378"/>
      <c r="H35" s="1299">
        <f t="shared" si="8"/>
        <v>0</v>
      </c>
      <c r="I35" s="1301"/>
      <c r="J35" s="1300"/>
      <c r="K35" s="1300"/>
      <c r="L35" s="1299"/>
      <c r="M35" s="1300"/>
      <c r="N35" s="1299">
        <f t="shared" si="0"/>
        <v>0</v>
      </c>
      <c r="O35" s="1301"/>
      <c r="P35" s="1299">
        <f t="shared" si="9"/>
        <v>0</v>
      </c>
      <c r="Q35" s="1301"/>
      <c r="R35" s="1300"/>
      <c r="S35" s="1300"/>
      <c r="T35" s="1299"/>
      <c r="U35" s="1301"/>
      <c r="V35" s="263"/>
      <c r="W35" s="263"/>
      <c r="X35" s="272">
        <f>X33*X34</f>
        <v>27655.555555555555</v>
      </c>
      <c r="Y35" s="31" t="s">
        <v>626</v>
      </c>
      <c r="Z35" s="270"/>
      <c r="AA35" s="263"/>
      <c r="AB35" s="263"/>
      <c r="AC35" s="263"/>
      <c r="AD35" s="263"/>
      <c r="AE35" s="263"/>
      <c r="AF35" s="263"/>
      <c r="AG35" s="263"/>
      <c r="AH35" s="263"/>
      <c r="AI35" s="263"/>
      <c r="AJ35" s="263"/>
      <c r="AK35" s="264"/>
      <c r="AL35" s="258"/>
      <c r="AM35" s="259">
        <v>3</v>
      </c>
      <c r="AN35" s="259">
        <v>6</v>
      </c>
      <c r="AO35" s="259"/>
      <c r="AP35" s="259"/>
      <c r="AQ35" s="259"/>
      <c r="AR35" s="265">
        <f t="shared" si="1"/>
        <v>42.078000000000003</v>
      </c>
      <c r="AS35" s="259">
        <f t="shared" si="2"/>
        <v>4.5</v>
      </c>
      <c r="AT35" s="266">
        <f t="shared" si="3"/>
        <v>16.928571428571431</v>
      </c>
      <c r="AU35" s="259">
        <f t="shared" si="4"/>
        <v>3</v>
      </c>
      <c r="AV35" s="259">
        <f t="shared" si="5"/>
        <v>3</v>
      </c>
      <c r="AW35" s="266">
        <f t="shared" si="6"/>
        <v>16.928571428571431</v>
      </c>
      <c r="AX35" s="259">
        <f t="shared" si="7"/>
        <v>0</v>
      </c>
      <c r="AY35" s="258"/>
      <c r="AZ35" s="238"/>
      <c r="BA35" s="238"/>
      <c r="BB35" s="238"/>
      <c r="BC35" s="238"/>
      <c r="BD35" s="238"/>
      <c r="BE35" s="239" t="s">
        <v>645</v>
      </c>
      <c r="BF35" s="239">
        <v>0.1139</v>
      </c>
      <c r="BG35" s="239">
        <v>3.5999999999999999E-3</v>
      </c>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row>
    <row r="36" spans="1:94" s="240" customFormat="1" ht="14.25" customHeight="1">
      <c r="A36" s="267" t="s">
        <v>419</v>
      </c>
      <c r="B36" s="268"/>
      <c r="C36" s="268"/>
      <c r="D36" s="268"/>
      <c r="E36" s="269"/>
      <c r="F36" s="1377">
        <f>CO2eEF!P28</f>
        <v>2.0000000000000001E-4</v>
      </c>
      <c r="G36" s="1378"/>
      <c r="H36" s="1299">
        <f t="shared" si="8"/>
        <v>1.0339123242349049</v>
      </c>
      <c r="I36" s="1301"/>
      <c r="J36" s="1300"/>
      <c r="K36" s="1300"/>
      <c r="L36" s="1299"/>
      <c r="M36" s="1300"/>
      <c r="N36" s="1299">
        <f t="shared" si="0"/>
        <v>45.589330024813897</v>
      </c>
      <c r="O36" s="1301"/>
      <c r="P36" s="1299">
        <f t="shared" si="9"/>
        <v>0</v>
      </c>
      <c r="Q36" s="1301"/>
      <c r="R36" s="1300">
        <f>T36/$AR36</f>
        <v>0</v>
      </c>
      <c r="S36" s="1300"/>
      <c r="T36" s="1299">
        <f>$Q$22*N36</f>
        <v>0</v>
      </c>
      <c r="U36" s="1301"/>
      <c r="V36" s="263"/>
      <c r="W36" s="263"/>
      <c r="X36" s="272">
        <f>X35*3600/1000</f>
        <v>99560</v>
      </c>
      <c r="Y36" s="31" t="s">
        <v>632</v>
      </c>
      <c r="Z36" s="270"/>
      <c r="AA36" s="263"/>
      <c r="AB36" s="263"/>
      <c r="AC36" s="263"/>
      <c r="AD36" s="263"/>
      <c r="AE36" s="263"/>
      <c r="AF36" s="263"/>
      <c r="AG36" s="263"/>
      <c r="AH36" s="263"/>
      <c r="AI36" s="263"/>
      <c r="AJ36" s="263"/>
      <c r="AK36" s="264"/>
      <c r="AL36" s="258"/>
      <c r="AM36" s="259">
        <v>3</v>
      </c>
      <c r="AN36" s="259">
        <v>8</v>
      </c>
      <c r="AO36" s="259"/>
      <c r="AP36" s="259"/>
      <c r="AQ36" s="259"/>
      <c r="AR36" s="265">
        <f t="shared" si="1"/>
        <v>44.094000000000001</v>
      </c>
      <c r="AS36" s="259">
        <f t="shared" si="2"/>
        <v>5</v>
      </c>
      <c r="AT36" s="266">
        <f t="shared" si="3"/>
        <v>18.80952380952381</v>
      </c>
      <c r="AU36" s="259">
        <f t="shared" si="4"/>
        <v>3</v>
      </c>
      <c r="AV36" s="259">
        <f t="shared" si="5"/>
        <v>4</v>
      </c>
      <c r="AW36" s="266">
        <f t="shared" si="6"/>
        <v>18.80952380952381</v>
      </c>
      <c r="AX36" s="259">
        <f t="shared" si="7"/>
        <v>0</v>
      </c>
      <c r="AY36" s="258"/>
      <c r="AZ36" s="238"/>
      <c r="BA36" s="238"/>
      <c r="BB36" s="238"/>
      <c r="BC36" s="238"/>
      <c r="BD36" s="238"/>
      <c r="BE36" s="239" t="s">
        <v>646</v>
      </c>
      <c r="BF36" s="239">
        <v>1.7100000000000001E-2</v>
      </c>
      <c r="BG36" s="239">
        <v>1E-3</v>
      </c>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row>
    <row r="37" spans="1:94" s="240" customFormat="1" ht="14.25" customHeight="1">
      <c r="A37" s="267" t="s">
        <v>420</v>
      </c>
      <c r="B37" s="268"/>
      <c r="C37" s="268"/>
      <c r="D37" s="268"/>
      <c r="E37" s="269"/>
      <c r="F37" s="1377">
        <v>0</v>
      </c>
      <c r="G37" s="1378"/>
      <c r="H37" s="1299">
        <f t="shared" si="8"/>
        <v>0</v>
      </c>
      <c r="I37" s="1301"/>
      <c r="J37" s="1300"/>
      <c r="K37" s="1300"/>
      <c r="L37" s="1299"/>
      <c r="M37" s="1300"/>
      <c r="N37" s="1299">
        <f t="shared" si="0"/>
        <v>0</v>
      </c>
      <c r="O37" s="1301"/>
      <c r="P37" s="1299">
        <f t="shared" si="9"/>
        <v>0</v>
      </c>
      <c r="Q37" s="1301"/>
      <c r="R37" s="1300"/>
      <c r="S37" s="1300"/>
      <c r="T37" s="1299"/>
      <c r="U37" s="1301"/>
      <c r="V37" s="263"/>
      <c r="W37" s="263"/>
      <c r="X37" s="263"/>
      <c r="Y37" s="263"/>
      <c r="Z37" s="263"/>
      <c r="AA37" s="263"/>
      <c r="AB37" s="263"/>
      <c r="AC37" s="263"/>
      <c r="AD37" s="263"/>
      <c r="AE37" s="263"/>
      <c r="AF37" s="263"/>
      <c r="AG37" s="263"/>
      <c r="AH37" s="263"/>
      <c r="AI37" s="263"/>
      <c r="AJ37" s="263"/>
      <c r="AK37" s="264"/>
      <c r="AL37" s="258"/>
      <c r="AM37" s="259">
        <v>4</v>
      </c>
      <c r="AN37" s="259">
        <v>8</v>
      </c>
      <c r="AO37" s="259"/>
      <c r="AP37" s="259"/>
      <c r="AQ37" s="259"/>
      <c r="AR37" s="265">
        <f t="shared" si="1"/>
        <v>56.103999999999999</v>
      </c>
      <c r="AS37" s="259">
        <f t="shared" si="2"/>
        <v>6</v>
      </c>
      <c r="AT37" s="266">
        <f t="shared" si="3"/>
        <v>22.571428571428573</v>
      </c>
      <c r="AU37" s="259">
        <f t="shared" si="4"/>
        <v>4</v>
      </c>
      <c r="AV37" s="259">
        <f t="shared" si="5"/>
        <v>4</v>
      </c>
      <c r="AW37" s="266">
        <f t="shared" si="6"/>
        <v>22.571428571428573</v>
      </c>
      <c r="AX37" s="259">
        <f t="shared" si="7"/>
        <v>0</v>
      </c>
      <c r="AY37" s="258"/>
      <c r="AZ37" s="238"/>
      <c r="BA37" s="238"/>
      <c r="BB37" s="238"/>
      <c r="BC37" s="238"/>
      <c r="BD37" s="238"/>
      <c r="BE37" s="239" t="s">
        <v>647</v>
      </c>
      <c r="BF37" s="239">
        <v>4.5900000000000003E-2</v>
      </c>
      <c r="BG37" s="239">
        <v>2.3999999999999998E-3</v>
      </c>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row>
    <row r="38" spans="1:94" s="240" customFormat="1" ht="14.25" customHeight="1">
      <c r="A38" s="267" t="s">
        <v>421</v>
      </c>
      <c r="B38" s="268"/>
      <c r="C38" s="268"/>
      <c r="D38" s="268"/>
      <c r="E38" s="269"/>
      <c r="F38" s="1377">
        <f>CO2eEF!P29</f>
        <v>1E-4</v>
      </c>
      <c r="G38" s="1378"/>
      <c r="H38" s="1299">
        <f t="shared" si="8"/>
        <v>0.51695616211745243</v>
      </c>
      <c r="I38" s="1301"/>
      <c r="J38" s="1300"/>
      <c r="K38" s="1300"/>
      <c r="L38" s="1299"/>
      <c r="M38" s="1300"/>
      <c r="N38" s="1299">
        <f t="shared" si="0"/>
        <v>30.045492142266333</v>
      </c>
      <c r="O38" s="1301"/>
      <c r="P38" s="1299">
        <f t="shared" si="9"/>
        <v>0</v>
      </c>
      <c r="Q38" s="1301"/>
      <c r="R38" s="1300">
        <f>T38/$AR38</f>
        <v>0</v>
      </c>
      <c r="S38" s="1300"/>
      <c r="T38" s="1299">
        <f>$Q$22*N38</f>
        <v>0</v>
      </c>
      <c r="U38" s="1301"/>
      <c r="V38" s="263"/>
      <c r="W38" s="263"/>
      <c r="X38" s="263"/>
      <c r="Y38" s="263"/>
      <c r="Z38" s="263"/>
      <c r="AA38" s="263"/>
      <c r="AB38" s="263"/>
      <c r="AC38" s="263"/>
      <c r="AD38" s="263"/>
      <c r="AE38" s="263"/>
      <c r="AF38" s="263"/>
      <c r="AG38" s="263"/>
      <c r="AH38" s="263"/>
      <c r="AI38" s="263"/>
      <c r="AJ38" s="263"/>
      <c r="AK38" s="264"/>
      <c r="AL38" s="258"/>
      <c r="AM38" s="259">
        <v>4</v>
      </c>
      <c r="AN38" s="259">
        <v>10</v>
      </c>
      <c r="AO38" s="259"/>
      <c r="AP38" s="259"/>
      <c r="AQ38" s="259"/>
      <c r="AR38" s="265">
        <f>AM38*12.01+AN38*1.008+AO38*16+AP38*14+AQ38*32</f>
        <v>58.12</v>
      </c>
      <c r="AS38" s="259">
        <f t="shared" si="2"/>
        <v>6.5</v>
      </c>
      <c r="AT38" s="266">
        <f t="shared" si="3"/>
        <v>24.452380952380956</v>
      </c>
      <c r="AU38" s="259">
        <f t="shared" si="4"/>
        <v>4</v>
      </c>
      <c r="AV38" s="259">
        <f t="shared" si="5"/>
        <v>5</v>
      </c>
      <c r="AW38" s="266">
        <f t="shared" si="6"/>
        <v>24.452380952380956</v>
      </c>
      <c r="AX38" s="259">
        <f t="shared" si="7"/>
        <v>0</v>
      </c>
      <c r="AY38" s="258"/>
      <c r="AZ38" s="238"/>
      <c r="BA38" s="238"/>
      <c r="BB38" s="238"/>
      <c r="BC38" s="238"/>
      <c r="BD38" s="238"/>
      <c r="BE38" s="239" t="s">
        <v>648</v>
      </c>
      <c r="BF38" s="239">
        <v>8.2000000000000007E-3</v>
      </c>
      <c r="BG38" s="239">
        <v>1.6000000000000001E-3</v>
      </c>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row>
    <row r="39" spans="1:94" s="240" customFormat="1" ht="14.25" customHeight="1">
      <c r="A39" s="267" t="s">
        <v>422</v>
      </c>
      <c r="B39" s="268"/>
      <c r="C39" s="268"/>
      <c r="D39" s="268"/>
      <c r="E39" s="269"/>
      <c r="F39" s="1377">
        <f>CO2eEF!P30</f>
        <v>0</v>
      </c>
      <c r="G39" s="1378"/>
      <c r="H39" s="1299">
        <f t="shared" si="8"/>
        <v>0</v>
      </c>
      <c r="I39" s="1301"/>
      <c r="J39" s="1300"/>
      <c r="K39" s="1300"/>
      <c r="L39" s="1299"/>
      <c r="M39" s="1300"/>
      <c r="N39" s="1299">
        <f t="shared" si="0"/>
        <v>0</v>
      </c>
      <c r="O39" s="1301"/>
      <c r="P39" s="1299">
        <f t="shared" si="9"/>
        <v>0</v>
      </c>
      <c r="Q39" s="1301"/>
      <c r="R39" s="1300">
        <f>T39/$AR39</f>
        <v>0</v>
      </c>
      <c r="S39" s="1300"/>
      <c r="T39" s="1299">
        <f>$Q$22*N39</f>
        <v>0</v>
      </c>
      <c r="U39" s="1301"/>
      <c r="V39" s="263"/>
      <c r="W39" s="263"/>
      <c r="X39" s="263"/>
      <c r="Y39" s="263"/>
      <c r="Z39" s="263"/>
      <c r="AA39" s="263"/>
      <c r="AB39" s="263"/>
      <c r="AC39" s="263"/>
      <c r="AD39" s="263"/>
      <c r="AE39" s="263"/>
      <c r="AF39" s="263"/>
      <c r="AG39" s="263"/>
      <c r="AH39" s="263"/>
      <c r="AI39" s="263"/>
      <c r="AJ39" s="263"/>
      <c r="AK39" s="264"/>
      <c r="AL39" s="258"/>
      <c r="AM39" s="259">
        <v>4</v>
      </c>
      <c r="AN39" s="259">
        <v>10</v>
      </c>
      <c r="AO39" s="259"/>
      <c r="AP39" s="259"/>
      <c r="AQ39" s="259"/>
      <c r="AR39" s="265">
        <f t="shared" si="1"/>
        <v>58.12</v>
      </c>
      <c r="AS39" s="259">
        <f t="shared" si="2"/>
        <v>6.5</v>
      </c>
      <c r="AT39" s="266">
        <f t="shared" si="3"/>
        <v>24.452380952380956</v>
      </c>
      <c r="AU39" s="259">
        <f t="shared" si="4"/>
        <v>4</v>
      </c>
      <c r="AV39" s="259">
        <f t="shared" si="5"/>
        <v>5</v>
      </c>
      <c r="AW39" s="266">
        <f t="shared" si="6"/>
        <v>24.452380952380956</v>
      </c>
      <c r="AX39" s="259">
        <f t="shared" si="7"/>
        <v>0</v>
      </c>
      <c r="AY39" s="258"/>
      <c r="AZ39" s="238"/>
      <c r="BA39" s="238"/>
      <c r="BB39" s="238"/>
      <c r="BC39" s="238"/>
      <c r="BD39" s="238"/>
      <c r="BE39" s="239" t="s">
        <v>649</v>
      </c>
      <c r="BF39" s="239">
        <v>2.0000000000000001E-4</v>
      </c>
      <c r="BG39" s="239">
        <v>0</v>
      </c>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38"/>
      <c r="CN39" s="238"/>
      <c r="CO39" s="238"/>
      <c r="CP39" s="238"/>
    </row>
    <row r="40" spans="1:94" s="240" customFormat="1" ht="14.25" customHeight="1">
      <c r="A40" s="267" t="s">
        <v>423</v>
      </c>
      <c r="B40" s="268"/>
      <c r="C40" s="268"/>
      <c r="D40" s="268"/>
      <c r="E40" s="269"/>
      <c r="F40" s="1377">
        <f>CO2eEF!P31</f>
        <v>1E-4</v>
      </c>
      <c r="G40" s="1378"/>
      <c r="H40" s="1299">
        <f t="shared" si="8"/>
        <v>0.51695616211745243</v>
      </c>
      <c r="I40" s="1301"/>
      <c r="J40" s="1300"/>
      <c r="K40" s="1300"/>
      <c r="L40" s="1299"/>
      <c r="M40" s="1300"/>
      <c r="N40" s="1299">
        <f t="shared" si="0"/>
        <v>37.296319272125722</v>
      </c>
      <c r="O40" s="1301"/>
      <c r="P40" s="1299">
        <f t="shared" si="9"/>
        <v>0</v>
      </c>
      <c r="Q40" s="1301"/>
      <c r="R40" s="1300">
        <f>T40/$AR40</f>
        <v>0</v>
      </c>
      <c r="S40" s="1300"/>
      <c r="T40" s="1299">
        <f>$Q$22*N40</f>
        <v>0</v>
      </c>
      <c r="U40" s="1301"/>
      <c r="V40" s="263"/>
      <c r="W40" s="263"/>
      <c r="X40" s="263" t="s">
        <v>761</v>
      </c>
      <c r="Y40" s="263"/>
      <c r="Z40" s="263"/>
      <c r="AA40" s="263"/>
      <c r="AB40" s="263"/>
      <c r="AC40" s="263"/>
      <c r="AD40" s="263"/>
      <c r="AE40" s="263"/>
      <c r="AF40" s="263"/>
      <c r="AG40" s="263"/>
      <c r="AH40" s="263"/>
      <c r="AI40" s="263"/>
      <c r="AJ40" s="263"/>
      <c r="AK40" s="264"/>
      <c r="AL40" s="258"/>
      <c r="AM40" s="259">
        <v>5</v>
      </c>
      <c r="AN40" s="259">
        <v>12</v>
      </c>
      <c r="AO40" s="259"/>
      <c r="AP40" s="259"/>
      <c r="AQ40" s="259"/>
      <c r="AR40" s="265">
        <f t="shared" si="1"/>
        <v>72.146000000000001</v>
      </c>
      <c r="AS40" s="259">
        <f t="shared" si="2"/>
        <v>8</v>
      </c>
      <c r="AT40" s="266">
        <f t="shared" si="3"/>
        <v>30.095238095238098</v>
      </c>
      <c r="AU40" s="259">
        <f t="shared" si="4"/>
        <v>5</v>
      </c>
      <c r="AV40" s="259">
        <f t="shared" si="5"/>
        <v>6</v>
      </c>
      <c r="AW40" s="266">
        <f t="shared" si="6"/>
        <v>30.095238095238098</v>
      </c>
      <c r="AX40" s="259">
        <f t="shared" si="7"/>
        <v>0</v>
      </c>
      <c r="AY40" s="258"/>
      <c r="AZ40" s="238"/>
      <c r="BA40" s="238"/>
      <c r="BB40" s="238"/>
      <c r="BC40" s="238"/>
      <c r="BD40" s="238"/>
      <c r="BE40" s="239" t="s">
        <v>650</v>
      </c>
      <c r="BF40" s="239">
        <v>8.8999999999999999E-3</v>
      </c>
      <c r="BG40" s="239">
        <v>1.9E-3</v>
      </c>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row>
    <row r="41" spans="1:94" s="240" customFormat="1" ht="14.25" customHeight="1">
      <c r="A41" s="267" t="s">
        <v>424</v>
      </c>
      <c r="B41" s="268"/>
      <c r="C41" s="268"/>
      <c r="D41" s="268"/>
      <c r="E41" s="269"/>
      <c r="F41" s="1377">
        <f>CO2eEF!P33</f>
        <v>1E-4</v>
      </c>
      <c r="G41" s="1378"/>
      <c r="H41" s="1299">
        <f t="shared" si="8"/>
        <v>0.51695616211745243</v>
      </c>
      <c r="I41" s="1301"/>
      <c r="J41" s="1300"/>
      <c r="K41" s="1300"/>
      <c r="L41" s="1299"/>
      <c r="M41" s="1300"/>
      <c r="N41" s="1299">
        <f t="shared" si="0"/>
        <v>37.296319272125722</v>
      </c>
      <c r="O41" s="1301"/>
      <c r="P41" s="1299">
        <f t="shared" si="9"/>
        <v>0</v>
      </c>
      <c r="Q41" s="1301"/>
      <c r="R41" s="1300">
        <f>T41/$AR41</f>
        <v>0</v>
      </c>
      <c r="S41" s="1300"/>
      <c r="T41" s="1299">
        <f>$Q$22*N41</f>
        <v>0</v>
      </c>
      <c r="U41" s="1301"/>
      <c r="V41" s="263"/>
      <c r="W41" s="263"/>
      <c r="X41" s="263"/>
      <c r="Y41" s="263"/>
      <c r="Z41" s="263"/>
      <c r="AA41" s="263"/>
      <c r="AB41" s="263"/>
      <c r="AC41" s="263"/>
      <c r="AD41" s="263"/>
      <c r="AE41" s="263"/>
      <c r="AF41" s="263"/>
      <c r="AG41" s="263"/>
      <c r="AH41" s="263"/>
      <c r="AI41" s="263"/>
      <c r="AJ41" s="263"/>
      <c r="AK41" s="264"/>
      <c r="AL41" s="258"/>
      <c r="AM41" s="259">
        <v>5</v>
      </c>
      <c r="AN41" s="259">
        <v>12</v>
      </c>
      <c r="AO41" s="259"/>
      <c r="AP41" s="259"/>
      <c r="AQ41" s="259"/>
      <c r="AR41" s="265">
        <f t="shared" si="1"/>
        <v>72.146000000000001</v>
      </c>
      <c r="AS41" s="259">
        <f t="shared" si="2"/>
        <v>8</v>
      </c>
      <c r="AT41" s="266">
        <f t="shared" si="3"/>
        <v>30.095238095238098</v>
      </c>
      <c r="AU41" s="259">
        <f t="shared" si="4"/>
        <v>5</v>
      </c>
      <c r="AV41" s="259">
        <f t="shared" si="5"/>
        <v>6</v>
      </c>
      <c r="AW41" s="266">
        <f t="shared" si="6"/>
        <v>30.095238095238098</v>
      </c>
      <c r="AX41" s="259">
        <f t="shared" si="7"/>
        <v>0</v>
      </c>
      <c r="AY41" s="258"/>
      <c r="AZ41" s="238"/>
      <c r="BA41" s="238"/>
      <c r="BB41" s="238"/>
      <c r="BC41" s="238"/>
      <c r="BD41" s="238"/>
      <c r="BE41" s="239" t="s">
        <v>651</v>
      </c>
      <c r="BF41" s="239">
        <v>2.0000000000000001E-4</v>
      </c>
      <c r="BG41" s="239">
        <v>2.9999999999999997E-4</v>
      </c>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row>
    <row r="42" spans="1:94" s="240" customFormat="1" ht="14.25" customHeight="1">
      <c r="A42" s="267" t="s">
        <v>721</v>
      </c>
      <c r="B42" s="268"/>
      <c r="C42" s="268"/>
      <c r="D42" s="268"/>
      <c r="E42" s="269"/>
      <c r="F42" s="1377">
        <f>1-(SUM(F31:F41)+SUM(F43:G51))</f>
        <v>2.00000000000089E-4</v>
      </c>
      <c r="G42" s="1378"/>
      <c r="H42" s="1299">
        <f t="shared" si="8"/>
        <v>1.0339123242353647</v>
      </c>
      <c r="I42" s="1301"/>
      <c r="J42" s="1300"/>
      <c r="K42" s="1300"/>
      <c r="L42" s="1299"/>
      <c r="M42" s="1300"/>
      <c r="N42" s="1299">
        <f t="shared" si="0"/>
        <v>89.094292804009839</v>
      </c>
      <c r="O42" s="1301"/>
      <c r="P42" s="1299">
        <f t="shared" si="9"/>
        <v>0</v>
      </c>
      <c r="Q42" s="1301"/>
      <c r="R42" s="1300">
        <f>T42/$AR42</f>
        <v>0</v>
      </c>
      <c r="S42" s="1300"/>
      <c r="T42" s="1299">
        <f>$Q$22*N42</f>
        <v>0</v>
      </c>
      <c r="U42" s="1301"/>
      <c r="V42" s="263"/>
      <c r="W42" s="263"/>
      <c r="X42" s="589">
        <f>X44*X43</f>
        <v>12000</v>
      </c>
      <c r="Y42" s="589" t="s">
        <v>744</v>
      </c>
      <c r="Z42" s="263"/>
      <c r="AA42" s="263"/>
      <c r="AB42" s="263"/>
      <c r="AC42" s="263"/>
      <c r="AD42" s="263"/>
      <c r="AE42" s="263"/>
      <c r="AF42" s="263"/>
      <c r="AG42" s="263"/>
      <c r="AH42" s="263"/>
      <c r="AI42" s="263"/>
      <c r="AJ42" s="263"/>
      <c r="AK42" s="264"/>
      <c r="AL42" s="258"/>
      <c r="AM42" s="259">
        <v>6</v>
      </c>
      <c r="AN42" s="259">
        <v>14</v>
      </c>
      <c r="AO42" s="259"/>
      <c r="AP42" s="259"/>
      <c r="AQ42" s="259"/>
      <c r="AR42" s="265">
        <f t="shared" si="1"/>
        <v>86.171999999999997</v>
      </c>
      <c r="AS42" s="259">
        <f t="shared" si="2"/>
        <v>9.5</v>
      </c>
      <c r="AT42" s="266">
        <f t="shared" si="3"/>
        <v>35.738095238095241</v>
      </c>
      <c r="AU42" s="259">
        <f t="shared" si="4"/>
        <v>6</v>
      </c>
      <c r="AV42" s="259">
        <f t="shared" si="5"/>
        <v>7</v>
      </c>
      <c r="AW42" s="266">
        <f t="shared" si="6"/>
        <v>35.738095238095241</v>
      </c>
      <c r="AX42" s="259">
        <f t="shared" si="7"/>
        <v>0</v>
      </c>
      <c r="AY42" s="258"/>
      <c r="AZ42" s="238"/>
      <c r="BA42" s="238"/>
      <c r="BB42" s="238"/>
      <c r="BC42" s="238"/>
      <c r="BD42" s="238"/>
      <c r="BE42" s="239" t="s">
        <v>652</v>
      </c>
      <c r="BF42" s="239">
        <v>0</v>
      </c>
      <c r="BG42" s="239">
        <v>5.0000000000000001E-4</v>
      </c>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row>
    <row r="43" spans="1:94" s="240" customFormat="1" ht="14.25" customHeight="1">
      <c r="A43" s="267" t="s">
        <v>426</v>
      </c>
      <c r="B43" s="268"/>
      <c r="C43" s="268"/>
      <c r="D43" s="268"/>
      <c r="E43" s="269"/>
      <c r="F43" s="1377">
        <v>0</v>
      </c>
      <c r="G43" s="1378"/>
      <c r="H43" s="1299">
        <f t="shared" si="8"/>
        <v>0</v>
      </c>
      <c r="I43" s="1301"/>
      <c r="J43" s="1300"/>
      <c r="K43" s="1300"/>
      <c r="L43" s="1299"/>
      <c r="M43" s="1300"/>
      <c r="N43" s="1299">
        <f t="shared" si="0"/>
        <v>0</v>
      </c>
      <c r="O43" s="1301"/>
      <c r="P43" s="1299">
        <f t="shared" si="9"/>
        <v>0</v>
      </c>
      <c r="Q43" s="1301"/>
      <c r="R43" s="1300"/>
      <c r="S43" s="1300"/>
      <c r="T43" s="1299"/>
      <c r="U43" s="1301"/>
      <c r="V43" s="263"/>
      <c r="W43" s="263"/>
      <c r="X43" s="589">
        <v>6</v>
      </c>
      <c r="Y43" s="589" t="s">
        <v>745</v>
      </c>
      <c r="Z43" s="263"/>
      <c r="AA43" s="263"/>
      <c r="AB43" s="263"/>
      <c r="AC43" s="263"/>
      <c r="AD43" s="263"/>
      <c r="AE43" s="263"/>
      <c r="AF43" s="263"/>
      <c r="AG43" s="263"/>
      <c r="AH43" s="263"/>
      <c r="AI43" s="263"/>
      <c r="AJ43" s="263"/>
      <c r="AK43" s="264"/>
      <c r="AL43" s="258"/>
      <c r="AM43" s="259"/>
      <c r="AN43" s="259"/>
      <c r="AO43" s="259"/>
      <c r="AP43" s="259"/>
      <c r="AQ43" s="259"/>
      <c r="AR43" s="265">
        <v>4.0030000000000001</v>
      </c>
      <c r="AS43" s="259"/>
      <c r="AT43" s="266"/>
      <c r="AU43" s="259"/>
      <c r="AV43" s="259"/>
      <c r="AW43" s="266"/>
      <c r="AX43" s="259"/>
      <c r="AY43" s="258"/>
      <c r="AZ43" s="238"/>
      <c r="BA43" s="238"/>
      <c r="BB43" s="238"/>
      <c r="BC43" s="238"/>
      <c r="BD43" s="238"/>
      <c r="BE43" s="239" t="s">
        <v>653</v>
      </c>
      <c r="BF43" s="239">
        <v>0</v>
      </c>
      <c r="BG43" s="239">
        <v>1E-4</v>
      </c>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38"/>
      <c r="CN43" s="238"/>
      <c r="CO43" s="238"/>
      <c r="CP43" s="238"/>
    </row>
    <row r="44" spans="1:94" s="240" customFormat="1" ht="14.25" customHeight="1">
      <c r="A44" s="267" t="s">
        <v>427</v>
      </c>
      <c r="B44" s="268"/>
      <c r="C44" s="268"/>
      <c r="D44" s="268"/>
      <c r="E44" s="269"/>
      <c r="F44" s="1377">
        <v>0</v>
      </c>
      <c r="G44" s="1378"/>
      <c r="H44" s="1299">
        <f t="shared" si="8"/>
        <v>0</v>
      </c>
      <c r="I44" s="1301"/>
      <c r="J44" s="1300"/>
      <c r="K44" s="1300"/>
      <c r="L44" s="1299"/>
      <c r="M44" s="1300"/>
      <c r="N44" s="1299">
        <f t="shared" si="0"/>
        <v>0</v>
      </c>
      <c r="O44" s="1301"/>
      <c r="P44" s="1299">
        <f t="shared" si="9"/>
        <v>0</v>
      </c>
      <c r="Q44" s="1301"/>
      <c r="R44" s="1299"/>
      <c r="S44" s="1301"/>
      <c r="T44" s="1299"/>
      <c r="U44" s="1301"/>
      <c r="V44" s="263"/>
      <c r="W44" s="263"/>
      <c r="X44" s="590">
        <v>2000</v>
      </c>
      <c r="Y44" s="589" t="s">
        <v>746</v>
      </c>
      <c r="Z44" s="263" t="s">
        <v>803</v>
      </c>
      <c r="AA44" s="263"/>
      <c r="AB44" s="263"/>
      <c r="AC44" s="263"/>
      <c r="AD44" s="263"/>
      <c r="AE44" s="263"/>
      <c r="AF44" s="263"/>
      <c r="AG44" s="263"/>
      <c r="AH44" s="263"/>
      <c r="AI44" s="263"/>
      <c r="AJ44" s="263"/>
      <c r="AK44" s="264"/>
      <c r="AL44" s="258"/>
      <c r="AM44" s="259"/>
      <c r="AN44" s="259">
        <v>2</v>
      </c>
      <c r="AO44" s="259"/>
      <c r="AP44" s="259"/>
      <c r="AQ44" s="259">
        <v>1</v>
      </c>
      <c r="AR44" s="265">
        <f t="shared" si="1"/>
        <v>34.015999999999998</v>
      </c>
      <c r="AS44" s="259">
        <f t="shared" si="2"/>
        <v>1.5</v>
      </c>
      <c r="AT44" s="266">
        <f t="shared" si="3"/>
        <v>5.6428571428571432</v>
      </c>
      <c r="AU44" s="259">
        <f t="shared" si="4"/>
        <v>0</v>
      </c>
      <c r="AV44" s="259">
        <f t="shared" si="5"/>
        <v>1</v>
      </c>
      <c r="AW44" s="266">
        <f t="shared" si="6"/>
        <v>5.6428571428571432</v>
      </c>
      <c r="AX44" s="259">
        <f t="shared" si="7"/>
        <v>1</v>
      </c>
      <c r="AY44" s="258"/>
      <c r="AZ44" s="238"/>
      <c r="BA44" s="238"/>
      <c r="BB44" s="238"/>
      <c r="BC44" s="238"/>
      <c r="BD44" s="238"/>
      <c r="BE44" s="239" t="s">
        <v>654</v>
      </c>
      <c r="BF44" s="239">
        <v>0</v>
      </c>
      <c r="BG44" s="239">
        <v>4.0000000000000002E-4</v>
      </c>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row>
    <row r="45" spans="1:94" s="240" customFormat="1" ht="14.25" customHeight="1">
      <c r="A45" s="267" t="s">
        <v>428</v>
      </c>
      <c r="B45" s="268"/>
      <c r="C45" s="268"/>
      <c r="D45" s="268"/>
      <c r="E45" s="269"/>
      <c r="F45" s="1377">
        <v>0</v>
      </c>
      <c r="G45" s="1378"/>
      <c r="H45" s="1299">
        <f t="shared" si="8"/>
        <v>0</v>
      </c>
      <c r="I45" s="1301"/>
      <c r="J45" s="1300">
        <f>SUMPRODUCT(H31:H51,AS31:AS51)-H45</f>
        <v>10340.157154673285</v>
      </c>
      <c r="K45" s="1300"/>
      <c r="L45" s="1299">
        <v>0</v>
      </c>
      <c r="M45" s="1300"/>
      <c r="N45" s="1299">
        <f t="shared" si="0"/>
        <v>330885.02894954511</v>
      </c>
      <c r="O45" s="1301"/>
      <c r="P45" s="1299">
        <f t="shared" si="9"/>
        <v>3.7928553614041899E-3</v>
      </c>
      <c r="Q45" s="1301"/>
      <c r="R45" s="1300">
        <f>L45+SUMPRODUCT(R32:R44,$AS32:$AS44)</f>
        <v>206.01736972704711</v>
      </c>
      <c r="S45" s="1300"/>
      <c r="T45" s="1299">
        <f>R45*$AR45</f>
        <v>6592.5558312655075</v>
      </c>
      <c r="U45" s="1301"/>
      <c r="V45" s="263"/>
      <c r="W45" s="263"/>
      <c r="X45" s="589">
        <f>X44/24*1000</f>
        <v>83333.333333333328</v>
      </c>
      <c r="Y45" s="589" t="s">
        <v>617</v>
      </c>
      <c r="Z45" s="263"/>
      <c r="AA45" s="263"/>
      <c r="AB45" s="263"/>
      <c r="AC45" s="263"/>
      <c r="AD45" s="263"/>
      <c r="AE45" s="263"/>
      <c r="AF45" s="263"/>
      <c r="AG45" s="263"/>
      <c r="AH45" s="263"/>
      <c r="AI45" s="263"/>
      <c r="AJ45" s="263"/>
      <c r="AK45" s="264"/>
      <c r="AL45" s="258"/>
      <c r="AM45" s="259"/>
      <c r="AN45" s="259"/>
      <c r="AO45" s="259">
        <v>2</v>
      </c>
      <c r="AP45" s="259"/>
      <c r="AQ45" s="259"/>
      <c r="AR45" s="265">
        <f t="shared" si="1"/>
        <v>32</v>
      </c>
      <c r="AS45" s="259">
        <f t="shared" si="2"/>
        <v>0</v>
      </c>
      <c r="AT45" s="266">
        <f t="shared" si="3"/>
        <v>0</v>
      </c>
      <c r="AU45" s="259">
        <f t="shared" si="4"/>
        <v>0</v>
      </c>
      <c r="AV45" s="259">
        <f t="shared" si="5"/>
        <v>0</v>
      </c>
      <c r="AW45" s="266">
        <f t="shared" si="6"/>
        <v>0</v>
      </c>
      <c r="AX45" s="259">
        <f t="shared" si="7"/>
        <v>0</v>
      </c>
      <c r="AY45" s="258"/>
      <c r="AZ45" s="238"/>
      <c r="BA45" s="238"/>
      <c r="BB45" s="238"/>
      <c r="BC45" s="238"/>
      <c r="BD45" s="238"/>
      <c r="BE45" s="239" t="s">
        <v>655</v>
      </c>
      <c r="BF45" s="239">
        <v>0</v>
      </c>
      <c r="BG45" s="239">
        <v>2.0000000000000001E-4</v>
      </c>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row>
    <row r="46" spans="1:94" s="240" customFormat="1" ht="14.25" customHeight="1">
      <c r="A46" s="267" t="s">
        <v>429</v>
      </c>
      <c r="B46" s="268"/>
      <c r="C46" s="268"/>
      <c r="D46" s="268"/>
      <c r="E46" s="269"/>
      <c r="F46" s="1377">
        <f>CO2eEF!P24</f>
        <v>1.5E-3</v>
      </c>
      <c r="G46" s="1378"/>
      <c r="H46" s="1299">
        <f t="shared" si="8"/>
        <v>7.7543424317617857</v>
      </c>
      <c r="I46" s="1301"/>
      <c r="J46" s="1300">
        <f>0.79/0.21*J45</f>
        <v>38898.686439009027</v>
      </c>
      <c r="K46" s="1301"/>
      <c r="L46" s="1299">
        <v>0</v>
      </c>
      <c r="M46" s="1300"/>
      <c r="N46" s="1299">
        <f t="shared" si="0"/>
        <v>1089380.341880342</v>
      </c>
      <c r="O46" s="1301"/>
      <c r="P46" s="1299">
        <f t="shared" si="9"/>
        <v>0.71625400340064105</v>
      </c>
      <c r="Q46" s="1301"/>
      <c r="R46" s="1299">
        <f>$H46+J46+L46-R49/2</f>
        <v>38904.928286650407</v>
      </c>
      <c r="S46" s="1301"/>
      <c r="T46" s="1580">
        <f>R46*$AR46</f>
        <v>1089337.9920262115</v>
      </c>
      <c r="U46" s="1581"/>
      <c r="V46" s="263"/>
      <c r="W46" s="263"/>
      <c r="X46" s="263"/>
      <c r="Y46" s="263"/>
      <c r="Z46" s="263"/>
      <c r="AA46" s="263"/>
      <c r="AB46" s="263"/>
      <c r="AC46" s="263"/>
      <c r="AD46" s="263"/>
      <c r="AE46" s="263"/>
      <c r="AF46" s="263"/>
      <c r="AG46" s="263"/>
      <c r="AH46" s="263"/>
      <c r="AI46" s="263"/>
      <c r="AJ46" s="263"/>
      <c r="AK46" s="264"/>
      <c r="AL46" s="258"/>
      <c r="AM46" s="259"/>
      <c r="AN46" s="259"/>
      <c r="AO46" s="259"/>
      <c r="AP46" s="259">
        <v>2</v>
      </c>
      <c r="AQ46" s="259"/>
      <c r="AR46" s="265">
        <f t="shared" si="1"/>
        <v>28</v>
      </c>
      <c r="AS46" s="259">
        <f t="shared" si="2"/>
        <v>0</v>
      </c>
      <c r="AT46" s="266">
        <f t="shared" si="3"/>
        <v>0</v>
      </c>
      <c r="AU46" s="259">
        <f t="shared" si="4"/>
        <v>0</v>
      </c>
      <c r="AV46" s="259">
        <f t="shared" si="5"/>
        <v>0</v>
      </c>
      <c r="AW46" s="266">
        <f t="shared" si="6"/>
        <v>1</v>
      </c>
      <c r="AX46" s="259">
        <f t="shared" si="7"/>
        <v>0</v>
      </c>
      <c r="AY46" s="258"/>
      <c r="AZ46" s="238"/>
      <c r="BA46" s="238"/>
      <c r="BB46" s="238"/>
      <c r="BC46" s="238"/>
      <c r="BD46" s="238"/>
      <c r="BE46" s="239" t="s">
        <v>656</v>
      </c>
      <c r="BF46" s="239">
        <v>1.5E-3</v>
      </c>
      <c r="BG46" s="239">
        <v>0</v>
      </c>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row>
    <row r="47" spans="1:94" s="240" customFormat="1" ht="14.25" customHeight="1">
      <c r="A47" s="267" t="s">
        <v>115</v>
      </c>
      <c r="B47" s="268"/>
      <c r="C47" s="268"/>
      <c r="D47" s="268"/>
      <c r="E47" s="269"/>
      <c r="F47" s="1377">
        <v>0</v>
      </c>
      <c r="G47" s="1378"/>
      <c r="H47" s="1299">
        <f t="shared" si="8"/>
        <v>0</v>
      </c>
      <c r="I47" s="1301"/>
      <c r="J47" s="1300"/>
      <c r="K47" s="1300"/>
      <c r="L47" s="1299"/>
      <c r="M47" s="1300"/>
      <c r="N47" s="1299">
        <f t="shared" si="0"/>
        <v>0</v>
      </c>
      <c r="O47" s="1301"/>
      <c r="P47" s="1299">
        <f t="shared" si="9"/>
        <v>4.97649830659819E-4</v>
      </c>
      <c r="Q47" s="1301"/>
      <c r="R47" s="1300">
        <f>T47/$AR$47</f>
        <v>27.030956730100488</v>
      </c>
      <c r="S47" s="1300"/>
      <c r="T47" s="1299">
        <f>$AC17*$X25</f>
        <v>757.13709801011464</v>
      </c>
      <c r="U47" s="1301"/>
      <c r="V47" s="263"/>
      <c r="W47" s="263"/>
      <c r="X47" s="263"/>
      <c r="Y47" s="263"/>
      <c r="Z47" s="263"/>
      <c r="AA47" s="263"/>
      <c r="AB47" s="263"/>
      <c r="AC47" s="263"/>
      <c r="AD47" s="263"/>
      <c r="AE47" s="263"/>
      <c r="AF47" s="263"/>
      <c r="AG47" s="263"/>
      <c r="AH47" s="263"/>
      <c r="AI47" s="263"/>
      <c r="AJ47" s="263"/>
      <c r="AK47" s="264"/>
      <c r="AL47" s="258"/>
      <c r="AM47" s="258">
        <v>1</v>
      </c>
      <c r="AN47" s="258"/>
      <c r="AO47" s="258">
        <v>1</v>
      </c>
      <c r="AP47" s="258"/>
      <c r="AQ47" s="258"/>
      <c r="AR47" s="265">
        <f t="shared" si="1"/>
        <v>28.009999999999998</v>
      </c>
      <c r="AS47" s="259"/>
      <c r="AT47" s="258"/>
      <c r="AU47" s="258"/>
      <c r="AV47" s="258"/>
      <c r="AW47" s="258"/>
      <c r="AX47" s="258"/>
      <c r="AY47" s="258"/>
      <c r="AZ47" s="238"/>
      <c r="BA47" s="238"/>
      <c r="BB47" s="238"/>
      <c r="BC47" s="238"/>
      <c r="BD47" s="238"/>
      <c r="BE47" s="239" t="s">
        <v>657</v>
      </c>
      <c r="BF47" s="239">
        <v>1E-4</v>
      </c>
      <c r="BG47" s="239">
        <v>0</v>
      </c>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row>
    <row r="48" spans="1:94" s="240" customFormat="1" ht="14.25" customHeight="1">
      <c r="A48" s="267" t="s">
        <v>126</v>
      </c>
      <c r="B48" s="268"/>
      <c r="C48" s="268"/>
      <c r="D48" s="268"/>
      <c r="E48" s="269"/>
      <c r="F48" s="1377">
        <f>CO2eEF!P25</f>
        <v>8.0000000000000004E-4</v>
      </c>
      <c r="G48" s="1378"/>
      <c r="H48" s="1299">
        <f t="shared" si="8"/>
        <v>4.1356492969396195</v>
      </c>
      <c r="I48" s="1301"/>
      <c r="J48" s="1300"/>
      <c r="K48" s="1300"/>
      <c r="L48" s="1299"/>
      <c r="M48" s="1300"/>
      <c r="N48" s="1299">
        <f t="shared" si="0"/>
        <v>182.00992555831263</v>
      </c>
      <c r="O48" s="1301"/>
      <c r="P48" s="1299">
        <f t="shared" si="9"/>
        <v>9.1082418693291894E-2</v>
      </c>
      <c r="Q48" s="1301"/>
      <c r="R48" s="1300">
        <f>(SUMPRODUCT($H31:$H51,$AU31:$AU51)+$H48-R47-SUMPRODUCT(R32:R42,$AU32:$AU42))*0.98</f>
        <v>4947.3440296501612</v>
      </c>
      <c r="S48" s="1300"/>
      <c r="T48" s="1340">
        <f>R48*$AR48</f>
        <v>217732.61074490359</v>
      </c>
      <c r="U48" s="1342"/>
      <c r="V48" s="263"/>
      <c r="W48" s="263"/>
      <c r="X48" s="263"/>
      <c r="Y48" s="263"/>
      <c r="Z48" s="263"/>
      <c r="AA48" s="263"/>
      <c r="AB48" s="263"/>
      <c r="AC48" s="263"/>
      <c r="AD48" s="263"/>
      <c r="AE48" s="263"/>
      <c r="AF48" s="263"/>
      <c r="AG48" s="263"/>
      <c r="AH48" s="263"/>
      <c r="AI48" s="263"/>
      <c r="AJ48" s="263"/>
      <c r="AK48" s="264"/>
      <c r="AL48" s="258"/>
      <c r="AM48" s="259">
        <v>1</v>
      </c>
      <c r="AN48" s="259"/>
      <c r="AO48" s="259">
        <v>2</v>
      </c>
      <c r="AP48" s="259"/>
      <c r="AQ48" s="259"/>
      <c r="AR48" s="265">
        <f>AM48*12.01+AN48*1.008+AO48*16+AP48*14+AQ48*32</f>
        <v>44.01</v>
      </c>
      <c r="AS48" s="259"/>
      <c r="AT48" s="259"/>
      <c r="AU48" s="259"/>
      <c r="AV48" s="259"/>
      <c r="AW48" s="259"/>
      <c r="AX48" s="259"/>
      <c r="AY48" s="258"/>
      <c r="AZ48" s="238"/>
      <c r="BA48" s="238"/>
      <c r="BB48" s="238"/>
      <c r="BC48" s="238"/>
      <c r="BD48" s="238"/>
      <c r="BE48" s="239" t="s">
        <v>658</v>
      </c>
      <c r="BF48" s="239">
        <v>0</v>
      </c>
      <c r="BG48" s="239">
        <v>0</v>
      </c>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38"/>
      <c r="CN48" s="238"/>
      <c r="CO48" s="238"/>
      <c r="CP48" s="238"/>
    </row>
    <row r="49" spans="1:94" s="240" customFormat="1" ht="14.25" customHeight="1">
      <c r="A49" s="267" t="s">
        <v>430</v>
      </c>
      <c r="B49" s="268"/>
      <c r="C49" s="268"/>
      <c r="D49" s="268"/>
      <c r="E49" s="269"/>
      <c r="F49" s="1377">
        <v>0</v>
      </c>
      <c r="G49" s="1378"/>
      <c r="H49" s="1299">
        <f t="shared" si="8"/>
        <v>0</v>
      </c>
      <c r="I49" s="1301"/>
      <c r="J49" s="1300"/>
      <c r="K49" s="1300"/>
      <c r="L49" s="1299"/>
      <c r="M49" s="1300"/>
      <c r="N49" s="1299">
        <f t="shared" si="0"/>
        <v>0</v>
      </c>
      <c r="O49" s="1301"/>
      <c r="P49" s="1299">
        <f t="shared" si="9"/>
        <v>5.569116800594266E-5</v>
      </c>
      <c r="Q49" s="1301"/>
      <c r="R49" s="1300">
        <f>T49/$AR49</f>
        <v>3.024989580768966</v>
      </c>
      <c r="S49" s="1300"/>
      <c r="T49" s="1299">
        <f>$W17*$X25</f>
        <v>139.14952071537243</v>
      </c>
      <c r="U49" s="1301"/>
      <c r="V49" s="263"/>
      <c r="W49" s="263"/>
      <c r="X49" s="263"/>
      <c r="Y49" s="263"/>
      <c r="Z49" s="263"/>
      <c r="AA49" s="263"/>
      <c r="AB49" s="263"/>
      <c r="AC49" s="263"/>
      <c r="AD49" s="263"/>
      <c r="AE49" s="263"/>
      <c r="AF49" s="263"/>
      <c r="AG49" s="263"/>
      <c r="AH49" s="263"/>
      <c r="AI49" s="263"/>
      <c r="AJ49" s="263"/>
      <c r="AK49" s="264"/>
      <c r="AL49" s="258"/>
      <c r="AM49" s="258"/>
      <c r="AN49" s="258"/>
      <c r="AO49" s="258">
        <v>2</v>
      </c>
      <c r="AP49" s="258">
        <v>1</v>
      </c>
      <c r="AQ49" s="258"/>
      <c r="AR49" s="265">
        <f>AM49*12.01+AN49*1.008+AO49*16+AP49*14+AQ49*32</f>
        <v>46</v>
      </c>
      <c r="AS49" s="259"/>
      <c r="AT49" s="258"/>
      <c r="AU49" s="258"/>
      <c r="AV49" s="258"/>
      <c r="AW49" s="258"/>
      <c r="AX49" s="258"/>
      <c r="AY49" s="258"/>
      <c r="AZ49" s="238"/>
      <c r="BA49" s="238"/>
      <c r="BB49" s="238"/>
      <c r="BC49" s="238"/>
      <c r="BD49" s="238"/>
      <c r="BE49" s="239" t="s">
        <v>659</v>
      </c>
      <c r="BF49" s="239">
        <v>0</v>
      </c>
      <c r="BG49" s="239">
        <v>0</v>
      </c>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row>
    <row r="50" spans="1:94" s="240" customFormat="1" ht="14.25" customHeight="1">
      <c r="A50" s="267" t="s">
        <v>124</v>
      </c>
      <c r="B50" s="268"/>
      <c r="C50" s="268"/>
      <c r="D50" s="268"/>
      <c r="E50" s="269"/>
      <c r="F50" s="1377">
        <v>0</v>
      </c>
      <c r="G50" s="1378"/>
      <c r="H50" s="1299">
        <f t="shared" si="8"/>
        <v>0</v>
      </c>
      <c r="I50" s="1301"/>
      <c r="J50" s="1300"/>
      <c r="K50" s="1300"/>
      <c r="L50" s="1299"/>
      <c r="M50" s="1300"/>
      <c r="N50" s="1299">
        <f t="shared" si="0"/>
        <v>0</v>
      </c>
      <c r="O50" s="1301"/>
      <c r="P50" s="1299">
        <f t="shared" si="9"/>
        <v>0</v>
      </c>
      <c r="Q50" s="1301"/>
      <c r="R50" s="1299">
        <f>SUMPRODUCT(H31:H51,$AX31:$AX51)+H50</f>
        <v>0</v>
      </c>
      <c r="S50" s="1300"/>
      <c r="T50" s="1299">
        <f>R50*$AR50</f>
        <v>0</v>
      </c>
      <c r="U50" s="1301"/>
      <c r="V50" s="263"/>
      <c r="W50" s="263"/>
      <c r="X50" s="263"/>
      <c r="Y50" s="263"/>
      <c r="Z50" s="263"/>
      <c r="AA50" s="263"/>
      <c r="AB50" s="263"/>
      <c r="AC50" s="263"/>
      <c r="AD50" s="263"/>
      <c r="AE50" s="263"/>
      <c r="AF50" s="263"/>
      <c r="AG50" s="263"/>
      <c r="AH50" s="263"/>
      <c r="AI50" s="263"/>
      <c r="AJ50" s="263"/>
      <c r="AK50" s="264"/>
      <c r="AL50" s="258"/>
      <c r="AM50" s="258"/>
      <c r="AN50" s="258"/>
      <c r="AO50" s="258">
        <v>2</v>
      </c>
      <c r="AP50" s="258"/>
      <c r="AQ50" s="258">
        <v>1</v>
      </c>
      <c r="AR50" s="265">
        <f>AM50*12.01+AN50*1.008+AO50*16+AP50*14+AQ50*32</f>
        <v>64</v>
      </c>
      <c r="AS50" s="259"/>
      <c r="AT50" s="258"/>
      <c r="AU50" s="258"/>
      <c r="AV50" s="258"/>
      <c r="AW50" s="258"/>
      <c r="AX50" s="258"/>
      <c r="AY50" s="258"/>
      <c r="AZ50" s="238"/>
      <c r="BA50" s="238"/>
      <c r="BB50" s="238"/>
      <c r="BC50" s="238"/>
      <c r="BD50" s="238"/>
      <c r="BE50" s="239" t="s">
        <v>660</v>
      </c>
      <c r="BF50" s="239">
        <v>0</v>
      </c>
      <c r="BG50" s="239">
        <v>0</v>
      </c>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38"/>
      <c r="CN50" s="238"/>
      <c r="CO50" s="238"/>
      <c r="CP50" s="238"/>
    </row>
    <row r="51" spans="1:94" s="240" customFormat="1" ht="14.25" customHeight="1">
      <c r="A51" s="273" t="s">
        <v>431</v>
      </c>
      <c r="B51" s="274"/>
      <c r="C51" s="274"/>
      <c r="D51" s="274"/>
      <c r="E51" s="274"/>
      <c r="F51" s="1377">
        <f>CO2eEF!P47</f>
        <v>0</v>
      </c>
      <c r="G51" s="1378"/>
      <c r="H51" s="1299">
        <f t="shared" si="8"/>
        <v>0</v>
      </c>
      <c r="I51" s="1301"/>
      <c r="J51" s="1384"/>
      <c r="K51" s="1384"/>
      <c r="L51" s="1382"/>
      <c r="M51" s="1384"/>
      <c r="N51" s="1299">
        <f t="shared" si="0"/>
        <v>0</v>
      </c>
      <c r="O51" s="1301"/>
      <c r="P51" s="1299">
        <f t="shared" si="9"/>
        <v>0.186420953865295</v>
      </c>
      <c r="Q51" s="1301"/>
      <c r="R51" s="1300">
        <f>SUMPRODUCT(H31:H51,$AV31:$AV51)+H51-SUMPRODUCT(R32:R42,$AV32:$AV42)</f>
        <v>10125.868486352358</v>
      </c>
      <c r="S51" s="1300"/>
      <c r="T51" s="1352">
        <f>R51*$AR51</f>
        <v>182427.64665012405</v>
      </c>
      <c r="U51" s="1354"/>
      <c r="V51" s="263"/>
      <c r="W51" s="263"/>
      <c r="X51" s="263"/>
      <c r="Y51" s="263"/>
      <c r="Z51" s="263"/>
      <c r="AA51" s="263"/>
      <c r="AB51" s="263"/>
      <c r="AC51" s="263"/>
      <c r="AD51" s="263"/>
      <c r="AE51" s="263"/>
      <c r="AF51" s="263"/>
      <c r="AG51" s="263"/>
      <c r="AH51" s="263"/>
      <c r="AI51" s="263"/>
      <c r="AJ51" s="263"/>
      <c r="AK51" s="264"/>
      <c r="AL51" s="258"/>
      <c r="AM51" s="258"/>
      <c r="AN51" s="258">
        <v>2</v>
      </c>
      <c r="AO51" s="258">
        <v>1</v>
      </c>
      <c r="AP51" s="258"/>
      <c r="AQ51" s="258"/>
      <c r="AR51" s="265">
        <f>AM51*12.01+AN51*1.008+AO51*16+AP51*14+AQ51*32</f>
        <v>18.015999999999998</v>
      </c>
      <c r="AS51" s="259"/>
      <c r="AT51" s="258"/>
      <c r="AU51" s="258"/>
      <c r="AV51" s="258"/>
      <c r="AW51" s="258"/>
      <c r="AX51" s="258"/>
      <c r="AY51" s="258"/>
      <c r="AZ51" s="238"/>
      <c r="BA51" s="238"/>
      <c r="BB51" s="238"/>
      <c r="BC51" s="238"/>
      <c r="BD51" s="238"/>
      <c r="BE51" s="239" t="s">
        <v>661</v>
      </c>
      <c r="BF51" s="239">
        <v>0</v>
      </c>
      <c r="BG51" s="239">
        <v>0</v>
      </c>
      <c r="BH51" s="238"/>
      <c r="BI51" s="238"/>
      <c r="BJ51" s="238"/>
      <c r="BK51" s="238"/>
      <c r="BL51" s="238"/>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38"/>
      <c r="CN51" s="238"/>
      <c r="CO51" s="238"/>
      <c r="CP51" s="238"/>
    </row>
    <row r="52" spans="1:94" s="240" customFormat="1" ht="14.25" customHeight="1">
      <c r="A52" s="1391" t="s">
        <v>663</v>
      </c>
      <c r="B52" s="1392"/>
      <c r="C52" s="1392"/>
      <c r="D52" s="1392"/>
      <c r="E52" s="1393"/>
      <c r="F52" s="1394">
        <f>SUM(F31:F51)</f>
        <v>1</v>
      </c>
      <c r="G52" s="1395"/>
      <c r="H52" s="1371">
        <v>6106.1389961389959</v>
      </c>
      <c r="I52" s="1373"/>
      <c r="J52" s="1396">
        <f>SUM(J45:J51)</f>
        <v>49238.843593682308</v>
      </c>
      <c r="K52" s="1396"/>
      <c r="L52" s="1371">
        <v>0</v>
      </c>
      <c r="M52" s="1372"/>
      <c r="N52" s="1385">
        <f>SUM(N31:N51)</f>
        <v>1503418.7755031707</v>
      </c>
      <c r="O52" s="1386"/>
      <c r="P52" s="1385">
        <f>SUM(P32:Q51)</f>
        <v>1</v>
      </c>
      <c r="Q52" s="1386"/>
      <c r="R52" s="1385">
        <f>SUM(R32:S51)</f>
        <v>54317.222803554367</v>
      </c>
      <c r="S52" s="1386"/>
      <c r="T52" s="1582">
        <f>SUM(T32:U51)</f>
        <v>1498639.5571938108</v>
      </c>
      <c r="U52" s="1583"/>
      <c r="V52" s="275"/>
      <c r="W52" s="275"/>
      <c r="X52" s="30"/>
      <c r="Y52" s="30"/>
      <c r="Z52" s="276"/>
      <c r="AA52" s="276"/>
      <c r="AB52" s="30"/>
      <c r="AC52" s="30"/>
      <c r="AD52" s="277"/>
      <c r="AE52" s="277"/>
      <c r="AF52" s="263"/>
      <c r="AG52" s="263"/>
      <c r="AH52" s="30"/>
      <c r="AI52" s="30"/>
      <c r="AJ52" s="277"/>
      <c r="AK52" s="278"/>
      <c r="AL52" s="238"/>
      <c r="AM52" s="238"/>
      <c r="AN52" s="238"/>
      <c r="AO52" s="238"/>
      <c r="AP52" s="238"/>
      <c r="AQ52" s="238"/>
      <c r="AR52" s="238"/>
      <c r="AS52" s="238"/>
      <c r="AT52" s="238"/>
      <c r="AU52" s="238"/>
      <c r="AV52" s="238"/>
      <c r="AW52" s="238"/>
      <c r="AX52" s="238"/>
      <c r="AY52" s="238"/>
      <c r="AZ52" s="238"/>
      <c r="BA52" s="238"/>
      <c r="BB52" s="238"/>
      <c r="BC52" s="238"/>
      <c r="BD52" s="238"/>
      <c r="BE52" s="239" t="s">
        <v>662</v>
      </c>
      <c r="BF52" s="239">
        <v>0</v>
      </c>
      <c r="BG52" s="239">
        <v>0</v>
      </c>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row>
    <row r="53" spans="1:94" s="240" customFormat="1" ht="14.25" customHeight="1">
      <c r="A53" s="475" t="s">
        <v>665</v>
      </c>
      <c r="B53" s="476"/>
      <c r="C53" s="476"/>
      <c r="D53" s="476"/>
      <c r="E53" s="435"/>
      <c r="F53" s="435"/>
      <c r="G53" s="435"/>
      <c r="H53" s="435"/>
      <c r="I53" s="435"/>
      <c r="J53" s="435"/>
      <c r="K53" s="435"/>
      <c r="L53" s="1189" t="s">
        <v>666</v>
      </c>
      <c r="M53" s="1190"/>
      <c r="N53" s="477"/>
      <c r="O53" s="477"/>
      <c r="P53" s="477"/>
      <c r="Q53" s="477"/>
      <c r="R53" s="477"/>
      <c r="S53" s="477" t="s">
        <v>332</v>
      </c>
      <c r="T53" s="477"/>
      <c r="U53" s="477"/>
      <c r="V53" s="479"/>
      <c r="W53" s="479"/>
      <c r="X53" s="1482"/>
      <c r="Y53" s="1482"/>
      <c r="Z53" s="1482"/>
      <c r="AA53" s="1482"/>
      <c r="AB53" s="1482"/>
      <c r="AC53" s="1482"/>
      <c r="AD53" s="1482"/>
      <c r="AE53" s="1482"/>
      <c r="AF53" s="1482"/>
      <c r="AG53" s="479"/>
      <c r="AH53" s="479"/>
      <c r="AI53" s="479"/>
      <c r="AJ53" s="479"/>
      <c r="AK53" s="480"/>
      <c r="AL53" s="481"/>
      <c r="AM53" s="238"/>
      <c r="AN53" s="238"/>
      <c r="AO53" s="238"/>
      <c r="AP53" s="238"/>
      <c r="AQ53" s="238"/>
      <c r="AR53" s="238"/>
      <c r="AS53" s="238"/>
      <c r="AT53" s="238"/>
      <c r="AU53" s="238"/>
      <c r="AV53" s="238"/>
      <c r="AW53" s="238"/>
      <c r="AX53" s="238"/>
      <c r="AY53" s="238"/>
      <c r="AZ53" s="238"/>
      <c r="BA53" s="238"/>
      <c r="BB53" s="238"/>
      <c r="BC53" s="238"/>
      <c r="BD53" s="238"/>
      <c r="BE53" s="239" t="s">
        <v>664</v>
      </c>
      <c r="BF53" s="239">
        <v>0</v>
      </c>
      <c r="BG53" s="239">
        <v>0</v>
      </c>
      <c r="BH53" s="238"/>
      <c r="BI53" s="238"/>
      <c r="BJ53" s="238"/>
      <c r="BK53" s="238"/>
      <c r="BL53" s="238"/>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38"/>
      <c r="CN53" s="238"/>
      <c r="CO53" s="238"/>
      <c r="CP53" s="238"/>
    </row>
    <row r="54" spans="1:94" s="240" customFormat="1" ht="14.25" customHeight="1">
      <c r="A54" s="483" t="s">
        <v>748</v>
      </c>
      <c r="B54" s="484"/>
      <c r="C54" s="484"/>
      <c r="D54" s="484"/>
      <c r="E54" s="484"/>
      <c r="F54" s="484"/>
      <c r="G54" s="484"/>
      <c r="H54" s="484"/>
      <c r="I54" s="484"/>
      <c r="J54" s="484"/>
      <c r="K54" s="484"/>
      <c r="L54" s="1185">
        <f>N54*1000/3600</f>
        <v>1.3180134733430047</v>
      </c>
      <c r="M54" s="1186"/>
      <c r="N54" s="1586">
        <f>AI17*X25</f>
        <v>4.7448485040348167</v>
      </c>
      <c r="O54" s="1586"/>
      <c r="P54" s="484" t="s">
        <v>617</v>
      </c>
      <c r="Q54" s="591"/>
      <c r="R54" s="1585">
        <f>N54*6*24/1000</f>
        <v>0.68325818458101362</v>
      </c>
      <c r="S54" s="1585"/>
      <c r="T54" s="1390"/>
      <c r="U54" s="1390"/>
      <c r="V54" s="1584"/>
      <c r="W54" s="1584"/>
      <c r="X54" s="484"/>
      <c r="Y54" s="1483"/>
      <c r="Z54" s="1483"/>
      <c r="AA54" s="484"/>
      <c r="AB54" s="484"/>
      <c r="AC54" s="1484"/>
      <c r="AD54" s="1484"/>
      <c r="AE54" s="1390"/>
      <c r="AF54" s="1390"/>
      <c r="AG54" s="484"/>
      <c r="AH54" s="484"/>
      <c r="AI54" s="484"/>
      <c r="AJ54" s="485"/>
      <c r="AK54" s="486"/>
      <c r="AL54" s="238"/>
      <c r="AM54" s="238"/>
      <c r="AN54" s="281"/>
      <c r="AO54" s="238"/>
      <c r="AP54" s="238"/>
      <c r="AQ54" s="238"/>
      <c r="AR54" s="238"/>
      <c r="AS54" s="238"/>
      <c r="AT54" s="238"/>
      <c r="AU54" s="238"/>
      <c r="AV54" s="238"/>
      <c r="AW54" s="238"/>
      <c r="AX54" s="238"/>
      <c r="AY54" s="238"/>
      <c r="AZ54" s="238"/>
      <c r="BA54" s="238"/>
      <c r="BB54" s="238"/>
      <c r="BC54" s="238"/>
      <c r="BD54" s="238"/>
      <c r="BE54" s="239" t="s">
        <v>667</v>
      </c>
      <c r="BF54" s="239">
        <v>0</v>
      </c>
      <c r="BG54" s="239">
        <v>4.4999999999999997E-3</v>
      </c>
      <c r="BH54" s="238"/>
      <c r="BI54" s="238"/>
      <c r="BJ54" s="238"/>
      <c r="BK54" s="238"/>
      <c r="BL54" s="238"/>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38"/>
      <c r="CN54" s="238"/>
      <c r="CO54" s="238"/>
      <c r="CP54" s="238"/>
    </row>
    <row r="55" spans="1:94" s="240" customFormat="1" ht="14.25" customHeight="1">
      <c r="A55" s="273" t="s">
        <v>668</v>
      </c>
      <c r="B55" s="30"/>
      <c r="C55" s="30"/>
      <c r="D55" s="30"/>
      <c r="E55" s="30"/>
      <c r="F55" s="30"/>
      <c r="G55" s="30"/>
      <c r="H55" s="30"/>
      <c r="I55" s="30"/>
      <c r="J55" s="30"/>
      <c r="K55" s="30"/>
      <c r="L55" s="1436">
        <f t="shared" ref="L55:L60" si="10">N55*1000/3600</f>
        <v>38.652644643159007</v>
      </c>
      <c r="M55" s="1437"/>
      <c r="N55" s="1560">
        <f>W17*X25</f>
        <v>139.14952071537243</v>
      </c>
      <c r="O55" s="1560"/>
      <c r="P55" s="30" t="s">
        <v>617</v>
      </c>
      <c r="Q55" s="591"/>
      <c r="R55" s="1585">
        <f t="shared" ref="R55:R61" si="11">N55*6*24/1000</f>
        <v>20.037530983013632</v>
      </c>
      <c r="S55" s="1585"/>
      <c r="T55" s="1390"/>
      <c r="U55" s="1390"/>
      <c r="V55" s="1584"/>
      <c r="W55" s="1584"/>
      <c r="X55" s="30"/>
      <c r="Y55" s="1485"/>
      <c r="Z55" s="1485"/>
      <c r="AA55" s="30"/>
      <c r="AB55" s="30"/>
      <c r="AC55" s="1486"/>
      <c r="AD55" s="1486"/>
      <c r="AE55" s="860"/>
      <c r="AF55" s="860"/>
      <c r="AG55" s="30"/>
      <c r="AH55" s="30"/>
      <c r="AI55" s="30"/>
      <c r="AJ55" s="30"/>
      <c r="AK55" s="253"/>
      <c r="AL55" s="238"/>
      <c r="AM55" s="238"/>
      <c r="AN55" s="238"/>
      <c r="AO55" s="482"/>
      <c r="AP55" s="238"/>
      <c r="AQ55" s="238"/>
      <c r="AR55" s="238"/>
      <c r="AS55" s="238"/>
      <c r="AT55" s="238"/>
      <c r="AU55" s="238"/>
      <c r="AV55" s="238"/>
      <c r="AW55" s="238"/>
      <c r="AX55" s="238"/>
      <c r="AY55" s="238"/>
      <c r="AZ55" s="238"/>
      <c r="BA55" s="238"/>
      <c r="BB55" s="238"/>
      <c r="BC55" s="238"/>
      <c r="BD55" s="238"/>
      <c r="BE55" s="239" t="s">
        <v>669</v>
      </c>
      <c r="BF55" s="239">
        <v>0</v>
      </c>
      <c r="BG55" s="239">
        <v>1.5800000000000002E-2</v>
      </c>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38"/>
      <c r="CN55" s="238"/>
      <c r="CO55" s="238"/>
      <c r="CP55" s="238"/>
    </row>
    <row r="56" spans="1:94" s="240" customFormat="1" ht="14.25" customHeight="1">
      <c r="A56" s="273" t="s">
        <v>670</v>
      </c>
      <c r="B56" s="30"/>
      <c r="C56" s="30"/>
      <c r="D56" s="30"/>
      <c r="E56" s="30"/>
      <c r="F56" s="30"/>
      <c r="G56" s="30"/>
      <c r="H56" s="30"/>
      <c r="I56" s="30"/>
      <c r="J56" s="30"/>
      <c r="K56" s="30"/>
      <c r="L56" s="1246">
        <f t="shared" si="10"/>
        <v>210.31586055836519</v>
      </c>
      <c r="M56" s="1247"/>
      <c r="N56" s="1560">
        <f>AC17*X25</f>
        <v>757.13709801011464</v>
      </c>
      <c r="O56" s="1560"/>
      <c r="P56" s="30" t="s">
        <v>617</v>
      </c>
      <c r="Q56" s="591"/>
      <c r="R56" s="1585">
        <f t="shared" si="11"/>
        <v>109.02774211345651</v>
      </c>
      <c r="S56" s="1585"/>
      <c r="T56" s="1390"/>
      <c r="U56" s="1390"/>
      <c r="V56" s="1584"/>
      <c r="W56" s="1584"/>
      <c r="X56" s="30"/>
      <c r="Y56" s="1485"/>
      <c r="Z56" s="1485"/>
      <c r="AA56" s="30"/>
      <c r="AB56" s="30"/>
      <c r="AC56" s="1486"/>
      <c r="AD56" s="1486"/>
      <c r="AE56" s="473"/>
      <c r="AF56" s="473"/>
      <c r="AG56" s="30"/>
      <c r="AH56" s="30"/>
      <c r="AI56" s="30"/>
      <c r="AJ56" s="30"/>
      <c r="AK56" s="253"/>
      <c r="AL56" s="238"/>
      <c r="AM56" s="238"/>
      <c r="AN56" s="238"/>
      <c r="AO56" s="482"/>
      <c r="AP56" s="238"/>
      <c r="AQ56" s="238"/>
      <c r="AR56" s="238"/>
      <c r="AS56" s="238"/>
      <c r="AT56" s="238"/>
      <c r="AU56" s="238"/>
      <c r="AV56" s="238"/>
      <c r="AW56" s="238"/>
      <c r="AX56" s="238"/>
      <c r="AY56" s="238"/>
      <c r="AZ56" s="238"/>
      <c r="BA56" s="238"/>
      <c r="BB56" s="238"/>
      <c r="BC56" s="238"/>
      <c r="BD56" s="238"/>
      <c r="BE56" s="239"/>
      <c r="BF56" s="239"/>
      <c r="BG56" s="239"/>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38"/>
      <c r="CN56" s="238"/>
      <c r="CO56" s="238"/>
      <c r="CP56" s="238"/>
    </row>
    <row r="57" spans="1:94" s="240" customFormat="1" ht="14.25" customHeight="1">
      <c r="A57" s="273" t="s">
        <v>673</v>
      </c>
      <c r="B57" s="30"/>
      <c r="C57" s="30"/>
      <c r="D57" s="30"/>
      <c r="E57" s="30"/>
      <c r="F57" s="30"/>
      <c r="G57" s="30"/>
      <c r="H57" s="30"/>
      <c r="I57" s="30"/>
      <c r="J57" s="30"/>
      <c r="K57" s="30"/>
      <c r="L57" s="1587">
        <f t="shared" si="10"/>
        <v>0</v>
      </c>
      <c r="M57" s="1588"/>
      <c r="N57" s="1560">
        <f>Q22*X25</f>
        <v>0</v>
      </c>
      <c r="O57" s="1560"/>
      <c r="P57" s="30" t="s">
        <v>617</v>
      </c>
      <c r="Q57" s="591"/>
      <c r="R57" s="1585">
        <f t="shared" si="11"/>
        <v>0</v>
      </c>
      <c r="S57" s="1585"/>
      <c r="T57" s="1390"/>
      <c r="U57" s="1390"/>
      <c r="V57" s="1584"/>
      <c r="W57" s="1584"/>
      <c r="X57" s="30"/>
      <c r="Y57" s="1485"/>
      <c r="Z57" s="1485"/>
      <c r="AA57" s="30"/>
      <c r="AB57" s="30"/>
      <c r="AC57" s="1486"/>
      <c r="AD57" s="1486"/>
      <c r="AE57" s="860"/>
      <c r="AF57" s="860"/>
      <c r="AG57" s="30"/>
      <c r="AH57" s="30"/>
      <c r="AI57" s="30"/>
      <c r="AJ57" s="30"/>
      <c r="AK57" s="253"/>
      <c r="AL57" s="238"/>
      <c r="AM57" s="238"/>
      <c r="AN57" s="238"/>
      <c r="AO57" s="482"/>
      <c r="AP57" s="238"/>
      <c r="AQ57" s="238"/>
      <c r="AR57" s="238"/>
      <c r="AS57" s="238"/>
      <c r="AT57" s="238"/>
      <c r="AU57" s="238"/>
      <c r="AV57" s="238"/>
      <c r="AW57" s="238"/>
      <c r="AX57" s="238"/>
      <c r="AY57" s="238"/>
      <c r="AZ57" s="238"/>
      <c r="BA57" s="238"/>
      <c r="BB57" s="238"/>
      <c r="BC57" s="238"/>
      <c r="BD57" s="238"/>
      <c r="BE57" s="239"/>
      <c r="BF57" s="239"/>
      <c r="BG57" s="239"/>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38"/>
      <c r="CN57" s="238"/>
      <c r="CO57" s="238"/>
      <c r="CP57" s="238"/>
    </row>
    <row r="58" spans="1:94" s="240" customFormat="1" ht="14.25" customHeight="1">
      <c r="A58" s="273" t="s">
        <v>672</v>
      </c>
      <c r="B58" s="30"/>
      <c r="C58" s="30"/>
      <c r="D58" s="30"/>
      <c r="E58" s="30"/>
      <c r="F58" s="30"/>
      <c r="G58" s="30"/>
      <c r="H58" s="30"/>
      <c r="I58" s="30"/>
      <c r="J58" s="30"/>
      <c r="K58" s="30"/>
      <c r="L58" s="1587">
        <f t="shared" si="10"/>
        <v>459.01814516129031</v>
      </c>
      <c r="M58" s="1588"/>
      <c r="N58" s="1590">
        <f>T32</f>
        <v>1652.4653225806451</v>
      </c>
      <c r="O58" s="1590"/>
      <c r="P58" s="30" t="s">
        <v>617</v>
      </c>
      <c r="Q58" s="591"/>
      <c r="R58" s="1585">
        <f t="shared" si="11"/>
        <v>237.95500645161289</v>
      </c>
      <c r="S58" s="1585"/>
      <c r="T58" s="1390"/>
      <c r="U58" s="1390"/>
      <c r="V58" s="1584"/>
      <c r="W58" s="1584"/>
      <c r="X58" s="30"/>
      <c r="Y58" s="1485"/>
      <c r="Z58" s="1485"/>
      <c r="AA58" s="30"/>
      <c r="AB58" s="30"/>
      <c r="AC58" s="1486"/>
      <c r="AD58" s="1486"/>
      <c r="AE58" s="473"/>
      <c r="AF58" s="473"/>
      <c r="AG58" s="30"/>
      <c r="AH58" s="30"/>
      <c r="AI58" s="30"/>
      <c r="AJ58" s="30"/>
      <c r="AK58" s="253"/>
      <c r="AL58" s="238"/>
      <c r="AM58" s="238"/>
      <c r="AN58" s="238"/>
      <c r="AO58" s="482"/>
      <c r="AP58" s="238"/>
      <c r="AQ58" s="238"/>
      <c r="AR58" s="238"/>
      <c r="AS58" s="238"/>
      <c r="AT58" s="238"/>
      <c r="AU58" s="238"/>
      <c r="AV58" s="238"/>
      <c r="AW58" s="238"/>
      <c r="AX58" s="238"/>
      <c r="AY58" s="238"/>
      <c r="AZ58" s="238"/>
      <c r="BA58" s="238"/>
      <c r="BB58" s="238"/>
      <c r="BC58" s="238"/>
      <c r="BD58" s="238"/>
      <c r="BE58" s="239"/>
      <c r="BF58" s="239"/>
      <c r="BG58" s="239"/>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row>
    <row r="59" spans="1:94" s="240" customFormat="1" ht="14.25" customHeight="1">
      <c r="A59" s="273" t="s">
        <v>675</v>
      </c>
      <c r="B59" s="30"/>
      <c r="C59" s="30"/>
      <c r="D59" s="30"/>
      <c r="E59" s="30"/>
      <c r="F59" s="30"/>
      <c r="G59" s="30"/>
      <c r="H59" s="30"/>
      <c r="I59" s="30"/>
      <c r="J59" s="30"/>
      <c r="K59" s="30"/>
      <c r="L59" s="1587">
        <f t="shared" si="10"/>
        <v>0</v>
      </c>
      <c r="M59" s="1588"/>
      <c r="N59" s="1589"/>
      <c r="O59" s="1589"/>
      <c r="P59" s="30" t="s">
        <v>617</v>
      </c>
      <c r="Q59" s="591"/>
      <c r="R59" s="1585">
        <f t="shared" si="11"/>
        <v>0</v>
      </c>
      <c r="S59" s="1585"/>
      <c r="T59" s="1390"/>
      <c r="U59" s="1390"/>
      <c r="V59" s="1584"/>
      <c r="W59" s="1584"/>
      <c r="X59" s="30"/>
      <c r="Y59" s="1485"/>
      <c r="Z59" s="1485"/>
      <c r="AA59" s="30"/>
      <c r="AB59" s="30"/>
      <c r="AC59" s="1486"/>
      <c r="AD59" s="1486"/>
      <c r="AE59" s="473"/>
      <c r="AF59" s="473"/>
      <c r="AG59" s="30"/>
      <c r="AH59" s="30"/>
      <c r="AI59" s="30"/>
      <c r="AJ59" s="30"/>
      <c r="AK59" s="253"/>
      <c r="AL59" s="238"/>
      <c r="AM59" s="238"/>
      <c r="AN59" s="238"/>
      <c r="AO59" s="482"/>
      <c r="AP59" s="238"/>
      <c r="AQ59" s="238"/>
      <c r="AR59" s="238"/>
      <c r="AS59" s="238"/>
      <c r="AT59" s="238"/>
      <c r="AU59" s="238"/>
      <c r="AV59" s="238"/>
      <c r="AW59" s="238"/>
      <c r="AX59" s="238"/>
      <c r="AY59" s="238"/>
      <c r="AZ59" s="238"/>
      <c r="BA59" s="238"/>
      <c r="BB59" s="238"/>
      <c r="BC59" s="238"/>
      <c r="BD59" s="238"/>
      <c r="BE59" s="239"/>
      <c r="BF59" s="239"/>
      <c r="BG59" s="239"/>
      <c r="BH59" s="238"/>
      <c r="BI59" s="238"/>
      <c r="BJ59" s="238"/>
      <c r="BK59" s="238"/>
      <c r="BL59" s="238"/>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38"/>
      <c r="CN59" s="238"/>
      <c r="CO59" s="238"/>
      <c r="CP59" s="238"/>
    </row>
    <row r="60" spans="1:94" s="240" customFormat="1" ht="14.25" customHeight="1">
      <c r="A60" s="273" t="s">
        <v>676</v>
      </c>
      <c r="B60" s="30"/>
      <c r="C60" s="30"/>
      <c r="D60" s="30"/>
      <c r="E60" s="30"/>
      <c r="F60" s="30"/>
      <c r="G60" s="30"/>
      <c r="H60" s="30"/>
      <c r="I60" s="30"/>
      <c r="J60" s="30"/>
      <c r="K60" s="30"/>
      <c r="L60" s="1587">
        <f t="shared" si="10"/>
        <v>0</v>
      </c>
      <c r="M60" s="1588"/>
      <c r="N60" s="1589"/>
      <c r="O60" s="1589"/>
      <c r="P60" s="30" t="s">
        <v>617</v>
      </c>
      <c r="Q60" s="591"/>
      <c r="R60" s="1585">
        <f t="shared" si="11"/>
        <v>0</v>
      </c>
      <c r="S60" s="1585"/>
      <c r="T60" s="1390"/>
      <c r="U60" s="1390"/>
      <c r="V60" s="1584"/>
      <c r="W60" s="1584"/>
      <c r="X60" s="30"/>
      <c r="Y60" s="1485"/>
      <c r="Z60" s="1485"/>
      <c r="AA60" s="30"/>
      <c r="AB60" s="30"/>
      <c r="AC60" s="1486"/>
      <c r="AD60" s="1486"/>
      <c r="AE60" s="30"/>
      <c r="AF60" s="30"/>
      <c r="AG60" s="30"/>
      <c r="AH60" s="30"/>
      <c r="AI60" s="30"/>
      <c r="AJ60" s="30"/>
      <c r="AK60" s="253"/>
      <c r="AL60" s="238"/>
      <c r="AM60" s="238"/>
      <c r="AN60" s="238"/>
      <c r="AO60" s="281"/>
      <c r="AP60" s="238"/>
      <c r="AQ60" s="238"/>
      <c r="AR60" s="238"/>
      <c r="AS60" s="238"/>
      <c r="AT60" s="238"/>
      <c r="AU60" s="238"/>
      <c r="AV60" s="238"/>
      <c r="AW60" s="238"/>
      <c r="AX60" s="238"/>
      <c r="AY60" s="238"/>
      <c r="AZ60" s="238"/>
      <c r="BA60" s="238"/>
      <c r="BB60" s="238"/>
      <c r="BC60" s="238"/>
      <c r="BD60" s="238"/>
      <c r="BE60" s="239"/>
      <c r="BF60" s="239"/>
      <c r="BG60" s="239"/>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row>
    <row r="61" spans="1:94" s="240" customFormat="1" ht="14.25" customHeight="1">
      <c r="A61" s="273" t="s">
        <v>677</v>
      </c>
      <c r="B61" s="30"/>
      <c r="C61" s="30"/>
      <c r="D61" s="30"/>
      <c r="E61" s="30"/>
      <c r="F61" s="30"/>
      <c r="G61" s="30"/>
      <c r="H61" s="30"/>
      <c r="I61" s="30"/>
      <c r="J61" s="30"/>
      <c r="K61" s="30"/>
      <c r="L61" s="1587">
        <f>N61*1000/3600</f>
        <v>63258.705318598491</v>
      </c>
      <c r="M61" s="1588"/>
      <c r="N61" s="1564">
        <f>X25*CO2eEF!I57</f>
        <v>227731.33914695456</v>
      </c>
      <c r="O61" s="1564"/>
      <c r="P61" s="284" t="s">
        <v>617</v>
      </c>
      <c r="Q61" s="592"/>
      <c r="R61" s="1585">
        <f t="shared" si="11"/>
        <v>32793.312837161458</v>
      </c>
      <c r="S61" s="1585"/>
      <c r="T61" s="1390"/>
      <c r="U61" s="1390"/>
      <c r="V61" s="1584"/>
      <c r="W61" s="1584"/>
      <c r="X61" s="284"/>
      <c r="Y61" s="1487"/>
      <c r="Z61" s="1487"/>
      <c r="AA61" s="593"/>
      <c r="AB61" s="594"/>
      <c r="AC61" s="1488"/>
      <c r="AD61" s="1488"/>
      <c r="AE61" s="30"/>
      <c r="AF61" s="30"/>
      <c r="AG61" s="30"/>
      <c r="AH61" s="30"/>
      <c r="AI61" s="30"/>
      <c r="AJ61" s="30"/>
      <c r="AK61" s="253"/>
      <c r="AL61" s="238"/>
      <c r="AM61" s="238"/>
      <c r="AN61" s="238"/>
      <c r="AO61" s="281"/>
      <c r="AP61" s="238"/>
      <c r="AQ61" s="238"/>
      <c r="AR61" s="238"/>
      <c r="AS61" s="238"/>
      <c r="AT61" s="238"/>
      <c r="AU61" s="238"/>
      <c r="AV61" s="238"/>
      <c r="AW61" s="238"/>
      <c r="AX61" s="238"/>
      <c r="AY61" s="238"/>
      <c r="AZ61" s="238"/>
      <c r="BA61" s="238"/>
      <c r="BB61" s="238"/>
      <c r="BC61" s="238"/>
      <c r="BD61" s="238"/>
      <c r="BE61" s="239"/>
      <c r="BF61" s="239"/>
      <c r="BG61" s="239"/>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row>
    <row r="62" spans="1:94" s="240" customFormat="1" ht="14.25" customHeight="1">
      <c r="A62" s="279" t="s">
        <v>749</v>
      </c>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2"/>
      <c r="AF62" s="132"/>
      <c r="AG62" s="132"/>
      <c r="AH62" s="132"/>
      <c r="AI62" s="132"/>
      <c r="AJ62" s="132"/>
      <c r="AK62" s="280"/>
      <c r="AL62" s="238"/>
      <c r="AM62" s="238"/>
      <c r="AN62" s="238"/>
      <c r="AO62" s="281"/>
      <c r="AP62" s="238"/>
      <c r="AQ62" s="238"/>
      <c r="AR62" s="238"/>
      <c r="AS62" s="238"/>
      <c r="AT62" s="238"/>
      <c r="AU62" s="238"/>
      <c r="AV62" s="238"/>
      <c r="AW62" s="238"/>
      <c r="AX62" s="238"/>
      <c r="AY62" s="238"/>
      <c r="AZ62" s="238"/>
      <c r="BA62" s="238"/>
      <c r="BB62" s="238"/>
      <c r="BC62" s="238"/>
      <c r="BD62" s="238"/>
      <c r="BE62" s="239"/>
      <c r="BF62" s="239"/>
      <c r="BG62" s="239"/>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row>
    <row r="63" spans="1:94" s="240" customFormat="1" ht="14.25" customHeight="1">
      <c r="A63" s="282" t="s">
        <v>31</v>
      </c>
      <c r="B63" s="30" t="s">
        <v>804</v>
      </c>
      <c r="C63" s="30"/>
      <c r="D63" s="30"/>
      <c r="E63" s="30"/>
      <c r="F63" s="30"/>
      <c r="G63" s="30"/>
      <c r="H63" s="30"/>
      <c r="I63" s="30"/>
      <c r="J63" s="30"/>
      <c r="K63" s="30"/>
      <c r="L63" s="30"/>
      <c r="M63" s="30"/>
      <c r="N63" s="283"/>
      <c r="O63" s="283"/>
      <c r="P63" s="283"/>
      <c r="Q63" s="30"/>
      <c r="R63" s="30"/>
      <c r="S63" s="30"/>
      <c r="T63" s="30"/>
      <c r="U63" s="30"/>
      <c r="V63" s="30"/>
      <c r="W63" s="30"/>
      <c r="X63" s="30"/>
      <c r="Y63" s="30"/>
      <c r="Z63" s="30"/>
      <c r="AA63" s="30"/>
      <c r="AB63" s="30"/>
      <c r="AC63" s="30"/>
      <c r="AD63" s="30"/>
      <c r="AE63" s="30"/>
      <c r="AF63" s="30"/>
      <c r="AG63" s="30"/>
      <c r="AH63" s="30"/>
      <c r="AI63" s="30"/>
      <c r="AJ63" s="30"/>
      <c r="AK63" s="253"/>
      <c r="AL63" s="238"/>
      <c r="AM63" s="238"/>
      <c r="AN63" s="238"/>
      <c r="AO63" s="238"/>
      <c r="AP63" s="238"/>
      <c r="AQ63" s="238"/>
      <c r="AR63" s="238"/>
      <c r="AS63" s="238"/>
      <c r="AT63" s="238"/>
      <c r="AU63" s="238"/>
      <c r="AV63" s="238"/>
      <c r="AW63" s="238"/>
      <c r="AX63" s="238"/>
      <c r="AY63" s="238"/>
      <c r="AZ63" s="238"/>
      <c r="BA63" s="238"/>
      <c r="BB63" s="238"/>
      <c r="BC63" s="238"/>
      <c r="BD63" s="238"/>
      <c r="BE63" s="239" t="s">
        <v>679</v>
      </c>
      <c r="BF63" s="239">
        <v>0</v>
      </c>
      <c r="BG63" s="239">
        <v>0</v>
      </c>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row>
    <row r="64" spans="1:94" ht="14.25" customHeight="1">
      <c r="A64" s="282" t="s">
        <v>33</v>
      </c>
      <c r="B64" s="31" t="s">
        <v>751</v>
      </c>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5"/>
      <c r="AK64" s="286"/>
      <c r="AL64" s="243"/>
      <c r="AM64" s="243"/>
      <c r="AN64" s="243"/>
      <c r="AO64" s="243"/>
      <c r="AP64" s="243"/>
      <c r="AQ64" s="243"/>
      <c r="AR64" s="243"/>
      <c r="AS64" s="243"/>
      <c r="AT64" s="243"/>
      <c r="AU64" s="243"/>
      <c r="AV64" s="243"/>
      <c r="AW64" s="243"/>
      <c r="AX64" s="243"/>
      <c r="AY64" s="243"/>
      <c r="AZ64" s="243"/>
      <c r="BA64" s="243"/>
      <c r="BB64" s="243"/>
      <c r="BC64" s="243"/>
      <c r="BD64" s="243"/>
      <c r="BE64" s="246" t="s">
        <v>681</v>
      </c>
      <c r="BF64" s="246">
        <v>0</v>
      </c>
      <c r="BG64" s="246">
        <v>0</v>
      </c>
      <c r="BH64" s="243"/>
      <c r="BI64" s="243"/>
      <c r="BJ64" s="243"/>
      <c r="BK64" s="243"/>
      <c r="BL64" s="243"/>
      <c r="BM64" s="243"/>
      <c r="BN64" s="243"/>
      <c r="BO64" s="243"/>
      <c r="BP64" s="243"/>
      <c r="BQ64" s="243"/>
      <c r="BR64" s="243"/>
      <c r="BS64" s="243"/>
      <c r="BT64" s="243"/>
      <c r="BU64" s="243"/>
      <c r="BV64" s="243"/>
      <c r="BW64" s="243"/>
      <c r="BX64" s="243"/>
      <c r="BY64" s="243"/>
      <c r="BZ64" s="243"/>
      <c r="CA64" s="243"/>
      <c r="CB64" s="243"/>
      <c r="CC64" s="243"/>
      <c r="CD64" s="243"/>
      <c r="CE64" s="243"/>
      <c r="CF64" s="243"/>
      <c r="CG64" s="243"/>
      <c r="CH64" s="243"/>
      <c r="CI64" s="243"/>
      <c r="CJ64" s="243"/>
      <c r="CK64" s="243"/>
      <c r="CL64" s="243"/>
      <c r="CM64" s="243"/>
      <c r="CN64" s="243"/>
      <c r="CO64" s="243"/>
      <c r="CP64" s="243"/>
    </row>
    <row r="65" spans="1:94" ht="14.25" customHeight="1">
      <c r="A65" s="282" t="s">
        <v>752</v>
      </c>
      <c r="B65" s="284" t="s">
        <v>805</v>
      </c>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5"/>
      <c r="AE65" s="285"/>
      <c r="AF65" s="285"/>
      <c r="AG65" s="285"/>
      <c r="AH65" s="285"/>
      <c r="AI65" s="285"/>
      <c r="AJ65" s="285"/>
      <c r="AK65" s="286"/>
      <c r="AL65" s="243"/>
      <c r="AM65" s="243"/>
      <c r="AN65" s="243"/>
      <c r="AO65" s="243"/>
      <c r="AP65" s="243"/>
      <c r="AQ65" s="243"/>
      <c r="AR65" s="243"/>
      <c r="AS65" s="243"/>
      <c r="AT65" s="243"/>
      <c r="AU65" s="243"/>
      <c r="AV65" s="243"/>
      <c r="AW65" s="243"/>
      <c r="AX65" s="243"/>
      <c r="AY65" s="243"/>
      <c r="AZ65" s="243"/>
      <c r="BA65" s="243"/>
      <c r="BB65" s="243"/>
      <c r="BC65" s="243"/>
      <c r="BD65" s="243"/>
      <c r="BE65" s="246" t="s">
        <v>684</v>
      </c>
      <c r="BF65" s="246">
        <v>0</v>
      </c>
      <c r="BG65" s="246">
        <v>0</v>
      </c>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c r="CM65" s="243"/>
      <c r="CN65" s="243"/>
      <c r="CO65" s="243"/>
      <c r="CP65" s="243"/>
    </row>
    <row r="66" spans="1:94" ht="14.25">
      <c r="A66" s="282" t="s">
        <v>38</v>
      </c>
      <c r="B66" s="284" t="s">
        <v>725</v>
      </c>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6"/>
      <c r="AL66" s="243"/>
      <c r="AM66" s="243"/>
      <c r="AN66" s="243"/>
      <c r="AO66" s="243"/>
      <c r="AP66" s="243"/>
      <c r="AQ66" s="243"/>
      <c r="AR66" s="243"/>
      <c r="AS66" s="243"/>
      <c r="AT66" s="243"/>
      <c r="AU66" s="243"/>
      <c r="AV66" s="243"/>
      <c r="AW66" s="243"/>
      <c r="AX66" s="243"/>
      <c r="AY66" s="243"/>
      <c r="AZ66" s="243"/>
      <c r="BA66" s="243"/>
      <c r="BB66" s="243"/>
      <c r="BC66" s="243"/>
      <c r="BD66" s="243"/>
      <c r="BE66" s="246"/>
      <c r="BF66" s="246"/>
      <c r="BG66" s="246"/>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row>
    <row r="67" spans="1:94" ht="14.25">
      <c r="A67" s="282" t="s">
        <v>41</v>
      </c>
      <c r="B67" s="284" t="s">
        <v>726</v>
      </c>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6"/>
      <c r="AL67" s="243"/>
      <c r="AM67" s="243"/>
      <c r="AN67" s="243"/>
      <c r="AO67" s="243"/>
      <c r="AP67" s="243"/>
      <c r="AQ67" s="243"/>
      <c r="AR67" s="243"/>
      <c r="AS67" s="243"/>
      <c r="AT67" s="243"/>
      <c r="AU67" s="243"/>
      <c r="AV67" s="243"/>
      <c r="AW67" s="243"/>
      <c r="AX67" s="243"/>
      <c r="AY67" s="243"/>
      <c r="AZ67" s="243"/>
      <c r="BA67" s="243"/>
      <c r="BB67" s="243"/>
      <c r="BC67" s="243"/>
      <c r="BD67" s="243"/>
      <c r="BE67" s="246" t="s">
        <v>688</v>
      </c>
      <c r="BF67" s="246">
        <v>0</v>
      </c>
      <c r="BG67" s="246">
        <v>0</v>
      </c>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c r="CM67" s="243"/>
      <c r="CN67" s="243"/>
      <c r="CO67" s="243"/>
      <c r="CP67" s="243"/>
    </row>
    <row r="68" spans="1:94">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9"/>
      <c r="AL68" s="289"/>
      <c r="AM68" s="289"/>
      <c r="AN68" s="289"/>
      <c r="AO68" s="289"/>
      <c r="AP68" s="289"/>
      <c r="AQ68" s="289"/>
      <c r="AR68" s="243"/>
      <c r="AS68" s="243"/>
      <c r="AT68" s="243"/>
      <c r="AU68" s="243"/>
      <c r="AV68" s="243"/>
      <c r="AW68" s="243"/>
      <c r="AX68" s="243"/>
      <c r="AY68" s="243"/>
      <c r="AZ68" s="243"/>
      <c r="BA68" s="243"/>
      <c r="BB68" s="243"/>
      <c r="BC68" s="243"/>
      <c r="BD68" s="243"/>
      <c r="BE68" s="246" t="s">
        <v>690</v>
      </c>
      <c r="BF68" s="246">
        <v>2.9999999999999997E-4</v>
      </c>
      <c r="BG68" s="246">
        <v>0</v>
      </c>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c r="CM68" s="243"/>
      <c r="CN68" s="243"/>
      <c r="CO68" s="243"/>
      <c r="CP68" s="243"/>
    </row>
    <row r="69" spans="1:94">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9"/>
      <c r="AL69" s="289"/>
      <c r="AM69" s="289"/>
      <c r="AN69" s="289"/>
      <c r="AO69" s="289"/>
      <c r="AP69" s="289"/>
      <c r="AQ69" s="289"/>
      <c r="AR69" s="243"/>
      <c r="AS69" s="243"/>
      <c r="AT69" s="243"/>
      <c r="AU69" s="243"/>
      <c r="AV69" s="243"/>
      <c r="AW69" s="243"/>
      <c r="AX69" s="243"/>
      <c r="AY69" s="243"/>
      <c r="AZ69" s="243"/>
      <c r="BA69" s="243"/>
      <c r="BB69" s="243"/>
      <c r="BC69" s="243"/>
      <c r="BD69" s="243"/>
      <c r="BE69" s="246" t="s">
        <v>691</v>
      </c>
      <c r="BF69" s="246">
        <v>0</v>
      </c>
      <c r="BG69" s="246">
        <v>0</v>
      </c>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row>
    <row r="70" spans="1:94">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9"/>
      <c r="AL70" s="289"/>
      <c r="AM70" s="289"/>
      <c r="AN70" s="289"/>
      <c r="AO70" s="289"/>
      <c r="AP70" s="289"/>
      <c r="AQ70" s="289"/>
      <c r="AR70" s="243"/>
      <c r="AS70" s="243"/>
      <c r="AT70" s="243"/>
      <c r="AU70" s="243"/>
      <c r="AV70" s="243"/>
      <c r="AW70" s="243"/>
      <c r="AX70" s="243"/>
      <c r="AY70" s="243"/>
      <c r="AZ70" s="243"/>
      <c r="BA70" s="243"/>
      <c r="BB70" s="243"/>
      <c r="BC70" s="243"/>
      <c r="BD70" s="243"/>
      <c r="BE70" s="246" t="s">
        <v>692</v>
      </c>
      <c r="BF70" s="246">
        <v>0</v>
      </c>
      <c r="BG70" s="246">
        <v>0</v>
      </c>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row>
    <row r="71" spans="1:94">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9"/>
      <c r="AL71" s="289"/>
      <c r="AM71" s="289"/>
      <c r="AN71" s="289"/>
      <c r="AO71" s="289"/>
      <c r="AP71" s="289"/>
      <c r="AQ71" s="289"/>
      <c r="AR71" s="243"/>
      <c r="AS71" s="243"/>
      <c r="AT71" s="243"/>
      <c r="AU71" s="243"/>
      <c r="AV71" s="243"/>
      <c r="AW71" s="243"/>
      <c r="AX71" s="243"/>
      <c r="AY71" s="243"/>
      <c r="AZ71" s="243"/>
      <c r="BA71" s="243"/>
      <c r="BB71" s="243"/>
      <c r="BC71" s="243"/>
      <c r="BD71" s="243"/>
      <c r="BE71" s="246" t="s">
        <v>693</v>
      </c>
      <c r="BF71" s="246">
        <v>0</v>
      </c>
      <c r="BG71" s="246">
        <v>0</v>
      </c>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row>
    <row r="72" spans="1:94">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9"/>
      <c r="AL72" s="289"/>
      <c r="AM72" s="289"/>
      <c r="AN72" s="289"/>
      <c r="AO72" s="289"/>
      <c r="AP72" s="289"/>
      <c r="AQ72" s="289"/>
      <c r="AR72" s="243"/>
      <c r="AS72" s="243"/>
      <c r="AT72" s="243"/>
      <c r="AU72" s="243"/>
      <c r="AV72" s="243"/>
      <c r="AW72" s="243"/>
      <c r="AX72" s="243"/>
      <c r="AY72" s="243"/>
      <c r="AZ72" s="243"/>
      <c r="BA72" s="243"/>
      <c r="BB72" s="243"/>
      <c r="BC72" s="243"/>
      <c r="BD72" s="243"/>
      <c r="BE72" s="246" t="s">
        <v>694</v>
      </c>
      <c r="BF72" s="246">
        <v>0</v>
      </c>
      <c r="BG72" s="246">
        <v>0</v>
      </c>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row>
    <row r="73" spans="1:94">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9"/>
      <c r="AL73" s="289"/>
      <c r="AM73" s="289"/>
      <c r="AN73" s="289"/>
      <c r="AO73" s="289"/>
      <c r="AP73" s="289"/>
      <c r="AQ73" s="289"/>
      <c r="AR73" s="243"/>
      <c r="AS73" s="243"/>
      <c r="AT73" s="243"/>
      <c r="AU73" s="243"/>
      <c r="AV73" s="243"/>
      <c r="AW73" s="243"/>
      <c r="AX73" s="243"/>
      <c r="AY73" s="243"/>
      <c r="AZ73" s="243"/>
      <c r="BA73" s="243"/>
      <c r="BB73" s="243"/>
      <c r="BC73" s="243"/>
      <c r="BD73" s="243"/>
      <c r="BE73" s="246" t="s">
        <v>695</v>
      </c>
      <c r="BF73" s="246">
        <v>0</v>
      </c>
      <c r="BG73" s="246">
        <v>0</v>
      </c>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243"/>
      <c r="CO73" s="243"/>
      <c r="CP73" s="243"/>
    </row>
    <row r="74" spans="1:94">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9"/>
      <c r="AL74" s="289"/>
      <c r="AM74" s="289"/>
      <c r="AN74" s="289"/>
      <c r="AO74" s="289"/>
      <c r="AP74" s="289"/>
      <c r="AQ74" s="289"/>
      <c r="AR74" s="243"/>
      <c r="AS74" s="243"/>
      <c r="AT74" s="243"/>
      <c r="AU74" s="243"/>
      <c r="AV74" s="243"/>
      <c r="AW74" s="243"/>
      <c r="AX74" s="243"/>
      <c r="AY74" s="243"/>
      <c r="AZ74" s="243"/>
      <c r="BA74" s="243"/>
      <c r="BB74" s="243"/>
      <c r="BC74" s="243"/>
      <c r="BD74" s="243"/>
      <c r="BE74" s="246" t="s">
        <v>696</v>
      </c>
      <c r="BF74" s="246">
        <v>0</v>
      </c>
      <c r="BG74" s="246">
        <v>0</v>
      </c>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row>
    <row r="75" spans="1:94" s="290" customFormat="1">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9"/>
      <c r="AL75" s="289"/>
      <c r="AM75" s="289"/>
      <c r="AN75" s="289"/>
      <c r="AO75" s="289"/>
      <c r="AP75" s="289"/>
      <c r="AQ75" s="289"/>
      <c r="AR75" s="243"/>
      <c r="AS75" s="243"/>
      <c r="AT75" s="243"/>
      <c r="AU75" s="243"/>
      <c r="AV75" s="243"/>
      <c r="AW75" s="243"/>
      <c r="AX75" s="243"/>
      <c r="AY75" s="243"/>
      <c r="AZ75" s="243"/>
      <c r="BA75" s="243"/>
      <c r="BB75" s="243"/>
      <c r="BC75" s="243"/>
      <c r="BD75" s="243"/>
      <c r="BE75" s="246" t="s">
        <v>697</v>
      </c>
      <c r="BF75" s="246">
        <v>0</v>
      </c>
      <c r="BG75" s="246">
        <v>0</v>
      </c>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row>
    <row r="76" spans="1:94" s="290" customFormat="1">
      <c r="A76" s="288"/>
      <c r="B76" s="288"/>
      <c r="C76" s="288"/>
      <c r="D76" s="288"/>
      <c r="E76" s="288"/>
      <c r="F76" s="288"/>
      <c r="G76" s="288"/>
      <c r="H76" s="288"/>
      <c r="I76" s="288"/>
      <c r="J76" s="288"/>
      <c r="K76" s="288"/>
      <c r="L76" s="288"/>
      <c r="M76" s="288"/>
      <c r="N76" s="288"/>
      <c r="O76" s="263"/>
      <c r="P76" s="288"/>
      <c r="Q76" s="288"/>
      <c r="R76" s="288"/>
      <c r="S76" s="288"/>
      <c r="T76" s="288"/>
      <c r="U76" s="288"/>
      <c r="V76" s="288"/>
      <c r="W76" s="288"/>
      <c r="X76" s="288"/>
      <c r="Y76" s="288"/>
      <c r="Z76" s="288"/>
      <c r="AA76" s="288"/>
      <c r="AB76" s="288"/>
      <c r="AC76" s="288"/>
      <c r="AD76" s="288"/>
      <c r="AE76" s="288"/>
      <c r="AF76" s="288"/>
      <c r="AG76" s="288"/>
      <c r="AH76" s="288"/>
      <c r="AI76" s="288"/>
      <c r="AJ76" s="288"/>
      <c r="AK76" s="289"/>
      <c r="AL76" s="289"/>
      <c r="AM76" s="289"/>
      <c r="AN76" s="289"/>
      <c r="AO76" s="289"/>
      <c r="AP76" s="289"/>
      <c r="AQ76" s="289"/>
      <c r="AR76" s="243"/>
      <c r="AS76" s="243"/>
      <c r="AT76" s="243"/>
      <c r="AU76" s="243"/>
      <c r="AV76" s="243"/>
      <c r="AW76" s="243"/>
      <c r="AX76" s="243"/>
      <c r="AY76" s="243"/>
      <c r="AZ76" s="243"/>
      <c r="BA76" s="243"/>
      <c r="BB76" s="243"/>
      <c r="BC76" s="243"/>
      <c r="BD76" s="243"/>
      <c r="BE76" s="246" t="s">
        <v>431</v>
      </c>
      <c r="BF76" s="246">
        <v>1E-4</v>
      </c>
      <c r="BG76" s="246">
        <v>0.17530000000000001</v>
      </c>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c r="CM76" s="243"/>
      <c r="CN76" s="243"/>
      <c r="CO76" s="243"/>
      <c r="CP76" s="243"/>
    </row>
    <row r="77" spans="1:94" s="290" customForma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9"/>
      <c r="AL77" s="289"/>
      <c r="AM77" s="289"/>
      <c r="AN77" s="289"/>
      <c r="AO77" s="289"/>
      <c r="AP77" s="289"/>
      <c r="AQ77" s="289"/>
      <c r="AR77" s="243"/>
      <c r="AS77" s="243"/>
      <c r="AT77" s="243"/>
      <c r="AU77" s="243"/>
      <c r="AV77" s="243"/>
      <c r="AW77" s="243"/>
      <c r="AX77" s="243"/>
      <c r="AY77" s="243"/>
      <c r="AZ77" s="243"/>
      <c r="BA77" s="243"/>
      <c r="BB77" s="243"/>
      <c r="BC77" s="243"/>
      <c r="BD77" s="243"/>
      <c r="BE77" s="243"/>
      <c r="BF77" s="246"/>
      <c r="BG77" s="246"/>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c r="CM77" s="243"/>
      <c r="CN77" s="243"/>
      <c r="CO77" s="243"/>
      <c r="CP77" s="243"/>
    </row>
    <row r="78" spans="1:94" s="290" customForma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9"/>
      <c r="AL78" s="289"/>
      <c r="AM78" s="289"/>
      <c r="AN78" s="289"/>
      <c r="AO78" s="289"/>
      <c r="AP78" s="289"/>
      <c r="AQ78" s="289"/>
      <c r="AR78" s="243"/>
      <c r="AS78" s="243"/>
      <c r="AT78" s="243"/>
      <c r="AU78" s="243"/>
      <c r="AV78" s="243"/>
      <c r="AW78" s="243"/>
      <c r="AX78" s="243"/>
      <c r="AY78" s="243"/>
      <c r="AZ78" s="243"/>
      <c r="BA78" s="243"/>
      <c r="BB78" s="243"/>
      <c r="BC78" s="243"/>
      <c r="BD78" s="243"/>
      <c r="BE78" s="243"/>
      <c r="BF78" s="246"/>
      <c r="BG78" s="246"/>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c r="CM78" s="243"/>
      <c r="CN78" s="243"/>
      <c r="CO78" s="243"/>
      <c r="CP78" s="243"/>
    </row>
    <row r="79" spans="1:94" s="290" customForma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9"/>
      <c r="AL79" s="289"/>
      <c r="AM79" s="289"/>
      <c r="AN79" s="289"/>
      <c r="AO79" s="289"/>
      <c r="AP79" s="289"/>
      <c r="AQ79" s="289"/>
      <c r="AR79" s="243"/>
      <c r="AS79" s="243"/>
      <c r="AT79" s="243"/>
      <c r="AU79" s="243"/>
      <c r="AV79" s="243"/>
      <c r="AW79" s="243"/>
      <c r="AX79" s="243"/>
      <c r="AY79" s="243"/>
      <c r="AZ79" s="243"/>
      <c r="BA79" s="243"/>
      <c r="BB79" s="243"/>
      <c r="BC79" s="243"/>
      <c r="BD79" s="243"/>
      <c r="BE79" s="243"/>
      <c r="BF79" s="246"/>
      <c r="BG79" s="246"/>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c r="CM79" s="243"/>
      <c r="CN79" s="243"/>
      <c r="CO79" s="243"/>
      <c r="CP79" s="243"/>
    </row>
    <row r="80" spans="1:94" s="290" customForma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9"/>
      <c r="AL80" s="289"/>
      <c r="AM80" s="289"/>
      <c r="AN80" s="289"/>
      <c r="AO80" s="289"/>
      <c r="AP80" s="289"/>
      <c r="AQ80" s="289"/>
      <c r="AR80" s="243"/>
      <c r="AS80" s="243"/>
      <c r="AT80" s="243"/>
      <c r="AU80" s="243"/>
      <c r="AV80" s="243"/>
      <c r="AW80" s="243"/>
      <c r="AX80" s="243"/>
      <c r="AY80" s="243"/>
      <c r="AZ80" s="243"/>
      <c r="BA80" s="243"/>
      <c r="BB80" s="243"/>
      <c r="BC80" s="243"/>
      <c r="BD80" s="243"/>
      <c r="BE80" s="243"/>
      <c r="BF80" s="246"/>
      <c r="BG80" s="246"/>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c r="CM80" s="243"/>
      <c r="CN80" s="243"/>
      <c r="CO80" s="243"/>
      <c r="CP80" s="243"/>
    </row>
    <row r="81" spans="1:94" s="290" customForma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9"/>
      <c r="AL81" s="289"/>
      <c r="AM81" s="289"/>
      <c r="AN81" s="289"/>
      <c r="AO81" s="289"/>
      <c r="AP81" s="289"/>
      <c r="AQ81" s="289"/>
      <c r="AR81" s="243"/>
      <c r="AS81" s="243"/>
      <c r="AT81" s="243"/>
      <c r="AU81" s="243"/>
      <c r="AV81" s="243"/>
      <c r="AW81" s="243"/>
      <c r="AX81" s="243"/>
      <c r="AY81" s="243"/>
      <c r="AZ81" s="243"/>
      <c r="BA81" s="243"/>
      <c r="BB81" s="243"/>
      <c r="BC81" s="243"/>
      <c r="BD81" s="243"/>
      <c r="BE81" s="243"/>
      <c r="BF81" s="246"/>
      <c r="BG81" s="246"/>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c r="CM81" s="243"/>
      <c r="CN81" s="243"/>
      <c r="CO81" s="243"/>
      <c r="CP81" s="243"/>
    </row>
    <row r="82" spans="1:94" s="290" customForma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9"/>
      <c r="AL82" s="289"/>
      <c r="AM82" s="289"/>
      <c r="AN82" s="289"/>
      <c r="AO82" s="289"/>
      <c r="AP82" s="289"/>
      <c r="AQ82" s="289"/>
      <c r="AR82" s="243"/>
      <c r="AS82" s="243"/>
      <c r="AT82" s="243"/>
      <c r="AU82" s="243"/>
      <c r="AV82" s="243"/>
      <c r="AW82" s="243"/>
      <c r="AX82" s="243"/>
      <c r="AY82" s="243"/>
      <c r="AZ82" s="243"/>
      <c r="BA82" s="243"/>
      <c r="BB82" s="243"/>
      <c r="BC82" s="243"/>
      <c r="BD82" s="243"/>
      <c r="BE82" s="243"/>
      <c r="BF82" s="246"/>
      <c r="BG82" s="246"/>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c r="CM82" s="243"/>
      <c r="CN82" s="243"/>
      <c r="CO82" s="243"/>
      <c r="CP82" s="243"/>
    </row>
    <row r="83" spans="1:94" s="290" customForma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9"/>
      <c r="AL83" s="289"/>
      <c r="AM83" s="289"/>
      <c r="AN83" s="289"/>
      <c r="AO83" s="289"/>
      <c r="AP83" s="289"/>
      <c r="AQ83" s="289"/>
      <c r="AR83" s="243"/>
      <c r="AS83" s="243"/>
      <c r="AT83" s="243"/>
      <c r="AU83" s="243"/>
      <c r="AV83" s="243"/>
      <c r="AW83" s="243"/>
      <c r="AX83" s="243"/>
      <c r="AY83" s="243"/>
      <c r="AZ83" s="243"/>
      <c r="BA83" s="243"/>
      <c r="BB83" s="243"/>
      <c r="BC83" s="243"/>
      <c r="BD83" s="243"/>
      <c r="BE83" s="243"/>
      <c r="BF83" s="246"/>
      <c r="BG83" s="246"/>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c r="CM83" s="243"/>
      <c r="CN83" s="243"/>
      <c r="CO83" s="243"/>
      <c r="CP83" s="243"/>
    </row>
    <row r="84" spans="1:94" s="290" customForma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9"/>
      <c r="AL84" s="289"/>
      <c r="AM84" s="289"/>
      <c r="AN84" s="289"/>
      <c r="AO84" s="289"/>
      <c r="AP84" s="289"/>
      <c r="AQ84" s="289"/>
      <c r="AR84" s="243"/>
      <c r="AS84" s="243"/>
      <c r="AT84" s="243"/>
      <c r="AU84" s="243"/>
      <c r="AV84" s="243"/>
      <c r="AW84" s="243"/>
      <c r="AX84" s="243"/>
      <c r="AY84" s="243"/>
      <c r="AZ84" s="243"/>
      <c r="BA84" s="243"/>
      <c r="BB84" s="243"/>
      <c r="BC84" s="243"/>
      <c r="BD84" s="243"/>
      <c r="BE84" s="243"/>
      <c r="BF84" s="246"/>
      <c r="BG84" s="246"/>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c r="CM84" s="243"/>
      <c r="CN84" s="243"/>
      <c r="CO84" s="243"/>
      <c r="CP84" s="243"/>
    </row>
    <row r="85" spans="1:94" s="290" customForma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9"/>
      <c r="AL85" s="289"/>
      <c r="AM85" s="289"/>
      <c r="AN85" s="289"/>
      <c r="AO85" s="289"/>
      <c r="AP85" s="289"/>
      <c r="AQ85" s="289"/>
      <c r="AR85" s="243"/>
      <c r="AS85" s="243"/>
      <c r="AT85" s="243"/>
      <c r="AU85" s="243"/>
      <c r="AV85" s="243"/>
      <c r="AW85" s="243"/>
      <c r="AX85" s="243"/>
      <c r="AY85" s="243"/>
      <c r="AZ85" s="243"/>
      <c r="BA85" s="243"/>
      <c r="BB85" s="243"/>
      <c r="BC85" s="243"/>
      <c r="BD85" s="243"/>
      <c r="BE85" s="243"/>
      <c r="BF85" s="246"/>
      <c r="BG85" s="246"/>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c r="CM85" s="243"/>
      <c r="CN85" s="243"/>
      <c r="CO85" s="243"/>
      <c r="CP85" s="243"/>
    </row>
    <row r="86" spans="1:94" s="290" customForma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9"/>
      <c r="AL86" s="289"/>
      <c r="AM86" s="289"/>
      <c r="AN86" s="289"/>
      <c r="AO86" s="289"/>
      <c r="AP86" s="289"/>
      <c r="AQ86" s="289"/>
      <c r="AR86" s="243"/>
      <c r="AS86" s="243"/>
      <c r="AT86" s="243"/>
      <c r="AU86" s="243"/>
      <c r="AV86" s="243"/>
      <c r="AW86" s="243"/>
      <c r="AX86" s="243"/>
      <c r="AY86" s="243"/>
      <c r="AZ86" s="243"/>
      <c r="BA86" s="243"/>
      <c r="BB86" s="243"/>
      <c r="BC86" s="243"/>
      <c r="BD86" s="243"/>
      <c r="BE86" s="243"/>
      <c r="BF86" s="246"/>
      <c r="BG86" s="246"/>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row>
    <row r="87" spans="1:94" s="290" customForma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9"/>
      <c r="AL87" s="289"/>
      <c r="AM87" s="289"/>
      <c r="AN87" s="289"/>
      <c r="AO87" s="289"/>
      <c r="AP87" s="289"/>
      <c r="AQ87" s="289"/>
      <c r="AR87" s="243"/>
      <c r="AS87" s="243"/>
      <c r="AT87" s="243"/>
      <c r="AU87" s="243"/>
      <c r="AV87" s="243"/>
      <c r="AW87" s="243"/>
      <c r="AX87" s="243"/>
      <c r="AY87" s="243"/>
      <c r="AZ87" s="243"/>
      <c r="BA87" s="243"/>
      <c r="BB87" s="243"/>
      <c r="BC87" s="243"/>
      <c r="BD87" s="243"/>
      <c r="BE87" s="243"/>
      <c r="BF87" s="246"/>
      <c r="BG87" s="246"/>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c r="CM87" s="243"/>
      <c r="CN87" s="243"/>
      <c r="CO87" s="243"/>
      <c r="CP87" s="243"/>
    </row>
    <row r="88" spans="1:94" s="290" customForma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9"/>
      <c r="AL88" s="289"/>
      <c r="AM88" s="289"/>
      <c r="AN88" s="289"/>
      <c r="AO88" s="289"/>
      <c r="AP88" s="289"/>
      <c r="AQ88" s="289"/>
      <c r="AR88" s="243"/>
      <c r="AS88" s="243"/>
      <c r="AT88" s="243"/>
      <c r="AU88" s="243"/>
      <c r="AV88" s="243"/>
      <c r="AW88" s="243"/>
      <c r="AX88" s="243"/>
      <c r="AY88" s="243"/>
      <c r="AZ88" s="243"/>
      <c r="BA88" s="243"/>
      <c r="BB88" s="243"/>
      <c r="BC88" s="243"/>
      <c r="BD88" s="243"/>
      <c r="BE88" s="243"/>
      <c r="BF88" s="246"/>
      <c r="BG88" s="246"/>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c r="CM88" s="243"/>
      <c r="CN88" s="243"/>
      <c r="CO88" s="243"/>
      <c r="CP88" s="243"/>
    </row>
    <row r="89" spans="1:94" s="290" customForma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9"/>
      <c r="AL89" s="289"/>
      <c r="AM89" s="289"/>
      <c r="AN89" s="289"/>
      <c r="AO89" s="289"/>
      <c r="AP89" s="289"/>
      <c r="AQ89" s="289"/>
      <c r="AR89" s="243"/>
      <c r="AS89" s="243"/>
      <c r="AT89" s="243"/>
      <c r="AU89" s="243"/>
      <c r="AV89" s="243"/>
      <c r="AW89" s="243"/>
      <c r="AX89" s="243"/>
      <c r="AY89" s="243"/>
      <c r="AZ89" s="243"/>
      <c r="BA89" s="243"/>
      <c r="BB89" s="243"/>
      <c r="BC89" s="243"/>
      <c r="BD89" s="243"/>
      <c r="BE89" s="243"/>
      <c r="BF89" s="246"/>
      <c r="BG89" s="246"/>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row>
    <row r="90" spans="1:94" s="290" customForma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9"/>
      <c r="AL90" s="289"/>
      <c r="AM90" s="289"/>
      <c r="AN90" s="289"/>
      <c r="AO90" s="289"/>
      <c r="AP90" s="289"/>
      <c r="AQ90" s="289"/>
      <c r="AR90" s="243"/>
      <c r="AS90" s="243"/>
      <c r="AT90" s="243"/>
      <c r="AU90" s="243"/>
      <c r="AV90" s="243"/>
      <c r="AW90" s="243"/>
      <c r="AX90" s="243"/>
      <c r="AY90" s="243"/>
      <c r="AZ90" s="243"/>
      <c r="BA90" s="243"/>
      <c r="BB90" s="243"/>
      <c r="BC90" s="243"/>
      <c r="BD90" s="243"/>
      <c r="BE90" s="243"/>
      <c r="BF90" s="246"/>
      <c r="BG90" s="246"/>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row>
    <row r="91" spans="1:94">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9"/>
      <c r="AL91" s="289"/>
      <c r="AM91" s="289"/>
      <c r="AN91" s="289"/>
      <c r="AO91" s="289"/>
      <c r="AP91" s="289"/>
      <c r="AQ91" s="289"/>
      <c r="AR91" s="243"/>
      <c r="AS91" s="243"/>
      <c r="AT91" s="243"/>
      <c r="AU91" s="243"/>
      <c r="AV91" s="243"/>
      <c r="AW91" s="243"/>
      <c r="AX91" s="243"/>
      <c r="AY91" s="243"/>
      <c r="AZ91" s="243"/>
      <c r="BA91" s="243"/>
      <c r="BB91" s="243"/>
      <c r="BC91" s="243"/>
      <c r="BD91" s="243"/>
      <c r="BE91" s="243"/>
      <c r="BF91" s="246"/>
      <c r="BG91" s="246"/>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row>
    <row r="92" spans="1:94">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9"/>
      <c r="AL92" s="289"/>
      <c r="AM92" s="289"/>
      <c r="AN92" s="289"/>
      <c r="AO92" s="289"/>
      <c r="AP92" s="289"/>
      <c r="AQ92" s="289"/>
      <c r="AR92" s="243"/>
      <c r="AS92" s="243"/>
      <c r="AT92" s="243"/>
      <c r="AU92" s="243"/>
      <c r="AV92" s="243"/>
      <c r="AW92" s="243"/>
      <c r="AX92" s="243"/>
      <c r="AY92" s="243"/>
      <c r="AZ92" s="243"/>
      <c r="BA92" s="243"/>
      <c r="BB92" s="243"/>
      <c r="BC92" s="243"/>
      <c r="BD92" s="243"/>
      <c r="BE92" s="243"/>
      <c r="BF92" s="246"/>
      <c r="BG92" s="246"/>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row>
    <row r="93" spans="1:94">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9"/>
      <c r="AL93" s="289"/>
      <c r="AM93" s="289"/>
      <c r="AN93" s="289"/>
      <c r="AO93" s="289"/>
      <c r="AP93" s="289"/>
      <c r="AQ93" s="289"/>
      <c r="AR93" s="243"/>
      <c r="AS93" s="243"/>
      <c r="AT93" s="243"/>
      <c r="AU93" s="243"/>
      <c r="AV93" s="243"/>
      <c r="AW93" s="243"/>
      <c r="AX93" s="243"/>
      <c r="AY93" s="243"/>
      <c r="AZ93" s="243"/>
      <c r="BA93" s="243"/>
      <c r="BB93" s="243"/>
      <c r="BC93" s="243"/>
      <c r="BD93" s="243"/>
      <c r="BE93" s="243"/>
      <c r="BF93" s="246"/>
      <c r="BG93" s="246"/>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row>
    <row r="94" spans="1:94">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9"/>
      <c r="AL94" s="289"/>
      <c r="AM94" s="289"/>
      <c r="AN94" s="289"/>
      <c r="AO94" s="289"/>
      <c r="AP94" s="289"/>
      <c r="AQ94" s="289"/>
      <c r="AR94" s="243"/>
      <c r="AS94" s="243"/>
      <c r="AT94" s="243"/>
      <c r="AU94" s="243"/>
      <c r="AV94" s="243"/>
      <c r="AW94" s="243"/>
      <c r="AX94" s="243"/>
      <c r="AY94" s="243"/>
      <c r="AZ94" s="243"/>
      <c r="BA94" s="243"/>
      <c r="BB94" s="243"/>
      <c r="BC94" s="243"/>
      <c r="BD94" s="243"/>
      <c r="BE94" s="243"/>
      <c r="BF94" s="246"/>
      <c r="BG94" s="246"/>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row>
    <row r="95" spans="1:94">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9"/>
      <c r="AL95" s="289"/>
      <c r="AM95" s="289"/>
      <c r="AN95" s="289"/>
      <c r="AO95" s="289"/>
      <c r="AP95" s="289"/>
      <c r="AQ95" s="289"/>
      <c r="AR95" s="243"/>
      <c r="AS95" s="243"/>
      <c r="AT95" s="243"/>
      <c r="AU95" s="243"/>
      <c r="AV95" s="243"/>
      <c r="AW95" s="243"/>
      <c r="AX95" s="243"/>
      <c r="AY95" s="243"/>
      <c r="AZ95" s="243"/>
      <c r="BA95" s="243"/>
      <c r="BB95" s="243"/>
      <c r="BC95" s="243"/>
      <c r="BD95" s="243"/>
      <c r="BE95" s="243"/>
      <c r="BF95" s="246"/>
      <c r="BG95" s="246"/>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row>
    <row r="96" spans="1:94">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9"/>
      <c r="AL96" s="289"/>
      <c r="AM96" s="289"/>
      <c r="AN96" s="289"/>
      <c r="AO96" s="289"/>
      <c r="AP96" s="289"/>
      <c r="AQ96" s="289"/>
      <c r="AR96" s="243"/>
      <c r="AS96" s="243"/>
      <c r="AT96" s="243"/>
      <c r="AU96" s="243"/>
      <c r="AV96" s="243"/>
      <c r="AW96" s="243"/>
      <c r="AX96" s="243"/>
      <c r="AY96" s="243"/>
      <c r="AZ96" s="243"/>
      <c r="BA96" s="243"/>
      <c r="BB96" s="243"/>
      <c r="BC96" s="243"/>
      <c r="BD96" s="243"/>
      <c r="BE96" s="243"/>
      <c r="BF96" s="246"/>
      <c r="BG96" s="246"/>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row>
    <row r="97" spans="1:94">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9"/>
      <c r="AL97" s="289"/>
      <c r="AM97" s="289"/>
      <c r="AN97" s="289"/>
      <c r="AO97" s="289"/>
      <c r="AP97" s="289"/>
      <c r="AQ97" s="289"/>
      <c r="AR97" s="243"/>
      <c r="AS97" s="243"/>
      <c r="AT97" s="243"/>
      <c r="AU97" s="243"/>
      <c r="AV97" s="243"/>
      <c r="AW97" s="243"/>
      <c r="AX97" s="243"/>
      <c r="AY97" s="243"/>
      <c r="AZ97" s="243"/>
      <c r="BA97" s="243"/>
      <c r="BB97" s="243"/>
      <c r="BC97" s="243"/>
      <c r="BD97" s="243"/>
      <c r="BE97" s="243"/>
      <c r="BF97" s="246"/>
      <c r="BG97" s="246"/>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c r="CM97" s="243"/>
      <c r="CN97" s="243"/>
      <c r="CO97" s="243"/>
      <c r="CP97" s="243"/>
    </row>
    <row r="98" spans="1:94">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9"/>
      <c r="AL98" s="289"/>
      <c r="AM98" s="289"/>
      <c r="AN98" s="289"/>
      <c r="AO98" s="289"/>
      <c r="AP98" s="289"/>
      <c r="AQ98" s="289"/>
      <c r="AR98" s="243"/>
      <c r="AS98" s="243"/>
      <c r="AT98" s="243"/>
      <c r="AU98" s="243"/>
      <c r="AV98" s="243"/>
      <c r="AW98" s="243"/>
      <c r="AX98" s="243"/>
      <c r="AY98" s="243"/>
      <c r="AZ98" s="243"/>
      <c r="BA98" s="243"/>
      <c r="BB98" s="243"/>
      <c r="BC98" s="243"/>
      <c r="BD98" s="243"/>
      <c r="BE98" s="243"/>
      <c r="BF98" s="246"/>
      <c r="BG98" s="246"/>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c r="CM98" s="243"/>
      <c r="CN98" s="243"/>
      <c r="CO98" s="243"/>
      <c r="CP98" s="243"/>
    </row>
    <row r="99" spans="1:94">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9"/>
      <c r="AL99" s="289"/>
      <c r="AM99" s="289"/>
      <c r="AN99" s="289"/>
      <c r="AO99" s="289"/>
      <c r="AP99" s="289"/>
      <c r="AQ99" s="289"/>
      <c r="AR99" s="243"/>
      <c r="AS99" s="243"/>
      <c r="AT99" s="243"/>
      <c r="AU99" s="243"/>
      <c r="AV99" s="243"/>
      <c r="AW99" s="243"/>
      <c r="AX99" s="243"/>
      <c r="AY99" s="243"/>
      <c r="AZ99" s="243"/>
      <c r="BA99" s="243"/>
      <c r="BB99" s="243"/>
      <c r="BC99" s="243"/>
      <c r="BD99" s="243"/>
      <c r="BE99" s="243"/>
      <c r="BF99" s="246"/>
      <c r="BG99" s="246"/>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c r="CM99" s="243"/>
      <c r="CN99" s="243"/>
      <c r="CO99" s="243"/>
      <c r="CP99" s="243"/>
    </row>
    <row r="100" spans="1:94">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9"/>
      <c r="AL100" s="289"/>
      <c r="AM100" s="289"/>
      <c r="AN100" s="289"/>
      <c r="AO100" s="289"/>
      <c r="AP100" s="289"/>
      <c r="AQ100" s="289"/>
      <c r="AR100" s="243"/>
      <c r="AS100" s="243"/>
      <c r="AT100" s="243"/>
      <c r="AU100" s="243"/>
      <c r="AV100" s="243"/>
      <c r="AW100" s="243"/>
      <c r="AX100" s="243"/>
      <c r="AY100" s="243"/>
      <c r="AZ100" s="243"/>
      <c r="BA100" s="243"/>
      <c r="BB100" s="243"/>
      <c r="BC100" s="243"/>
      <c r="BD100" s="243"/>
      <c r="BE100" s="243"/>
      <c r="BF100" s="246"/>
      <c r="BG100" s="246"/>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c r="CM100" s="243"/>
      <c r="CN100" s="243"/>
      <c r="CO100" s="243"/>
      <c r="CP100" s="243"/>
    </row>
    <row r="101" spans="1:94">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9"/>
      <c r="AL101" s="289"/>
      <c r="AM101" s="289"/>
      <c r="AN101" s="289"/>
      <c r="AO101" s="289"/>
      <c r="AP101" s="289"/>
      <c r="AQ101" s="289"/>
      <c r="AR101" s="243"/>
      <c r="AS101" s="243"/>
      <c r="AT101" s="243"/>
      <c r="AU101" s="243"/>
      <c r="AV101" s="243"/>
      <c r="AW101" s="243"/>
      <c r="AX101" s="243"/>
      <c r="AY101" s="243"/>
      <c r="AZ101" s="243"/>
      <c r="BA101" s="243"/>
      <c r="BB101" s="243"/>
      <c r="BC101" s="243"/>
      <c r="BD101" s="243"/>
      <c r="BE101" s="243"/>
      <c r="BF101" s="246"/>
      <c r="BG101" s="246"/>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c r="CM101" s="243"/>
      <c r="CN101" s="243"/>
      <c r="CO101" s="243"/>
      <c r="CP101" s="243"/>
    </row>
    <row r="102" spans="1:94">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9"/>
      <c r="AL102" s="289"/>
      <c r="AM102" s="289"/>
      <c r="AN102" s="289"/>
      <c r="AO102" s="289"/>
      <c r="AP102" s="289"/>
      <c r="AQ102" s="289"/>
      <c r="AR102" s="243"/>
      <c r="AS102" s="243"/>
      <c r="AT102" s="243"/>
      <c r="AU102" s="243"/>
      <c r="AV102" s="243"/>
      <c r="AW102" s="243"/>
      <c r="AX102" s="243"/>
      <c r="AY102" s="243"/>
      <c r="AZ102" s="243"/>
      <c r="BA102" s="243"/>
      <c r="BB102" s="243"/>
      <c r="BC102" s="243"/>
      <c r="BD102" s="243"/>
      <c r="BE102" s="243"/>
      <c r="BF102" s="246"/>
      <c r="BG102" s="246"/>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row>
    <row r="103" spans="1:94">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9"/>
      <c r="AL103" s="289"/>
      <c r="AM103" s="289"/>
      <c r="AN103" s="289"/>
      <c r="AO103" s="289"/>
      <c r="AP103" s="289"/>
      <c r="AQ103" s="289"/>
      <c r="AR103" s="243"/>
      <c r="AS103" s="243"/>
      <c r="AT103" s="243"/>
      <c r="AU103" s="243"/>
      <c r="AV103" s="243"/>
      <c r="AW103" s="243"/>
      <c r="AX103" s="243"/>
      <c r="AY103" s="243"/>
      <c r="AZ103" s="243"/>
      <c r="BA103" s="243"/>
      <c r="BB103" s="243"/>
      <c r="BC103" s="243"/>
      <c r="BD103" s="243"/>
      <c r="BE103" s="243"/>
      <c r="BF103" s="246"/>
      <c r="BG103" s="246"/>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row>
    <row r="104" spans="1:94">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9"/>
      <c r="AL104" s="289"/>
      <c r="AM104" s="289"/>
      <c r="AN104" s="289"/>
      <c r="AO104" s="289"/>
      <c r="AP104" s="289"/>
      <c r="AQ104" s="289"/>
      <c r="AR104" s="243"/>
      <c r="AS104" s="243"/>
      <c r="AT104" s="243"/>
      <c r="AU104" s="243"/>
      <c r="AV104" s="243"/>
      <c r="AW104" s="243"/>
      <c r="AX104" s="243"/>
      <c r="AY104" s="243"/>
      <c r="AZ104" s="243"/>
      <c r="BA104" s="243"/>
      <c r="BB104" s="243"/>
      <c r="BC104" s="243"/>
      <c r="BD104" s="243"/>
      <c r="BE104" s="243"/>
      <c r="BF104" s="246"/>
      <c r="BG104" s="246"/>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row>
    <row r="105" spans="1:94">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9"/>
      <c r="AL105" s="289"/>
      <c r="AM105" s="289"/>
      <c r="AN105" s="289"/>
      <c r="AO105" s="289"/>
      <c r="AP105" s="289"/>
      <c r="AQ105" s="289"/>
      <c r="AR105" s="243"/>
      <c r="AS105" s="243"/>
      <c r="AT105" s="243"/>
      <c r="AU105" s="243"/>
      <c r="AV105" s="243"/>
      <c r="AW105" s="243"/>
      <c r="AX105" s="243"/>
      <c r="AY105" s="243"/>
      <c r="AZ105" s="243"/>
      <c r="BA105" s="243"/>
      <c r="BB105" s="243"/>
      <c r="BC105" s="243"/>
      <c r="BD105" s="243"/>
      <c r="BE105" s="243"/>
      <c r="BF105" s="246"/>
      <c r="BG105" s="246"/>
      <c r="BH105" s="243"/>
      <c r="BI105" s="243"/>
      <c r="BJ105" s="243"/>
      <c r="BK105" s="243"/>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row>
    <row r="106" spans="1:94">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9"/>
      <c r="AL106" s="289"/>
      <c r="AM106" s="289"/>
      <c r="AN106" s="289"/>
      <c r="AO106" s="289"/>
      <c r="AP106" s="289"/>
      <c r="AQ106" s="289"/>
      <c r="AR106" s="243"/>
      <c r="AS106" s="243"/>
      <c r="AT106" s="243"/>
      <c r="AU106" s="243"/>
      <c r="AV106" s="243"/>
      <c r="AW106" s="243"/>
      <c r="AX106" s="243"/>
      <c r="AY106" s="243"/>
      <c r="AZ106" s="243"/>
      <c r="BA106" s="243"/>
      <c r="BB106" s="243"/>
      <c r="BC106" s="243"/>
      <c r="BD106" s="243"/>
      <c r="BE106" s="243"/>
      <c r="BF106" s="246"/>
      <c r="BG106" s="246"/>
      <c r="BH106" s="243"/>
      <c r="BI106" s="243"/>
      <c r="BJ106" s="243"/>
      <c r="BK106" s="243"/>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row>
    <row r="107" spans="1:94">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9"/>
      <c r="AL107" s="289"/>
      <c r="AM107" s="289"/>
      <c r="AN107" s="289"/>
      <c r="AO107" s="289"/>
      <c r="AP107" s="289"/>
      <c r="AQ107" s="289"/>
      <c r="AR107" s="243"/>
      <c r="AS107" s="243"/>
      <c r="AT107" s="243"/>
      <c r="AU107" s="243"/>
      <c r="AV107" s="243"/>
      <c r="AW107" s="243"/>
      <c r="AX107" s="243"/>
      <c r="AY107" s="243"/>
      <c r="AZ107" s="243"/>
      <c r="BA107" s="243"/>
      <c r="BB107" s="243"/>
      <c r="BC107" s="243"/>
      <c r="BD107" s="243"/>
      <c r="BE107" s="243"/>
      <c r="BF107" s="246"/>
      <c r="BG107" s="246"/>
      <c r="BH107" s="243"/>
      <c r="BI107" s="243"/>
      <c r="BJ107" s="243"/>
      <c r="BK107" s="243"/>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row>
    <row r="108" spans="1:94">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9"/>
      <c r="AL108" s="289"/>
      <c r="AM108" s="289"/>
      <c r="AN108" s="289"/>
      <c r="AO108" s="289"/>
      <c r="AP108" s="289"/>
      <c r="AQ108" s="289"/>
      <c r="AR108" s="243"/>
      <c r="AS108" s="243"/>
      <c r="AT108" s="243"/>
      <c r="AU108" s="243"/>
      <c r="AV108" s="243"/>
      <c r="AW108" s="243"/>
      <c r="AX108" s="243"/>
      <c r="AY108" s="243"/>
      <c r="AZ108" s="243"/>
      <c r="BA108" s="243"/>
      <c r="BB108" s="243"/>
      <c r="BC108" s="243"/>
      <c r="BD108" s="243"/>
      <c r="BE108" s="243"/>
      <c r="BF108" s="246"/>
      <c r="BG108" s="246"/>
      <c r="BH108" s="243"/>
      <c r="BI108" s="243"/>
      <c r="BJ108" s="243"/>
      <c r="BK108" s="243"/>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row>
    <row r="109" spans="1:94">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9"/>
      <c r="AL109" s="289"/>
      <c r="AM109" s="289"/>
      <c r="AN109" s="289"/>
      <c r="AO109" s="289"/>
      <c r="AP109" s="289"/>
      <c r="AQ109" s="289"/>
      <c r="AR109" s="243"/>
      <c r="AS109" s="243"/>
      <c r="AT109" s="243"/>
      <c r="AU109" s="243"/>
      <c r="AV109" s="243"/>
      <c r="AW109" s="243"/>
      <c r="AX109" s="243"/>
      <c r="AY109" s="243"/>
      <c r="AZ109" s="243"/>
      <c r="BA109" s="243"/>
      <c r="BB109" s="243"/>
      <c r="BC109" s="243"/>
      <c r="BD109" s="243"/>
      <c r="BE109" s="243"/>
      <c r="BF109" s="246"/>
      <c r="BG109" s="246"/>
      <c r="BH109" s="243"/>
      <c r="BI109" s="243"/>
      <c r="BJ109" s="243"/>
      <c r="BK109" s="243"/>
      <c r="BL109" s="243"/>
      <c r="BM109" s="243"/>
      <c r="BN109" s="243"/>
      <c r="BO109" s="243"/>
      <c r="BP109" s="243"/>
      <c r="BQ109" s="243"/>
      <c r="BR109" s="243"/>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c r="CM109" s="243"/>
      <c r="CN109" s="243"/>
      <c r="CO109" s="243"/>
      <c r="CP109" s="243"/>
    </row>
    <row r="110" spans="1:94">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9"/>
      <c r="AL110" s="289"/>
      <c r="AM110" s="289"/>
      <c r="AN110" s="289"/>
      <c r="AO110" s="289"/>
      <c r="AP110" s="289"/>
      <c r="AQ110" s="289"/>
      <c r="AR110" s="243"/>
      <c r="AS110" s="243"/>
      <c r="AT110" s="243"/>
      <c r="AU110" s="243"/>
      <c r="AV110" s="243"/>
      <c r="AW110" s="243"/>
      <c r="AX110" s="243"/>
      <c r="AY110" s="243"/>
      <c r="AZ110" s="243"/>
      <c r="BA110" s="243"/>
      <c r="BB110" s="243"/>
      <c r="BC110" s="243"/>
      <c r="BD110" s="243"/>
      <c r="BE110" s="243"/>
      <c r="BF110" s="246"/>
      <c r="BG110" s="246"/>
      <c r="BH110" s="243"/>
      <c r="BI110" s="243"/>
      <c r="BJ110" s="243"/>
      <c r="BK110" s="243"/>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row>
    <row r="111" spans="1:94">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9"/>
      <c r="AL111" s="289"/>
      <c r="AM111" s="289"/>
      <c r="AN111" s="289"/>
      <c r="AO111" s="289"/>
      <c r="AP111" s="289"/>
      <c r="AQ111" s="289"/>
      <c r="AR111" s="243"/>
      <c r="AS111" s="243"/>
      <c r="AT111" s="243"/>
      <c r="AU111" s="243"/>
      <c r="AV111" s="243"/>
      <c r="AW111" s="243"/>
      <c r="AX111" s="243"/>
      <c r="AY111" s="243"/>
      <c r="AZ111" s="243"/>
      <c r="BA111" s="243"/>
      <c r="BB111" s="243"/>
      <c r="BC111" s="243"/>
      <c r="BD111" s="243"/>
      <c r="BE111" s="243"/>
      <c r="BF111" s="246"/>
      <c r="BG111" s="246"/>
      <c r="BH111" s="243"/>
      <c r="BI111" s="243"/>
      <c r="BJ111" s="243"/>
      <c r="BK111" s="243"/>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row>
    <row r="112" spans="1:94">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9"/>
      <c r="AL112" s="289"/>
      <c r="AM112" s="289"/>
      <c r="AN112" s="289"/>
      <c r="AO112" s="289"/>
      <c r="AP112" s="289"/>
      <c r="AQ112" s="289"/>
      <c r="AR112" s="243"/>
      <c r="AS112" s="243"/>
      <c r="AT112" s="243"/>
      <c r="AU112" s="243"/>
      <c r="AV112" s="243"/>
      <c r="AW112" s="243"/>
      <c r="AX112" s="243"/>
      <c r="AY112" s="243"/>
      <c r="AZ112" s="243"/>
      <c r="BA112" s="243"/>
      <c r="BB112" s="243"/>
      <c r="BC112" s="243"/>
      <c r="BD112" s="243"/>
      <c r="BE112" s="243"/>
      <c r="BF112" s="246"/>
      <c r="BG112" s="246"/>
      <c r="BH112" s="243"/>
      <c r="BI112" s="243"/>
      <c r="BJ112" s="243"/>
      <c r="BK112" s="243"/>
      <c r="BL112" s="243"/>
      <c r="BM112" s="243"/>
      <c r="BN112" s="243"/>
      <c r="BO112" s="243"/>
      <c r="BP112" s="243"/>
      <c r="BQ112" s="243"/>
      <c r="BR112" s="243"/>
      <c r="BS112" s="243"/>
      <c r="BT112" s="243"/>
      <c r="BU112" s="243"/>
      <c r="BV112" s="243"/>
      <c r="BW112" s="243"/>
      <c r="BX112" s="243"/>
      <c r="BY112" s="243"/>
      <c r="BZ112" s="243"/>
      <c r="CA112" s="243"/>
      <c r="CB112" s="243"/>
      <c r="CC112" s="243"/>
      <c r="CD112" s="243"/>
      <c r="CE112" s="243"/>
      <c r="CF112" s="243"/>
      <c r="CG112" s="243"/>
      <c r="CH112" s="243"/>
      <c r="CI112" s="243"/>
      <c r="CJ112" s="243"/>
      <c r="CK112" s="243"/>
      <c r="CL112" s="243"/>
      <c r="CM112" s="243"/>
      <c r="CN112" s="243"/>
      <c r="CO112" s="243"/>
      <c r="CP112" s="243"/>
    </row>
    <row r="113" spans="1:94">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9"/>
      <c r="AL113" s="289"/>
      <c r="AM113" s="289"/>
      <c r="AN113" s="289"/>
      <c r="AO113" s="289"/>
      <c r="AP113" s="289"/>
      <c r="AQ113" s="289"/>
      <c r="AR113" s="243"/>
      <c r="AS113" s="243"/>
      <c r="AT113" s="243"/>
      <c r="AU113" s="243"/>
      <c r="AV113" s="243"/>
      <c r="AW113" s="243"/>
      <c r="AX113" s="243"/>
      <c r="AY113" s="243"/>
      <c r="AZ113" s="243"/>
      <c r="BA113" s="243"/>
      <c r="BB113" s="243"/>
      <c r="BC113" s="243"/>
      <c r="BD113" s="243"/>
      <c r="BE113" s="243"/>
      <c r="BF113" s="246"/>
      <c r="BG113" s="246"/>
      <c r="BH113" s="243"/>
      <c r="BI113" s="243"/>
      <c r="BJ113" s="243"/>
      <c r="BK113" s="243"/>
      <c r="BL113" s="243"/>
      <c r="BM113" s="243"/>
      <c r="BN113" s="243"/>
      <c r="BO113" s="243"/>
      <c r="BP113" s="243"/>
      <c r="BQ113" s="243"/>
      <c r="BR113" s="243"/>
      <c r="BS113" s="243"/>
      <c r="BT113" s="243"/>
      <c r="BU113" s="243"/>
      <c r="BV113" s="243"/>
      <c r="BW113" s="243"/>
      <c r="BX113" s="243"/>
      <c r="BY113" s="243"/>
      <c r="BZ113" s="243"/>
      <c r="CA113" s="243"/>
      <c r="CB113" s="243"/>
      <c r="CC113" s="243"/>
      <c r="CD113" s="243"/>
      <c r="CE113" s="243"/>
      <c r="CF113" s="243"/>
      <c r="CG113" s="243"/>
      <c r="CH113" s="243"/>
      <c r="CI113" s="243"/>
      <c r="CJ113" s="243"/>
      <c r="CK113" s="243"/>
      <c r="CL113" s="243"/>
      <c r="CM113" s="243"/>
      <c r="CN113" s="243"/>
      <c r="CO113" s="243"/>
      <c r="CP113" s="243"/>
    </row>
    <row r="114" spans="1:94">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9"/>
      <c r="AL114" s="289"/>
      <c r="AM114" s="289"/>
      <c r="AN114" s="289"/>
      <c r="AO114" s="289"/>
      <c r="AP114" s="289"/>
      <c r="AQ114" s="289"/>
      <c r="AR114" s="243"/>
      <c r="AS114" s="243"/>
      <c r="AT114" s="243"/>
      <c r="AU114" s="243"/>
      <c r="AV114" s="243"/>
      <c r="AW114" s="243"/>
      <c r="AX114" s="243"/>
      <c r="AY114" s="243"/>
      <c r="AZ114" s="243"/>
      <c r="BA114" s="243"/>
      <c r="BB114" s="243"/>
      <c r="BC114" s="243"/>
      <c r="BD114" s="243"/>
      <c r="BE114" s="243"/>
      <c r="BF114" s="246"/>
      <c r="BG114" s="246"/>
      <c r="BH114" s="243"/>
      <c r="BI114" s="243"/>
      <c r="BJ114" s="243"/>
      <c r="BK114" s="243"/>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row>
    <row r="115" spans="1:94">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9"/>
      <c r="AL115" s="289"/>
      <c r="AM115" s="289"/>
      <c r="AN115" s="289"/>
      <c r="AO115" s="289"/>
      <c r="AP115" s="289"/>
      <c r="AQ115" s="289"/>
      <c r="AR115" s="243"/>
      <c r="AS115" s="243"/>
      <c r="AT115" s="243"/>
      <c r="AU115" s="243"/>
      <c r="AV115" s="243"/>
      <c r="AW115" s="243"/>
      <c r="AX115" s="243"/>
      <c r="AY115" s="243"/>
      <c r="AZ115" s="243"/>
      <c r="BA115" s="243"/>
      <c r="BB115" s="243"/>
      <c r="BC115" s="243"/>
      <c r="BD115" s="243"/>
      <c r="BE115" s="243"/>
      <c r="BF115" s="246"/>
      <c r="BG115" s="246"/>
      <c r="BH115" s="243"/>
      <c r="BI115" s="243"/>
      <c r="BJ115" s="243"/>
      <c r="BK115" s="243"/>
      <c r="BL115" s="243"/>
      <c r="BM115" s="243"/>
      <c r="BN115" s="243"/>
      <c r="BO115" s="243"/>
      <c r="BP115" s="243"/>
      <c r="BQ115" s="243"/>
      <c r="BR115" s="243"/>
      <c r="BS115" s="243"/>
      <c r="BT115" s="243"/>
      <c r="BU115" s="243"/>
      <c r="BV115" s="243"/>
      <c r="BW115" s="243"/>
      <c r="BX115" s="243"/>
      <c r="BY115" s="243"/>
      <c r="BZ115" s="243"/>
      <c r="CA115" s="243"/>
      <c r="CB115" s="243"/>
      <c r="CC115" s="243"/>
      <c r="CD115" s="243"/>
      <c r="CE115" s="243"/>
      <c r="CF115" s="243"/>
      <c r="CG115" s="243"/>
      <c r="CH115" s="243"/>
      <c r="CI115" s="243"/>
      <c r="CJ115" s="243"/>
      <c r="CK115" s="243"/>
      <c r="CL115" s="243"/>
      <c r="CM115" s="243"/>
      <c r="CN115" s="243"/>
      <c r="CO115" s="243"/>
      <c r="CP115" s="243"/>
    </row>
    <row r="116" spans="1:94">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9"/>
      <c r="AL116" s="289"/>
      <c r="AM116" s="289"/>
      <c r="AN116" s="289"/>
      <c r="AO116" s="289"/>
      <c r="AP116" s="289"/>
      <c r="AQ116" s="289"/>
      <c r="AR116" s="243"/>
      <c r="AS116" s="243"/>
      <c r="AT116" s="243"/>
      <c r="AU116" s="243"/>
      <c r="AV116" s="243"/>
      <c r="AW116" s="243"/>
      <c r="AX116" s="243"/>
      <c r="AY116" s="243"/>
      <c r="AZ116" s="243"/>
      <c r="BA116" s="243"/>
      <c r="BB116" s="243"/>
      <c r="BC116" s="243"/>
      <c r="BD116" s="243"/>
      <c r="BE116" s="243"/>
      <c r="BF116" s="246"/>
      <c r="BG116" s="246"/>
      <c r="BH116" s="243"/>
      <c r="BI116" s="243"/>
      <c r="BJ116" s="243"/>
      <c r="BK116" s="243"/>
      <c r="BL116" s="243"/>
      <c r="BM116" s="243"/>
      <c r="BN116" s="243"/>
      <c r="BO116" s="243"/>
      <c r="BP116" s="243"/>
      <c r="BQ116" s="243"/>
      <c r="BR116" s="243"/>
      <c r="BS116" s="243"/>
      <c r="BT116" s="243"/>
      <c r="BU116" s="243"/>
      <c r="BV116" s="243"/>
      <c r="BW116" s="243"/>
      <c r="BX116" s="243"/>
      <c r="BY116" s="243"/>
      <c r="BZ116" s="243"/>
      <c r="CA116" s="243"/>
      <c r="CB116" s="243"/>
      <c r="CC116" s="243"/>
      <c r="CD116" s="243"/>
      <c r="CE116" s="243"/>
      <c r="CF116" s="243"/>
      <c r="CG116" s="243"/>
      <c r="CH116" s="243"/>
      <c r="CI116" s="243"/>
      <c r="CJ116" s="243"/>
      <c r="CK116" s="243"/>
      <c r="CL116" s="243"/>
      <c r="CM116" s="243"/>
      <c r="CN116" s="243"/>
      <c r="CO116" s="243"/>
      <c r="CP116" s="243"/>
    </row>
    <row r="117" spans="1:94">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9"/>
      <c r="AL117" s="289"/>
      <c r="AM117" s="289"/>
      <c r="AN117" s="289"/>
      <c r="AO117" s="289"/>
      <c r="AP117" s="289"/>
      <c r="AQ117" s="289"/>
      <c r="AR117" s="243"/>
      <c r="AS117" s="243"/>
      <c r="AT117" s="243"/>
      <c r="AU117" s="243"/>
      <c r="AV117" s="243"/>
      <c r="AW117" s="243"/>
      <c r="AX117" s="243"/>
      <c r="AY117" s="243"/>
      <c r="AZ117" s="243"/>
      <c r="BA117" s="243"/>
      <c r="BB117" s="243"/>
      <c r="BC117" s="243"/>
      <c r="BD117" s="243"/>
      <c r="BE117" s="243"/>
      <c r="BF117" s="246"/>
      <c r="BG117" s="246"/>
      <c r="BH117" s="243"/>
      <c r="BI117" s="243"/>
      <c r="BJ117" s="243"/>
      <c r="BK117" s="243"/>
      <c r="BL117" s="243"/>
      <c r="BM117" s="243"/>
      <c r="BN117" s="243"/>
      <c r="BO117" s="243"/>
      <c r="BP117" s="243"/>
      <c r="BQ117" s="243"/>
      <c r="BR117" s="243"/>
      <c r="BS117" s="243"/>
      <c r="BT117" s="243"/>
      <c r="BU117" s="243"/>
      <c r="BV117" s="243"/>
      <c r="BW117" s="243"/>
      <c r="BX117" s="243"/>
      <c r="BY117" s="243"/>
      <c r="BZ117" s="243"/>
      <c r="CA117" s="243"/>
      <c r="CB117" s="243"/>
      <c r="CC117" s="243"/>
      <c r="CD117" s="243"/>
      <c r="CE117" s="243"/>
      <c r="CF117" s="243"/>
      <c r="CG117" s="243"/>
      <c r="CH117" s="243"/>
      <c r="CI117" s="243"/>
      <c r="CJ117" s="243"/>
      <c r="CK117" s="243"/>
      <c r="CL117" s="243"/>
      <c r="CM117" s="243"/>
      <c r="CN117" s="243"/>
      <c r="CO117" s="243"/>
      <c r="CP117" s="243"/>
    </row>
    <row r="118" spans="1:94">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9"/>
      <c r="AL118" s="289"/>
      <c r="AM118" s="289"/>
      <c r="AN118" s="289"/>
      <c r="AO118" s="289"/>
      <c r="AP118" s="289"/>
      <c r="AQ118" s="289"/>
      <c r="AR118" s="243"/>
      <c r="AS118" s="243"/>
      <c r="AT118" s="243"/>
      <c r="AU118" s="243"/>
      <c r="AV118" s="243"/>
      <c r="AW118" s="243"/>
      <c r="AX118" s="243"/>
      <c r="AY118" s="243"/>
      <c r="AZ118" s="243"/>
      <c r="BA118" s="243"/>
      <c r="BB118" s="243"/>
      <c r="BC118" s="243"/>
      <c r="BD118" s="243"/>
      <c r="BE118" s="243"/>
      <c r="BF118" s="246"/>
      <c r="BG118" s="246"/>
      <c r="BH118" s="243"/>
      <c r="BI118" s="243"/>
      <c r="BJ118" s="243"/>
      <c r="BK118" s="243"/>
      <c r="BL118" s="243"/>
      <c r="BM118" s="243"/>
      <c r="BN118" s="243"/>
      <c r="BO118" s="243"/>
      <c r="BP118" s="243"/>
      <c r="BQ118" s="243"/>
      <c r="BR118" s="243"/>
      <c r="BS118" s="243"/>
      <c r="BT118" s="243"/>
      <c r="BU118" s="243"/>
      <c r="BV118" s="243"/>
      <c r="BW118" s="243"/>
      <c r="BX118" s="243"/>
      <c r="BY118" s="243"/>
      <c r="BZ118" s="243"/>
      <c r="CA118" s="243"/>
      <c r="CB118" s="243"/>
      <c r="CC118" s="243"/>
      <c r="CD118" s="243"/>
      <c r="CE118" s="243"/>
      <c r="CF118" s="243"/>
      <c r="CG118" s="243"/>
      <c r="CH118" s="243"/>
      <c r="CI118" s="243"/>
      <c r="CJ118" s="243"/>
      <c r="CK118" s="243"/>
      <c r="CL118" s="243"/>
      <c r="CM118" s="243"/>
      <c r="CN118" s="243"/>
      <c r="CO118" s="243"/>
      <c r="CP118" s="243"/>
    </row>
    <row r="119" spans="1:94">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9"/>
      <c r="AL119" s="289"/>
      <c r="AM119" s="289"/>
      <c r="AN119" s="289"/>
      <c r="AO119" s="289"/>
      <c r="AP119" s="289"/>
      <c r="AQ119" s="289"/>
      <c r="AR119" s="243"/>
      <c r="AS119" s="243"/>
      <c r="AT119" s="243"/>
      <c r="AU119" s="243"/>
      <c r="AV119" s="243"/>
      <c r="AW119" s="243"/>
      <c r="AX119" s="243"/>
      <c r="AY119" s="243"/>
      <c r="AZ119" s="243"/>
      <c r="BA119" s="243"/>
      <c r="BB119" s="243"/>
      <c r="BC119" s="243"/>
      <c r="BD119" s="243"/>
      <c r="BE119" s="243"/>
      <c r="BF119" s="246"/>
      <c r="BG119" s="246"/>
      <c r="BH119" s="243"/>
      <c r="BI119" s="243"/>
      <c r="BJ119" s="243"/>
      <c r="BK119" s="243"/>
      <c r="BL119" s="243"/>
      <c r="BM119" s="243"/>
      <c r="BN119" s="243"/>
      <c r="BO119" s="243"/>
      <c r="BP119" s="243"/>
      <c r="BQ119" s="243"/>
      <c r="BR119" s="243"/>
      <c r="BS119" s="243"/>
      <c r="BT119" s="243"/>
      <c r="BU119" s="243"/>
      <c r="BV119" s="243"/>
      <c r="BW119" s="243"/>
      <c r="BX119" s="243"/>
      <c r="BY119" s="243"/>
      <c r="BZ119" s="243"/>
      <c r="CA119" s="243"/>
      <c r="CB119" s="243"/>
      <c r="CC119" s="243"/>
      <c r="CD119" s="243"/>
      <c r="CE119" s="243"/>
      <c r="CF119" s="243"/>
      <c r="CG119" s="243"/>
      <c r="CH119" s="243"/>
      <c r="CI119" s="243"/>
      <c r="CJ119" s="243"/>
      <c r="CK119" s="243"/>
      <c r="CL119" s="243"/>
      <c r="CM119" s="243"/>
      <c r="CN119" s="243"/>
      <c r="CO119" s="243"/>
      <c r="CP119" s="243"/>
    </row>
    <row r="120" spans="1:94">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9"/>
      <c r="AL120" s="289"/>
      <c r="AM120" s="289"/>
      <c r="AN120" s="289"/>
      <c r="AO120" s="289"/>
      <c r="AP120" s="289"/>
      <c r="AQ120" s="289"/>
      <c r="AR120" s="243"/>
      <c r="AS120" s="243"/>
      <c r="AT120" s="243"/>
      <c r="AU120" s="243"/>
      <c r="AV120" s="243"/>
      <c r="AW120" s="243"/>
      <c r="AX120" s="243"/>
      <c r="AY120" s="243"/>
      <c r="AZ120" s="243"/>
      <c r="BA120" s="243"/>
      <c r="BB120" s="243"/>
      <c r="BC120" s="243"/>
      <c r="BD120" s="243"/>
      <c r="BE120" s="243"/>
      <c r="BF120" s="246"/>
      <c r="BG120" s="246"/>
      <c r="BH120" s="243"/>
      <c r="BI120" s="243"/>
      <c r="BJ120" s="243"/>
      <c r="BK120" s="243"/>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row>
    <row r="121" spans="1:94">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9"/>
      <c r="AL121" s="289"/>
      <c r="AM121" s="289"/>
      <c r="AN121" s="289"/>
      <c r="AO121" s="289"/>
      <c r="AP121" s="289"/>
      <c r="AQ121" s="289"/>
      <c r="AR121" s="243"/>
      <c r="AS121" s="243"/>
      <c r="AT121" s="243"/>
      <c r="AU121" s="243"/>
      <c r="AV121" s="243"/>
      <c r="AW121" s="243"/>
      <c r="AX121" s="243"/>
      <c r="AY121" s="243"/>
      <c r="AZ121" s="243"/>
      <c r="BA121" s="243"/>
      <c r="BB121" s="243"/>
      <c r="BC121" s="243"/>
      <c r="BD121" s="243"/>
      <c r="BE121" s="243"/>
      <c r="BF121" s="246"/>
      <c r="BG121" s="246"/>
      <c r="BH121" s="243"/>
      <c r="BI121" s="243"/>
      <c r="BJ121" s="243"/>
      <c r="BK121" s="243"/>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row>
    <row r="122" spans="1:94">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9"/>
      <c r="AL122" s="289"/>
      <c r="AM122" s="289"/>
      <c r="AN122" s="289"/>
      <c r="AO122" s="289"/>
      <c r="AP122" s="289"/>
      <c r="AQ122" s="289"/>
      <c r="AR122" s="243"/>
      <c r="AS122" s="243"/>
      <c r="AT122" s="243"/>
      <c r="AU122" s="243"/>
      <c r="AV122" s="243"/>
      <c r="AW122" s="243"/>
      <c r="AX122" s="243"/>
      <c r="AY122" s="243"/>
      <c r="AZ122" s="243"/>
      <c r="BA122" s="243"/>
      <c r="BB122" s="243"/>
      <c r="BC122" s="243"/>
      <c r="BD122" s="243"/>
      <c r="BE122" s="243"/>
      <c r="BF122" s="246"/>
      <c r="BG122" s="246"/>
      <c r="BH122" s="243"/>
      <c r="BI122" s="243"/>
      <c r="BJ122" s="243"/>
      <c r="BK122" s="243"/>
      <c r="BL122" s="243"/>
      <c r="BM122" s="243"/>
      <c r="BN122" s="243"/>
      <c r="BO122" s="243"/>
      <c r="BP122" s="243"/>
      <c r="BQ122" s="243"/>
      <c r="BR122" s="243"/>
      <c r="BS122" s="243"/>
      <c r="BT122" s="243"/>
      <c r="BU122" s="243"/>
      <c r="BV122" s="243"/>
      <c r="BW122" s="243"/>
      <c r="BX122" s="243"/>
      <c r="BY122" s="243"/>
      <c r="BZ122" s="243"/>
      <c r="CA122" s="243"/>
      <c r="CB122" s="243"/>
      <c r="CC122" s="243"/>
      <c r="CD122" s="243"/>
      <c r="CE122" s="243"/>
      <c r="CF122" s="243"/>
      <c r="CG122" s="243"/>
      <c r="CH122" s="243"/>
      <c r="CI122" s="243"/>
      <c r="CJ122" s="243"/>
      <c r="CK122" s="243"/>
      <c r="CL122" s="243"/>
      <c r="CM122" s="243"/>
      <c r="CN122" s="243"/>
      <c r="CO122" s="243"/>
      <c r="CP122" s="243"/>
    </row>
    <row r="123" spans="1:94">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9"/>
      <c r="AL123" s="289"/>
      <c r="AM123" s="289"/>
      <c r="AN123" s="289"/>
      <c r="AO123" s="289"/>
      <c r="AP123" s="289"/>
      <c r="AQ123" s="289"/>
      <c r="AR123" s="243"/>
      <c r="AS123" s="243"/>
      <c r="AT123" s="243"/>
      <c r="AU123" s="243"/>
      <c r="AV123" s="243"/>
      <c r="AW123" s="243"/>
      <c r="AX123" s="243"/>
      <c r="AY123" s="243"/>
      <c r="AZ123" s="243"/>
      <c r="BA123" s="243"/>
      <c r="BB123" s="243"/>
      <c r="BC123" s="243"/>
      <c r="BD123" s="243"/>
      <c r="BE123" s="243"/>
      <c r="BF123" s="246"/>
      <c r="BG123" s="246"/>
      <c r="BH123" s="243"/>
      <c r="BI123" s="243"/>
      <c r="BJ123" s="243"/>
      <c r="BK123" s="243"/>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row>
    <row r="124" spans="1:94">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9"/>
      <c r="AL124" s="289"/>
      <c r="AM124" s="289"/>
      <c r="AN124" s="289"/>
      <c r="AO124" s="289"/>
      <c r="AP124" s="289"/>
      <c r="AQ124" s="289"/>
      <c r="AR124" s="243"/>
      <c r="AS124" s="243"/>
      <c r="AT124" s="243"/>
      <c r="AU124" s="243"/>
      <c r="AV124" s="243"/>
      <c r="AW124" s="243"/>
      <c r="AX124" s="243"/>
      <c r="AY124" s="243"/>
      <c r="AZ124" s="243"/>
      <c r="BA124" s="243"/>
      <c r="BB124" s="243"/>
      <c r="BC124" s="243"/>
      <c r="BD124" s="243"/>
      <c r="BE124" s="243"/>
      <c r="BF124" s="246"/>
      <c r="BG124" s="246"/>
      <c r="BH124" s="243"/>
      <c r="BI124" s="243"/>
      <c r="BJ124" s="243"/>
      <c r="BK124" s="243"/>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row>
  </sheetData>
  <sheetProtection algorithmName="SHA-512" hashValue="zyK4AHMWDf7fYWJ/0u5lpmO4rSpPRAPr+mhKWGc7L4Dpg3b1LCUui2kzp7bHj//Igl8Rp1aSlAvoLbIkTWHp+w==" saltValue="ziI4cbqnjCxmc4rmHX6pvQ==" spinCount="100000" sheet="1" objects="1" scenarios="1" selectLockedCells="1" selectUnlockedCells="1"/>
  <mergeCells count="370">
    <mergeCell ref="AE57:AF57"/>
    <mergeCell ref="AE55:AF55"/>
    <mergeCell ref="L61:M61"/>
    <mergeCell ref="N61:O61"/>
    <mergeCell ref="R61:S61"/>
    <mergeCell ref="Y61:Z61"/>
    <mergeCell ref="AC61:AD61"/>
    <mergeCell ref="L59:M59"/>
    <mergeCell ref="N59:O59"/>
    <mergeCell ref="R59:S59"/>
    <mergeCell ref="Y59:Z59"/>
    <mergeCell ref="AC59:AD59"/>
    <mergeCell ref="L60:M60"/>
    <mergeCell ref="N60:O60"/>
    <mergeCell ref="R60:S60"/>
    <mergeCell ref="Y60:Z60"/>
    <mergeCell ref="AC60:AD60"/>
    <mergeCell ref="T59:W59"/>
    <mergeCell ref="T60:W60"/>
    <mergeCell ref="T61:W61"/>
    <mergeCell ref="L58:M58"/>
    <mergeCell ref="N58:O58"/>
    <mergeCell ref="R58:S58"/>
    <mergeCell ref="Y58:Z58"/>
    <mergeCell ref="AC58:AD58"/>
    <mergeCell ref="L57:M57"/>
    <mergeCell ref="N57:O57"/>
    <mergeCell ref="R57:S57"/>
    <mergeCell ref="Y57:Z57"/>
    <mergeCell ref="AC57:AD57"/>
    <mergeCell ref="T57:W57"/>
    <mergeCell ref="T58:W58"/>
    <mergeCell ref="L56:M56"/>
    <mergeCell ref="N56:O56"/>
    <mergeCell ref="R56:S56"/>
    <mergeCell ref="Y56:Z56"/>
    <mergeCell ref="AC56:AD56"/>
    <mergeCell ref="L55:M55"/>
    <mergeCell ref="N55:O55"/>
    <mergeCell ref="R55:S55"/>
    <mergeCell ref="Y55:Z55"/>
    <mergeCell ref="AC55:AD55"/>
    <mergeCell ref="T55:W55"/>
    <mergeCell ref="T56:W56"/>
    <mergeCell ref="L53:M53"/>
    <mergeCell ref="X53:AF53"/>
    <mergeCell ref="L54:M54"/>
    <mergeCell ref="N54:O54"/>
    <mergeCell ref="R54:S54"/>
    <mergeCell ref="Y54:Z54"/>
    <mergeCell ref="AC54:AD54"/>
    <mergeCell ref="AE54:AF54"/>
    <mergeCell ref="R51:S51"/>
    <mergeCell ref="T51:U51"/>
    <mergeCell ref="T52:U52"/>
    <mergeCell ref="T54:W54"/>
    <mergeCell ref="A52:E52"/>
    <mergeCell ref="F52:G52"/>
    <mergeCell ref="H52:I52"/>
    <mergeCell ref="J52:K52"/>
    <mergeCell ref="L52:M52"/>
    <mergeCell ref="N52:O52"/>
    <mergeCell ref="P52:Q52"/>
    <mergeCell ref="R52:S52"/>
    <mergeCell ref="F51:G51"/>
    <mergeCell ref="H51:I51"/>
    <mergeCell ref="J51:K51"/>
    <mergeCell ref="L51:M51"/>
    <mergeCell ref="N51:O51"/>
    <mergeCell ref="P51:Q51"/>
    <mergeCell ref="R49:S49"/>
    <mergeCell ref="T49:U49"/>
    <mergeCell ref="F50:G50"/>
    <mergeCell ref="H50:I50"/>
    <mergeCell ref="J50:K50"/>
    <mergeCell ref="L50:M50"/>
    <mergeCell ref="N50:O50"/>
    <mergeCell ref="P50:Q50"/>
    <mergeCell ref="R50:S50"/>
    <mergeCell ref="T50:U50"/>
    <mergeCell ref="F49:G49"/>
    <mergeCell ref="H49:I49"/>
    <mergeCell ref="J49:K49"/>
    <mergeCell ref="L49:M49"/>
    <mergeCell ref="N49:O49"/>
    <mergeCell ref="P49:Q49"/>
    <mergeCell ref="R47:S47"/>
    <mergeCell ref="T47:U47"/>
    <mergeCell ref="F48:G48"/>
    <mergeCell ref="H48:I48"/>
    <mergeCell ref="J48:K48"/>
    <mergeCell ref="L48:M48"/>
    <mergeCell ref="N48:O48"/>
    <mergeCell ref="P48:Q48"/>
    <mergeCell ref="R48:S48"/>
    <mergeCell ref="T48:U48"/>
    <mergeCell ref="F47:G47"/>
    <mergeCell ref="H47:I47"/>
    <mergeCell ref="J47:K47"/>
    <mergeCell ref="L47:M47"/>
    <mergeCell ref="N47:O47"/>
    <mergeCell ref="P47:Q47"/>
    <mergeCell ref="R45:S45"/>
    <mergeCell ref="T45:U45"/>
    <mergeCell ref="F46:G46"/>
    <mergeCell ref="H46:I46"/>
    <mergeCell ref="J46:K46"/>
    <mergeCell ref="L46:M46"/>
    <mergeCell ref="N46:O46"/>
    <mergeCell ref="P46:Q46"/>
    <mergeCell ref="R46:S46"/>
    <mergeCell ref="T46:U46"/>
    <mergeCell ref="F45:G45"/>
    <mergeCell ref="H45:I45"/>
    <mergeCell ref="J45:K45"/>
    <mergeCell ref="L45:M45"/>
    <mergeCell ref="N45:O45"/>
    <mergeCell ref="P45:Q45"/>
    <mergeCell ref="R43:S43"/>
    <mergeCell ref="T43:U43"/>
    <mergeCell ref="F44:G44"/>
    <mergeCell ref="H44:I44"/>
    <mergeCell ref="J44:K44"/>
    <mergeCell ref="L44:M44"/>
    <mergeCell ref="N44:O44"/>
    <mergeCell ref="P44:Q44"/>
    <mergeCell ref="R44:S44"/>
    <mergeCell ref="T44:U44"/>
    <mergeCell ref="F43:G43"/>
    <mergeCell ref="H43:I43"/>
    <mergeCell ref="J43:K43"/>
    <mergeCell ref="L43:M43"/>
    <mergeCell ref="N43:O43"/>
    <mergeCell ref="P43:Q43"/>
    <mergeCell ref="R41:S41"/>
    <mergeCell ref="T41:U41"/>
    <mergeCell ref="F42:G42"/>
    <mergeCell ref="H42:I42"/>
    <mergeCell ref="J42:K42"/>
    <mergeCell ref="L42:M42"/>
    <mergeCell ref="N42:O42"/>
    <mergeCell ref="P42:Q42"/>
    <mergeCell ref="R42:S42"/>
    <mergeCell ref="T42:U42"/>
    <mergeCell ref="F41:G41"/>
    <mergeCell ref="H41:I41"/>
    <mergeCell ref="J41:K41"/>
    <mergeCell ref="L41:M41"/>
    <mergeCell ref="N41:O41"/>
    <mergeCell ref="P41:Q41"/>
    <mergeCell ref="R39:S39"/>
    <mergeCell ref="T39:U39"/>
    <mergeCell ref="F40:G40"/>
    <mergeCell ref="H40:I40"/>
    <mergeCell ref="J40:K40"/>
    <mergeCell ref="L40:M40"/>
    <mergeCell ref="N40:O40"/>
    <mergeCell ref="P40:Q40"/>
    <mergeCell ref="R40:S40"/>
    <mergeCell ref="T40:U40"/>
    <mergeCell ref="F39:G39"/>
    <mergeCell ref="H39:I39"/>
    <mergeCell ref="J39:K39"/>
    <mergeCell ref="L39:M39"/>
    <mergeCell ref="N39:O39"/>
    <mergeCell ref="P39:Q39"/>
    <mergeCell ref="R37:S37"/>
    <mergeCell ref="T37:U37"/>
    <mergeCell ref="F38:G38"/>
    <mergeCell ref="H38:I38"/>
    <mergeCell ref="J38:K38"/>
    <mergeCell ref="L38:M38"/>
    <mergeCell ref="N38:O38"/>
    <mergeCell ref="P38:Q38"/>
    <mergeCell ref="R38:S38"/>
    <mergeCell ref="T38:U38"/>
    <mergeCell ref="F37:G37"/>
    <mergeCell ref="H37:I37"/>
    <mergeCell ref="J37:K37"/>
    <mergeCell ref="L37:M37"/>
    <mergeCell ref="N37:O37"/>
    <mergeCell ref="P37:Q37"/>
    <mergeCell ref="R35:S35"/>
    <mergeCell ref="T35:U35"/>
    <mergeCell ref="F36:G36"/>
    <mergeCell ref="H36:I36"/>
    <mergeCell ref="J36:K36"/>
    <mergeCell ref="L36:M36"/>
    <mergeCell ref="N36:O36"/>
    <mergeCell ref="P36:Q36"/>
    <mergeCell ref="R36:S36"/>
    <mergeCell ref="T36:U36"/>
    <mergeCell ref="F35:G35"/>
    <mergeCell ref="H35:I35"/>
    <mergeCell ref="J35:K35"/>
    <mergeCell ref="L35:M35"/>
    <mergeCell ref="N35:O35"/>
    <mergeCell ref="P35:Q35"/>
    <mergeCell ref="T33:U33"/>
    <mergeCell ref="F34:G34"/>
    <mergeCell ref="H34:I34"/>
    <mergeCell ref="J34:K34"/>
    <mergeCell ref="L34:M34"/>
    <mergeCell ref="N34:O34"/>
    <mergeCell ref="P34:Q34"/>
    <mergeCell ref="R34:S34"/>
    <mergeCell ref="T34:U34"/>
    <mergeCell ref="F33:G33"/>
    <mergeCell ref="H33:I33"/>
    <mergeCell ref="J33:K33"/>
    <mergeCell ref="L33:M33"/>
    <mergeCell ref="N33:O33"/>
    <mergeCell ref="P33:Q33"/>
    <mergeCell ref="R33:S33"/>
    <mergeCell ref="A27:E27"/>
    <mergeCell ref="F27:U27"/>
    <mergeCell ref="F28:I29"/>
    <mergeCell ref="J28:M28"/>
    <mergeCell ref="N28:O29"/>
    <mergeCell ref="P28:U29"/>
    <mergeCell ref="J29:K29"/>
    <mergeCell ref="L29:M29"/>
    <mergeCell ref="A30:E30"/>
    <mergeCell ref="R30:S30"/>
    <mergeCell ref="T30:U30"/>
    <mergeCell ref="N30:O30"/>
    <mergeCell ref="P30:Q30"/>
    <mergeCell ref="F30:G30"/>
    <mergeCell ref="H30:I30"/>
    <mergeCell ref="J30:K30"/>
    <mergeCell ref="L30:M30"/>
    <mergeCell ref="T26:W26"/>
    <mergeCell ref="X26:Z26"/>
    <mergeCell ref="AA26:AB26"/>
    <mergeCell ref="F31:G31"/>
    <mergeCell ref="H31:I31"/>
    <mergeCell ref="J31:K31"/>
    <mergeCell ref="L31:M31"/>
    <mergeCell ref="N31:O31"/>
    <mergeCell ref="P31:Q31"/>
    <mergeCell ref="V27:AJ32"/>
    <mergeCell ref="AC26:AD26"/>
    <mergeCell ref="AE26:AG26"/>
    <mergeCell ref="AH26:AI26"/>
    <mergeCell ref="R32:S32"/>
    <mergeCell ref="T32:U32"/>
    <mergeCell ref="F32:G32"/>
    <mergeCell ref="H32:I32"/>
    <mergeCell ref="J32:K32"/>
    <mergeCell ref="L32:M32"/>
    <mergeCell ref="N32:O32"/>
    <mergeCell ref="P32:Q32"/>
    <mergeCell ref="R31:S31"/>
    <mergeCell ref="T31:U31"/>
    <mergeCell ref="T25:W25"/>
    <mergeCell ref="X25:Z25"/>
    <mergeCell ref="AA25:AB25"/>
    <mergeCell ref="AC25:AD25"/>
    <mergeCell ref="AE25:AG25"/>
    <mergeCell ref="AH25:AI25"/>
    <mergeCell ref="H22:J22"/>
    <mergeCell ref="K22:M22"/>
    <mergeCell ref="N22:P22"/>
    <mergeCell ref="Q22:S22"/>
    <mergeCell ref="H23:J23"/>
    <mergeCell ref="K23:M23"/>
    <mergeCell ref="N23:P23"/>
    <mergeCell ref="Q23:S23"/>
    <mergeCell ref="T22:V22"/>
    <mergeCell ref="W22:Y22"/>
    <mergeCell ref="Z22:AB22"/>
    <mergeCell ref="AC22:AE22"/>
    <mergeCell ref="T23:V23"/>
    <mergeCell ref="W23:Y23"/>
    <mergeCell ref="Z23:AB23"/>
    <mergeCell ref="AC23:AE23"/>
    <mergeCell ref="H20:J20"/>
    <mergeCell ref="K20:M20"/>
    <mergeCell ref="N20:P20"/>
    <mergeCell ref="Q20:S20"/>
    <mergeCell ref="H21:J21"/>
    <mergeCell ref="K21:M21"/>
    <mergeCell ref="N21:P21"/>
    <mergeCell ref="Q21:S21"/>
    <mergeCell ref="AI18:AK18"/>
    <mergeCell ref="H19:J19"/>
    <mergeCell ref="K19:M19"/>
    <mergeCell ref="N19:P19"/>
    <mergeCell ref="Q19:S19"/>
    <mergeCell ref="T19:V19"/>
    <mergeCell ref="W19:Y19"/>
    <mergeCell ref="Z19:AB19"/>
    <mergeCell ref="AC19:AE19"/>
    <mergeCell ref="T20:V20"/>
    <mergeCell ref="W20:Y20"/>
    <mergeCell ref="Z20:AB20"/>
    <mergeCell ref="AC20:AE20"/>
    <mergeCell ref="T21:V21"/>
    <mergeCell ref="W21:Y21"/>
    <mergeCell ref="Z21:AB21"/>
    <mergeCell ref="Z15:AB15"/>
    <mergeCell ref="AC15:AE15"/>
    <mergeCell ref="AF15:AH15"/>
    <mergeCell ref="AC17:AE17"/>
    <mergeCell ref="AF17:AH17"/>
    <mergeCell ref="AI17:AK17"/>
    <mergeCell ref="H18:J18"/>
    <mergeCell ref="K18:M18"/>
    <mergeCell ref="N18:P18"/>
    <mergeCell ref="Q18:S18"/>
    <mergeCell ref="T18:V18"/>
    <mergeCell ref="W18:Y18"/>
    <mergeCell ref="Z18:AB18"/>
    <mergeCell ref="H17:J17"/>
    <mergeCell ref="K17:M17"/>
    <mergeCell ref="N17:P17"/>
    <mergeCell ref="Q17:S17"/>
    <mergeCell ref="T17:V17"/>
    <mergeCell ref="W17:Y17"/>
    <mergeCell ref="Z17:AB17"/>
    <mergeCell ref="AC18:AE18"/>
    <mergeCell ref="AF18:AH18"/>
    <mergeCell ref="Q14:S14"/>
    <mergeCell ref="T14:V14"/>
    <mergeCell ref="W14:Y14"/>
    <mergeCell ref="Z14:AB14"/>
    <mergeCell ref="AC14:AE14"/>
    <mergeCell ref="AF14:AH14"/>
    <mergeCell ref="AI14:AK14"/>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AC21:AE21"/>
    <mergeCell ref="A1:AK4"/>
    <mergeCell ref="A5:G5"/>
    <mergeCell ref="Y5:AB5"/>
    <mergeCell ref="AC5:AK5"/>
    <mergeCell ref="A6:G6"/>
    <mergeCell ref="Y6:AB6"/>
    <mergeCell ref="AC6:AK6"/>
    <mergeCell ref="A7:G7"/>
    <mergeCell ref="Y7:AB7"/>
    <mergeCell ref="A8:G9"/>
    <mergeCell ref="H8:AK9"/>
    <mergeCell ref="A10:H10"/>
    <mergeCell ref="I10:X10"/>
    <mergeCell ref="Y10:AB10"/>
    <mergeCell ref="AC10:AE10"/>
    <mergeCell ref="AF10:AH10"/>
    <mergeCell ref="AI10:AK10"/>
    <mergeCell ref="A11:AK12"/>
    <mergeCell ref="A13:G13"/>
    <mergeCell ref="H13:AK13"/>
    <mergeCell ref="H14:J14"/>
    <mergeCell ref="K14:M14"/>
    <mergeCell ref="N14:P14"/>
  </mergeCells>
  <conditionalFormatting sqref="F52:M52 P52:AC52">
    <cfRule type="expression" dxfId="226" priority="12" stopIfTrue="1">
      <formula>F52=0</formula>
    </cfRule>
  </conditionalFormatting>
  <conditionalFormatting sqref="H31:U51">
    <cfRule type="expression" dxfId="225" priority="7">
      <formula>H31=0</formula>
    </cfRule>
  </conditionalFormatting>
  <conditionalFormatting sqref="O76">
    <cfRule type="expression" dxfId="224" priority="6">
      <formula>O76=0</formula>
    </cfRule>
  </conditionalFormatting>
  <conditionalFormatting sqref="R54:S61">
    <cfRule type="expression" dxfId="223" priority="10" stopIfTrue="1">
      <formula>R54=0</formula>
    </cfRule>
  </conditionalFormatting>
  <conditionalFormatting sqref="V37:AK51">
    <cfRule type="expression" dxfId="222" priority="1">
      <formula>V37=0</formula>
    </cfRule>
  </conditionalFormatting>
  <conditionalFormatting sqref="Z33:Z36">
    <cfRule type="expression" dxfId="221" priority="4">
      <formula>(Z33&lt;&gt;0)</formula>
    </cfRule>
    <cfRule type="expression" dxfId="220" priority="5">
      <formula>(Z33=0)</formula>
    </cfRule>
  </conditionalFormatting>
  <conditionalFormatting sqref="AF52:AI52 N54 AC54:AD54 AC56 N57 AC57:AD57 AC58:AC59">
    <cfRule type="expression" dxfId="219" priority="14" stopIfTrue="1">
      <formula>N52=0</formula>
    </cfRule>
  </conditionalFormatting>
  <conditionalFormatting sqref="AK31:AK32 V33:W36 AA33:AK36">
    <cfRule type="expression" dxfId="218" priority="11">
      <formula>V31=0</formula>
    </cfRule>
  </conditionalFormatting>
  <pageMargins left="0.7" right="0.7" top="0.75" bottom="0.75" header="0.3" footer="0.3"/>
  <pageSetup paperSize="9" scale="59" orientation="portrait" r:id="rId1"/>
  <headerFooter>
    <oddFooter>&amp;C_x000D_&amp;1#&amp;"Calibri"&amp;10&amp;K000000 Internal</oddFooter>
  </headerFooter>
  <colBreaks count="1" manualBreakCount="1">
    <brk id="37"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C11F-FCE5-4CAC-AB55-DD618A4D4229}">
  <sheetPr>
    <tabColor rgb="FFFF0000"/>
    <pageSetUpPr fitToPage="1"/>
  </sheetPr>
  <dimension ref="A1:CP124"/>
  <sheetViews>
    <sheetView showGridLines="0" view="pageBreakPreview" zoomScaleNormal="100" zoomScaleSheetLayoutView="100" workbookViewId="0">
      <selection sqref="A1:AK4"/>
    </sheetView>
  </sheetViews>
  <sheetFormatPr defaultColWidth="9.28515625" defaultRowHeight="15"/>
  <cols>
    <col min="1" max="13" width="3.7109375" style="290" customWidth="1"/>
    <col min="14" max="14" width="4.7109375" style="290" customWidth="1"/>
    <col min="15" max="15" width="6.42578125" style="290" customWidth="1"/>
    <col min="16" max="17" width="3.7109375" style="290" customWidth="1"/>
    <col min="18" max="19" width="4.7109375" style="290" customWidth="1"/>
    <col min="20" max="23" width="3.7109375" style="290" customWidth="1"/>
    <col min="24" max="24" width="9" style="290" bestFit="1" customWidth="1"/>
    <col min="25" max="37" width="3.7109375" style="290" customWidth="1"/>
    <col min="38" max="38" width="9.28515625" style="247"/>
    <col min="39" max="50" width="8.7109375" style="247" customWidth="1"/>
    <col min="51" max="57" width="9.28515625" style="247"/>
    <col min="58" max="59" width="9.28515625" style="285"/>
    <col min="60" max="16384" width="9.28515625" style="247"/>
  </cols>
  <sheetData>
    <row r="1" spans="1:94"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8"/>
      <c r="AL1" s="238"/>
      <c r="AM1" s="238"/>
      <c r="AN1" s="238"/>
      <c r="AO1" s="238"/>
      <c r="AP1" s="238"/>
      <c r="AQ1" s="238"/>
      <c r="AR1" s="238"/>
      <c r="AS1" s="238"/>
      <c r="AT1" s="238"/>
      <c r="AU1" s="238"/>
      <c r="AV1" s="238"/>
      <c r="AW1" s="238"/>
      <c r="AX1" s="238"/>
      <c r="AY1" s="238"/>
      <c r="AZ1" s="238"/>
      <c r="BA1" s="238"/>
      <c r="BB1" s="238"/>
      <c r="BC1" s="238"/>
      <c r="BD1" s="238"/>
      <c r="BE1" s="238"/>
      <c r="BF1" s="239"/>
      <c r="BG1" s="239"/>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c r="CM1" s="238"/>
      <c r="CN1" s="238"/>
      <c r="CO1" s="238"/>
      <c r="CP1" s="238"/>
    </row>
    <row r="2" spans="1:94"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1"/>
      <c r="AL2" s="238"/>
      <c r="AM2" s="238"/>
      <c r="AN2" s="238"/>
      <c r="AO2" s="238"/>
      <c r="AP2" s="238"/>
      <c r="AQ2" s="238"/>
      <c r="AR2" s="238"/>
      <c r="AS2" s="238"/>
      <c r="AT2" s="238"/>
      <c r="AU2" s="238"/>
      <c r="AV2" s="238"/>
      <c r="AW2" s="238"/>
      <c r="AX2" s="238"/>
      <c r="AY2" s="238"/>
      <c r="AZ2" s="238"/>
      <c r="BA2" s="238"/>
      <c r="BB2" s="238"/>
      <c r="BC2" s="238"/>
      <c r="BD2" s="238"/>
      <c r="BE2" s="238"/>
      <c r="BF2" s="239"/>
      <c r="BG2" s="239"/>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row>
    <row r="3" spans="1:94"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1"/>
      <c r="AL3" s="238"/>
      <c r="AM3" s="238"/>
      <c r="AN3" s="238"/>
      <c r="AO3" s="238"/>
      <c r="AP3" s="238"/>
      <c r="AQ3" s="238"/>
      <c r="AR3" s="238"/>
      <c r="AS3" s="238"/>
      <c r="AT3" s="238"/>
      <c r="AU3" s="238"/>
      <c r="AV3" s="238"/>
      <c r="AW3" s="238"/>
      <c r="AX3" s="238"/>
      <c r="AY3" s="238"/>
      <c r="AZ3" s="238"/>
      <c r="BA3" s="238"/>
      <c r="BB3" s="238"/>
      <c r="BC3" s="238"/>
      <c r="BD3" s="238"/>
      <c r="BE3" s="238"/>
      <c r="BF3" s="239"/>
      <c r="BG3" s="239"/>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row>
    <row r="4" spans="1:94"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4"/>
      <c r="AL4" s="238"/>
      <c r="AM4" s="241"/>
      <c r="AN4" s="241"/>
      <c r="AO4" s="241"/>
      <c r="AP4" s="242" t="s">
        <v>576</v>
      </c>
      <c r="AQ4" s="242" t="s">
        <v>577</v>
      </c>
      <c r="AR4" s="242" t="s">
        <v>578</v>
      </c>
      <c r="AS4" s="241"/>
      <c r="AT4" s="241"/>
      <c r="AU4" s="241"/>
      <c r="AV4" s="241"/>
      <c r="AW4" s="241"/>
      <c r="AX4" s="238"/>
      <c r="AY4" s="238"/>
      <c r="AZ4" s="238"/>
      <c r="BA4" s="238"/>
      <c r="BB4" s="238"/>
      <c r="BC4" s="238"/>
      <c r="BD4" s="238"/>
      <c r="BE4" s="238"/>
      <c r="BF4" s="239"/>
      <c r="BG4" s="239"/>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row>
    <row r="5" spans="1:94" ht="15" customHeight="1">
      <c r="A5" s="875" t="s">
        <v>22</v>
      </c>
      <c r="B5" s="876"/>
      <c r="C5" s="876"/>
      <c r="D5" s="876"/>
      <c r="E5" s="876"/>
      <c r="F5" s="876"/>
      <c r="G5" s="876"/>
      <c r="H5" s="27" t="str">
        <f>'Emiss. Ops'!$C$2</f>
        <v>OMVP</v>
      </c>
      <c r="I5" s="27"/>
      <c r="J5" s="27"/>
      <c r="K5" s="27"/>
      <c r="L5" s="27"/>
      <c r="M5" s="27"/>
      <c r="N5" s="27"/>
      <c r="O5" s="27"/>
      <c r="P5" s="27"/>
      <c r="Q5" s="27"/>
      <c r="R5" s="27"/>
      <c r="S5" s="27"/>
      <c r="T5" s="27"/>
      <c r="U5" s="27"/>
      <c r="V5" s="27"/>
      <c r="W5" s="27"/>
      <c r="X5" s="27"/>
      <c r="Y5" s="876" t="s">
        <v>23</v>
      </c>
      <c r="Z5" s="876"/>
      <c r="AA5" s="876"/>
      <c r="AB5" s="876"/>
      <c r="AC5" s="877" t="str">
        <f>'PSD WR'!AC5</f>
        <v>PRJ-001030</v>
      </c>
      <c r="AD5" s="877"/>
      <c r="AE5" s="877"/>
      <c r="AF5" s="877"/>
      <c r="AG5" s="877"/>
      <c r="AH5" s="877"/>
      <c r="AI5" s="877"/>
      <c r="AJ5" s="877"/>
      <c r="AK5" s="878"/>
      <c r="AL5" s="243"/>
      <c r="AM5" s="244"/>
      <c r="AN5" s="244"/>
      <c r="AO5" s="244"/>
      <c r="AP5" s="245" t="s">
        <v>386</v>
      </c>
      <c r="AQ5" s="245" t="s">
        <v>729</v>
      </c>
      <c r="AR5" s="242">
        <v>1020</v>
      </c>
      <c r="AS5" s="244"/>
      <c r="AT5" s="244"/>
      <c r="AU5" s="244"/>
      <c r="AV5" s="244"/>
      <c r="AW5" s="244"/>
      <c r="AX5" s="238"/>
      <c r="AY5" s="238"/>
      <c r="AZ5" s="238"/>
      <c r="BA5" s="243"/>
      <c r="BB5" s="243"/>
      <c r="BC5" s="243"/>
      <c r="BD5" s="243"/>
      <c r="BE5" s="243"/>
      <c r="BF5" s="246"/>
      <c r="BG5" s="246"/>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row>
    <row r="6" spans="1:94" ht="15" customHeight="1">
      <c r="A6" s="862" t="s">
        <v>24</v>
      </c>
      <c r="B6" s="863"/>
      <c r="C6" s="863"/>
      <c r="D6" s="863"/>
      <c r="E6" s="863"/>
      <c r="F6" s="863"/>
      <c r="G6" s="863"/>
      <c r="H6" s="30" t="str">
        <f>'Emiss. Ops'!$C$3</f>
        <v>OMV Neptun BAT Study &amp; ESIA</v>
      </c>
      <c r="I6" s="30"/>
      <c r="J6" s="30"/>
      <c r="K6" s="30"/>
      <c r="L6" s="30"/>
      <c r="M6" s="30"/>
      <c r="N6" s="30"/>
      <c r="O6" s="30"/>
      <c r="P6" s="30"/>
      <c r="Q6" s="30"/>
      <c r="R6" s="30"/>
      <c r="S6" s="30"/>
      <c r="T6" s="30"/>
      <c r="U6" s="30"/>
      <c r="V6" s="30"/>
      <c r="W6" s="30"/>
      <c r="X6" s="30"/>
      <c r="Y6" s="863" t="s">
        <v>25</v>
      </c>
      <c r="Z6" s="863"/>
      <c r="AA6" s="863"/>
      <c r="AB6" s="863"/>
      <c r="AC6" s="860"/>
      <c r="AD6" s="860"/>
      <c r="AE6" s="860"/>
      <c r="AF6" s="860"/>
      <c r="AG6" s="860"/>
      <c r="AH6" s="860"/>
      <c r="AI6" s="860"/>
      <c r="AJ6" s="860"/>
      <c r="AK6" s="861"/>
      <c r="AL6" s="243"/>
      <c r="AM6" s="244"/>
      <c r="AN6" s="244"/>
      <c r="AO6" s="242"/>
      <c r="AP6" s="245" t="s">
        <v>406</v>
      </c>
      <c r="AQ6" s="245" t="s">
        <v>339</v>
      </c>
      <c r="AR6" s="245">
        <v>0.45400000000000001</v>
      </c>
      <c r="AS6" s="242"/>
      <c r="AT6" s="244"/>
      <c r="AU6" s="244"/>
      <c r="AV6" s="244"/>
      <c r="AW6" s="244"/>
      <c r="AX6" s="238"/>
      <c r="AY6" s="238"/>
      <c r="AZ6" s="238"/>
      <c r="BA6" s="243"/>
      <c r="BB6" s="243"/>
      <c r="BC6" s="243"/>
      <c r="BD6" s="243"/>
      <c r="BE6" s="243"/>
      <c r="BF6" s="246"/>
      <c r="BG6" s="246"/>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row>
    <row r="7" spans="1:94" ht="15" customHeight="1">
      <c r="A7" s="862" t="s">
        <v>26</v>
      </c>
      <c r="B7" s="863"/>
      <c r="C7" s="863"/>
      <c r="D7" s="863"/>
      <c r="E7" s="863"/>
      <c r="F7" s="863"/>
      <c r="G7" s="863"/>
      <c r="H7" s="30" t="str">
        <f>'Emiss. Ops'!$C$4</f>
        <v>Emissions Inventory</v>
      </c>
      <c r="I7" s="30"/>
      <c r="J7" s="30"/>
      <c r="K7" s="30"/>
      <c r="L7" s="30"/>
      <c r="M7" s="30"/>
      <c r="N7" s="30"/>
      <c r="O7" s="30"/>
      <c r="P7" s="30"/>
      <c r="Q7" s="30"/>
      <c r="R7" s="30"/>
      <c r="S7" s="30"/>
      <c r="T7" s="30"/>
      <c r="U7" s="30"/>
      <c r="V7" s="30"/>
      <c r="W7" s="30"/>
      <c r="X7" s="30"/>
      <c r="Y7" s="863" t="s">
        <v>27</v>
      </c>
      <c r="Z7" s="863"/>
      <c r="AA7" s="863"/>
      <c r="AB7" s="863"/>
      <c r="AC7" s="30" t="str">
        <f>'Emiss. Ops'!$I$4</f>
        <v>Normal Operations</v>
      </c>
      <c r="AD7" s="31"/>
      <c r="AE7" s="31"/>
      <c r="AF7" s="31"/>
      <c r="AG7" s="31"/>
      <c r="AH7" s="31"/>
      <c r="AI7" s="31"/>
      <c r="AJ7" s="31"/>
      <c r="AK7" s="32"/>
      <c r="AL7" s="243"/>
      <c r="AM7" s="244"/>
      <c r="AN7" s="244"/>
      <c r="AO7" s="242"/>
      <c r="AP7" s="245" t="s">
        <v>407</v>
      </c>
      <c r="AQ7" s="245" t="s">
        <v>730</v>
      </c>
      <c r="AR7" s="248">
        <f>0.305^3</f>
        <v>2.8372624999999999E-2</v>
      </c>
      <c r="AS7" s="242"/>
      <c r="AT7" s="244"/>
      <c r="AU7" s="244"/>
      <c r="AV7" s="244"/>
      <c r="AW7" s="244"/>
      <c r="AX7" s="238"/>
      <c r="AY7" s="238"/>
      <c r="AZ7" s="238"/>
      <c r="BA7" s="243"/>
      <c r="BB7" s="243"/>
      <c r="BC7" s="243"/>
      <c r="BD7" s="243"/>
      <c r="BE7" s="243"/>
      <c r="BF7" s="246"/>
      <c r="BG7" s="246"/>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row>
    <row r="8" spans="1:94"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8"/>
      <c r="AH8" s="1288"/>
      <c r="AI8" s="1288"/>
      <c r="AJ8" s="1288"/>
      <c r="AK8" s="1289"/>
      <c r="AL8" s="243"/>
      <c r="AM8" s="244"/>
      <c r="AN8" s="244"/>
      <c r="AO8" s="242"/>
      <c r="AP8" s="245" t="s">
        <v>729</v>
      </c>
      <c r="AQ8" s="245" t="s">
        <v>731</v>
      </c>
      <c r="AR8" s="249">
        <f>AR6/AR7 * ((AN18+273.15)/(AN20+273.15))</f>
        <v>16.912595854908194</v>
      </c>
      <c r="AS8" s="242"/>
      <c r="AT8" s="244"/>
      <c r="AU8" s="244"/>
      <c r="AV8" s="244"/>
      <c r="AW8" s="244"/>
      <c r="AX8" s="238"/>
      <c r="AY8" s="238"/>
      <c r="AZ8" s="238"/>
      <c r="BA8" s="243"/>
      <c r="BB8" s="243"/>
      <c r="BC8" s="243"/>
      <c r="BD8" s="243"/>
      <c r="BE8" s="243"/>
      <c r="BF8" s="246"/>
      <c r="BG8" s="246"/>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row>
    <row r="9" spans="1:94"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8"/>
      <c r="AH9" s="1288"/>
      <c r="AI9" s="1288"/>
      <c r="AJ9" s="1288"/>
      <c r="AK9" s="1289"/>
      <c r="AL9" s="243"/>
      <c r="AM9" s="244"/>
      <c r="AN9" s="244"/>
      <c r="AO9" s="242"/>
      <c r="AP9" s="242" t="s">
        <v>409</v>
      </c>
      <c r="AQ9" s="242" t="s">
        <v>410</v>
      </c>
      <c r="AR9" s="242">
        <v>947</v>
      </c>
      <c r="AS9" s="242"/>
      <c r="AT9" s="244"/>
      <c r="AU9" s="244"/>
      <c r="AV9" s="244"/>
      <c r="AW9" s="244"/>
      <c r="AX9" s="238"/>
      <c r="AY9" s="238"/>
      <c r="AZ9" s="238"/>
      <c r="BA9" s="243"/>
      <c r="BB9" s="243"/>
      <c r="BC9" s="243"/>
      <c r="BD9" s="243"/>
      <c r="BE9" s="243"/>
      <c r="BF9" s="246"/>
      <c r="BG9" s="246"/>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row>
    <row r="10" spans="1:94"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1283"/>
      <c r="V10" s="1283"/>
      <c r="W10" s="1283"/>
      <c r="X10" s="1283"/>
      <c r="Y10" s="859" t="s">
        <v>28</v>
      </c>
      <c r="Z10" s="859"/>
      <c r="AA10" s="859"/>
      <c r="AB10" s="859"/>
      <c r="AC10" s="1284"/>
      <c r="AD10" s="1284"/>
      <c r="AE10" s="1284"/>
      <c r="AF10" s="1285"/>
      <c r="AG10" s="1285"/>
      <c r="AH10" s="1285"/>
      <c r="AI10" s="1286"/>
      <c r="AJ10" s="1286"/>
      <c r="AK10" s="1287"/>
      <c r="AL10" s="238"/>
      <c r="AM10" s="241"/>
      <c r="AN10" s="241"/>
      <c r="AO10" s="245"/>
      <c r="AP10" s="245" t="s">
        <v>710</v>
      </c>
      <c r="AQ10" s="245" t="s">
        <v>709</v>
      </c>
      <c r="AR10" s="245">
        <v>1E-3</v>
      </c>
      <c r="AS10" s="245"/>
      <c r="AT10" s="241"/>
      <c r="AU10" s="241"/>
      <c r="AV10" s="241"/>
      <c r="AW10" s="241"/>
      <c r="AX10" s="238"/>
      <c r="AY10" s="238"/>
      <c r="AZ10" s="238"/>
      <c r="BA10" s="238"/>
      <c r="BB10" s="238"/>
      <c r="BC10" s="238"/>
      <c r="BD10" s="238"/>
      <c r="BE10" s="238"/>
      <c r="BF10" s="239"/>
      <c r="BG10" s="239"/>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row>
    <row r="11" spans="1:94" s="240" customFormat="1" ht="14.25" customHeight="1">
      <c r="A11" s="1271" t="s">
        <v>374</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3"/>
      <c r="AL11" s="238"/>
      <c r="AM11" s="241"/>
      <c r="AN11" s="241"/>
      <c r="AO11" s="245"/>
      <c r="AP11" s="245" t="s">
        <v>732</v>
      </c>
      <c r="AQ11" s="245" t="s">
        <v>409</v>
      </c>
      <c r="AR11" s="245">
        <f>1/(AR9/1000000)</f>
        <v>1055.9662090813094</v>
      </c>
      <c r="AS11" s="245"/>
      <c r="AT11" s="241"/>
      <c r="AU11" s="241"/>
      <c r="AV11" s="241"/>
      <c r="AW11" s="241"/>
      <c r="AX11" s="238"/>
      <c r="AY11" s="238"/>
      <c r="AZ11" s="238"/>
      <c r="BA11" s="238"/>
      <c r="BB11" s="238"/>
      <c r="BC11" s="238"/>
      <c r="BD11" s="238"/>
      <c r="BE11" s="238"/>
      <c r="BF11" s="239"/>
      <c r="BG11" s="239"/>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row>
    <row r="12" spans="1:94" s="240" customFormat="1" ht="14.25" customHeight="1">
      <c r="A12" s="1274"/>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5"/>
      <c r="AH12" s="1275"/>
      <c r="AI12" s="1275"/>
      <c r="AJ12" s="1275"/>
      <c r="AK12" s="1276"/>
      <c r="AL12" s="238"/>
      <c r="AM12" s="241"/>
      <c r="AN12" s="241"/>
      <c r="AO12" s="245"/>
      <c r="AP12" s="245"/>
      <c r="AQ12" s="245"/>
      <c r="AR12" s="245"/>
      <c r="AS12" s="245"/>
      <c r="AT12" s="241"/>
      <c r="AU12" s="241"/>
      <c r="AV12" s="241"/>
      <c r="AW12" s="241"/>
      <c r="AX12" s="238"/>
      <c r="AY12" s="238"/>
      <c r="AZ12" s="238"/>
      <c r="BA12" s="238"/>
      <c r="BB12" s="238"/>
      <c r="BC12" s="238"/>
      <c r="BD12" s="238"/>
      <c r="BE12" s="238"/>
      <c r="BF12" s="239"/>
      <c r="BG12" s="239"/>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row>
    <row r="13" spans="1:94" s="240" customFormat="1" ht="14.25" customHeight="1">
      <c r="A13" s="1277" t="s">
        <v>587</v>
      </c>
      <c r="B13" s="1278"/>
      <c r="C13" s="1278"/>
      <c r="D13" s="1278"/>
      <c r="E13" s="1278"/>
      <c r="F13" s="1278"/>
      <c r="G13" s="1279"/>
      <c r="H13" s="1280" t="s">
        <v>799</v>
      </c>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2"/>
      <c r="AL13" s="238"/>
      <c r="AM13" s="241"/>
      <c r="AN13" s="241"/>
      <c r="AO13" s="241"/>
      <c r="AP13" s="241"/>
      <c r="AQ13" s="241"/>
      <c r="AR13" s="241"/>
      <c r="AS13" s="241"/>
      <c r="AT13" s="241"/>
      <c r="AU13" s="241"/>
      <c r="AV13" s="241"/>
      <c r="AW13" s="241"/>
      <c r="AX13" s="241"/>
      <c r="AY13" s="241"/>
      <c r="AZ13" s="241"/>
      <c r="BA13" s="238"/>
      <c r="BB13" s="238"/>
      <c r="BC13" s="238"/>
      <c r="BD13" s="238"/>
      <c r="BE13" s="238"/>
      <c r="BF13" s="239"/>
      <c r="BG13" s="239"/>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row>
    <row r="14" spans="1:94" s="240" customFormat="1" ht="14.25" customHeight="1">
      <c r="A14" s="279" t="s">
        <v>589</v>
      </c>
      <c r="B14" s="429"/>
      <c r="C14" s="429"/>
      <c r="D14" s="429"/>
      <c r="E14" s="429"/>
      <c r="F14" s="429"/>
      <c r="G14" s="429"/>
      <c r="H14" s="1271" t="s">
        <v>590</v>
      </c>
      <c r="I14" s="1272"/>
      <c r="J14" s="1273"/>
      <c r="K14" s="1271" t="s">
        <v>591</v>
      </c>
      <c r="L14" s="1272"/>
      <c r="M14" s="1273"/>
      <c r="N14" s="1271" t="s">
        <v>592</v>
      </c>
      <c r="O14" s="1272"/>
      <c r="P14" s="1273"/>
      <c r="Q14" s="1271" t="s">
        <v>400</v>
      </c>
      <c r="R14" s="1272"/>
      <c r="S14" s="1273"/>
      <c r="T14" s="1271" t="s">
        <v>593</v>
      </c>
      <c r="U14" s="1272"/>
      <c r="V14" s="1273"/>
      <c r="W14" s="1271" t="s">
        <v>593</v>
      </c>
      <c r="X14" s="1272"/>
      <c r="Y14" s="1273"/>
      <c r="Z14" s="1271" t="s">
        <v>115</v>
      </c>
      <c r="AA14" s="1272"/>
      <c r="AB14" s="1273"/>
      <c r="AC14" s="1271" t="s">
        <v>115</v>
      </c>
      <c r="AD14" s="1272"/>
      <c r="AE14" s="1273"/>
      <c r="AF14" s="1271" t="s">
        <v>116</v>
      </c>
      <c r="AG14" s="1272"/>
      <c r="AH14" s="1273"/>
      <c r="AI14" s="1271" t="s">
        <v>116</v>
      </c>
      <c r="AJ14" s="1272"/>
      <c r="AK14" s="1273"/>
      <c r="AL14" s="238"/>
      <c r="AM14" s="241"/>
      <c r="AN14" s="241"/>
      <c r="AO14" s="241"/>
      <c r="AP14" s="241"/>
      <c r="AQ14" s="430"/>
      <c r="AR14" s="241"/>
      <c r="AS14" s="241"/>
      <c r="AT14" s="241"/>
      <c r="AU14" s="241"/>
      <c r="AV14" s="241"/>
      <c r="AW14" s="241"/>
      <c r="AX14" s="238"/>
      <c r="AY14" s="238"/>
      <c r="AZ14" s="238"/>
      <c r="BA14" s="238"/>
      <c r="BB14" s="238"/>
      <c r="BC14" s="238"/>
      <c r="BD14" s="238"/>
      <c r="BE14" s="238"/>
      <c r="BF14" s="239"/>
      <c r="BG14" s="239"/>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row>
    <row r="15" spans="1:94" s="240" customFormat="1" ht="14.25" customHeight="1">
      <c r="A15" s="250"/>
      <c r="B15" s="251"/>
      <c r="C15" s="251"/>
      <c r="D15" s="251"/>
      <c r="E15" s="251"/>
      <c r="F15" s="251"/>
      <c r="G15" s="251"/>
      <c r="H15" s="1302" t="s">
        <v>594</v>
      </c>
      <c r="I15" s="1283"/>
      <c r="J15" s="1303"/>
      <c r="K15" s="1302" t="s">
        <v>595</v>
      </c>
      <c r="L15" s="1283"/>
      <c r="M15" s="1303"/>
      <c r="N15" s="1302" t="s">
        <v>596</v>
      </c>
      <c r="O15" s="1283"/>
      <c r="P15" s="1303"/>
      <c r="Q15" s="1302" t="s">
        <v>597</v>
      </c>
      <c r="R15" s="1283"/>
      <c r="S15" s="1303"/>
      <c r="T15" s="1302" t="s">
        <v>734</v>
      </c>
      <c r="U15" s="1283"/>
      <c r="V15" s="1303"/>
      <c r="W15" s="1302" t="s">
        <v>599</v>
      </c>
      <c r="X15" s="1283"/>
      <c r="Y15" s="1303"/>
      <c r="Z15" s="1302" t="s">
        <v>734</v>
      </c>
      <c r="AA15" s="1283"/>
      <c r="AB15" s="1303"/>
      <c r="AC15" s="1302" t="s">
        <v>599</v>
      </c>
      <c r="AD15" s="1283"/>
      <c r="AE15" s="1303"/>
      <c r="AF15" s="1302" t="s">
        <v>734</v>
      </c>
      <c r="AG15" s="1283"/>
      <c r="AH15" s="1303"/>
      <c r="AI15" s="1302" t="s">
        <v>599</v>
      </c>
      <c r="AJ15" s="1283"/>
      <c r="AK15" s="1303"/>
      <c r="AL15" s="238"/>
      <c r="AM15" s="241"/>
      <c r="AN15" s="241"/>
      <c r="AO15" s="241"/>
      <c r="AP15" s="431" t="s">
        <v>393</v>
      </c>
      <c r="AQ15" s="432"/>
      <c r="AR15" s="433"/>
      <c r="AS15" s="431" t="s">
        <v>115</v>
      </c>
      <c r="AT15" s="432"/>
      <c r="AU15" s="433"/>
      <c r="AY15" s="238"/>
      <c r="AZ15" s="238"/>
      <c r="BA15" s="238"/>
      <c r="BB15" s="238"/>
      <c r="BC15" s="238"/>
      <c r="BD15" s="238"/>
      <c r="BE15" s="238"/>
      <c r="BF15" s="239"/>
      <c r="BG15" s="239"/>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row>
    <row r="16" spans="1:94" s="240" customFormat="1" ht="14.25" customHeight="1">
      <c r="A16" s="434" t="s">
        <v>735</v>
      </c>
      <c r="B16" s="435"/>
      <c r="C16" s="435"/>
      <c r="D16" s="435"/>
      <c r="E16" s="435"/>
      <c r="F16" s="435"/>
      <c r="G16" s="436"/>
      <c r="H16" s="1304"/>
      <c r="I16" s="1305"/>
      <c r="J16" s="1306"/>
      <c r="K16" s="1307"/>
      <c r="L16" s="1308"/>
      <c r="M16" s="1309"/>
      <c r="N16" s="1304"/>
      <c r="O16" s="1305"/>
      <c r="P16" s="1306"/>
      <c r="Q16" s="1566">
        <f>37.96</f>
        <v>37.96</v>
      </c>
      <c r="R16" s="1567"/>
      <c r="S16" s="1568"/>
      <c r="T16" s="1418">
        <f>AR17</f>
        <v>1173.0576484964322</v>
      </c>
      <c r="U16" s="1419"/>
      <c r="V16" s="1420"/>
      <c r="W16" s="1304"/>
      <c r="X16" s="1305"/>
      <c r="Y16" s="1306"/>
      <c r="Z16" s="1418">
        <f>AU17</f>
        <v>6382.8136756423519</v>
      </c>
      <c r="AA16" s="1419"/>
      <c r="AB16" s="1420"/>
      <c r="AC16" s="1304"/>
      <c r="AD16" s="1305"/>
      <c r="AE16" s="1306"/>
      <c r="AF16" s="1379">
        <f>AR22</f>
        <v>40</v>
      </c>
      <c r="AG16" s="1380"/>
      <c r="AH16" s="1381"/>
      <c r="AI16" s="1304" t="s">
        <v>604</v>
      </c>
      <c r="AJ16" s="1305"/>
      <c r="AK16" s="1306"/>
      <c r="AL16" s="238"/>
      <c r="AM16" s="241" t="s">
        <v>605</v>
      </c>
      <c r="AN16" s="241"/>
      <c r="AO16" s="241"/>
      <c r="AP16" s="437" t="s">
        <v>386</v>
      </c>
      <c r="AQ16" s="437" t="s">
        <v>714</v>
      </c>
      <c r="AR16" s="437" t="s">
        <v>715</v>
      </c>
      <c r="AS16" s="437" t="s">
        <v>386</v>
      </c>
      <c r="AT16" s="437" t="s">
        <v>714</v>
      </c>
      <c r="AU16" s="437" t="s">
        <v>715</v>
      </c>
      <c r="AY16" s="238"/>
      <c r="AZ16" s="238"/>
      <c r="BA16" s="238"/>
      <c r="BB16" s="238"/>
      <c r="BC16" s="238"/>
      <c r="BD16" s="238"/>
      <c r="BE16" s="238"/>
      <c r="BF16" s="239"/>
      <c r="BG16" s="239"/>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row>
    <row r="17" spans="1:94" s="240" customFormat="1" ht="14.25" customHeight="1">
      <c r="A17" s="438" t="s">
        <v>800</v>
      </c>
      <c r="B17" s="439"/>
      <c r="C17" s="439"/>
      <c r="D17" s="439"/>
      <c r="E17" s="439"/>
      <c r="F17" s="439"/>
      <c r="G17" s="440"/>
      <c r="H17" s="1421">
        <f>CO2eEF!P16</f>
        <v>16.12</v>
      </c>
      <c r="I17" s="1422"/>
      <c r="J17" s="1423"/>
      <c r="K17" s="1424">
        <f>CO2eEF!P12</f>
        <v>0.69899999999999995</v>
      </c>
      <c r="L17" s="1425"/>
      <c r="M17" s="1426"/>
      <c r="N17" s="1421">
        <f>CO2eEF!P19</f>
        <v>49.78</v>
      </c>
      <c r="O17" s="1427"/>
      <c r="P17" s="1428"/>
      <c r="Q17" s="1421">
        <f>CO2eEF!P21</f>
        <v>37.770000000000003</v>
      </c>
      <c r="R17" s="1427"/>
      <c r="S17" s="1428"/>
      <c r="T17" s="1340">
        <f>T16*Q17/Q16</f>
        <v>1167.1861797605441</v>
      </c>
      <c r="U17" s="1341"/>
      <c r="V17" s="1342"/>
      <c r="W17" s="1569">
        <f>T17/1000000/$K17</f>
        <v>1.6697942485844695E-3</v>
      </c>
      <c r="X17" s="1570"/>
      <c r="Y17" s="1571"/>
      <c r="Z17" s="1340">
        <f>Z16*Q16/Q17</f>
        <v>6414.9220843892945</v>
      </c>
      <c r="AA17" s="1341"/>
      <c r="AB17" s="1342"/>
      <c r="AC17" s="1569">
        <f>Z17/$K17/1000000</f>
        <v>9.1772848131463445E-3</v>
      </c>
      <c r="AD17" s="1570"/>
      <c r="AE17" s="1571"/>
      <c r="AF17" s="1299">
        <f>AF16*Q16/Q17</f>
        <v>40.201217897802486</v>
      </c>
      <c r="AG17" s="1300"/>
      <c r="AH17" s="1301"/>
      <c r="AI17" s="1572">
        <f>AF17/$K17/1000000</f>
        <v>5.7512471956798981E-5</v>
      </c>
      <c r="AJ17" s="1573"/>
      <c r="AK17" s="1574"/>
      <c r="AL17" s="238"/>
      <c r="AM17" s="441" t="s">
        <v>606</v>
      </c>
      <c r="AN17" s="241">
        <v>60</v>
      </c>
      <c r="AO17" s="241" t="s">
        <v>607</v>
      </c>
      <c r="AP17" s="442">
        <v>6.8000000000000005E-2</v>
      </c>
      <c r="AQ17" s="443">
        <f>AR5*$AP$17</f>
        <v>69.36</v>
      </c>
      <c r="AR17" s="443">
        <f>$AR$8*AQ17</f>
        <v>1173.0576484964322</v>
      </c>
      <c r="AS17" s="444">
        <v>0.37</v>
      </c>
      <c r="AT17" s="445">
        <f>AS17*AR5</f>
        <v>377.4</v>
      </c>
      <c r="AU17" s="446">
        <f>AT17*AR8</f>
        <v>6382.8136756423519</v>
      </c>
      <c r="AY17" s="238"/>
      <c r="AZ17" s="238"/>
      <c r="BA17" s="238"/>
      <c r="BB17" s="238"/>
      <c r="BC17" s="238"/>
      <c r="BD17" s="238"/>
      <c r="BE17" s="238"/>
      <c r="BF17" s="239"/>
      <c r="BG17" s="239"/>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row>
    <row r="18" spans="1:94" s="240" customFormat="1" ht="14.25" customHeight="1">
      <c r="A18" s="133"/>
      <c r="B18" s="251"/>
      <c r="C18" s="251"/>
      <c r="D18" s="251"/>
      <c r="E18" s="251"/>
      <c r="F18" s="251"/>
      <c r="G18" s="251"/>
      <c r="H18" s="1325"/>
      <c r="I18" s="1326"/>
      <c r="J18" s="1327"/>
      <c r="K18" s="1328">
        <v>1.05</v>
      </c>
      <c r="L18" s="1329"/>
      <c r="M18" s="1330"/>
      <c r="N18" s="1331"/>
      <c r="O18" s="1332"/>
      <c r="P18" s="1333"/>
      <c r="Q18" s="1334"/>
      <c r="R18" s="1335"/>
      <c r="S18" s="1336"/>
      <c r="T18" s="1337"/>
      <c r="U18" s="1338"/>
      <c r="V18" s="1339"/>
      <c r="W18" s="1302"/>
      <c r="X18" s="1283"/>
      <c r="Y18" s="1303"/>
      <c r="Z18" s="1337"/>
      <c r="AA18" s="1338"/>
      <c r="AB18" s="1339"/>
      <c r="AC18" s="1302"/>
      <c r="AD18" s="1283"/>
      <c r="AE18" s="1303"/>
      <c r="AF18" s="1343"/>
      <c r="AG18" s="1344"/>
      <c r="AH18" s="1345"/>
      <c r="AI18" s="1302"/>
      <c r="AJ18" s="1283"/>
      <c r="AK18" s="1303"/>
      <c r="AL18" s="238"/>
      <c r="AM18" s="441" t="s">
        <v>608</v>
      </c>
      <c r="AN18" s="447">
        <f>(AN17 - 32) * 5/9</f>
        <v>15.555555555555555</v>
      </c>
      <c r="AO18" s="241" t="s">
        <v>609</v>
      </c>
      <c r="AP18" s="444"/>
      <c r="AQ18" s="448"/>
      <c r="AR18" s="446"/>
      <c r="AS18" s="444"/>
      <c r="AT18" s="445"/>
      <c r="AU18" s="446"/>
      <c r="AY18" s="238"/>
      <c r="AZ18" s="238"/>
      <c r="BA18" s="238"/>
      <c r="BB18" s="238"/>
      <c r="BC18" s="238"/>
      <c r="BD18" s="238"/>
      <c r="BE18" s="238"/>
      <c r="BF18" s="239"/>
      <c r="BG18" s="239"/>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row>
    <row r="19" spans="1:94" s="240" customFormat="1" ht="14.25" customHeight="1">
      <c r="A19" s="279" t="s">
        <v>589</v>
      </c>
      <c r="B19" s="429"/>
      <c r="C19" s="429"/>
      <c r="D19" s="429"/>
      <c r="E19" s="429"/>
      <c r="F19" s="429"/>
      <c r="G19" s="449"/>
      <c r="H19" s="1271" t="s">
        <v>122</v>
      </c>
      <c r="I19" s="1272"/>
      <c r="J19" s="1273"/>
      <c r="K19" s="1271" t="s">
        <v>122</v>
      </c>
      <c r="L19" s="1272"/>
      <c r="M19" s="1273"/>
      <c r="N19" s="1271" t="s">
        <v>124</v>
      </c>
      <c r="O19" s="1272"/>
      <c r="P19" s="1273"/>
      <c r="Q19" s="1271" t="s">
        <v>124</v>
      </c>
      <c r="R19" s="1272"/>
      <c r="S19" s="1273"/>
      <c r="T19" s="1117" t="s">
        <v>123</v>
      </c>
      <c r="U19" s="1118"/>
      <c r="V19" s="1119"/>
      <c r="W19" s="1117" t="s">
        <v>123</v>
      </c>
      <c r="X19" s="1118"/>
      <c r="Y19" s="1119"/>
      <c r="Z19" s="1117" t="s">
        <v>716</v>
      </c>
      <c r="AA19" s="1118"/>
      <c r="AB19" s="1119"/>
      <c r="AC19" s="1117" t="s">
        <v>125</v>
      </c>
      <c r="AD19" s="1118"/>
      <c r="AE19" s="1119"/>
      <c r="AF19" s="30"/>
      <c r="AG19" s="30"/>
      <c r="AH19" s="30"/>
      <c r="AI19" s="30"/>
      <c r="AJ19" s="30"/>
      <c r="AK19" s="280"/>
      <c r="AL19" s="238"/>
      <c r="AM19" s="241"/>
      <c r="AN19" s="241"/>
      <c r="AO19" s="241"/>
      <c r="AP19" s="238"/>
      <c r="AQ19" s="238"/>
      <c r="AR19" s="238"/>
      <c r="AS19" s="238"/>
      <c r="AT19" s="238"/>
      <c r="AU19" s="238"/>
      <c r="AV19" s="238"/>
      <c r="AW19" s="238"/>
      <c r="AX19" s="238"/>
      <c r="AY19" s="238"/>
      <c r="AZ19" s="238"/>
      <c r="BA19" s="238"/>
      <c r="BB19" s="238"/>
      <c r="BC19" s="238"/>
      <c r="BD19" s="238"/>
      <c r="BE19" s="238"/>
      <c r="BF19" s="239"/>
      <c r="BG19" s="239"/>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row>
    <row r="20" spans="1:94" s="240" customFormat="1" ht="14.25" customHeight="1">
      <c r="A20" s="250"/>
      <c r="B20" s="251"/>
      <c r="C20" s="251"/>
      <c r="D20" s="251"/>
      <c r="E20" s="251"/>
      <c r="F20" s="251"/>
      <c r="G20" s="450"/>
      <c r="H20" s="1302" t="s">
        <v>734</v>
      </c>
      <c r="I20" s="1283"/>
      <c r="J20" s="1303"/>
      <c r="K20" s="1302" t="s">
        <v>599</v>
      </c>
      <c r="L20" s="1283"/>
      <c r="M20" s="1303"/>
      <c r="N20" s="1302" t="s">
        <v>734</v>
      </c>
      <c r="O20" s="1283"/>
      <c r="P20" s="1303"/>
      <c r="Q20" s="1302" t="s">
        <v>599</v>
      </c>
      <c r="R20" s="1283"/>
      <c r="S20" s="1303"/>
      <c r="T20" s="1089" t="s">
        <v>598</v>
      </c>
      <c r="U20" s="1090"/>
      <c r="V20" s="1091"/>
      <c r="W20" s="1089" t="s">
        <v>599</v>
      </c>
      <c r="X20" s="1090"/>
      <c r="Y20" s="1091"/>
      <c r="Z20" s="1089" t="s">
        <v>598</v>
      </c>
      <c r="AA20" s="1090"/>
      <c r="AB20" s="1091"/>
      <c r="AC20" s="1089" t="s">
        <v>599</v>
      </c>
      <c r="AD20" s="1090"/>
      <c r="AE20" s="1091"/>
      <c r="AF20" s="30"/>
      <c r="AG20" s="30"/>
      <c r="AH20" s="30"/>
      <c r="AI20" s="30"/>
      <c r="AJ20" s="30"/>
      <c r="AK20" s="253"/>
      <c r="AL20" s="238"/>
      <c r="AM20" s="441"/>
      <c r="AN20" s="241"/>
      <c r="AO20" s="241"/>
      <c r="AP20" s="431" t="s">
        <v>116</v>
      </c>
      <c r="AQ20" s="432"/>
      <c r="AR20" s="433"/>
      <c r="AS20" s="431" t="s">
        <v>122</v>
      </c>
      <c r="AT20" s="432"/>
      <c r="AU20" s="433"/>
      <c r="AV20" s="238"/>
      <c r="AW20" s="238"/>
      <c r="AX20" s="238"/>
      <c r="AY20" s="238"/>
      <c r="AZ20" s="238"/>
      <c r="BA20" s="238"/>
      <c r="BB20" s="238"/>
      <c r="BC20" s="238"/>
      <c r="BD20" s="238"/>
      <c r="BE20" s="238"/>
      <c r="BF20" s="239"/>
      <c r="BG20" s="239"/>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row>
    <row r="21" spans="1:94" s="240" customFormat="1" ht="14.25" customHeight="1">
      <c r="A21" s="434" t="s">
        <v>735</v>
      </c>
      <c r="B21" s="435"/>
      <c r="C21" s="435"/>
      <c r="D21" s="435"/>
      <c r="E21" s="435"/>
      <c r="F21" s="435"/>
      <c r="G21" s="436"/>
      <c r="H21" s="1418">
        <f>AU22</f>
        <v>2415.11868808089</v>
      </c>
      <c r="I21" s="1419"/>
      <c r="J21" s="1420"/>
      <c r="K21" s="1304"/>
      <c r="L21" s="1305"/>
      <c r="M21" s="1306"/>
      <c r="N21" s="1594"/>
      <c r="O21" s="1595"/>
      <c r="P21" s="1596"/>
      <c r="Q21" s="1597"/>
      <c r="R21" s="1598"/>
      <c r="S21" s="1599"/>
      <c r="T21" s="1600"/>
      <c r="U21" s="1601"/>
      <c r="V21" s="1602"/>
      <c r="W21" s="1603"/>
      <c r="X21" s="1604"/>
      <c r="Y21" s="1605"/>
      <c r="Z21" s="1600"/>
      <c r="AA21" s="1601"/>
      <c r="AB21" s="1602"/>
      <c r="AC21" s="1591"/>
      <c r="AD21" s="1592"/>
      <c r="AE21" s="1593"/>
      <c r="AF21" s="30"/>
      <c r="AG21" s="30"/>
      <c r="AH21" s="30"/>
      <c r="AI21" s="30"/>
      <c r="AJ21" s="30"/>
      <c r="AK21" s="253"/>
      <c r="AL21" s="238"/>
      <c r="AM21" s="241"/>
      <c r="AN21" s="241"/>
      <c r="AO21" s="241"/>
      <c r="AP21" s="437" t="s">
        <v>737</v>
      </c>
      <c r="AQ21" s="451" t="s">
        <v>738</v>
      </c>
      <c r="AR21" s="451" t="s">
        <v>731</v>
      </c>
      <c r="AS21" s="437" t="s">
        <v>386</v>
      </c>
      <c r="AT21" s="437" t="s">
        <v>714</v>
      </c>
      <c r="AU21" s="437" t="s">
        <v>715</v>
      </c>
      <c r="AV21" s="238"/>
      <c r="AW21" s="238"/>
      <c r="AX21" s="238"/>
      <c r="AY21" s="238"/>
      <c r="AZ21" s="238"/>
      <c r="BA21" s="238"/>
      <c r="BB21" s="238"/>
      <c r="BC21" s="238"/>
      <c r="BD21" s="238"/>
      <c r="BE21" s="238"/>
      <c r="BF21" s="239"/>
      <c r="BG21" s="239"/>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row>
    <row r="22" spans="1:94" s="240" customFormat="1" ht="14.25" customHeight="1">
      <c r="A22" s="438" t="s">
        <v>800</v>
      </c>
      <c r="B22" s="439"/>
      <c r="C22" s="439"/>
      <c r="D22" s="439"/>
      <c r="E22" s="439"/>
      <c r="F22" s="439"/>
      <c r="G22" s="440"/>
      <c r="H22" s="1543">
        <f>H21*Q16/Q17</f>
        <v>2427.2678157148684</v>
      </c>
      <c r="I22" s="1550"/>
      <c r="J22" s="1544"/>
      <c r="K22" s="1569">
        <f>H22/1000000/$K17</f>
        <v>3.4724861455148331E-3</v>
      </c>
      <c r="L22" s="1570"/>
      <c r="M22" s="1571"/>
      <c r="N22" s="1606"/>
      <c r="O22" s="1607"/>
      <c r="P22" s="1608"/>
      <c r="Q22" s="1609"/>
      <c r="R22" s="1610"/>
      <c r="S22" s="1611"/>
      <c r="T22" s="1618"/>
      <c r="U22" s="1619"/>
      <c r="V22" s="1620"/>
      <c r="W22" s="1621"/>
      <c r="X22" s="1622"/>
      <c r="Y22" s="1623"/>
      <c r="Z22" s="1624"/>
      <c r="AA22" s="1625"/>
      <c r="AB22" s="1626"/>
      <c r="AC22" s="1621"/>
      <c r="AD22" s="1622"/>
      <c r="AE22" s="1623"/>
      <c r="AF22" s="30"/>
      <c r="AG22" s="30"/>
      <c r="AH22" s="30"/>
      <c r="AI22" s="30"/>
      <c r="AJ22" s="30"/>
      <c r="AK22" s="253"/>
      <c r="AL22" s="238"/>
      <c r="AM22" s="241"/>
      <c r="AN22" s="241"/>
      <c r="AO22" s="241"/>
      <c r="AP22" s="444">
        <v>40</v>
      </c>
      <c r="AQ22" s="452">
        <f>AP22/1000000/1000/AR10</f>
        <v>4.0000000000000003E-5</v>
      </c>
      <c r="AR22" s="446">
        <f>AQ22*1000000</f>
        <v>40</v>
      </c>
      <c r="AS22" s="444">
        <v>0.14000000000000001</v>
      </c>
      <c r="AT22" s="443">
        <f>AS22*$AR$5</f>
        <v>142.80000000000001</v>
      </c>
      <c r="AU22" s="443">
        <f>$AR$8*AT22</f>
        <v>2415.11868808089</v>
      </c>
      <c r="AV22" s="238"/>
      <c r="AW22" s="238"/>
      <c r="AX22" s="238"/>
      <c r="AY22" s="238"/>
      <c r="AZ22" s="238"/>
      <c r="BA22" s="238"/>
      <c r="BB22" s="238"/>
      <c r="BC22" s="238"/>
      <c r="BD22" s="238"/>
      <c r="BE22" s="238"/>
      <c r="BF22" s="239"/>
      <c r="BG22" s="239"/>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row>
    <row r="23" spans="1:94" s="240" customFormat="1" ht="14.25" customHeight="1">
      <c r="A23" s="133"/>
      <c r="B23" s="30"/>
      <c r="C23" s="30"/>
      <c r="D23" s="30"/>
      <c r="E23" s="30"/>
      <c r="F23" s="30"/>
      <c r="G23" s="253"/>
      <c r="H23" s="1352"/>
      <c r="I23" s="1353"/>
      <c r="J23" s="1354"/>
      <c r="K23" s="1355"/>
      <c r="L23" s="1356"/>
      <c r="M23" s="1357"/>
      <c r="N23" s="1612"/>
      <c r="O23" s="1613"/>
      <c r="P23" s="1614"/>
      <c r="Q23" s="1615"/>
      <c r="R23" s="1616"/>
      <c r="S23" s="1617"/>
      <c r="T23" s="1618"/>
      <c r="U23" s="1619"/>
      <c r="V23" s="1620"/>
      <c r="W23" s="1627"/>
      <c r="X23" s="1628"/>
      <c r="Y23" s="1629"/>
      <c r="Z23" s="1627"/>
      <c r="AA23" s="1628"/>
      <c r="AB23" s="1629"/>
      <c r="AC23" s="1627"/>
      <c r="AD23" s="1628"/>
      <c r="AE23" s="1629"/>
      <c r="AF23" s="30"/>
      <c r="AG23" s="30"/>
      <c r="AH23" s="30"/>
      <c r="AI23" s="30"/>
      <c r="AJ23" s="30"/>
      <c r="AK23" s="253"/>
      <c r="AL23" s="238"/>
      <c r="AM23" s="453">
        <f>X25/K17</f>
        <v>119217.93037672866</v>
      </c>
      <c r="AN23" s="241"/>
      <c r="AO23" s="241"/>
      <c r="AP23" s="444">
        <f>AP22</f>
        <v>40</v>
      </c>
      <c r="AQ23" s="452">
        <f>AP23/1000000/1000/AR11</f>
        <v>3.7879999999999996E-11</v>
      </c>
      <c r="AR23" s="446">
        <f>AQ23*1000000</f>
        <v>3.7879999999999996E-5</v>
      </c>
      <c r="AS23" s="444"/>
      <c r="AT23" s="445"/>
      <c r="AU23" s="446"/>
      <c r="AV23" s="238"/>
      <c r="AW23" s="238"/>
      <c r="AX23" s="238"/>
      <c r="AY23" s="238"/>
      <c r="AZ23" s="238"/>
      <c r="BA23" s="238"/>
      <c r="BB23" s="238"/>
      <c r="BC23" s="238"/>
      <c r="BD23" s="238"/>
      <c r="BE23" s="238"/>
      <c r="BF23" s="239"/>
      <c r="BG23" s="239"/>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row>
    <row r="24" spans="1:94" s="240" customFormat="1" ht="14.25" customHeight="1">
      <c r="A24" s="279" t="s">
        <v>612</v>
      </c>
      <c r="B24" s="132"/>
      <c r="C24" s="132"/>
      <c r="D24" s="132"/>
      <c r="E24" s="132"/>
      <c r="F24" s="132"/>
      <c r="G24" s="132"/>
      <c r="H24" s="132"/>
      <c r="I24" s="132"/>
      <c r="J24" s="132"/>
      <c r="K24" s="132"/>
      <c r="L24" s="132"/>
      <c r="M24" s="132"/>
      <c r="N24" s="132"/>
      <c r="O24" s="132"/>
      <c r="P24" s="132"/>
      <c r="Q24" s="132"/>
      <c r="R24" s="132"/>
      <c r="S24" s="280"/>
      <c r="T24" s="587" t="s">
        <v>613</v>
      </c>
      <c r="U24" s="435"/>
      <c r="V24" s="435"/>
      <c r="W24" s="435"/>
      <c r="X24" s="435"/>
      <c r="Y24" s="435"/>
      <c r="Z24" s="435"/>
      <c r="AA24" s="435"/>
      <c r="AB24" s="435"/>
      <c r="AC24" s="435"/>
      <c r="AD24" s="435"/>
      <c r="AE24" s="435"/>
      <c r="AF24" s="435"/>
      <c r="AG24" s="435"/>
      <c r="AH24" s="435"/>
      <c r="AI24" s="435"/>
      <c r="AJ24" s="435"/>
      <c r="AK24" s="436"/>
      <c r="AL24" s="238"/>
      <c r="AM24" s="241"/>
      <c r="AN24" s="241"/>
      <c r="AO24" s="241"/>
      <c r="AP24" s="241"/>
      <c r="AQ24" s="241"/>
      <c r="AR24" s="241"/>
      <c r="AS24" s="241"/>
      <c r="AT24" s="241"/>
      <c r="AU24" s="241"/>
      <c r="AV24" s="241"/>
      <c r="AW24" s="241"/>
      <c r="AX24" s="238"/>
      <c r="AY24" s="238"/>
      <c r="AZ24" s="238"/>
      <c r="BA24" s="238"/>
      <c r="BB24" s="238"/>
      <c r="BC24" s="238"/>
      <c r="BD24" s="238"/>
      <c r="BE24" s="238"/>
      <c r="BF24" s="239"/>
      <c r="BG24" s="239"/>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row>
    <row r="25" spans="1:94" s="240" customFormat="1" ht="14.25" customHeight="1">
      <c r="A25" s="133" t="s">
        <v>614</v>
      </c>
      <c r="B25" s="30"/>
      <c r="C25" s="30"/>
      <c r="D25" s="30"/>
      <c r="E25" s="30"/>
      <c r="F25" s="30"/>
      <c r="G25" s="30"/>
      <c r="H25" s="588"/>
      <c r="I25" s="30" t="s">
        <v>590</v>
      </c>
      <c r="J25" s="30"/>
      <c r="K25" s="30"/>
      <c r="L25" s="30" t="s">
        <v>615</v>
      </c>
      <c r="M25" s="30"/>
      <c r="N25" s="30"/>
      <c r="O25" s="30"/>
      <c r="P25" s="30"/>
      <c r="Q25" s="30"/>
      <c r="R25" s="30"/>
      <c r="S25" s="253" t="s">
        <v>616</v>
      </c>
      <c r="T25" s="1294" t="s">
        <v>800</v>
      </c>
      <c r="U25" s="1295"/>
      <c r="V25" s="1295"/>
      <c r="W25" s="1295"/>
      <c r="X25" s="1296">
        <f>X40*1000/2/24</f>
        <v>83333.333333333328</v>
      </c>
      <c r="Y25" s="1296"/>
      <c r="Z25" s="1296"/>
      <c r="AA25" s="1295" t="s">
        <v>617</v>
      </c>
      <c r="AB25" s="1295"/>
      <c r="AC25" s="1297">
        <f>X25/H17</f>
        <v>5169.5616211745237</v>
      </c>
      <c r="AD25" s="1297"/>
      <c r="AE25" s="1295" t="s">
        <v>618</v>
      </c>
      <c r="AF25" s="1295"/>
      <c r="AG25" s="1295"/>
      <c r="AH25" s="1297">
        <f>X25*N17/3600</f>
        <v>1152.3148148148148</v>
      </c>
      <c r="AI25" s="1297"/>
      <c r="AJ25" s="479" t="s">
        <v>590</v>
      </c>
      <c r="AK25" s="480"/>
      <c r="AL25" s="238"/>
      <c r="AM25" s="254">
        <f>X25*W22</f>
        <v>0</v>
      </c>
      <c r="AN25" s="241"/>
      <c r="AO25" s="241"/>
      <c r="AP25" s="241"/>
      <c r="AQ25" s="241"/>
      <c r="AR25" s="241"/>
      <c r="AS25" s="241"/>
      <c r="AT25" s="241"/>
      <c r="AU25" s="241"/>
      <c r="AV25" s="241"/>
      <c r="AW25" s="241"/>
      <c r="AX25" s="238"/>
      <c r="AY25" s="238"/>
      <c r="AZ25" s="238"/>
      <c r="BA25" s="238"/>
      <c r="BB25" s="238"/>
      <c r="BC25" s="238"/>
      <c r="BD25" s="238"/>
      <c r="BE25" s="238"/>
      <c r="BF25" s="239"/>
      <c r="BG25" s="239"/>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row>
    <row r="26" spans="1:94" s="240" customFormat="1" ht="14.25" customHeight="1">
      <c r="A26" s="250" t="s">
        <v>619</v>
      </c>
      <c r="B26" s="251"/>
      <c r="C26" s="251"/>
      <c r="D26" s="251"/>
      <c r="E26" s="251"/>
      <c r="F26" s="251"/>
      <c r="G26" s="251"/>
      <c r="H26" s="252"/>
      <c r="I26" s="251" t="s">
        <v>590</v>
      </c>
      <c r="J26" s="251"/>
      <c r="K26" s="251"/>
      <c r="L26" s="251"/>
      <c r="M26" s="251"/>
      <c r="N26" s="251"/>
      <c r="O26" s="251"/>
      <c r="P26" s="251"/>
      <c r="Q26" s="251"/>
      <c r="R26" s="251"/>
      <c r="S26" s="450"/>
      <c r="T26" s="1292"/>
      <c r="U26" s="1286"/>
      <c r="V26" s="860"/>
      <c r="W26" s="860"/>
      <c r="X26" s="1293"/>
      <c r="Y26" s="1293"/>
      <c r="Z26" s="1293"/>
      <c r="AA26" s="860"/>
      <c r="AB26" s="860"/>
      <c r="AC26" s="1293"/>
      <c r="AD26" s="1293"/>
      <c r="AE26" s="860"/>
      <c r="AF26" s="860"/>
      <c r="AG26" s="860"/>
      <c r="AH26" s="1293"/>
      <c r="AI26" s="1293"/>
      <c r="AJ26" s="30"/>
      <c r="AK26" s="253"/>
      <c r="AL26" s="238"/>
      <c r="AM26" s="254">
        <f>W22*SUM(N33:O42)</f>
        <v>0</v>
      </c>
      <c r="AN26" s="241"/>
      <c r="AO26" s="241"/>
      <c r="AP26" s="241"/>
      <c r="AQ26" s="241"/>
      <c r="AR26" s="241"/>
      <c r="AS26" s="241"/>
      <c r="AT26" s="241"/>
      <c r="AU26" s="241"/>
      <c r="AV26" s="241"/>
      <c r="AW26" s="241"/>
      <c r="AX26" s="238"/>
      <c r="AY26" s="238"/>
      <c r="AZ26" s="238"/>
      <c r="BA26" s="238"/>
      <c r="BB26" s="238"/>
      <c r="BC26" s="238"/>
      <c r="BD26" s="238"/>
      <c r="BE26" s="238"/>
      <c r="BF26" s="239"/>
      <c r="BG26" s="239"/>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row>
    <row r="27" spans="1:94" s="240" customFormat="1" ht="14.25" customHeight="1">
      <c r="A27" s="1370" t="s">
        <v>718</v>
      </c>
      <c r="B27" s="1370"/>
      <c r="C27" s="1370"/>
      <c r="D27" s="1370"/>
      <c r="E27" s="1370"/>
      <c r="F27" s="1371" t="s">
        <v>801</v>
      </c>
      <c r="G27" s="1372"/>
      <c r="H27" s="1372"/>
      <c r="I27" s="1372"/>
      <c r="J27" s="1372"/>
      <c r="K27" s="1372"/>
      <c r="L27" s="1372"/>
      <c r="M27" s="1372"/>
      <c r="N27" s="1372"/>
      <c r="O27" s="1372"/>
      <c r="P27" s="1372"/>
      <c r="Q27" s="1372"/>
      <c r="R27" s="1372"/>
      <c r="S27" s="1372"/>
      <c r="T27" s="1372"/>
      <c r="U27" s="1373"/>
      <c r="V27" s="1575" t="s">
        <v>806</v>
      </c>
      <c r="W27" s="1576"/>
      <c r="X27" s="1576"/>
      <c r="Y27" s="1576"/>
      <c r="Z27" s="1576"/>
      <c r="AA27" s="1576"/>
      <c r="AB27" s="1576"/>
      <c r="AC27" s="1576"/>
      <c r="AD27" s="1576"/>
      <c r="AE27" s="1576"/>
      <c r="AF27" s="1576"/>
      <c r="AG27" s="1576"/>
      <c r="AH27" s="1576"/>
      <c r="AI27" s="1576"/>
      <c r="AJ27" s="1576"/>
      <c r="AK27" s="253"/>
      <c r="AL27" s="255"/>
      <c r="AM27" s="241"/>
      <c r="AN27" s="241"/>
      <c r="AO27" s="241"/>
      <c r="AP27" s="241"/>
      <c r="AQ27" s="241"/>
      <c r="AR27" s="241"/>
      <c r="AS27" s="241"/>
      <c r="AT27" s="241"/>
      <c r="AU27" s="241"/>
      <c r="AV27" s="241"/>
      <c r="AW27" s="241"/>
      <c r="AX27" s="241"/>
      <c r="AY27" s="241"/>
      <c r="AZ27" s="238"/>
      <c r="BA27" s="238"/>
      <c r="BB27" s="238"/>
      <c r="BC27" s="238"/>
      <c r="BD27" s="238"/>
      <c r="BE27" s="238"/>
      <c r="BF27" s="239"/>
      <c r="BG27" s="239"/>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row>
    <row r="28" spans="1:94" s="240" customFormat="1" ht="14.25" customHeight="1">
      <c r="A28" s="256" t="s">
        <v>620</v>
      </c>
      <c r="B28" s="30"/>
      <c r="C28" s="30"/>
      <c r="D28" s="30"/>
      <c r="E28" s="30"/>
      <c r="F28" s="1374"/>
      <c r="G28" s="1374"/>
      <c r="H28" s="1374"/>
      <c r="I28" s="1374"/>
      <c r="J28" s="1375" t="s">
        <v>120</v>
      </c>
      <c r="K28" s="1375"/>
      <c r="L28" s="1375"/>
      <c r="M28" s="1375"/>
      <c r="N28" s="1374" t="s">
        <v>621</v>
      </c>
      <c r="O28" s="1374"/>
      <c r="P28" s="1375" t="s">
        <v>622</v>
      </c>
      <c r="Q28" s="1375"/>
      <c r="R28" s="1375"/>
      <c r="S28" s="1375"/>
      <c r="T28" s="1375"/>
      <c r="U28" s="1375"/>
      <c r="V28" s="1577"/>
      <c r="W28" s="1576"/>
      <c r="X28" s="1576"/>
      <c r="Y28" s="1576"/>
      <c r="Z28" s="1576"/>
      <c r="AA28" s="1576"/>
      <c r="AB28" s="1576"/>
      <c r="AC28" s="1576"/>
      <c r="AD28" s="1576"/>
      <c r="AE28" s="1576"/>
      <c r="AF28" s="1576"/>
      <c r="AG28" s="1576"/>
      <c r="AH28" s="1576"/>
      <c r="AI28" s="1576"/>
      <c r="AJ28" s="1576"/>
      <c r="AK28" s="253"/>
      <c r="AL28" s="255"/>
      <c r="AM28" s="241"/>
      <c r="AN28" s="241"/>
      <c r="AO28" s="241"/>
      <c r="AP28" s="241"/>
      <c r="AQ28" s="241"/>
      <c r="AR28" s="241"/>
      <c r="AS28" s="241"/>
      <c r="AT28" s="241"/>
      <c r="AU28" s="241"/>
      <c r="AV28" s="241"/>
      <c r="AW28" s="241"/>
      <c r="AX28" s="241"/>
      <c r="AY28" s="241"/>
      <c r="AZ28" s="238"/>
      <c r="BA28" s="238"/>
      <c r="BB28" s="238"/>
      <c r="BC28" s="238"/>
      <c r="BD28" s="238"/>
      <c r="BE28" s="238"/>
      <c r="BF28" s="239"/>
      <c r="BG28" s="239"/>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38"/>
      <c r="CN28" s="238"/>
      <c r="CO28" s="238"/>
      <c r="CP28" s="238"/>
    </row>
    <row r="29" spans="1:94" s="240" customFormat="1" ht="14.25" customHeight="1">
      <c r="A29" s="133"/>
      <c r="B29" s="30"/>
      <c r="C29" s="30"/>
      <c r="D29" s="30"/>
      <c r="E29" s="30"/>
      <c r="F29" s="1374"/>
      <c r="G29" s="1374"/>
      <c r="H29" s="1374"/>
      <c r="I29" s="1374"/>
      <c r="J29" s="1375" t="s">
        <v>624</v>
      </c>
      <c r="K29" s="1375"/>
      <c r="L29" s="1375" t="s">
        <v>625</v>
      </c>
      <c r="M29" s="1375"/>
      <c r="N29" s="1374"/>
      <c r="O29" s="1374"/>
      <c r="P29" s="1375"/>
      <c r="Q29" s="1375"/>
      <c r="R29" s="1375"/>
      <c r="S29" s="1375"/>
      <c r="T29" s="1375"/>
      <c r="U29" s="1375"/>
      <c r="V29" s="1577"/>
      <c r="W29" s="1576"/>
      <c r="X29" s="1576"/>
      <c r="Y29" s="1576"/>
      <c r="Z29" s="1576"/>
      <c r="AA29" s="1576"/>
      <c r="AB29" s="1576"/>
      <c r="AC29" s="1576"/>
      <c r="AD29" s="1576"/>
      <c r="AE29" s="1576"/>
      <c r="AF29" s="1576"/>
      <c r="AG29" s="1576"/>
      <c r="AH29" s="1576"/>
      <c r="AI29" s="1576"/>
      <c r="AJ29" s="1576"/>
      <c r="AK29" s="253"/>
      <c r="AL29" s="258"/>
      <c r="AM29" s="259" t="s">
        <v>740</v>
      </c>
      <c r="AN29" s="259"/>
      <c r="AO29" s="259"/>
      <c r="AP29" s="259"/>
      <c r="AQ29" s="259"/>
      <c r="AR29" s="259"/>
      <c r="AS29" s="259" t="s">
        <v>741</v>
      </c>
      <c r="AT29" s="259"/>
      <c r="AU29" s="259" t="s">
        <v>742</v>
      </c>
      <c r="AV29" s="259"/>
      <c r="AW29" s="259"/>
      <c r="AX29" s="259"/>
      <c r="AY29" s="258"/>
      <c r="AZ29" s="238"/>
      <c r="BA29" s="238"/>
      <c r="BB29" s="238"/>
      <c r="BC29" s="238"/>
      <c r="BD29" s="238"/>
      <c r="BE29" s="238"/>
      <c r="BF29" s="239"/>
      <c r="BG29" s="239"/>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row>
    <row r="30" spans="1:94" s="240" customFormat="1" ht="14.25" customHeight="1">
      <c r="A30" s="1376" t="s">
        <v>630</v>
      </c>
      <c r="B30" s="1376"/>
      <c r="C30" s="1376"/>
      <c r="D30" s="1376"/>
      <c r="E30" s="1376"/>
      <c r="F30" s="1375" t="s">
        <v>631</v>
      </c>
      <c r="G30" s="1375"/>
      <c r="H30" s="1375" t="s">
        <v>618</v>
      </c>
      <c r="I30" s="1375"/>
      <c r="J30" s="1373" t="s">
        <v>618</v>
      </c>
      <c r="K30" s="1375"/>
      <c r="L30" s="1375" t="s">
        <v>618</v>
      </c>
      <c r="M30" s="1375"/>
      <c r="N30" s="1375" t="s">
        <v>617</v>
      </c>
      <c r="O30" s="1375"/>
      <c r="P30" s="1375" t="s">
        <v>631</v>
      </c>
      <c r="Q30" s="1375"/>
      <c r="R30" s="1371" t="s">
        <v>618</v>
      </c>
      <c r="S30" s="1373"/>
      <c r="T30" s="1371" t="s">
        <v>617</v>
      </c>
      <c r="U30" s="1373"/>
      <c r="V30" s="1577"/>
      <c r="W30" s="1576"/>
      <c r="X30" s="1576"/>
      <c r="Y30" s="1576"/>
      <c r="Z30" s="1576"/>
      <c r="AA30" s="1576"/>
      <c r="AB30" s="1576"/>
      <c r="AC30" s="1576"/>
      <c r="AD30" s="1576"/>
      <c r="AE30" s="1576"/>
      <c r="AF30" s="1576"/>
      <c r="AG30" s="1576"/>
      <c r="AH30" s="1576"/>
      <c r="AI30" s="1576"/>
      <c r="AJ30" s="1576"/>
      <c r="AK30" s="253"/>
      <c r="AL30" s="258"/>
      <c r="AM30" s="259" t="s">
        <v>633</v>
      </c>
      <c r="AN30" s="259" t="s">
        <v>634</v>
      </c>
      <c r="AO30" s="259" t="s">
        <v>635</v>
      </c>
      <c r="AP30" s="259" t="s">
        <v>636</v>
      </c>
      <c r="AQ30" s="259" t="s">
        <v>637</v>
      </c>
      <c r="AR30" s="259" t="s">
        <v>590</v>
      </c>
      <c r="AS30" s="259" t="s">
        <v>428</v>
      </c>
      <c r="AT30" s="259" t="s">
        <v>429</v>
      </c>
      <c r="AU30" s="259" t="s">
        <v>126</v>
      </c>
      <c r="AV30" s="259" t="s">
        <v>431</v>
      </c>
      <c r="AW30" s="259" t="s">
        <v>429</v>
      </c>
      <c r="AX30" s="259" t="s">
        <v>124</v>
      </c>
      <c r="AY30" s="258"/>
      <c r="AZ30" s="238"/>
      <c r="BA30" s="238"/>
      <c r="BB30" s="238"/>
      <c r="BC30" s="238"/>
      <c r="BD30" s="238"/>
      <c r="BE30" s="238"/>
      <c r="BF30" s="239" t="s">
        <v>128</v>
      </c>
      <c r="BG30" s="239" t="s">
        <v>743</v>
      </c>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row>
    <row r="31" spans="1:94" s="240" customFormat="1" ht="14.25" customHeight="1">
      <c r="A31" s="260" t="s">
        <v>638</v>
      </c>
      <c r="B31" s="261"/>
      <c r="C31" s="261"/>
      <c r="D31" s="261"/>
      <c r="E31" s="262"/>
      <c r="F31" s="1377">
        <v>0</v>
      </c>
      <c r="G31" s="1378"/>
      <c r="H31" s="1379">
        <v>0</v>
      </c>
      <c r="I31" s="1381"/>
      <c r="J31" s="1380"/>
      <c r="K31" s="1380"/>
      <c r="L31" s="1379"/>
      <c r="M31" s="1380"/>
      <c r="N31" s="1379">
        <f t="shared" ref="N31:N51" si="0">SUM(H31,J31,L31)*AR31</f>
        <v>0</v>
      </c>
      <c r="O31" s="1380"/>
      <c r="P31" s="1379"/>
      <c r="Q31" s="1381"/>
      <c r="R31" s="1379"/>
      <c r="S31" s="1380"/>
      <c r="T31" s="1379"/>
      <c r="U31" s="1381"/>
      <c r="V31" s="1577"/>
      <c r="W31" s="1576"/>
      <c r="X31" s="1576"/>
      <c r="Y31" s="1576"/>
      <c r="Z31" s="1576"/>
      <c r="AA31" s="1576"/>
      <c r="AB31" s="1576"/>
      <c r="AC31" s="1576"/>
      <c r="AD31" s="1576"/>
      <c r="AE31" s="1576"/>
      <c r="AF31" s="1576"/>
      <c r="AG31" s="1576"/>
      <c r="AH31" s="1576"/>
      <c r="AI31" s="1576"/>
      <c r="AJ31" s="1576"/>
      <c r="AK31" s="264"/>
      <c r="AL31" s="258"/>
      <c r="AM31" s="259"/>
      <c r="AN31" s="259">
        <v>2</v>
      </c>
      <c r="AO31" s="259"/>
      <c r="AP31" s="259"/>
      <c r="AQ31" s="259"/>
      <c r="AR31" s="265">
        <f>AM31*12.01+AN31*1.008+AO31*16+AP31*14+AQ31*32</f>
        <v>2.016</v>
      </c>
      <c r="AS31" s="259">
        <f>AM31*1+AN31*0.25+AQ31*1</f>
        <v>0.5</v>
      </c>
      <c r="AT31" s="266">
        <f>0.79/0.21*AS31</f>
        <v>1.8809523809523812</v>
      </c>
      <c r="AU31" s="259">
        <f>1*AM31</f>
        <v>0</v>
      </c>
      <c r="AV31" s="259">
        <f>AN31/2</f>
        <v>1</v>
      </c>
      <c r="AW31" s="266">
        <f>AP31*0.5+AT31</f>
        <v>1.8809523809523812</v>
      </c>
      <c r="AX31" s="259">
        <f>AQ31*1</f>
        <v>0</v>
      </c>
      <c r="AY31" s="258"/>
      <c r="AZ31" s="238"/>
      <c r="BA31" s="238"/>
      <c r="BB31" s="238"/>
      <c r="BC31" s="238"/>
      <c r="BD31" s="238"/>
      <c r="BE31" s="239" t="s">
        <v>639</v>
      </c>
      <c r="BF31" s="239">
        <v>1.4200000000000001E-2</v>
      </c>
      <c r="BG31" s="239">
        <v>2.9999999999999997E-4</v>
      </c>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row>
    <row r="32" spans="1:94" s="240" customFormat="1" ht="14.25" customHeight="1">
      <c r="A32" s="267" t="s">
        <v>122</v>
      </c>
      <c r="B32" s="268"/>
      <c r="C32" s="268"/>
      <c r="D32" s="268"/>
      <c r="E32" s="269"/>
      <c r="F32" s="1377">
        <f>CO2eEF!P26</f>
        <v>0.99629999999999996</v>
      </c>
      <c r="G32" s="1378"/>
      <c r="H32" s="1299">
        <f>F32*$AC$25</f>
        <v>5150.4342431761779</v>
      </c>
      <c r="I32" s="1301"/>
      <c r="J32" s="1300"/>
      <c r="K32" s="1300"/>
      <c r="L32" s="1299"/>
      <c r="M32" s="1300"/>
      <c r="N32" s="1299">
        <f t="shared" si="0"/>
        <v>82623.266129032258</v>
      </c>
      <c r="O32" s="1301"/>
      <c r="P32" s="1547">
        <f>R32/$R$52</f>
        <v>1.8964274903236886E-3</v>
      </c>
      <c r="Q32" s="1548"/>
      <c r="R32" s="1299">
        <f>T32/$AR32</f>
        <v>103.00868486352356</v>
      </c>
      <c r="S32" s="1300"/>
      <c r="T32" s="1299">
        <f>H32*0.02*AR32</f>
        <v>1652.4653225806451</v>
      </c>
      <c r="U32" s="1301"/>
      <c r="V32" s="1577"/>
      <c r="W32" s="1576"/>
      <c r="X32" s="1576"/>
      <c r="Y32" s="1576"/>
      <c r="Z32" s="1576"/>
      <c r="AA32" s="1576"/>
      <c r="AB32" s="1576"/>
      <c r="AC32" s="1576"/>
      <c r="AD32" s="1576"/>
      <c r="AE32" s="1576"/>
      <c r="AF32" s="1576"/>
      <c r="AG32" s="1576"/>
      <c r="AH32" s="1576"/>
      <c r="AI32" s="1576"/>
      <c r="AJ32" s="1576"/>
      <c r="AK32" s="264"/>
      <c r="AL32" s="258"/>
      <c r="AM32" s="259">
        <v>1</v>
      </c>
      <c r="AN32" s="259">
        <v>4</v>
      </c>
      <c r="AO32" s="259"/>
      <c r="AP32" s="259"/>
      <c r="AQ32" s="259"/>
      <c r="AR32" s="265">
        <f t="shared" ref="AR32:AR47" si="1">AM32*12.01+AN32*1.008+AO32*16+AP32*14+AQ32*32</f>
        <v>16.042000000000002</v>
      </c>
      <c r="AS32" s="259">
        <f t="shared" ref="AS32:AS46" si="2">AM32*1+AN32*0.25+AQ32*1</f>
        <v>2</v>
      </c>
      <c r="AT32" s="266">
        <f t="shared" ref="AT32:AT46" si="3">0.79/0.21*AS32</f>
        <v>7.5238095238095246</v>
      </c>
      <c r="AU32" s="259">
        <f t="shared" ref="AU32:AU46" si="4">1*AM32</f>
        <v>1</v>
      </c>
      <c r="AV32" s="259">
        <f t="shared" ref="AV32:AV46" si="5">AN32/2</f>
        <v>2</v>
      </c>
      <c r="AW32" s="266">
        <f t="shared" ref="AW32:AW46" si="6">AP32*0.5+AT32</f>
        <v>7.5238095238095246</v>
      </c>
      <c r="AX32" s="259">
        <f t="shared" ref="AX32:AX46" si="7">AQ32*1</f>
        <v>0</v>
      </c>
      <c r="AY32" s="258"/>
      <c r="AZ32" s="238"/>
      <c r="BA32" s="238"/>
      <c r="BB32" s="238"/>
      <c r="BC32" s="238"/>
      <c r="BD32" s="238"/>
      <c r="BE32" s="239" t="s">
        <v>126</v>
      </c>
      <c r="BF32" s="239">
        <v>9.5999999999999992E-3</v>
      </c>
      <c r="BG32" s="239">
        <v>0.77539999999999998</v>
      </c>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row>
    <row r="33" spans="1:94" s="240" customFormat="1" ht="14.25" customHeight="1">
      <c r="A33" s="267" t="s">
        <v>641</v>
      </c>
      <c r="B33" s="268"/>
      <c r="C33" s="268"/>
      <c r="D33" s="268"/>
      <c r="E33" s="269"/>
      <c r="F33" s="1377">
        <v>0</v>
      </c>
      <c r="G33" s="1378"/>
      <c r="H33" s="1299">
        <f t="shared" ref="H33:H51" si="8">F33*$AC$25</f>
        <v>0</v>
      </c>
      <c r="I33" s="1301"/>
      <c r="J33" s="1300"/>
      <c r="K33" s="1300"/>
      <c r="L33" s="1299"/>
      <c r="M33" s="1300"/>
      <c r="N33" s="1299">
        <f t="shared" si="0"/>
        <v>0</v>
      </c>
      <c r="O33" s="1301"/>
      <c r="P33" s="1299">
        <f t="shared" ref="P33:P51" si="9">R33/$R$52</f>
        <v>0</v>
      </c>
      <c r="Q33" s="1301"/>
      <c r="R33" s="1300"/>
      <c r="S33" s="1300"/>
      <c r="T33" s="1299"/>
      <c r="U33" s="1301"/>
      <c r="V33" s="263"/>
      <c r="W33" s="263"/>
      <c r="X33" s="270">
        <f>AH25</f>
        <v>1152.3148148148148</v>
      </c>
      <c r="Y33" s="31" t="s">
        <v>590</v>
      </c>
      <c r="Z33" s="270"/>
      <c r="AA33" s="263"/>
      <c r="AB33" s="263"/>
      <c r="AC33" s="263"/>
      <c r="AD33" s="263"/>
      <c r="AE33" s="263"/>
      <c r="AF33" s="263"/>
      <c r="AG33" s="263"/>
      <c r="AH33" s="263"/>
      <c r="AI33" s="263"/>
      <c r="AJ33" s="263"/>
      <c r="AK33" s="264"/>
      <c r="AL33" s="258"/>
      <c r="AM33" s="259">
        <v>2</v>
      </c>
      <c r="AN33" s="259">
        <v>4</v>
      </c>
      <c r="AO33" s="259"/>
      <c r="AP33" s="259"/>
      <c r="AQ33" s="259"/>
      <c r="AR33" s="265">
        <f t="shared" si="1"/>
        <v>28.052</v>
      </c>
      <c r="AS33" s="259">
        <f t="shared" si="2"/>
        <v>3</v>
      </c>
      <c r="AT33" s="266">
        <f t="shared" si="3"/>
        <v>11.285714285714286</v>
      </c>
      <c r="AU33" s="259">
        <f t="shared" si="4"/>
        <v>2</v>
      </c>
      <c r="AV33" s="259">
        <f t="shared" si="5"/>
        <v>2</v>
      </c>
      <c r="AW33" s="266">
        <f t="shared" si="6"/>
        <v>11.285714285714286</v>
      </c>
      <c r="AX33" s="259">
        <f t="shared" si="7"/>
        <v>0</v>
      </c>
      <c r="AY33" s="258"/>
      <c r="AZ33" s="238"/>
      <c r="BA33" s="238"/>
      <c r="BB33" s="238"/>
      <c r="BC33" s="238"/>
      <c r="BD33" s="238"/>
      <c r="BE33" s="239" t="s">
        <v>642</v>
      </c>
      <c r="BF33" s="239">
        <v>0.60499999999999998</v>
      </c>
      <c r="BG33" s="239">
        <v>1.43E-2</v>
      </c>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row>
    <row r="34" spans="1:94" s="240" customFormat="1" ht="14.25" customHeight="1">
      <c r="A34" s="267" t="s">
        <v>643</v>
      </c>
      <c r="B34" s="268"/>
      <c r="C34" s="268"/>
      <c r="D34" s="268"/>
      <c r="E34" s="269"/>
      <c r="F34" s="1377">
        <f>CO2eEF!P27</f>
        <v>7.000000000000001E-4</v>
      </c>
      <c r="G34" s="1378"/>
      <c r="H34" s="1299">
        <f t="shared" si="8"/>
        <v>3.6186931348221671</v>
      </c>
      <c r="I34" s="1301"/>
      <c r="J34" s="1300"/>
      <c r="K34" s="1300"/>
      <c r="L34" s="1299"/>
      <c r="M34" s="1300"/>
      <c r="N34" s="1299">
        <f t="shared" si="0"/>
        <v>108.80686517783292</v>
      </c>
      <c r="O34" s="1301"/>
      <c r="P34" s="1578">
        <f t="shared" si="9"/>
        <v>0</v>
      </c>
      <c r="Q34" s="1579"/>
      <c r="R34" s="1300">
        <f>T34/$AR34</f>
        <v>0</v>
      </c>
      <c r="S34" s="1300"/>
      <c r="T34" s="1299">
        <f>$Q$22*N34</f>
        <v>0</v>
      </c>
      <c r="U34" s="1301"/>
      <c r="V34" s="263"/>
      <c r="W34" s="263"/>
      <c r="X34" s="31">
        <f>7*24</f>
        <v>168</v>
      </c>
      <c r="Y34" s="31" t="s">
        <v>623</v>
      </c>
      <c r="Z34" s="270"/>
      <c r="AA34" s="263"/>
      <c r="AB34" s="263"/>
      <c r="AC34" s="263"/>
      <c r="AD34" s="263"/>
      <c r="AE34" s="263"/>
      <c r="AF34" s="263"/>
      <c r="AG34" s="263"/>
      <c r="AH34" s="263"/>
      <c r="AI34" s="263"/>
      <c r="AJ34" s="263"/>
      <c r="AK34" s="264"/>
      <c r="AL34" s="258"/>
      <c r="AM34" s="259">
        <v>2</v>
      </c>
      <c r="AN34" s="259">
        <v>6</v>
      </c>
      <c r="AO34" s="259"/>
      <c r="AP34" s="259"/>
      <c r="AQ34" s="259"/>
      <c r="AR34" s="265">
        <f t="shared" si="1"/>
        <v>30.067999999999998</v>
      </c>
      <c r="AS34" s="259">
        <f t="shared" si="2"/>
        <v>3.5</v>
      </c>
      <c r="AT34" s="266">
        <f t="shared" si="3"/>
        <v>13.166666666666668</v>
      </c>
      <c r="AU34" s="259">
        <f t="shared" si="4"/>
        <v>2</v>
      </c>
      <c r="AV34" s="259">
        <f t="shared" si="5"/>
        <v>3</v>
      </c>
      <c r="AW34" s="266">
        <f t="shared" si="6"/>
        <v>13.166666666666668</v>
      </c>
      <c r="AX34" s="259">
        <f t="shared" si="7"/>
        <v>0</v>
      </c>
      <c r="AY34" s="258"/>
      <c r="AZ34" s="238"/>
      <c r="BA34" s="238"/>
      <c r="BB34" s="238"/>
      <c r="BC34" s="238"/>
      <c r="BD34" s="238"/>
      <c r="BE34" s="239" t="s">
        <v>644</v>
      </c>
      <c r="BF34" s="239">
        <v>0.17519999999999999</v>
      </c>
      <c r="BG34" s="239">
        <v>1.9E-3</v>
      </c>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38"/>
      <c r="CN34" s="238"/>
      <c r="CO34" s="238"/>
      <c r="CP34" s="238"/>
    </row>
    <row r="35" spans="1:94" s="240" customFormat="1" ht="14.25" customHeight="1">
      <c r="A35" s="267" t="s">
        <v>418</v>
      </c>
      <c r="B35" s="268"/>
      <c r="C35" s="268"/>
      <c r="D35" s="268"/>
      <c r="E35" s="269"/>
      <c r="F35" s="1377">
        <v>0</v>
      </c>
      <c r="G35" s="1378"/>
      <c r="H35" s="1299">
        <f t="shared" si="8"/>
        <v>0</v>
      </c>
      <c r="I35" s="1301"/>
      <c r="J35" s="1300"/>
      <c r="K35" s="1300"/>
      <c r="L35" s="1299"/>
      <c r="M35" s="1300"/>
      <c r="N35" s="1299">
        <f t="shared" si="0"/>
        <v>0</v>
      </c>
      <c r="O35" s="1301"/>
      <c r="P35" s="1299">
        <f t="shared" si="9"/>
        <v>0</v>
      </c>
      <c r="Q35" s="1301"/>
      <c r="R35" s="1300"/>
      <c r="S35" s="1300"/>
      <c r="T35" s="1299"/>
      <c r="U35" s="1301"/>
      <c r="V35" s="263"/>
      <c r="W35" s="263"/>
      <c r="X35" s="272">
        <f>X33*X34</f>
        <v>193588.88888888888</v>
      </c>
      <c r="Y35" s="31" t="s">
        <v>626</v>
      </c>
      <c r="Z35" s="270"/>
      <c r="AA35" s="263"/>
      <c r="AB35" s="263"/>
      <c r="AC35" s="263"/>
      <c r="AD35" s="263"/>
      <c r="AE35" s="263"/>
      <c r="AF35" s="263"/>
      <c r="AG35" s="263"/>
      <c r="AH35" s="263"/>
      <c r="AI35" s="263"/>
      <c r="AJ35" s="263"/>
      <c r="AK35" s="264"/>
      <c r="AL35" s="258"/>
      <c r="AM35" s="259">
        <v>3</v>
      </c>
      <c r="AN35" s="259">
        <v>6</v>
      </c>
      <c r="AO35" s="259"/>
      <c r="AP35" s="259"/>
      <c r="AQ35" s="259"/>
      <c r="AR35" s="265">
        <f t="shared" si="1"/>
        <v>42.078000000000003</v>
      </c>
      <c r="AS35" s="259">
        <f t="shared" si="2"/>
        <v>4.5</v>
      </c>
      <c r="AT35" s="266">
        <f t="shared" si="3"/>
        <v>16.928571428571431</v>
      </c>
      <c r="AU35" s="259">
        <f t="shared" si="4"/>
        <v>3</v>
      </c>
      <c r="AV35" s="259">
        <f t="shared" si="5"/>
        <v>3</v>
      </c>
      <c r="AW35" s="266">
        <f t="shared" si="6"/>
        <v>16.928571428571431</v>
      </c>
      <c r="AX35" s="259">
        <f t="shared" si="7"/>
        <v>0</v>
      </c>
      <c r="AY35" s="258"/>
      <c r="AZ35" s="238"/>
      <c r="BA35" s="238"/>
      <c r="BB35" s="238"/>
      <c r="BC35" s="238"/>
      <c r="BD35" s="238"/>
      <c r="BE35" s="239" t="s">
        <v>645</v>
      </c>
      <c r="BF35" s="239">
        <v>0.1139</v>
      </c>
      <c r="BG35" s="239">
        <v>3.5999999999999999E-3</v>
      </c>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row>
    <row r="36" spans="1:94" s="240" customFormat="1" ht="14.25" customHeight="1">
      <c r="A36" s="267" t="s">
        <v>419</v>
      </c>
      <c r="B36" s="268"/>
      <c r="C36" s="268"/>
      <c r="D36" s="268"/>
      <c r="E36" s="269"/>
      <c r="F36" s="1377">
        <f>CO2eEF!P28</f>
        <v>2.0000000000000001E-4</v>
      </c>
      <c r="G36" s="1378"/>
      <c r="H36" s="1299">
        <f t="shared" si="8"/>
        <v>1.0339123242349049</v>
      </c>
      <c r="I36" s="1301"/>
      <c r="J36" s="1300"/>
      <c r="K36" s="1300"/>
      <c r="L36" s="1299"/>
      <c r="M36" s="1300"/>
      <c r="N36" s="1299">
        <f t="shared" si="0"/>
        <v>45.589330024813897</v>
      </c>
      <c r="O36" s="1301"/>
      <c r="P36" s="1299">
        <f t="shared" si="9"/>
        <v>0</v>
      </c>
      <c r="Q36" s="1301"/>
      <c r="R36" s="1300">
        <f>T36/$AR36</f>
        <v>0</v>
      </c>
      <c r="S36" s="1300"/>
      <c r="T36" s="1299">
        <f>$Q$22*N36</f>
        <v>0</v>
      </c>
      <c r="U36" s="1301"/>
      <c r="V36" s="263"/>
      <c r="W36" s="263"/>
      <c r="X36" s="272">
        <f>X35*3600/1000</f>
        <v>696920</v>
      </c>
      <c r="Y36" s="31" t="s">
        <v>632</v>
      </c>
      <c r="Z36" s="270"/>
      <c r="AA36" s="263"/>
      <c r="AB36" s="263"/>
      <c r="AC36" s="263"/>
      <c r="AD36" s="263"/>
      <c r="AE36" s="263"/>
      <c r="AF36" s="263"/>
      <c r="AG36" s="263"/>
      <c r="AH36" s="263"/>
      <c r="AI36" s="263"/>
      <c r="AJ36" s="263"/>
      <c r="AK36" s="264"/>
      <c r="AL36" s="258"/>
      <c r="AM36" s="259">
        <v>3</v>
      </c>
      <c r="AN36" s="259">
        <v>8</v>
      </c>
      <c r="AO36" s="259"/>
      <c r="AP36" s="259"/>
      <c r="AQ36" s="259"/>
      <c r="AR36" s="265">
        <f t="shared" si="1"/>
        <v>44.094000000000001</v>
      </c>
      <c r="AS36" s="259">
        <f t="shared" si="2"/>
        <v>5</v>
      </c>
      <c r="AT36" s="266">
        <f t="shared" si="3"/>
        <v>18.80952380952381</v>
      </c>
      <c r="AU36" s="259">
        <f t="shared" si="4"/>
        <v>3</v>
      </c>
      <c r="AV36" s="259">
        <f t="shared" si="5"/>
        <v>4</v>
      </c>
      <c r="AW36" s="266">
        <f t="shared" si="6"/>
        <v>18.80952380952381</v>
      </c>
      <c r="AX36" s="259">
        <f t="shared" si="7"/>
        <v>0</v>
      </c>
      <c r="AY36" s="258"/>
      <c r="AZ36" s="238"/>
      <c r="BA36" s="238"/>
      <c r="BB36" s="238"/>
      <c r="BC36" s="238"/>
      <c r="BD36" s="238"/>
      <c r="BE36" s="239" t="s">
        <v>646</v>
      </c>
      <c r="BF36" s="239">
        <v>1.7100000000000001E-2</v>
      </c>
      <c r="BG36" s="239">
        <v>1E-3</v>
      </c>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row>
    <row r="37" spans="1:94" s="240" customFormat="1" ht="14.25" customHeight="1">
      <c r="A37" s="267" t="s">
        <v>420</v>
      </c>
      <c r="B37" s="268"/>
      <c r="C37" s="268"/>
      <c r="D37" s="268"/>
      <c r="E37" s="269"/>
      <c r="F37" s="1377">
        <v>0</v>
      </c>
      <c r="G37" s="1378"/>
      <c r="H37" s="1299">
        <f t="shared" si="8"/>
        <v>0</v>
      </c>
      <c r="I37" s="1301"/>
      <c r="J37" s="1300"/>
      <c r="K37" s="1300"/>
      <c r="L37" s="1299"/>
      <c r="M37" s="1300"/>
      <c r="N37" s="1299">
        <f t="shared" si="0"/>
        <v>0</v>
      </c>
      <c r="O37" s="1301"/>
      <c r="P37" s="1299">
        <f t="shared" si="9"/>
        <v>0</v>
      </c>
      <c r="Q37" s="1301"/>
      <c r="R37" s="1300"/>
      <c r="S37" s="1300"/>
      <c r="T37" s="1299"/>
      <c r="U37" s="1301"/>
      <c r="V37" s="263"/>
      <c r="W37" s="263"/>
      <c r="X37" s="263"/>
      <c r="Y37" s="263"/>
      <c r="Z37" s="263"/>
      <c r="AA37" s="263"/>
      <c r="AB37" s="263"/>
      <c r="AC37" s="263"/>
      <c r="AD37" s="263"/>
      <c r="AE37" s="263"/>
      <c r="AF37" s="263"/>
      <c r="AG37" s="263"/>
      <c r="AH37" s="263"/>
      <c r="AI37" s="263"/>
      <c r="AJ37" s="263"/>
      <c r="AK37" s="264"/>
      <c r="AL37" s="258"/>
      <c r="AM37" s="259">
        <v>4</v>
      </c>
      <c r="AN37" s="259">
        <v>8</v>
      </c>
      <c r="AO37" s="259"/>
      <c r="AP37" s="259"/>
      <c r="AQ37" s="259"/>
      <c r="AR37" s="265">
        <f t="shared" si="1"/>
        <v>56.103999999999999</v>
      </c>
      <c r="AS37" s="259">
        <f t="shared" si="2"/>
        <v>6</v>
      </c>
      <c r="AT37" s="266">
        <f t="shared" si="3"/>
        <v>22.571428571428573</v>
      </c>
      <c r="AU37" s="259">
        <f t="shared" si="4"/>
        <v>4</v>
      </c>
      <c r="AV37" s="259">
        <f t="shared" si="5"/>
        <v>4</v>
      </c>
      <c r="AW37" s="266">
        <f t="shared" si="6"/>
        <v>22.571428571428573</v>
      </c>
      <c r="AX37" s="259">
        <f t="shared" si="7"/>
        <v>0</v>
      </c>
      <c r="AY37" s="258"/>
      <c r="AZ37" s="238"/>
      <c r="BA37" s="238"/>
      <c r="BB37" s="238"/>
      <c r="BC37" s="238"/>
      <c r="BD37" s="238"/>
      <c r="BE37" s="239" t="s">
        <v>647</v>
      </c>
      <c r="BF37" s="239">
        <v>4.5900000000000003E-2</v>
      </c>
      <c r="BG37" s="239">
        <v>2.3999999999999998E-3</v>
      </c>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row>
    <row r="38" spans="1:94" s="240" customFormat="1" ht="14.25" customHeight="1">
      <c r="A38" s="267" t="s">
        <v>421</v>
      </c>
      <c r="B38" s="268"/>
      <c r="C38" s="268"/>
      <c r="D38" s="268"/>
      <c r="E38" s="269"/>
      <c r="F38" s="1377">
        <f>CO2eEF!P29</f>
        <v>1E-4</v>
      </c>
      <c r="G38" s="1378"/>
      <c r="H38" s="1299">
        <f t="shared" si="8"/>
        <v>0.51695616211745243</v>
      </c>
      <c r="I38" s="1301"/>
      <c r="J38" s="1300"/>
      <c r="K38" s="1300"/>
      <c r="L38" s="1299"/>
      <c r="M38" s="1300"/>
      <c r="N38" s="1299">
        <f t="shared" si="0"/>
        <v>30.045492142266333</v>
      </c>
      <c r="O38" s="1301"/>
      <c r="P38" s="1299">
        <f t="shared" si="9"/>
        <v>0</v>
      </c>
      <c r="Q38" s="1301"/>
      <c r="R38" s="1300">
        <f>T38/$AR38</f>
        <v>0</v>
      </c>
      <c r="S38" s="1300"/>
      <c r="T38" s="1299">
        <f>$Q$22*N38</f>
        <v>0</v>
      </c>
      <c r="U38" s="1301"/>
      <c r="V38" s="263"/>
      <c r="W38" s="263"/>
      <c r="X38" s="263" t="s">
        <v>761</v>
      </c>
      <c r="Y38" s="263"/>
      <c r="Z38" s="263"/>
      <c r="AA38" s="263"/>
      <c r="AB38" s="263"/>
      <c r="AC38" s="263"/>
      <c r="AD38" s="263"/>
      <c r="AE38" s="263"/>
      <c r="AF38" s="263"/>
      <c r="AG38" s="263"/>
      <c r="AH38" s="263"/>
      <c r="AI38" s="263"/>
      <c r="AJ38" s="263"/>
      <c r="AK38" s="264"/>
      <c r="AL38" s="258"/>
      <c r="AM38" s="259">
        <v>4</v>
      </c>
      <c r="AN38" s="259">
        <v>10</v>
      </c>
      <c r="AO38" s="259"/>
      <c r="AP38" s="259"/>
      <c r="AQ38" s="259"/>
      <c r="AR38" s="265">
        <f>AM38*12.01+AN38*1.008+AO38*16+AP38*14+AQ38*32</f>
        <v>58.12</v>
      </c>
      <c r="AS38" s="259">
        <f t="shared" si="2"/>
        <v>6.5</v>
      </c>
      <c r="AT38" s="266">
        <f t="shared" si="3"/>
        <v>24.452380952380956</v>
      </c>
      <c r="AU38" s="259">
        <f t="shared" si="4"/>
        <v>4</v>
      </c>
      <c r="AV38" s="259">
        <f t="shared" si="5"/>
        <v>5</v>
      </c>
      <c r="AW38" s="266">
        <f t="shared" si="6"/>
        <v>24.452380952380956</v>
      </c>
      <c r="AX38" s="259">
        <f t="shared" si="7"/>
        <v>0</v>
      </c>
      <c r="AY38" s="258"/>
      <c r="AZ38" s="238"/>
      <c r="BA38" s="238"/>
      <c r="BB38" s="238"/>
      <c r="BC38" s="238"/>
      <c r="BD38" s="238"/>
      <c r="BE38" s="239" t="s">
        <v>648</v>
      </c>
      <c r="BF38" s="239">
        <v>8.2000000000000007E-3</v>
      </c>
      <c r="BG38" s="239">
        <v>1.6000000000000001E-3</v>
      </c>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row>
    <row r="39" spans="1:94" s="240" customFormat="1" ht="14.25" customHeight="1">
      <c r="A39" s="267" t="s">
        <v>422</v>
      </c>
      <c r="B39" s="268"/>
      <c r="C39" s="268"/>
      <c r="D39" s="268"/>
      <c r="E39" s="269"/>
      <c r="F39" s="1377">
        <f>CO2eEF!P30</f>
        <v>0</v>
      </c>
      <c r="G39" s="1378"/>
      <c r="H39" s="1299">
        <f t="shared" si="8"/>
        <v>0</v>
      </c>
      <c r="I39" s="1301"/>
      <c r="J39" s="1300"/>
      <c r="K39" s="1300"/>
      <c r="L39" s="1299"/>
      <c r="M39" s="1300"/>
      <c r="N39" s="1299">
        <f t="shared" si="0"/>
        <v>0</v>
      </c>
      <c r="O39" s="1301"/>
      <c r="P39" s="1299">
        <f t="shared" si="9"/>
        <v>0</v>
      </c>
      <c r="Q39" s="1301"/>
      <c r="R39" s="1300">
        <f>T39/$AR39</f>
        <v>0</v>
      </c>
      <c r="S39" s="1300"/>
      <c r="T39" s="1299">
        <f>$Q$22*N39</f>
        <v>0</v>
      </c>
      <c r="U39" s="1301"/>
      <c r="V39" s="263"/>
      <c r="W39" s="263"/>
      <c r="X39" s="263"/>
      <c r="Y39" s="263"/>
      <c r="Z39" s="263"/>
      <c r="AA39" s="263"/>
      <c r="AB39" s="263"/>
      <c r="AC39" s="263"/>
      <c r="AD39" s="263"/>
      <c r="AE39" s="263"/>
      <c r="AF39" s="263"/>
      <c r="AG39" s="263"/>
      <c r="AH39" s="263"/>
      <c r="AI39" s="263"/>
      <c r="AJ39" s="263"/>
      <c r="AK39" s="264"/>
      <c r="AL39" s="258"/>
      <c r="AM39" s="259">
        <v>4</v>
      </c>
      <c r="AN39" s="259">
        <v>10</v>
      </c>
      <c r="AO39" s="259"/>
      <c r="AP39" s="259"/>
      <c r="AQ39" s="259"/>
      <c r="AR39" s="265">
        <f t="shared" si="1"/>
        <v>58.12</v>
      </c>
      <c r="AS39" s="259">
        <f t="shared" si="2"/>
        <v>6.5</v>
      </c>
      <c r="AT39" s="266">
        <f t="shared" si="3"/>
        <v>24.452380952380956</v>
      </c>
      <c r="AU39" s="259">
        <f t="shared" si="4"/>
        <v>4</v>
      </c>
      <c r="AV39" s="259">
        <f t="shared" si="5"/>
        <v>5</v>
      </c>
      <c r="AW39" s="266">
        <f t="shared" si="6"/>
        <v>24.452380952380956</v>
      </c>
      <c r="AX39" s="259">
        <f t="shared" si="7"/>
        <v>0</v>
      </c>
      <c r="AY39" s="258"/>
      <c r="AZ39" s="238"/>
      <c r="BA39" s="238"/>
      <c r="BB39" s="238"/>
      <c r="BC39" s="238"/>
      <c r="BD39" s="238"/>
      <c r="BE39" s="239" t="s">
        <v>649</v>
      </c>
      <c r="BF39" s="239">
        <v>2.0000000000000001E-4</v>
      </c>
      <c r="BG39" s="239">
        <v>0</v>
      </c>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38"/>
      <c r="CN39" s="238"/>
      <c r="CO39" s="238"/>
      <c r="CP39" s="238"/>
    </row>
    <row r="40" spans="1:94" s="240" customFormat="1" ht="14.25" customHeight="1">
      <c r="A40" s="267" t="s">
        <v>423</v>
      </c>
      <c r="B40" s="268"/>
      <c r="C40" s="268"/>
      <c r="D40" s="268"/>
      <c r="E40" s="269"/>
      <c r="F40" s="1377">
        <f>CO2eEF!P31</f>
        <v>1E-4</v>
      </c>
      <c r="G40" s="1378"/>
      <c r="H40" s="1299">
        <f t="shared" si="8"/>
        <v>0.51695616211745243</v>
      </c>
      <c r="I40" s="1301"/>
      <c r="J40" s="1300"/>
      <c r="K40" s="1300"/>
      <c r="L40" s="1299"/>
      <c r="M40" s="1300"/>
      <c r="N40" s="1299">
        <f t="shared" si="0"/>
        <v>37.296319272125722</v>
      </c>
      <c r="O40" s="1301"/>
      <c r="P40" s="1299">
        <f t="shared" si="9"/>
        <v>0</v>
      </c>
      <c r="Q40" s="1301"/>
      <c r="R40" s="1300">
        <f>T40/$AR40</f>
        <v>0</v>
      </c>
      <c r="S40" s="1300"/>
      <c r="T40" s="1299">
        <f>$Q$22*N40</f>
        <v>0</v>
      </c>
      <c r="U40" s="1301"/>
      <c r="V40" s="263"/>
      <c r="W40" s="263"/>
      <c r="X40" s="589">
        <f>X42*X41</f>
        <v>4000</v>
      </c>
      <c r="Y40" s="589" t="s">
        <v>744</v>
      </c>
      <c r="Z40" s="263"/>
      <c r="AA40" s="263"/>
      <c r="AB40" s="263"/>
      <c r="AC40" s="263"/>
      <c r="AD40" s="263"/>
      <c r="AE40" s="263"/>
      <c r="AF40" s="263"/>
      <c r="AG40" s="263"/>
      <c r="AH40" s="263"/>
      <c r="AI40" s="263"/>
      <c r="AJ40" s="263"/>
      <c r="AK40" s="264"/>
      <c r="AL40" s="258"/>
      <c r="AM40" s="259">
        <v>5</v>
      </c>
      <c r="AN40" s="259">
        <v>12</v>
      </c>
      <c r="AO40" s="259"/>
      <c r="AP40" s="259"/>
      <c r="AQ40" s="259"/>
      <c r="AR40" s="265">
        <f t="shared" si="1"/>
        <v>72.146000000000001</v>
      </c>
      <c r="AS40" s="259">
        <f t="shared" si="2"/>
        <v>8</v>
      </c>
      <c r="AT40" s="266">
        <f t="shared" si="3"/>
        <v>30.095238095238098</v>
      </c>
      <c r="AU40" s="259">
        <f t="shared" si="4"/>
        <v>5</v>
      </c>
      <c r="AV40" s="259">
        <f t="shared" si="5"/>
        <v>6</v>
      </c>
      <c r="AW40" s="266">
        <f t="shared" si="6"/>
        <v>30.095238095238098</v>
      </c>
      <c r="AX40" s="259">
        <f t="shared" si="7"/>
        <v>0</v>
      </c>
      <c r="AY40" s="258"/>
      <c r="AZ40" s="238"/>
      <c r="BA40" s="238"/>
      <c r="BB40" s="238"/>
      <c r="BC40" s="238"/>
      <c r="BD40" s="238"/>
      <c r="BE40" s="239" t="s">
        <v>650</v>
      </c>
      <c r="BF40" s="239">
        <v>8.8999999999999999E-3</v>
      </c>
      <c r="BG40" s="239">
        <v>1.9E-3</v>
      </c>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row>
    <row r="41" spans="1:94" s="240" customFormat="1" ht="14.25" customHeight="1">
      <c r="A41" s="267" t="s">
        <v>424</v>
      </c>
      <c r="B41" s="268"/>
      <c r="C41" s="268"/>
      <c r="D41" s="268"/>
      <c r="E41" s="269"/>
      <c r="F41" s="1377">
        <f>CO2eEF!P33</f>
        <v>1E-4</v>
      </c>
      <c r="G41" s="1378"/>
      <c r="H41" s="1299">
        <f t="shared" si="8"/>
        <v>0.51695616211745243</v>
      </c>
      <c r="I41" s="1301"/>
      <c r="J41" s="1300"/>
      <c r="K41" s="1300"/>
      <c r="L41" s="1299"/>
      <c r="M41" s="1300"/>
      <c r="N41" s="1299">
        <f t="shared" si="0"/>
        <v>37.296319272125722</v>
      </c>
      <c r="O41" s="1301"/>
      <c r="P41" s="1299">
        <f t="shared" si="9"/>
        <v>0</v>
      </c>
      <c r="Q41" s="1301"/>
      <c r="R41" s="1300">
        <f>T41/$AR41</f>
        <v>0</v>
      </c>
      <c r="S41" s="1300"/>
      <c r="T41" s="1299">
        <f>$Q$22*N41</f>
        <v>0</v>
      </c>
      <c r="U41" s="1301"/>
      <c r="V41" s="263"/>
      <c r="W41" s="263"/>
      <c r="X41" s="589">
        <v>2</v>
      </c>
      <c r="Y41" s="589" t="s">
        <v>745</v>
      </c>
      <c r="Z41" s="263"/>
      <c r="AA41" s="263"/>
      <c r="AB41" s="263"/>
      <c r="AC41" s="263"/>
      <c r="AD41" s="263"/>
      <c r="AE41" s="263"/>
      <c r="AF41" s="263"/>
      <c r="AG41" s="263"/>
      <c r="AH41" s="263"/>
      <c r="AI41" s="263"/>
      <c r="AJ41" s="263"/>
      <c r="AK41" s="264"/>
      <c r="AL41" s="258"/>
      <c r="AM41" s="259">
        <v>5</v>
      </c>
      <c r="AN41" s="259">
        <v>12</v>
      </c>
      <c r="AO41" s="259"/>
      <c r="AP41" s="259"/>
      <c r="AQ41" s="259"/>
      <c r="AR41" s="265">
        <f t="shared" si="1"/>
        <v>72.146000000000001</v>
      </c>
      <c r="AS41" s="259">
        <f t="shared" si="2"/>
        <v>8</v>
      </c>
      <c r="AT41" s="266">
        <f t="shared" si="3"/>
        <v>30.095238095238098</v>
      </c>
      <c r="AU41" s="259">
        <f t="shared" si="4"/>
        <v>5</v>
      </c>
      <c r="AV41" s="259">
        <f t="shared" si="5"/>
        <v>6</v>
      </c>
      <c r="AW41" s="266">
        <f t="shared" si="6"/>
        <v>30.095238095238098</v>
      </c>
      <c r="AX41" s="259">
        <f t="shared" si="7"/>
        <v>0</v>
      </c>
      <c r="AY41" s="258"/>
      <c r="AZ41" s="238"/>
      <c r="BA41" s="238"/>
      <c r="BB41" s="238"/>
      <c r="BC41" s="238"/>
      <c r="BD41" s="238"/>
      <c r="BE41" s="239" t="s">
        <v>651</v>
      </c>
      <c r="BF41" s="239">
        <v>2.0000000000000001E-4</v>
      </c>
      <c r="BG41" s="239">
        <v>2.9999999999999997E-4</v>
      </c>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row>
    <row r="42" spans="1:94" s="240" customFormat="1" ht="14.25" customHeight="1">
      <c r="A42" s="267" t="s">
        <v>721</v>
      </c>
      <c r="B42" s="268"/>
      <c r="C42" s="268"/>
      <c r="D42" s="268"/>
      <c r="E42" s="269"/>
      <c r="F42" s="1377">
        <f>1-(SUM(F31:F41)+SUM(F43:G51))</f>
        <v>2.00000000000089E-4</v>
      </c>
      <c r="G42" s="1378"/>
      <c r="H42" s="1299">
        <f t="shared" si="8"/>
        <v>1.0339123242353647</v>
      </c>
      <c r="I42" s="1301"/>
      <c r="J42" s="1300"/>
      <c r="K42" s="1300"/>
      <c r="L42" s="1299"/>
      <c r="M42" s="1300"/>
      <c r="N42" s="1299">
        <f t="shared" si="0"/>
        <v>89.094292804009839</v>
      </c>
      <c r="O42" s="1301"/>
      <c r="P42" s="1299">
        <f t="shared" si="9"/>
        <v>0</v>
      </c>
      <c r="Q42" s="1301"/>
      <c r="R42" s="1300">
        <f>T42/$AR42</f>
        <v>0</v>
      </c>
      <c r="S42" s="1300"/>
      <c r="T42" s="1299">
        <f>$Q$22*N42</f>
        <v>0</v>
      </c>
      <c r="U42" s="1301"/>
      <c r="V42" s="263"/>
      <c r="W42" s="263"/>
      <c r="X42" s="590">
        <v>2000</v>
      </c>
      <c r="Y42" s="589" t="s">
        <v>746</v>
      </c>
      <c r="Z42" s="263"/>
      <c r="AA42" s="263"/>
      <c r="AB42" s="263"/>
      <c r="AC42" s="263"/>
      <c r="AD42" s="263"/>
      <c r="AE42" s="263"/>
      <c r="AF42" s="263"/>
      <c r="AG42" s="263"/>
      <c r="AH42" s="263"/>
      <c r="AI42" s="263"/>
      <c r="AJ42" s="263"/>
      <c r="AK42" s="264"/>
      <c r="AL42" s="258"/>
      <c r="AM42" s="259">
        <v>6</v>
      </c>
      <c r="AN42" s="259">
        <v>14</v>
      </c>
      <c r="AO42" s="259"/>
      <c r="AP42" s="259"/>
      <c r="AQ42" s="259"/>
      <c r="AR42" s="265">
        <f t="shared" si="1"/>
        <v>86.171999999999997</v>
      </c>
      <c r="AS42" s="259">
        <f t="shared" si="2"/>
        <v>9.5</v>
      </c>
      <c r="AT42" s="266">
        <f t="shared" si="3"/>
        <v>35.738095238095241</v>
      </c>
      <c r="AU42" s="259">
        <f t="shared" si="4"/>
        <v>6</v>
      </c>
      <c r="AV42" s="259">
        <f t="shared" si="5"/>
        <v>7</v>
      </c>
      <c r="AW42" s="266">
        <f t="shared" si="6"/>
        <v>35.738095238095241</v>
      </c>
      <c r="AX42" s="259">
        <f t="shared" si="7"/>
        <v>0</v>
      </c>
      <c r="AY42" s="258"/>
      <c r="AZ42" s="238"/>
      <c r="BA42" s="238"/>
      <c r="BB42" s="238"/>
      <c r="BC42" s="238"/>
      <c r="BD42" s="238"/>
      <c r="BE42" s="239" t="s">
        <v>652</v>
      </c>
      <c r="BF42" s="239">
        <v>0</v>
      </c>
      <c r="BG42" s="239">
        <v>5.0000000000000001E-4</v>
      </c>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row>
    <row r="43" spans="1:94" s="240" customFormat="1" ht="14.25" customHeight="1">
      <c r="A43" s="267" t="s">
        <v>426</v>
      </c>
      <c r="B43" s="268"/>
      <c r="C43" s="268"/>
      <c r="D43" s="268"/>
      <c r="E43" s="269"/>
      <c r="F43" s="1377">
        <v>0</v>
      </c>
      <c r="G43" s="1378"/>
      <c r="H43" s="1299">
        <f t="shared" si="8"/>
        <v>0</v>
      </c>
      <c r="I43" s="1301"/>
      <c r="J43" s="1300"/>
      <c r="K43" s="1300"/>
      <c r="L43" s="1299"/>
      <c r="M43" s="1300"/>
      <c r="N43" s="1299">
        <f t="shared" si="0"/>
        <v>0</v>
      </c>
      <c r="O43" s="1301"/>
      <c r="P43" s="1299">
        <f t="shared" si="9"/>
        <v>0</v>
      </c>
      <c r="Q43" s="1301"/>
      <c r="R43" s="1300"/>
      <c r="S43" s="1300"/>
      <c r="T43" s="1299"/>
      <c r="U43" s="1301"/>
      <c r="V43" s="263"/>
      <c r="W43" s="263"/>
      <c r="X43" s="589">
        <f>X42/24*1000</f>
        <v>83333.333333333328</v>
      </c>
      <c r="Y43" s="589" t="s">
        <v>617</v>
      </c>
      <c r="Z43" s="263"/>
      <c r="AA43" s="263"/>
      <c r="AB43" s="263"/>
      <c r="AC43" s="263"/>
      <c r="AD43" s="263"/>
      <c r="AE43" s="263"/>
      <c r="AF43" s="263"/>
      <c r="AG43" s="263"/>
      <c r="AH43" s="263"/>
      <c r="AI43" s="263"/>
      <c r="AJ43" s="263"/>
      <c r="AK43" s="264"/>
      <c r="AL43" s="258"/>
      <c r="AM43" s="259"/>
      <c r="AN43" s="259"/>
      <c r="AO43" s="259"/>
      <c r="AP43" s="259"/>
      <c r="AQ43" s="259"/>
      <c r="AR43" s="265">
        <v>4.0030000000000001</v>
      </c>
      <c r="AS43" s="259"/>
      <c r="AT43" s="266"/>
      <c r="AU43" s="259"/>
      <c r="AV43" s="259"/>
      <c r="AW43" s="266"/>
      <c r="AX43" s="259"/>
      <c r="AY43" s="258"/>
      <c r="AZ43" s="238"/>
      <c r="BA43" s="238"/>
      <c r="BB43" s="238"/>
      <c r="BC43" s="238"/>
      <c r="BD43" s="238"/>
      <c r="BE43" s="239" t="s">
        <v>653</v>
      </c>
      <c r="BF43" s="239">
        <v>0</v>
      </c>
      <c r="BG43" s="239">
        <v>1E-4</v>
      </c>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38"/>
      <c r="CN43" s="238"/>
      <c r="CO43" s="238"/>
      <c r="CP43" s="238"/>
    </row>
    <row r="44" spans="1:94" s="240" customFormat="1" ht="14.25" customHeight="1">
      <c r="A44" s="267" t="s">
        <v>427</v>
      </c>
      <c r="B44" s="268"/>
      <c r="C44" s="268"/>
      <c r="D44" s="268"/>
      <c r="E44" s="269"/>
      <c r="F44" s="1377">
        <v>0</v>
      </c>
      <c r="G44" s="1378"/>
      <c r="H44" s="1299">
        <f t="shared" si="8"/>
        <v>0</v>
      </c>
      <c r="I44" s="1301"/>
      <c r="J44" s="1300"/>
      <c r="K44" s="1300"/>
      <c r="L44" s="1299"/>
      <c r="M44" s="1300"/>
      <c r="N44" s="1299">
        <f t="shared" si="0"/>
        <v>0</v>
      </c>
      <c r="O44" s="1301"/>
      <c r="P44" s="1299">
        <f t="shared" si="9"/>
        <v>0</v>
      </c>
      <c r="Q44" s="1301"/>
      <c r="R44" s="1299"/>
      <c r="S44" s="1301"/>
      <c r="T44" s="1299"/>
      <c r="U44" s="1301"/>
      <c r="V44" s="263"/>
      <c r="W44" s="263"/>
      <c r="X44" s="263"/>
      <c r="Y44" s="263"/>
      <c r="Z44" s="263"/>
      <c r="AA44" s="263"/>
      <c r="AB44" s="263"/>
      <c r="AC44" s="263"/>
      <c r="AD44" s="263"/>
      <c r="AE44" s="263"/>
      <c r="AF44" s="263"/>
      <c r="AG44" s="263"/>
      <c r="AH44" s="263"/>
      <c r="AI44" s="263"/>
      <c r="AJ44" s="263"/>
      <c r="AK44" s="264"/>
      <c r="AL44" s="258"/>
      <c r="AM44" s="259"/>
      <c r="AN44" s="259">
        <v>2</v>
      </c>
      <c r="AO44" s="259"/>
      <c r="AP44" s="259"/>
      <c r="AQ44" s="259">
        <v>1</v>
      </c>
      <c r="AR44" s="265">
        <f t="shared" si="1"/>
        <v>34.015999999999998</v>
      </c>
      <c r="AS44" s="259">
        <f t="shared" si="2"/>
        <v>1.5</v>
      </c>
      <c r="AT44" s="266">
        <f t="shared" si="3"/>
        <v>5.6428571428571432</v>
      </c>
      <c r="AU44" s="259">
        <f t="shared" si="4"/>
        <v>0</v>
      </c>
      <c r="AV44" s="259">
        <f t="shared" si="5"/>
        <v>1</v>
      </c>
      <c r="AW44" s="266">
        <f t="shared" si="6"/>
        <v>5.6428571428571432</v>
      </c>
      <c r="AX44" s="259">
        <f t="shared" si="7"/>
        <v>1</v>
      </c>
      <c r="AY44" s="258"/>
      <c r="AZ44" s="238"/>
      <c r="BA44" s="238"/>
      <c r="BB44" s="238"/>
      <c r="BC44" s="238"/>
      <c r="BD44" s="238"/>
      <c r="BE44" s="239" t="s">
        <v>654</v>
      </c>
      <c r="BF44" s="239">
        <v>0</v>
      </c>
      <c r="BG44" s="239">
        <v>4.0000000000000002E-4</v>
      </c>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row>
    <row r="45" spans="1:94" s="240" customFormat="1" ht="14.25" customHeight="1">
      <c r="A45" s="267" t="s">
        <v>428</v>
      </c>
      <c r="B45" s="268"/>
      <c r="C45" s="268"/>
      <c r="D45" s="268"/>
      <c r="E45" s="269"/>
      <c r="F45" s="1377">
        <v>0</v>
      </c>
      <c r="G45" s="1378"/>
      <c r="H45" s="1299">
        <f t="shared" si="8"/>
        <v>0</v>
      </c>
      <c r="I45" s="1301"/>
      <c r="J45" s="1300">
        <f>SUMPRODUCT(H31:H51,AS31:AS51)-H45</f>
        <v>10340.157154673285</v>
      </c>
      <c r="K45" s="1300"/>
      <c r="L45" s="1299">
        <v>0</v>
      </c>
      <c r="M45" s="1300"/>
      <c r="N45" s="1299">
        <f t="shared" si="0"/>
        <v>330885.02894954511</v>
      </c>
      <c r="O45" s="1301"/>
      <c r="P45" s="1299">
        <f t="shared" si="9"/>
        <v>3.7928549806473771E-3</v>
      </c>
      <c r="Q45" s="1301"/>
      <c r="R45" s="1300">
        <f>L45+SUMPRODUCT(R32:R44,$AS32:$AS44)</f>
        <v>206.01736972704711</v>
      </c>
      <c r="S45" s="1300"/>
      <c r="T45" s="1299">
        <f>R45*$AR45</f>
        <v>6592.5558312655075</v>
      </c>
      <c r="U45" s="1301"/>
      <c r="V45" s="263"/>
      <c r="W45" s="263"/>
      <c r="X45" s="263"/>
      <c r="Y45" s="263"/>
      <c r="Z45" s="263"/>
      <c r="AA45" s="263"/>
      <c r="AB45" s="263"/>
      <c r="AC45" s="263"/>
      <c r="AD45" s="263"/>
      <c r="AE45" s="263"/>
      <c r="AF45" s="263"/>
      <c r="AG45" s="263"/>
      <c r="AH45" s="263"/>
      <c r="AI45" s="263"/>
      <c r="AJ45" s="263"/>
      <c r="AK45" s="264"/>
      <c r="AL45" s="258"/>
      <c r="AM45" s="259"/>
      <c r="AN45" s="259"/>
      <c r="AO45" s="259">
        <v>2</v>
      </c>
      <c r="AP45" s="259"/>
      <c r="AQ45" s="259"/>
      <c r="AR45" s="265">
        <f t="shared" si="1"/>
        <v>32</v>
      </c>
      <c r="AS45" s="259">
        <f t="shared" si="2"/>
        <v>0</v>
      </c>
      <c r="AT45" s="266">
        <f t="shared" si="3"/>
        <v>0</v>
      </c>
      <c r="AU45" s="259">
        <f t="shared" si="4"/>
        <v>0</v>
      </c>
      <c r="AV45" s="259">
        <f t="shared" si="5"/>
        <v>0</v>
      </c>
      <c r="AW45" s="266">
        <f t="shared" si="6"/>
        <v>0</v>
      </c>
      <c r="AX45" s="259">
        <f t="shared" si="7"/>
        <v>0</v>
      </c>
      <c r="AY45" s="258"/>
      <c r="AZ45" s="238"/>
      <c r="BA45" s="238"/>
      <c r="BB45" s="238"/>
      <c r="BC45" s="238"/>
      <c r="BD45" s="238"/>
      <c r="BE45" s="239" t="s">
        <v>655</v>
      </c>
      <c r="BF45" s="239">
        <v>0</v>
      </c>
      <c r="BG45" s="239">
        <v>2.0000000000000001E-4</v>
      </c>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row>
    <row r="46" spans="1:94" s="240" customFormat="1" ht="14.25" customHeight="1">
      <c r="A46" s="267" t="s">
        <v>429</v>
      </c>
      <c r="B46" s="268"/>
      <c r="C46" s="268"/>
      <c r="D46" s="268"/>
      <c r="E46" s="269"/>
      <c r="F46" s="1377">
        <f>CO2eEF!P24</f>
        <v>1.5E-3</v>
      </c>
      <c r="G46" s="1378"/>
      <c r="H46" s="1299">
        <f t="shared" si="8"/>
        <v>7.7543424317617857</v>
      </c>
      <c r="I46" s="1301"/>
      <c r="J46" s="1300">
        <f>0.79/0.21*J45</f>
        <v>38898.686439009027</v>
      </c>
      <c r="K46" s="1301"/>
      <c r="L46" s="1299">
        <v>0</v>
      </c>
      <c r="M46" s="1300"/>
      <c r="N46" s="1299">
        <f t="shared" si="0"/>
        <v>1089380.341880342</v>
      </c>
      <c r="O46" s="1301"/>
      <c r="P46" s="1299">
        <f t="shared" si="9"/>
        <v>0.71625393149740046</v>
      </c>
      <c r="Q46" s="1301"/>
      <c r="R46" s="1299">
        <f>$H46+J46+L46-R49/2</f>
        <v>38904.928286650407</v>
      </c>
      <c r="S46" s="1301"/>
      <c r="T46" s="1580">
        <f>R46*$AR46</f>
        <v>1089337.9920262115</v>
      </c>
      <c r="U46" s="1581"/>
      <c r="V46" s="263"/>
      <c r="W46" s="263"/>
      <c r="X46" s="263"/>
      <c r="Y46" s="263"/>
      <c r="Z46" s="263"/>
      <c r="AA46" s="263"/>
      <c r="AB46" s="263"/>
      <c r="AC46" s="263"/>
      <c r="AD46" s="263"/>
      <c r="AE46" s="263"/>
      <c r="AF46" s="263"/>
      <c r="AG46" s="263"/>
      <c r="AH46" s="263"/>
      <c r="AI46" s="263"/>
      <c r="AJ46" s="263"/>
      <c r="AK46" s="264"/>
      <c r="AL46" s="258"/>
      <c r="AM46" s="259"/>
      <c r="AN46" s="259"/>
      <c r="AO46" s="259"/>
      <c r="AP46" s="259">
        <v>2</v>
      </c>
      <c r="AQ46" s="259"/>
      <c r="AR46" s="265">
        <f t="shared" si="1"/>
        <v>28</v>
      </c>
      <c r="AS46" s="259">
        <f t="shared" si="2"/>
        <v>0</v>
      </c>
      <c r="AT46" s="266">
        <f t="shared" si="3"/>
        <v>0</v>
      </c>
      <c r="AU46" s="259">
        <f t="shared" si="4"/>
        <v>0</v>
      </c>
      <c r="AV46" s="259">
        <f t="shared" si="5"/>
        <v>0</v>
      </c>
      <c r="AW46" s="266">
        <f t="shared" si="6"/>
        <v>1</v>
      </c>
      <c r="AX46" s="259">
        <f t="shared" si="7"/>
        <v>0</v>
      </c>
      <c r="AY46" s="258"/>
      <c r="AZ46" s="238"/>
      <c r="BA46" s="238"/>
      <c r="BB46" s="238"/>
      <c r="BC46" s="238"/>
      <c r="BD46" s="238"/>
      <c r="BE46" s="239" t="s">
        <v>656</v>
      </c>
      <c r="BF46" s="239">
        <v>1.5E-3</v>
      </c>
      <c r="BG46" s="239">
        <v>0</v>
      </c>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row>
    <row r="47" spans="1:94" s="240" customFormat="1" ht="14.25" customHeight="1">
      <c r="A47" s="267" t="s">
        <v>115</v>
      </c>
      <c r="B47" s="268"/>
      <c r="C47" s="268"/>
      <c r="D47" s="268"/>
      <c r="E47" s="269"/>
      <c r="F47" s="1377">
        <v>0</v>
      </c>
      <c r="G47" s="1378"/>
      <c r="H47" s="1299">
        <f t="shared" si="8"/>
        <v>0</v>
      </c>
      <c r="I47" s="1301"/>
      <c r="J47" s="1300"/>
      <c r="K47" s="1300"/>
      <c r="L47" s="1299"/>
      <c r="M47" s="1300"/>
      <c r="N47" s="1299">
        <f t="shared" si="0"/>
        <v>0</v>
      </c>
      <c r="O47" s="1301"/>
      <c r="P47" s="1299">
        <f t="shared" si="9"/>
        <v>5.0266917606503383E-4</v>
      </c>
      <c r="Q47" s="1301"/>
      <c r="R47" s="1300">
        <f>T47/$AR$47</f>
        <v>27.303596373754445</v>
      </c>
      <c r="S47" s="1300"/>
      <c r="T47" s="1299">
        <f>$AC17*$X25</f>
        <v>764.77373442886199</v>
      </c>
      <c r="U47" s="1301"/>
      <c r="V47" s="263"/>
      <c r="W47" s="263"/>
      <c r="X47" s="263"/>
      <c r="Y47" s="263"/>
      <c r="Z47" s="263"/>
      <c r="AA47" s="263"/>
      <c r="AB47" s="263"/>
      <c r="AC47" s="263"/>
      <c r="AD47" s="263"/>
      <c r="AE47" s="263"/>
      <c r="AF47" s="263"/>
      <c r="AG47" s="263"/>
      <c r="AH47" s="263"/>
      <c r="AI47" s="263"/>
      <c r="AJ47" s="263"/>
      <c r="AK47" s="264"/>
      <c r="AL47" s="258"/>
      <c r="AM47" s="258">
        <v>1</v>
      </c>
      <c r="AN47" s="258"/>
      <c r="AO47" s="258">
        <v>1</v>
      </c>
      <c r="AP47" s="258"/>
      <c r="AQ47" s="258"/>
      <c r="AR47" s="265">
        <f t="shared" si="1"/>
        <v>28.009999999999998</v>
      </c>
      <c r="AS47" s="259"/>
      <c r="AT47" s="258"/>
      <c r="AU47" s="258"/>
      <c r="AV47" s="258"/>
      <c r="AW47" s="258"/>
      <c r="AX47" s="258"/>
      <c r="AY47" s="258"/>
      <c r="AZ47" s="238"/>
      <c r="BA47" s="238"/>
      <c r="BB47" s="238"/>
      <c r="BC47" s="238"/>
      <c r="BD47" s="238"/>
      <c r="BE47" s="239" t="s">
        <v>657</v>
      </c>
      <c r="BF47" s="239">
        <v>1E-4</v>
      </c>
      <c r="BG47" s="239">
        <v>0</v>
      </c>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row>
    <row r="48" spans="1:94" s="240" customFormat="1" ht="14.25" customHeight="1">
      <c r="A48" s="267" t="s">
        <v>126</v>
      </c>
      <c r="B48" s="268"/>
      <c r="C48" s="268"/>
      <c r="D48" s="268"/>
      <c r="E48" s="269"/>
      <c r="F48" s="1377">
        <f>CO2eEF!P25</f>
        <v>8.0000000000000004E-4</v>
      </c>
      <c r="G48" s="1378"/>
      <c r="H48" s="1299">
        <f t="shared" si="8"/>
        <v>4.1356492969396195</v>
      </c>
      <c r="I48" s="1301"/>
      <c r="J48" s="1300"/>
      <c r="K48" s="1300"/>
      <c r="L48" s="1299"/>
      <c r="M48" s="1300"/>
      <c r="N48" s="1299">
        <f t="shared" si="0"/>
        <v>182.00992555831263</v>
      </c>
      <c r="O48" s="1301"/>
      <c r="P48" s="1299">
        <f t="shared" si="9"/>
        <v>9.1077490542262496E-2</v>
      </c>
      <c r="Q48" s="1301"/>
      <c r="R48" s="1300">
        <f>(SUMPRODUCT($H31:$H51,$AU31:$AU51)+$H48-R47-SUMPRODUCT(R32:R42,$AU32:$AU42))*0.98</f>
        <v>4947.0768427993798</v>
      </c>
      <c r="S48" s="1300"/>
      <c r="T48" s="1340">
        <f>R48*$AR48</f>
        <v>217720.85185160069</v>
      </c>
      <c r="U48" s="1342"/>
      <c r="V48" s="263"/>
      <c r="W48" s="263"/>
      <c r="X48" s="263"/>
      <c r="Y48" s="263"/>
      <c r="Z48" s="263"/>
      <c r="AA48" s="263"/>
      <c r="AB48" s="263"/>
      <c r="AC48" s="263"/>
      <c r="AD48" s="263"/>
      <c r="AE48" s="263"/>
      <c r="AF48" s="263"/>
      <c r="AG48" s="263"/>
      <c r="AH48" s="263"/>
      <c r="AI48" s="263"/>
      <c r="AJ48" s="263"/>
      <c r="AK48" s="264"/>
      <c r="AL48" s="258"/>
      <c r="AM48" s="259">
        <v>1</v>
      </c>
      <c r="AN48" s="259"/>
      <c r="AO48" s="259">
        <v>2</v>
      </c>
      <c r="AP48" s="259"/>
      <c r="AQ48" s="259"/>
      <c r="AR48" s="265">
        <f>AM48*12.01+AN48*1.008+AO48*16+AP48*14+AQ48*32</f>
        <v>44.01</v>
      </c>
      <c r="AS48" s="259"/>
      <c r="AT48" s="259"/>
      <c r="AU48" s="259"/>
      <c r="AV48" s="259"/>
      <c r="AW48" s="259"/>
      <c r="AX48" s="259"/>
      <c r="AY48" s="258"/>
      <c r="AZ48" s="238"/>
      <c r="BA48" s="238"/>
      <c r="BB48" s="238"/>
      <c r="BC48" s="238"/>
      <c r="BD48" s="238"/>
      <c r="BE48" s="239" t="s">
        <v>658</v>
      </c>
      <c r="BF48" s="239">
        <v>0</v>
      </c>
      <c r="BG48" s="239">
        <v>0</v>
      </c>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38"/>
      <c r="CN48" s="238"/>
      <c r="CO48" s="238"/>
      <c r="CP48" s="238"/>
    </row>
    <row r="49" spans="1:94" s="240" customFormat="1" ht="14.25" customHeight="1">
      <c r="A49" s="267" t="s">
        <v>430</v>
      </c>
      <c r="B49" s="268"/>
      <c r="C49" s="268"/>
      <c r="D49" s="268"/>
      <c r="E49" s="269"/>
      <c r="F49" s="1377">
        <v>0</v>
      </c>
      <c r="G49" s="1378"/>
      <c r="H49" s="1299">
        <f t="shared" si="8"/>
        <v>0</v>
      </c>
      <c r="I49" s="1301"/>
      <c r="J49" s="1300"/>
      <c r="K49" s="1300"/>
      <c r="L49" s="1299"/>
      <c r="M49" s="1300"/>
      <c r="N49" s="1299">
        <f t="shared" si="0"/>
        <v>0</v>
      </c>
      <c r="O49" s="1301"/>
      <c r="P49" s="1299">
        <f t="shared" si="9"/>
        <v>5.5691162415222851E-5</v>
      </c>
      <c r="Q49" s="1301"/>
      <c r="R49" s="1300">
        <f>T49/$AR49</f>
        <v>3.0249895807689664</v>
      </c>
      <c r="S49" s="1300"/>
      <c r="T49" s="1299">
        <f>$W17*$X25</f>
        <v>139.14952071537246</v>
      </c>
      <c r="U49" s="1301"/>
      <c r="V49" s="263"/>
      <c r="W49" s="263"/>
      <c r="X49" s="263"/>
      <c r="Y49" s="263"/>
      <c r="Z49" s="263"/>
      <c r="AA49" s="263"/>
      <c r="AB49" s="263"/>
      <c r="AC49" s="263"/>
      <c r="AD49" s="263"/>
      <c r="AE49" s="263"/>
      <c r="AF49" s="263"/>
      <c r="AG49" s="263"/>
      <c r="AH49" s="263"/>
      <c r="AI49" s="263"/>
      <c r="AJ49" s="263"/>
      <c r="AK49" s="264"/>
      <c r="AL49" s="258"/>
      <c r="AM49" s="258"/>
      <c r="AN49" s="258"/>
      <c r="AO49" s="258">
        <v>2</v>
      </c>
      <c r="AP49" s="258">
        <v>1</v>
      </c>
      <c r="AQ49" s="258"/>
      <c r="AR49" s="265">
        <f>AM49*12.01+AN49*1.008+AO49*16+AP49*14+AQ49*32</f>
        <v>46</v>
      </c>
      <c r="AS49" s="259"/>
      <c r="AT49" s="258"/>
      <c r="AU49" s="258"/>
      <c r="AV49" s="258"/>
      <c r="AW49" s="258"/>
      <c r="AX49" s="258"/>
      <c r="AY49" s="258"/>
      <c r="AZ49" s="238"/>
      <c r="BA49" s="238"/>
      <c r="BB49" s="238"/>
      <c r="BC49" s="238"/>
      <c r="BD49" s="238"/>
      <c r="BE49" s="239" t="s">
        <v>659</v>
      </c>
      <c r="BF49" s="239">
        <v>0</v>
      </c>
      <c r="BG49" s="239">
        <v>0</v>
      </c>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row>
    <row r="50" spans="1:94" s="240" customFormat="1" ht="14.25" customHeight="1">
      <c r="A50" s="267" t="s">
        <v>124</v>
      </c>
      <c r="B50" s="268"/>
      <c r="C50" s="268"/>
      <c r="D50" s="268"/>
      <c r="E50" s="269"/>
      <c r="F50" s="1377">
        <v>0</v>
      </c>
      <c r="G50" s="1378"/>
      <c r="H50" s="1299">
        <f t="shared" si="8"/>
        <v>0</v>
      </c>
      <c r="I50" s="1301"/>
      <c r="J50" s="1300"/>
      <c r="K50" s="1300"/>
      <c r="L50" s="1299"/>
      <c r="M50" s="1300"/>
      <c r="N50" s="1299">
        <f t="shared" si="0"/>
        <v>0</v>
      </c>
      <c r="O50" s="1301"/>
      <c r="P50" s="1299">
        <f t="shared" si="9"/>
        <v>0</v>
      </c>
      <c r="Q50" s="1301"/>
      <c r="R50" s="1299">
        <f>SUMPRODUCT(H31:H51,$AX31:$AX51)+H50</f>
        <v>0</v>
      </c>
      <c r="S50" s="1300"/>
      <c r="T50" s="1299">
        <f>R50*$AR50</f>
        <v>0</v>
      </c>
      <c r="U50" s="1301"/>
      <c r="V50" s="263"/>
      <c r="W50" s="263"/>
      <c r="X50" s="263"/>
      <c r="Y50" s="263"/>
      <c r="Z50" s="263"/>
      <c r="AA50" s="263"/>
      <c r="AB50" s="263"/>
      <c r="AC50" s="263"/>
      <c r="AD50" s="263"/>
      <c r="AE50" s="263"/>
      <c r="AF50" s="263"/>
      <c r="AG50" s="263"/>
      <c r="AH50" s="263"/>
      <c r="AI50" s="263"/>
      <c r="AJ50" s="263"/>
      <c r="AK50" s="264"/>
      <c r="AL50" s="258"/>
      <c r="AM50" s="258"/>
      <c r="AN50" s="258"/>
      <c r="AO50" s="258">
        <v>2</v>
      </c>
      <c r="AP50" s="258"/>
      <c r="AQ50" s="258">
        <v>1</v>
      </c>
      <c r="AR50" s="265">
        <f>AM50*12.01+AN50*1.008+AO50*16+AP50*14+AQ50*32</f>
        <v>64</v>
      </c>
      <c r="AS50" s="259"/>
      <c r="AT50" s="258"/>
      <c r="AU50" s="258"/>
      <c r="AV50" s="258"/>
      <c r="AW50" s="258"/>
      <c r="AX50" s="258"/>
      <c r="AY50" s="258"/>
      <c r="AZ50" s="238"/>
      <c r="BA50" s="238"/>
      <c r="BB50" s="238"/>
      <c r="BC50" s="238"/>
      <c r="BD50" s="238"/>
      <c r="BE50" s="239" t="s">
        <v>660</v>
      </c>
      <c r="BF50" s="239">
        <v>0</v>
      </c>
      <c r="BG50" s="239">
        <v>0</v>
      </c>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38"/>
      <c r="CN50" s="238"/>
      <c r="CO50" s="238"/>
      <c r="CP50" s="238"/>
    </row>
    <row r="51" spans="1:94" s="240" customFormat="1" ht="14.25" customHeight="1">
      <c r="A51" s="273" t="s">
        <v>431</v>
      </c>
      <c r="B51" s="274"/>
      <c r="C51" s="274"/>
      <c r="D51" s="274"/>
      <c r="E51" s="274"/>
      <c r="F51" s="1377">
        <f>CO2eEF!P47</f>
        <v>0</v>
      </c>
      <c r="G51" s="1378"/>
      <c r="H51" s="1299">
        <f t="shared" si="8"/>
        <v>0</v>
      </c>
      <c r="I51" s="1301"/>
      <c r="J51" s="1384"/>
      <c r="K51" s="1384"/>
      <c r="L51" s="1382"/>
      <c r="M51" s="1384"/>
      <c r="N51" s="1299">
        <f t="shared" si="0"/>
        <v>0</v>
      </c>
      <c r="O51" s="1301"/>
      <c r="P51" s="1299">
        <f t="shared" si="9"/>
        <v>0.18642093515088554</v>
      </c>
      <c r="Q51" s="1301"/>
      <c r="R51" s="1300">
        <f>SUMPRODUCT(H31:H51,$AV31:$AV51)+H51-SUMPRODUCT(R32:R42,$AV32:$AV42)</f>
        <v>10125.868486352358</v>
      </c>
      <c r="S51" s="1300"/>
      <c r="T51" s="1352">
        <f>R51*$AR51</f>
        <v>182427.64665012405</v>
      </c>
      <c r="U51" s="1354"/>
      <c r="V51" s="263"/>
      <c r="W51" s="263"/>
      <c r="X51" s="263"/>
      <c r="Y51" s="263"/>
      <c r="Z51" s="263"/>
      <c r="AA51" s="263"/>
      <c r="AB51" s="263"/>
      <c r="AC51" s="263"/>
      <c r="AD51" s="263"/>
      <c r="AE51" s="263"/>
      <c r="AF51" s="263"/>
      <c r="AG51" s="263"/>
      <c r="AH51" s="263"/>
      <c r="AI51" s="263"/>
      <c r="AJ51" s="263"/>
      <c r="AK51" s="264"/>
      <c r="AL51" s="258"/>
      <c r="AM51" s="258"/>
      <c r="AN51" s="258">
        <v>2</v>
      </c>
      <c r="AO51" s="258">
        <v>1</v>
      </c>
      <c r="AP51" s="258"/>
      <c r="AQ51" s="258"/>
      <c r="AR51" s="265">
        <f>AM51*12.01+AN51*1.008+AO51*16+AP51*14+AQ51*32</f>
        <v>18.015999999999998</v>
      </c>
      <c r="AS51" s="259"/>
      <c r="AT51" s="258"/>
      <c r="AU51" s="258"/>
      <c r="AV51" s="258"/>
      <c r="AW51" s="258"/>
      <c r="AX51" s="258"/>
      <c r="AY51" s="258"/>
      <c r="AZ51" s="238"/>
      <c r="BA51" s="238"/>
      <c r="BB51" s="238"/>
      <c r="BC51" s="238"/>
      <c r="BD51" s="238"/>
      <c r="BE51" s="239" t="s">
        <v>661</v>
      </c>
      <c r="BF51" s="239">
        <v>0</v>
      </c>
      <c r="BG51" s="239">
        <v>0</v>
      </c>
      <c r="BH51" s="238"/>
      <c r="BI51" s="238"/>
      <c r="BJ51" s="238"/>
      <c r="BK51" s="238"/>
      <c r="BL51" s="238"/>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38"/>
      <c r="CN51" s="238"/>
      <c r="CO51" s="238"/>
      <c r="CP51" s="238"/>
    </row>
    <row r="52" spans="1:94" s="240" customFormat="1" ht="14.25" customHeight="1">
      <c r="A52" s="1391" t="s">
        <v>663</v>
      </c>
      <c r="B52" s="1392"/>
      <c r="C52" s="1392"/>
      <c r="D52" s="1392"/>
      <c r="E52" s="1393"/>
      <c r="F52" s="1394">
        <f>SUM(F31:F51)</f>
        <v>1</v>
      </c>
      <c r="G52" s="1395"/>
      <c r="H52" s="1371">
        <v>6106.1389961389959</v>
      </c>
      <c r="I52" s="1373"/>
      <c r="J52" s="1396">
        <f>SUM(J45:J51)</f>
        <v>49238.843593682308</v>
      </c>
      <c r="K52" s="1396"/>
      <c r="L52" s="1371">
        <v>0</v>
      </c>
      <c r="M52" s="1372"/>
      <c r="N52" s="1385">
        <f>SUM(N31:N51)</f>
        <v>1503418.7755031707</v>
      </c>
      <c r="O52" s="1386"/>
      <c r="P52" s="1385">
        <f>SUM(P32:Q51)</f>
        <v>0.99999999999999989</v>
      </c>
      <c r="Q52" s="1386"/>
      <c r="R52" s="1385">
        <f>SUM(R32:S51)</f>
        <v>54317.228256347247</v>
      </c>
      <c r="S52" s="1386"/>
      <c r="T52" s="1582">
        <f>SUM(T32:U51)</f>
        <v>1498635.4349369267</v>
      </c>
      <c r="U52" s="1583"/>
      <c r="V52" s="275"/>
      <c r="W52" s="275"/>
      <c r="X52" s="30"/>
      <c r="Y52" s="30"/>
      <c r="Z52" s="276"/>
      <c r="AA52" s="276"/>
      <c r="AB52" s="30"/>
      <c r="AC52" s="30"/>
      <c r="AD52" s="277"/>
      <c r="AE52" s="277"/>
      <c r="AF52" s="263"/>
      <c r="AG52" s="263"/>
      <c r="AH52" s="30"/>
      <c r="AI52" s="30"/>
      <c r="AJ52" s="277"/>
      <c r="AK52" s="278"/>
      <c r="AL52" s="238"/>
      <c r="AM52" s="238"/>
      <c r="AN52" s="238"/>
      <c r="AO52" s="238"/>
      <c r="AP52" s="238"/>
      <c r="AQ52" s="238"/>
      <c r="AR52" s="238"/>
      <c r="AS52" s="238"/>
      <c r="AT52" s="238"/>
      <c r="AU52" s="238"/>
      <c r="AV52" s="238"/>
      <c r="AW52" s="238"/>
      <c r="AX52" s="238"/>
      <c r="AY52" s="238"/>
      <c r="AZ52" s="238"/>
      <c r="BA52" s="238"/>
      <c r="BB52" s="238"/>
      <c r="BC52" s="238"/>
      <c r="BD52" s="238"/>
      <c r="BE52" s="239" t="s">
        <v>662</v>
      </c>
      <c r="BF52" s="239">
        <v>0</v>
      </c>
      <c r="BG52" s="239">
        <v>0</v>
      </c>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row>
    <row r="53" spans="1:94" s="240" customFormat="1" ht="14.25" customHeight="1">
      <c r="A53" s="475" t="s">
        <v>665</v>
      </c>
      <c r="B53" s="476"/>
      <c r="C53" s="476"/>
      <c r="D53" s="476"/>
      <c r="E53" s="435"/>
      <c r="F53" s="435"/>
      <c r="G53" s="435"/>
      <c r="H53" s="435"/>
      <c r="I53" s="435"/>
      <c r="J53" s="435"/>
      <c r="K53" s="435"/>
      <c r="L53" s="1189" t="s">
        <v>666</v>
      </c>
      <c r="M53" s="1190"/>
      <c r="N53" s="477"/>
      <c r="O53" s="477"/>
      <c r="P53" s="477"/>
      <c r="Q53" s="477"/>
      <c r="R53" s="477" t="s">
        <v>332</v>
      </c>
      <c r="S53" s="477"/>
      <c r="T53" s="477"/>
      <c r="U53" s="477"/>
      <c r="V53" s="479"/>
      <c r="W53" s="479"/>
      <c r="X53" s="1482"/>
      <c r="Y53" s="1482"/>
      <c r="Z53" s="1482"/>
      <c r="AA53" s="1482"/>
      <c r="AB53" s="1482"/>
      <c r="AC53" s="1482"/>
      <c r="AD53" s="1482"/>
      <c r="AE53" s="1482"/>
      <c r="AF53" s="1482"/>
      <c r="AG53" s="479"/>
      <c r="AH53" s="479"/>
      <c r="AI53" s="479"/>
      <c r="AJ53" s="479"/>
      <c r="AK53" s="480"/>
      <c r="AL53" s="481"/>
      <c r="AM53" s="238"/>
      <c r="AN53" s="238"/>
      <c r="AO53" s="238"/>
      <c r="AP53" s="238"/>
      <c r="AQ53" s="238"/>
      <c r="AR53" s="238"/>
      <c r="AS53" s="238"/>
      <c r="AT53" s="238"/>
      <c r="AU53" s="238"/>
      <c r="AV53" s="238"/>
      <c r="AW53" s="238"/>
      <c r="AX53" s="238"/>
      <c r="AY53" s="238"/>
      <c r="AZ53" s="238"/>
      <c r="BA53" s="238"/>
      <c r="BB53" s="238"/>
      <c r="BC53" s="238"/>
      <c r="BD53" s="238"/>
      <c r="BE53" s="239" t="s">
        <v>664</v>
      </c>
      <c r="BF53" s="239">
        <v>0</v>
      </c>
      <c r="BG53" s="239">
        <v>0</v>
      </c>
      <c r="BH53" s="238"/>
      <c r="BI53" s="238"/>
      <c r="BJ53" s="238"/>
      <c r="BK53" s="238"/>
      <c r="BL53" s="238"/>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38"/>
      <c r="CN53" s="238"/>
      <c r="CO53" s="238"/>
      <c r="CP53" s="238"/>
    </row>
    <row r="54" spans="1:94" s="240" customFormat="1" ht="14.25" customHeight="1">
      <c r="A54" s="483" t="s">
        <v>748</v>
      </c>
      <c r="B54" s="484"/>
      <c r="C54" s="484"/>
      <c r="D54" s="484"/>
      <c r="E54" s="484"/>
      <c r="F54" s="484"/>
      <c r="G54" s="484"/>
      <c r="H54" s="484"/>
      <c r="I54" s="484"/>
      <c r="J54" s="484"/>
      <c r="K54" s="484"/>
      <c r="L54" s="1185">
        <f>N54*1000/3600</f>
        <v>1.3313072212221986</v>
      </c>
      <c r="M54" s="1186"/>
      <c r="N54" s="1586">
        <f>AI17*X25</f>
        <v>4.7927059963999143</v>
      </c>
      <c r="O54" s="1586"/>
      <c r="P54" s="484" t="s">
        <v>617</v>
      </c>
      <c r="Q54" s="591"/>
      <c r="R54" s="1585">
        <f>N54*2*24/1000</f>
        <v>0.2300498878271959</v>
      </c>
      <c r="S54" s="1585"/>
      <c r="T54" s="1390"/>
      <c r="U54" s="1390"/>
      <c r="V54" s="1584"/>
      <c r="W54" s="1584"/>
      <c r="X54" s="484"/>
      <c r="Y54" s="1483"/>
      <c r="Z54" s="1483"/>
      <c r="AA54" s="484"/>
      <c r="AB54" s="484"/>
      <c r="AC54" s="1484"/>
      <c r="AD54" s="1484"/>
      <c r="AE54" s="1390"/>
      <c r="AF54" s="1390"/>
      <c r="AG54" s="484"/>
      <c r="AH54" s="484"/>
      <c r="AI54" s="484"/>
      <c r="AJ54" s="485"/>
      <c r="AK54" s="486"/>
      <c r="AL54" s="238"/>
      <c r="AM54" s="238"/>
      <c r="AN54" s="281"/>
      <c r="AO54" s="238"/>
      <c r="AP54" s="238"/>
      <c r="AQ54" s="238"/>
      <c r="AR54" s="238"/>
      <c r="AS54" s="238"/>
      <c r="AT54" s="238"/>
      <c r="AU54" s="238"/>
      <c r="AV54" s="238"/>
      <c r="AW54" s="238"/>
      <c r="AX54" s="238"/>
      <c r="AY54" s="238"/>
      <c r="AZ54" s="238"/>
      <c r="BA54" s="238"/>
      <c r="BB54" s="238"/>
      <c r="BC54" s="238"/>
      <c r="BD54" s="238"/>
      <c r="BE54" s="239" t="s">
        <v>667</v>
      </c>
      <c r="BF54" s="239">
        <v>0</v>
      </c>
      <c r="BG54" s="239">
        <v>4.4999999999999997E-3</v>
      </c>
      <c r="BH54" s="238"/>
      <c r="BI54" s="238"/>
      <c r="BJ54" s="238"/>
      <c r="BK54" s="238"/>
      <c r="BL54" s="238"/>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38"/>
      <c r="CN54" s="238"/>
      <c r="CO54" s="238"/>
      <c r="CP54" s="238"/>
    </row>
    <row r="55" spans="1:94" s="240" customFormat="1" ht="14.25" customHeight="1">
      <c r="A55" s="273" t="s">
        <v>668</v>
      </c>
      <c r="B55" s="30"/>
      <c r="C55" s="30"/>
      <c r="D55" s="30"/>
      <c r="E55" s="30"/>
      <c r="F55" s="30"/>
      <c r="G55" s="30"/>
      <c r="H55" s="30"/>
      <c r="I55" s="30"/>
      <c r="J55" s="30"/>
      <c r="K55" s="30"/>
      <c r="L55" s="1436">
        <f t="shared" ref="L55:L60" si="10">N55*1000/3600</f>
        <v>38.652644643159014</v>
      </c>
      <c r="M55" s="1437"/>
      <c r="N55" s="1560">
        <f>W17*X25</f>
        <v>139.14952071537246</v>
      </c>
      <c r="O55" s="1560"/>
      <c r="P55" s="30" t="s">
        <v>617</v>
      </c>
      <c r="Q55" s="591"/>
      <c r="R55" s="1585">
        <f t="shared" ref="R55:R61" si="11">N55*2*24/1000</f>
        <v>6.6791769943378787</v>
      </c>
      <c r="S55" s="1585"/>
      <c r="T55" s="1390"/>
      <c r="U55" s="1390"/>
      <c r="V55" s="1584"/>
      <c r="W55" s="1584"/>
      <c r="X55" s="30"/>
      <c r="Y55" s="1485"/>
      <c r="Z55" s="1485"/>
      <c r="AA55" s="30"/>
      <c r="AB55" s="30"/>
      <c r="AC55" s="1486"/>
      <c r="AD55" s="1486"/>
      <c r="AE55" s="860"/>
      <c r="AF55" s="860"/>
      <c r="AG55" s="30"/>
      <c r="AH55" s="30"/>
      <c r="AI55" s="30"/>
      <c r="AJ55" s="30"/>
      <c r="AK55" s="253"/>
      <c r="AL55" s="238"/>
      <c r="AM55" s="238"/>
      <c r="AN55" s="238"/>
      <c r="AO55" s="482"/>
      <c r="AP55" s="238"/>
      <c r="AQ55" s="238"/>
      <c r="AR55" s="238"/>
      <c r="AS55" s="238"/>
      <c r="AT55" s="238"/>
      <c r="AU55" s="238"/>
      <c r="AV55" s="238"/>
      <c r="AW55" s="238"/>
      <c r="AX55" s="238"/>
      <c r="AY55" s="238"/>
      <c r="AZ55" s="238"/>
      <c r="BA55" s="238"/>
      <c r="BB55" s="238"/>
      <c r="BC55" s="238"/>
      <c r="BD55" s="238"/>
      <c r="BE55" s="239" t="s">
        <v>669</v>
      </c>
      <c r="BF55" s="239">
        <v>0</v>
      </c>
      <c r="BG55" s="239">
        <v>1.5800000000000002E-2</v>
      </c>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38"/>
      <c r="CN55" s="238"/>
      <c r="CO55" s="238"/>
      <c r="CP55" s="238"/>
    </row>
    <row r="56" spans="1:94" s="240" customFormat="1" ht="14.25" customHeight="1">
      <c r="A56" s="273" t="s">
        <v>670</v>
      </c>
      <c r="B56" s="30"/>
      <c r="C56" s="30"/>
      <c r="D56" s="30"/>
      <c r="E56" s="30"/>
      <c r="F56" s="30"/>
      <c r="G56" s="30"/>
      <c r="H56" s="30"/>
      <c r="I56" s="30"/>
      <c r="J56" s="30"/>
      <c r="K56" s="30"/>
      <c r="L56" s="1246">
        <f t="shared" si="10"/>
        <v>212.43714845246166</v>
      </c>
      <c r="M56" s="1247"/>
      <c r="N56" s="1560">
        <f>AC17*X25</f>
        <v>764.77373442886199</v>
      </c>
      <c r="O56" s="1560"/>
      <c r="P56" s="30" t="s">
        <v>617</v>
      </c>
      <c r="Q56" s="591"/>
      <c r="R56" s="1585">
        <f t="shared" si="11"/>
        <v>36.709139252585373</v>
      </c>
      <c r="S56" s="1585"/>
      <c r="T56" s="1390"/>
      <c r="U56" s="1390"/>
      <c r="V56" s="1584"/>
      <c r="W56" s="1584"/>
      <c r="X56" s="30"/>
      <c r="Y56" s="1485"/>
      <c r="Z56" s="1485"/>
      <c r="AA56" s="30"/>
      <c r="AB56" s="30"/>
      <c r="AC56" s="1486"/>
      <c r="AD56" s="1486"/>
      <c r="AE56" s="473"/>
      <c r="AF56" s="473"/>
      <c r="AG56" s="30"/>
      <c r="AH56" s="30"/>
      <c r="AI56" s="30"/>
      <c r="AJ56" s="30"/>
      <c r="AK56" s="253"/>
      <c r="AL56" s="238"/>
      <c r="AM56" s="238"/>
      <c r="AN56" s="238"/>
      <c r="AO56" s="482"/>
      <c r="AP56" s="238"/>
      <c r="AQ56" s="238"/>
      <c r="AR56" s="238"/>
      <c r="AS56" s="238"/>
      <c r="AT56" s="238"/>
      <c r="AU56" s="238"/>
      <c r="AV56" s="238"/>
      <c r="AW56" s="238"/>
      <c r="AX56" s="238"/>
      <c r="AY56" s="238"/>
      <c r="AZ56" s="238"/>
      <c r="BA56" s="238"/>
      <c r="BB56" s="238"/>
      <c r="BC56" s="238"/>
      <c r="BD56" s="238"/>
      <c r="BE56" s="239"/>
      <c r="BF56" s="239"/>
      <c r="BG56" s="239"/>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38"/>
      <c r="CN56" s="238"/>
      <c r="CO56" s="238"/>
      <c r="CP56" s="238"/>
    </row>
    <row r="57" spans="1:94" s="240" customFormat="1" ht="14.25" customHeight="1">
      <c r="A57" s="273" t="s">
        <v>673</v>
      </c>
      <c r="B57" s="30"/>
      <c r="C57" s="30"/>
      <c r="D57" s="30"/>
      <c r="E57" s="30"/>
      <c r="F57" s="30"/>
      <c r="G57" s="30"/>
      <c r="H57" s="30"/>
      <c r="I57" s="30"/>
      <c r="J57" s="30"/>
      <c r="K57" s="30"/>
      <c r="L57" s="1246">
        <f t="shared" si="10"/>
        <v>0</v>
      </c>
      <c r="M57" s="1247"/>
      <c r="N57" s="1560">
        <f>Q22*X25</f>
        <v>0</v>
      </c>
      <c r="O57" s="1560"/>
      <c r="P57" s="30" t="s">
        <v>617</v>
      </c>
      <c r="Q57" s="591"/>
      <c r="R57" s="1585">
        <f t="shared" si="11"/>
        <v>0</v>
      </c>
      <c r="S57" s="1585"/>
      <c r="T57" s="1390"/>
      <c r="U57" s="1390"/>
      <c r="V57" s="1584"/>
      <c r="W57" s="1584"/>
      <c r="X57" s="30"/>
      <c r="Y57" s="1485"/>
      <c r="Z57" s="1485"/>
      <c r="AA57" s="30"/>
      <c r="AB57" s="30"/>
      <c r="AC57" s="1486"/>
      <c r="AD57" s="1486"/>
      <c r="AE57" s="860"/>
      <c r="AF57" s="860"/>
      <c r="AG57" s="30"/>
      <c r="AH57" s="30"/>
      <c r="AI57" s="30"/>
      <c r="AJ57" s="30"/>
      <c r="AK57" s="253"/>
      <c r="AL57" s="238"/>
      <c r="AM57" s="238"/>
      <c r="AN57" s="238"/>
      <c r="AO57" s="482"/>
      <c r="AP57" s="238"/>
      <c r="AQ57" s="238"/>
      <c r="AR57" s="238"/>
      <c r="AS57" s="238"/>
      <c r="AT57" s="238"/>
      <c r="AU57" s="238"/>
      <c r="AV57" s="238"/>
      <c r="AW57" s="238"/>
      <c r="AX57" s="238"/>
      <c r="AY57" s="238"/>
      <c r="AZ57" s="238"/>
      <c r="BA57" s="238"/>
      <c r="BB57" s="238"/>
      <c r="BC57" s="238"/>
      <c r="BD57" s="238"/>
      <c r="BE57" s="239"/>
      <c r="BF57" s="239"/>
      <c r="BG57" s="239"/>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38"/>
      <c r="CN57" s="238"/>
      <c r="CO57" s="238"/>
      <c r="CP57" s="238"/>
    </row>
    <row r="58" spans="1:94" s="240" customFormat="1" ht="14.25" customHeight="1">
      <c r="A58" s="273" t="s">
        <v>672</v>
      </c>
      <c r="B58" s="30"/>
      <c r="C58" s="30"/>
      <c r="D58" s="30"/>
      <c r="E58" s="30"/>
      <c r="F58" s="30"/>
      <c r="G58" s="30"/>
      <c r="H58" s="30"/>
      <c r="I58" s="30"/>
      <c r="J58" s="30"/>
      <c r="K58" s="30"/>
      <c r="L58" s="1587">
        <f t="shared" si="10"/>
        <v>459.01814516129031</v>
      </c>
      <c r="M58" s="1588"/>
      <c r="N58" s="1590">
        <f>T32</f>
        <v>1652.4653225806451</v>
      </c>
      <c r="O58" s="1590"/>
      <c r="P58" s="30" t="s">
        <v>617</v>
      </c>
      <c r="Q58" s="591"/>
      <c r="R58" s="1585">
        <f t="shared" si="11"/>
        <v>79.318335483870968</v>
      </c>
      <c r="S58" s="1585"/>
      <c r="T58" s="1390"/>
      <c r="U58" s="1390"/>
      <c r="V58" s="1584"/>
      <c r="W58" s="1584"/>
      <c r="X58" s="30"/>
      <c r="Y58" s="1485"/>
      <c r="Z58" s="1485"/>
      <c r="AA58" s="30"/>
      <c r="AB58" s="30"/>
      <c r="AC58" s="1486"/>
      <c r="AD58" s="1486"/>
      <c r="AE58" s="473"/>
      <c r="AF58" s="473"/>
      <c r="AG58" s="30"/>
      <c r="AH58" s="30"/>
      <c r="AI58" s="30"/>
      <c r="AJ58" s="30"/>
      <c r="AK58" s="253"/>
      <c r="AL58" s="238"/>
      <c r="AM58" s="238"/>
      <c r="AN58" s="238"/>
      <c r="AO58" s="482"/>
      <c r="AP58" s="238"/>
      <c r="AQ58" s="238"/>
      <c r="AR58" s="238"/>
      <c r="AS58" s="238"/>
      <c r="AT58" s="238"/>
      <c r="AU58" s="238"/>
      <c r="AV58" s="238"/>
      <c r="AW58" s="238"/>
      <c r="AX58" s="238"/>
      <c r="AY58" s="238"/>
      <c r="AZ58" s="238"/>
      <c r="BA58" s="238"/>
      <c r="BB58" s="238"/>
      <c r="BC58" s="238"/>
      <c r="BD58" s="238"/>
      <c r="BE58" s="239"/>
      <c r="BF58" s="239"/>
      <c r="BG58" s="239"/>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row>
    <row r="59" spans="1:94" s="240" customFormat="1" ht="14.25" customHeight="1">
      <c r="A59" s="273" t="s">
        <v>675</v>
      </c>
      <c r="B59" s="30"/>
      <c r="C59" s="30"/>
      <c r="D59" s="30"/>
      <c r="E59" s="30"/>
      <c r="F59" s="30"/>
      <c r="G59" s="30"/>
      <c r="H59" s="30"/>
      <c r="I59" s="30"/>
      <c r="J59" s="30"/>
      <c r="K59" s="30"/>
      <c r="L59" s="1185">
        <f t="shared" si="10"/>
        <v>0</v>
      </c>
      <c r="M59" s="1186"/>
      <c r="N59" s="1589"/>
      <c r="O59" s="1589"/>
      <c r="P59" s="30" t="s">
        <v>617</v>
      </c>
      <c r="Q59" s="591"/>
      <c r="R59" s="1585">
        <f t="shared" si="11"/>
        <v>0</v>
      </c>
      <c r="S59" s="1585"/>
      <c r="T59" s="1390"/>
      <c r="U59" s="1390"/>
      <c r="V59" s="1584"/>
      <c r="W59" s="1584"/>
      <c r="X59" s="30"/>
      <c r="Y59" s="1485"/>
      <c r="Z59" s="1485"/>
      <c r="AA59" s="30"/>
      <c r="AB59" s="30"/>
      <c r="AC59" s="1486"/>
      <c r="AD59" s="1486"/>
      <c r="AE59" s="473"/>
      <c r="AF59" s="473"/>
      <c r="AG59" s="30"/>
      <c r="AH59" s="30"/>
      <c r="AI59" s="30"/>
      <c r="AJ59" s="30"/>
      <c r="AK59" s="253"/>
      <c r="AL59" s="238"/>
      <c r="AM59" s="238"/>
      <c r="AN59" s="238"/>
      <c r="AO59" s="482"/>
      <c r="AP59" s="238"/>
      <c r="AQ59" s="238"/>
      <c r="AR59" s="238"/>
      <c r="AS59" s="238"/>
      <c r="AT59" s="238"/>
      <c r="AU59" s="238"/>
      <c r="AV59" s="238"/>
      <c r="AW59" s="238"/>
      <c r="AX59" s="238"/>
      <c r="AY59" s="238"/>
      <c r="AZ59" s="238"/>
      <c r="BA59" s="238"/>
      <c r="BB59" s="238"/>
      <c r="BC59" s="238"/>
      <c r="BD59" s="238"/>
      <c r="BE59" s="239"/>
      <c r="BF59" s="239"/>
      <c r="BG59" s="239"/>
      <c r="BH59" s="238"/>
      <c r="BI59" s="238"/>
      <c r="BJ59" s="238"/>
      <c r="BK59" s="238"/>
      <c r="BL59" s="238"/>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38"/>
      <c r="CN59" s="238"/>
      <c r="CO59" s="238"/>
      <c r="CP59" s="238"/>
    </row>
    <row r="60" spans="1:94" s="240" customFormat="1" ht="14.25" customHeight="1">
      <c r="A60" s="273" t="s">
        <v>676</v>
      </c>
      <c r="B60" s="30"/>
      <c r="C60" s="30"/>
      <c r="D60" s="30"/>
      <c r="E60" s="30"/>
      <c r="F60" s="30"/>
      <c r="G60" s="30"/>
      <c r="H60" s="30"/>
      <c r="I60" s="30"/>
      <c r="J60" s="30"/>
      <c r="K60" s="30"/>
      <c r="L60" s="1185">
        <f t="shared" si="10"/>
        <v>0</v>
      </c>
      <c r="M60" s="1186"/>
      <c r="N60" s="1589"/>
      <c r="O60" s="1589"/>
      <c r="P60" s="30" t="s">
        <v>617</v>
      </c>
      <c r="Q60" s="591"/>
      <c r="R60" s="1585">
        <f t="shared" si="11"/>
        <v>0</v>
      </c>
      <c r="S60" s="1585"/>
      <c r="T60" s="1390"/>
      <c r="U60" s="1390"/>
      <c r="V60" s="1584"/>
      <c r="W60" s="1584"/>
      <c r="X60" s="30"/>
      <c r="Y60" s="1485"/>
      <c r="Z60" s="1485"/>
      <c r="AA60" s="30"/>
      <c r="AB60" s="30"/>
      <c r="AC60" s="1486"/>
      <c r="AD60" s="1486"/>
      <c r="AE60" s="30"/>
      <c r="AF60" s="30"/>
      <c r="AG60" s="30"/>
      <c r="AH60" s="30"/>
      <c r="AI60" s="30"/>
      <c r="AJ60" s="30"/>
      <c r="AK60" s="253"/>
      <c r="AL60" s="238"/>
      <c r="AM60" s="238"/>
      <c r="AN60" s="238"/>
      <c r="AO60" s="281"/>
      <c r="AP60" s="238"/>
      <c r="AQ60" s="238"/>
      <c r="AR60" s="238"/>
      <c r="AS60" s="238"/>
      <c r="AT60" s="238"/>
      <c r="AU60" s="238"/>
      <c r="AV60" s="238"/>
      <c r="AW60" s="238"/>
      <c r="AX60" s="238"/>
      <c r="AY60" s="238"/>
      <c r="AZ60" s="238"/>
      <c r="BA60" s="238"/>
      <c r="BB60" s="238"/>
      <c r="BC60" s="238"/>
      <c r="BD60" s="238"/>
      <c r="BE60" s="239"/>
      <c r="BF60" s="239"/>
      <c r="BG60" s="239"/>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row>
    <row r="61" spans="1:94" s="240" customFormat="1" ht="14.25" customHeight="1">
      <c r="A61" s="273" t="s">
        <v>677</v>
      </c>
      <c r="B61" s="30"/>
      <c r="C61" s="30"/>
      <c r="D61" s="30"/>
      <c r="E61" s="30"/>
      <c r="F61" s="30"/>
      <c r="G61" s="30"/>
      <c r="H61" s="30"/>
      <c r="I61" s="30"/>
      <c r="J61" s="30"/>
      <c r="K61" s="30"/>
      <c r="L61" s="1587">
        <f>N61*1000/3600</f>
        <v>63258.705318598491</v>
      </c>
      <c r="M61" s="1588"/>
      <c r="N61" s="1564">
        <f>X25*CO2eEF!I57</f>
        <v>227731.33914695456</v>
      </c>
      <c r="O61" s="1564"/>
      <c r="P61" s="284" t="s">
        <v>617</v>
      </c>
      <c r="Q61" s="592"/>
      <c r="R61" s="1585">
        <f t="shared" si="11"/>
        <v>10931.104279053818</v>
      </c>
      <c r="S61" s="1585"/>
      <c r="T61" s="1390"/>
      <c r="U61" s="1390"/>
      <c r="V61" s="1584"/>
      <c r="W61" s="1584"/>
      <c r="X61" s="284"/>
      <c r="Y61" s="1487"/>
      <c r="Z61" s="1487"/>
      <c r="AA61" s="593"/>
      <c r="AB61" s="594"/>
      <c r="AC61" s="1488"/>
      <c r="AD61" s="1488"/>
      <c r="AE61" s="30"/>
      <c r="AF61" s="30"/>
      <c r="AG61" s="30"/>
      <c r="AH61" s="30"/>
      <c r="AI61" s="30"/>
      <c r="AJ61" s="30"/>
      <c r="AK61" s="253"/>
      <c r="AL61" s="238"/>
      <c r="AM61" s="238"/>
      <c r="AN61" s="238"/>
      <c r="AO61" s="281"/>
      <c r="AP61" s="238"/>
      <c r="AQ61" s="238"/>
      <c r="AR61" s="238"/>
      <c r="AS61" s="238"/>
      <c r="AT61" s="238"/>
      <c r="AU61" s="238"/>
      <c r="AV61" s="238"/>
      <c r="AW61" s="238"/>
      <c r="AX61" s="238"/>
      <c r="AY61" s="238"/>
      <c r="AZ61" s="238"/>
      <c r="BA61" s="238"/>
      <c r="BB61" s="238"/>
      <c r="BC61" s="238"/>
      <c r="BD61" s="238"/>
      <c r="BE61" s="239"/>
      <c r="BF61" s="239"/>
      <c r="BG61" s="239"/>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row>
    <row r="62" spans="1:94" s="240" customFormat="1" ht="14.25" customHeight="1">
      <c r="A62" s="279" t="s">
        <v>749</v>
      </c>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2"/>
      <c r="AF62" s="132"/>
      <c r="AG62" s="132"/>
      <c r="AH62" s="132"/>
      <c r="AI62" s="132"/>
      <c r="AJ62" s="132"/>
      <c r="AK62" s="280"/>
      <c r="AL62" s="238"/>
      <c r="AM62" s="238"/>
      <c r="AN62" s="238"/>
      <c r="AO62" s="281"/>
      <c r="AP62" s="238"/>
      <c r="AQ62" s="238"/>
      <c r="AR62" s="238"/>
      <c r="AS62" s="238"/>
      <c r="AT62" s="238"/>
      <c r="AU62" s="238"/>
      <c r="AV62" s="238"/>
      <c r="AW62" s="238"/>
      <c r="AX62" s="238"/>
      <c r="AY62" s="238"/>
      <c r="AZ62" s="238"/>
      <c r="BA62" s="238"/>
      <c r="BB62" s="238"/>
      <c r="BC62" s="238"/>
      <c r="BD62" s="238"/>
      <c r="BE62" s="239"/>
      <c r="BF62" s="239"/>
      <c r="BG62" s="239"/>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row>
    <row r="63" spans="1:94" s="240" customFormat="1" ht="14.25" customHeight="1">
      <c r="A63" s="282" t="s">
        <v>31</v>
      </c>
      <c r="B63" s="30" t="s">
        <v>804</v>
      </c>
      <c r="C63" s="30"/>
      <c r="D63" s="30"/>
      <c r="E63" s="30"/>
      <c r="F63" s="30"/>
      <c r="G63" s="30"/>
      <c r="H63" s="30"/>
      <c r="I63" s="30"/>
      <c r="J63" s="30"/>
      <c r="K63" s="30"/>
      <c r="L63" s="30"/>
      <c r="M63" s="30"/>
      <c r="N63" s="283"/>
      <c r="O63" s="283"/>
      <c r="P63" s="283"/>
      <c r="Q63" s="30"/>
      <c r="R63" s="30"/>
      <c r="S63" s="30"/>
      <c r="T63" s="30"/>
      <c r="U63" s="30"/>
      <c r="V63" s="30"/>
      <c r="W63" s="30"/>
      <c r="X63" s="30"/>
      <c r="Y63" s="30"/>
      <c r="Z63" s="30"/>
      <c r="AA63" s="30"/>
      <c r="AB63" s="30"/>
      <c r="AC63" s="30"/>
      <c r="AD63" s="30"/>
      <c r="AE63" s="30"/>
      <c r="AF63" s="30"/>
      <c r="AG63" s="30"/>
      <c r="AH63" s="30"/>
      <c r="AI63" s="30"/>
      <c r="AJ63" s="30"/>
      <c r="AK63" s="253"/>
      <c r="AL63" s="238"/>
      <c r="AM63" s="238"/>
      <c r="AN63" s="238"/>
      <c r="AO63" s="238"/>
      <c r="AP63" s="238"/>
      <c r="AQ63" s="238"/>
      <c r="AR63" s="238"/>
      <c r="AS63" s="238"/>
      <c r="AT63" s="238"/>
      <c r="AU63" s="238"/>
      <c r="AV63" s="238"/>
      <c r="AW63" s="238"/>
      <c r="AX63" s="238"/>
      <c r="AY63" s="238"/>
      <c r="AZ63" s="238"/>
      <c r="BA63" s="238"/>
      <c r="BB63" s="238"/>
      <c r="BC63" s="238"/>
      <c r="BD63" s="238"/>
      <c r="BE63" s="239" t="s">
        <v>679</v>
      </c>
      <c r="BF63" s="239">
        <v>0</v>
      </c>
      <c r="BG63" s="239">
        <v>0</v>
      </c>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row>
    <row r="64" spans="1:94" ht="14.25" customHeight="1">
      <c r="A64" s="282" t="s">
        <v>33</v>
      </c>
      <c r="B64" s="31" t="s">
        <v>751</v>
      </c>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5"/>
      <c r="AK64" s="286"/>
      <c r="AL64" s="243"/>
      <c r="AM64" s="243"/>
      <c r="AN64" s="243"/>
      <c r="AO64" s="243"/>
      <c r="AP64" s="243"/>
      <c r="AQ64" s="243"/>
      <c r="AR64" s="243"/>
      <c r="AS64" s="243"/>
      <c r="AT64" s="243"/>
      <c r="AU64" s="243"/>
      <c r="AV64" s="243"/>
      <c r="AW64" s="243"/>
      <c r="AX64" s="243"/>
      <c r="AY64" s="243"/>
      <c r="AZ64" s="243"/>
      <c r="BA64" s="243"/>
      <c r="BB64" s="243"/>
      <c r="BC64" s="243"/>
      <c r="BD64" s="243"/>
      <c r="BE64" s="246" t="s">
        <v>681</v>
      </c>
      <c r="BF64" s="246">
        <v>0</v>
      </c>
      <c r="BG64" s="246">
        <v>0</v>
      </c>
      <c r="BH64" s="243"/>
      <c r="BI64" s="243"/>
      <c r="BJ64" s="243"/>
      <c r="BK64" s="243"/>
      <c r="BL64" s="243"/>
      <c r="BM64" s="243"/>
      <c r="BN64" s="243"/>
      <c r="BO64" s="243"/>
      <c r="BP64" s="243"/>
      <c r="BQ64" s="243"/>
      <c r="BR64" s="243"/>
      <c r="BS64" s="243"/>
      <c r="BT64" s="243"/>
      <c r="BU64" s="243"/>
      <c r="BV64" s="243"/>
      <c r="BW64" s="243"/>
      <c r="BX64" s="243"/>
      <c r="BY64" s="243"/>
      <c r="BZ64" s="243"/>
      <c r="CA64" s="243"/>
      <c r="CB64" s="243"/>
      <c r="CC64" s="243"/>
      <c r="CD64" s="243"/>
      <c r="CE64" s="243"/>
      <c r="CF64" s="243"/>
      <c r="CG64" s="243"/>
      <c r="CH64" s="243"/>
      <c r="CI64" s="243"/>
      <c r="CJ64" s="243"/>
      <c r="CK64" s="243"/>
      <c r="CL64" s="243"/>
      <c r="CM64" s="243"/>
      <c r="CN64" s="243"/>
      <c r="CO64" s="243"/>
      <c r="CP64" s="243"/>
    </row>
    <row r="65" spans="1:94" ht="14.25" customHeight="1">
      <c r="A65" s="282" t="s">
        <v>752</v>
      </c>
      <c r="B65" s="284" t="s">
        <v>805</v>
      </c>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5"/>
      <c r="AE65" s="285"/>
      <c r="AF65" s="285"/>
      <c r="AG65" s="285"/>
      <c r="AH65" s="285"/>
      <c r="AI65" s="285"/>
      <c r="AJ65" s="285"/>
      <c r="AK65" s="286"/>
      <c r="AL65" s="243"/>
      <c r="AM65" s="243"/>
      <c r="AN65" s="243"/>
      <c r="AO65" s="243"/>
      <c r="AP65" s="243"/>
      <c r="AQ65" s="243"/>
      <c r="AR65" s="243"/>
      <c r="AS65" s="243"/>
      <c r="AT65" s="243"/>
      <c r="AU65" s="243"/>
      <c r="AV65" s="243"/>
      <c r="AW65" s="243"/>
      <c r="AX65" s="243"/>
      <c r="AY65" s="243"/>
      <c r="AZ65" s="243"/>
      <c r="BA65" s="243"/>
      <c r="BB65" s="243"/>
      <c r="BC65" s="243"/>
      <c r="BD65" s="243"/>
      <c r="BE65" s="246" t="s">
        <v>684</v>
      </c>
      <c r="BF65" s="246">
        <v>0</v>
      </c>
      <c r="BG65" s="246">
        <v>0</v>
      </c>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c r="CM65" s="243"/>
      <c r="CN65" s="243"/>
      <c r="CO65" s="243"/>
      <c r="CP65" s="243"/>
    </row>
    <row r="66" spans="1:94" ht="14.25">
      <c r="A66" s="282" t="s">
        <v>38</v>
      </c>
      <c r="B66" s="284" t="s">
        <v>725</v>
      </c>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6"/>
      <c r="AL66" s="243"/>
      <c r="AM66" s="243"/>
      <c r="AN66" s="243"/>
      <c r="AO66" s="243"/>
      <c r="AP66" s="243"/>
      <c r="AQ66" s="243"/>
      <c r="AR66" s="243"/>
      <c r="AS66" s="243"/>
      <c r="AT66" s="243"/>
      <c r="AU66" s="243"/>
      <c r="AV66" s="243"/>
      <c r="AW66" s="243"/>
      <c r="AX66" s="243"/>
      <c r="AY66" s="243"/>
      <c r="AZ66" s="243"/>
      <c r="BA66" s="243"/>
      <c r="BB66" s="243"/>
      <c r="BC66" s="243"/>
      <c r="BD66" s="243"/>
      <c r="BE66" s="246"/>
      <c r="BF66" s="246"/>
      <c r="BG66" s="246"/>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row>
    <row r="67" spans="1:94" ht="14.25">
      <c r="A67" s="282" t="s">
        <v>41</v>
      </c>
      <c r="B67" s="284" t="s">
        <v>726</v>
      </c>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6"/>
      <c r="AL67" s="243"/>
      <c r="AM67" s="243"/>
      <c r="AN67" s="243"/>
      <c r="AO67" s="243"/>
      <c r="AP67" s="243"/>
      <c r="AQ67" s="243"/>
      <c r="AR67" s="243"/>
      <c r="AS67" s="243"/>
      <c r="AT67" s="243"/>
      <c r="AU67" s="243"/>
      <c r="AV67" s="243"/>
      <c r="AW67" s="243"/>
      <c r="AX67" s="243"/>
      <c r="AY67" s="243"/>
      <c r="AZ67" s="243"/>
      <c r="BA67" s="243"/>
      <c r="BB67" s="243"/>
      <c r="BC67" s="243"/>
      <c r="BD67" s="243"/>
      <c r="BE67" s="246" t="s">
        <v>688</v>
      </c>
      <c r="BF67" s="246">
        <v>0</v>
      </c>
      <c r="BG67" s="246">
        <v>0</v>
      </c>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c r="CM67" s="243"/>
      <c r="CN67" s="243"/>
      <c r="CO67" s="243"/>
      <c r="CP67" s="243"/>
    </row>
    <row r="68" spans="1:94">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9"/>
      <c r="AL68" s="289"/>
      <c r="AM68" s="289"/>
      <c r="AN68" s="289"/>
      <c r="AO68" s="289"/>
      <c r="AP68" s="289"/>
      <c r="AQ68" s="289"/>
      <c r="AR68" s="243"/>
      <c r="AS68" s="243"/>
      <c r="AT68" s="243"/>
      <c r="AU68" s="243"/>
      <c r="AV68" s="243"/>
      <c r="AW68" s="243"/>
      <c r="AX68" s="243"/>
      <c r="AY68" s="243"/>
      <c r="AZ68" s="243"/>
      <c r="BA68" s="243"/>
      <c r="BB68" s="243"/>
      <c r="BC68" s="243"/>
      <c r="BD68" s="243"/>
      <c r="BE68" s="246" t="s">
        <v>690</v>
      </c>
      <c r="BF68" s="246">
        <v>2.9999999999999997E-4</v>
      </c>
      <c r="BG68" s="246">
        <v>0</v>
      </c>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c r="CM68" s="243"/>
      <c r="CN68" s="243"/>
      <c r="CO68" s="243"/>
      <c r="CP68" s="243"/>
    </row>
    <row r="69" spans="1:94">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9"/>
      <c r="AL69" s="289"/>
      <c r="AM69" s="289"/>
      <c r="AN69" s="289"/>
      <c r="AO69" s="289"/>
      <c r="AP69" s="289"/>
      <c r="AQ69" s="289"/>
      <c r="AR69" s="243"/>
      <c r="AS69" s="243"/>
      <c r="AT69" s="243"/>
      <c r="AU69" s="243"/>
      <c r="AV69" s="243"/>
      <c r="AW69" s="243"/>
      <c r="AX69" s="243"/>
      <c r="AY69" s="243"/>
      <c r="AZ69" s="243"/>
      <c r="BA69" s="243"/>
      <c r="BB69" s="243"/>
      <c r="BC69" s="243"/>
      <c r="BD69" s="243"/>
      <c r="BE69" s="246" t="s">
        <v>691</v>
      </c>
      <c r="BF69" s="246">
        <v>0</v>
      </c>
      <c r="BG69" s="246">
        <v>0</v>
      </c>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row>
    <row r="70" spans="1:94">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9"/>
      <c r="AL70" s="289"/>
      <c r="AM70" s="289"/>
      <c r="AN70" s="289"/>
      <c r="AO70" s="289"/>
      <c r="AP70" s="289"/>
      <c r="AQ70" s="289"/>
      <c r="AR70" s="243"/>
      <c r="AS70" s="243"/>
      <c r="AT70" s="243"/>
      <c r="AU70" s="243"/>
      <c r="AV70" s="243"/>
      <c r="AW70" s="243"/>
      <c r="AX70" s="243"/>
      <c r="AY70" s="243"/>
      <c r="AZ70" s="243"/>
      <c r="BA70" s="243"/>
      <c r="BB70" s="243"/>
      <c r="BC70" s="243"/>
      <c r="BD70" s="243"/>
      <c r="BE70" s="246" t="s">
        <v>692</v>
      </c>
      <c r="BF70" s="246">
        <v>0</v>
      </c>
      <c r="BG70" s="246">
        <v>0</v>
      </c>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row>
    <row r="71" spans="1:94">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9"/>
      <c r="AL71" s="289"/>
      <c r="AM71" s="289"/>
      <c r="AN71" s="289"/>
      <c r="AO71" s="289"/>
      <c r="AP71" s="289"/>
      <c r="AQ71" s="289"/>
      <c r="AR71" s="243"/>
      <c r="AS71" s="243"/>
      <c r="AT71" s="243"/>
      <c r="AU71" s="243"/>
      <c r="AV71" s="243"/>
      <c r="AW71" s="243"/>
      <c r="AX71" s="243"/>
      <c r="AY71" s="243"/>
      <c r="AZ71" s="243"/>
      <c r="BA71" s="243"/>
      <c r="BB71" s="243"/>
      <c r="BC71" s="243"/>
      <c r="BD71" s="243"/>
      <c r="BE71" s="246" t="s">
        <v>693</v>
      </c>
      <c r="BF71" s="246">
        <v>0</v>
      </c>
      <c r="BG71" s="246">
        <v>0</v>
      </c>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row>
    <row r="72" spans="1:94">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9"/>
      <c r="AL72" s="289"/>
      <c r="AM72" s="289"/>
      <c r="AN72" s="289"/>
      <c r="AO72" s="289"/>
      <c r="AP72" s="289"/>
      <c r="AQ72" s="289"/>
      <c r="AR72" s="243"/>
      <c r="AS72" s="243"/>
      <c r="AT72" s="243"/>
      <c r="AU72" s="243"/>
      <c r="AV72" s="243"/>
      <c r="AW72" s="243"/>
      <c r="AX72" s="243"/>
      <c r="AY72" s="243"/>
      <c r="AZ72" s="243"/>
      <c r="BA72" s="243"/>
      <c r="BB72" s="243"/>
      <c r="BC72" s="243"/>
      <c r="BD72" s="243"/>
      <c r="BE72" s="246" t="s">
        <v>694</v>
      </c>
      <c r="BF72" s="246">
        <v>0</v>
      </c>
      <c r="BG72" s="246">
        <v>0</v>
      </c>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row>
    <row r="73" spans="1:94">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9"/>
      <c r="AL73" s="289"/>
      <c r="AM73" s="289"/>
      <c r="AN73" s="289"/>
      <c r="AO73" s="289"/>
      <c r="AP73" s="289"/>
      <c r="AQ73" s="289"/>
      <c r="AR73" s="243"/>
      <c r="AS73" s="243"/>
      <c r="AT73" s="243"/>
      <c r="AU73" s="243"/>
      <c r="AV73" s="243"/>
      <c r="AW73" s="243"/>
      <c r="AX73" s="243"/>
      <c r="AY73" s="243"/>
      <c r="AZ73" s="243"/>
      <c r="BA73" s="243"/>
      <c r="BB73" s="243"/>
      <c r="BC73" s="243"/>
      <c r="BD73" s="243"/>
      <c r="BE73" s="246" t="s">
        <v>695</v>
      </c>
      <c r="BF73" s="246">
        <v>0</v>
      </c>
      <c r="BG73" s="246">
        <v>0</v>
      </c>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243"/>
      <c r="CO73" s="243"/>
      <c r="CP73" s="243"/>
    </row>
    <row r="74" spans="1:94">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9"/>
      <c r="AL74" s="289"/>
      <c r="AM74" s="289"/>
      <c r="AN74" s="289"/>
      <c r="AO74" s="289"/>
      <c r="AP74" s="289"/>
      <c r="AQ74" s="289"/>
      <c r="AR74" s="243"/>
      <c r="AS74" s="243"/>
      <c r="AT74" s="243"/>
      <c r="AU74" s="243"/>
      <c r="AV74" s="243"/>
      <c r="AW74" s="243"/>
      <c r="AX74" s="243"/>
      <c r="AY74" s="243"/>
      <c r="AZ74" s="243"/>
      <c r="BA74" s="243"/>
      <c r="BB74" s="243"/>
      <c r="BC74" s="243"/>
      <c r="BD74" s="243"/>
      <c r="BE74" s="246" t="s">
        <v>696</v>
      </c>
      <c r="BF74" s="246">
        <v>0</v>
      </c>
      <c r="BG74" s="246">
        <v>0</v>
      </c>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row>
    <row r="75" spans="1:94" s="290" customFormat="1">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9"/>
      <c r="AL75" s="289"/>
      <c r="AM75" s="289"/>
      <c r="AN75" s="289"/>
      <c r="AO75" s="289"/>
      <c r="AP75" s="289"/>
      <c r="AQ75" s="289"/>
      <c r="AR75" s="243"/>
      <c r="AS75" s="243"/>
      <c r="AT75" s="243"/>
      <c r="AU75" s="243"/>
      <c r="AV75" s="243"/>
      <c r="AW75" s="243"/>
      <c r="AX75" s="243"/>
      <c r="AY75" s="243"/>
      <c r="AZ75" s="243"/>
      <c r="BA75" s="243"/>
      <c r="BB75" s="243"/>
      <c r="BC75" s="243"/>
      <c r="BD75" s="243"/>
      <c r="BE75" s="246" t="s">
        <v>697</v>
      </c>
      <c r="BF75" s="246">
        <v>0</v>
      </c>
      <c r="BG75" s="246">
        <v>0</v>
      </c>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row>
    <row r="76" spans="1:94" s="290" customFormat="1">
      <c r="A76" s="288"/>
      <c r="B76" s="288"/>
      <c r="C76" s="288"/>
      <c r="D76" s="288"/>
      <c r="E76" s="288"/>
      <c r="F76" s="288"/>
      <c r="G76" s="288"/>
      <c r="H76" s="288"/>
      <c r="I76" s="288"/>
      <c r="J76" s="288"/>
      <c r="K76" s="288"/>
      <c r="L76" s="288"/>
      <c r="M76" s="288"/>
      <c r="N76" s="288"/>
      <c r="O76" s="263"/>
      <c r="P76" s="288"/>
      <c r="Q76" s="288"/>
      <c r="R76" s="288"/>
      <c r="S76" s="288"/>
      <c r="T76" s="288"/>
      <c r="U76" s="288"/>
      <c r="V76" s="288"/>
      <c r="W76" s="288"/>
      <c r="X76" s="288"/>
      <c r="Y76" s="288"/>
      <c r="Z76" s="288"/>
      <c r="AA76" s="288"/>
      <c r="AB76" s="288"/>
      <c r="AC76" s="288"/>
      <c r="AD76" s="288"/>
      <c r="AE76" s="288"/>
      <c r="AF76" s="288"/>
      <c r="AG76" s="288"/>
      <c r="AH76" s="288"/>
      <c r="AI76" s="288"/>
      <c r="AJ76" s="288"/>
      <c r="AK76" s="289"/>
      <c r="AL76" s="289"/>
      <c r="AM76" s="289"/>
      <c r="AN76" s="289"/>
      <c r="AO76" s="289"/>
      <c r="AP76" s="289"/>
      <c r="AQ76" s="289"/>
      <c r="AR76" s="243"/>
      <c r="AS76" s="243"/>
      <c r="AT76" s="243"/>
      <c r="AU76" s="243"/>
      <c r="AV76" s="243"/>
      <c r="AW76" s="243"/>
      <c r="AX76" s="243"/>
      <c r="AY76" s="243"/>
      <c r="AZ76" s="243"/>
      <c r="BA76" s="243"/>
      <c r="BB76" s="243"/>
      <c r="BC76" s="243"/>
      <c r="BD76" s="243"/>
      <c r="BE76" s="246" t="s">
        <v>431</v>
      </c>
      <c r="BF76" s="246">
        <v>1E-4</v>
      </c>
      <c r="BG76" s="246">
        <v>0.17530000000000001</v>
      </c>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c r="CM76" s="243"/>
      <c r="CN76" s="243"/>
      <c r="CO76" s="243"/>
      <c r="CP76" s="243"/>
    </row>
    <row r="77" spans="1:94" s="290" customForma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9"/>
      <c r="AL77" s="289"/>
      <c r="AM77" s="289"/>
      <c r="AN77" s="289"/>
      <c r="AO77" s="289"/>
      <c r="AP77" s="289"/>
      <c r="AQ77" s="289"/>
      <c r="AR77" s="243"/>
      <c r="AS77" s="243"/>
      <c r="AT77" s="243"/>
      <c r="AU77" s="243"/>
      <c r="AV77" s="243"/>
      <c r="AW77" s="243"/>
      <c r="AX77" s="243"/>
      <c r="AY77" s="243"/>
      <c r="AZ77" s="243"/>
      <c r="BA77" s="243"/>
      <c r="BB77" s="243"/>
      <c r="BC77" s="243"/>
      <c r="BD77" s="243"/>
      <c r="BE77" s="243"/>
      <c r="BF77" s="246"/>
      <c r="BG77" s="246"/>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c r="CM77" s="243"/>
      <c r="CN77" s="243"/>
      <c r="CO77" s="243"/>
      <c r="CP77" s="243"/>
    </row>
    <row r="78" spans="1:94" s="290" customForma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9"/>
      <c r="AL78" s="289"/>
      <c r="AM78" s="289"/>
      <c r="AN78" s="289"/>
      <c r="AO78" s="289"/>
      <c r="AP78" s="289"/>
      <c r="AQ78" s="289"/>
      <c r="AR78" s="243"/>
      <c r="AS78" s="243"/>
      <c r="AT78" s="243"/>
      <c r="AU78" s="243"/>
      <c r="AV78" s="243"/>
      <c r="AW78" s="243"/>
      <c r="AX78" s="243"/>
      <c r="AY78" s="243"/>
      <c r="AZ78" s="243"/>
      <c r="BA78" s="243"/>
      <c r="BB78" s="243"/>
      <c r="BC78" s="243"/>
      <c r="BD78" s="243"/>
      <c r="BE78" s="243"/>
      <c r="BF78" s="246"/>
      <c r="BG78" s="246"/>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c r="CM78" s="243"/>
      <c r="CN78" s="243"/>
      <c r="CO78" s="243"/>
      <c r="CP78" s="243"/>
    </row>
    <row r="79" spans="1:94" s="290" customForma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9"/>
      <c r="AL79" s="289"/>
      <c r="AM79" s="289"/>
      <c r="AN79" s="289"/>
      <c r="AO79" s="289"/>
      <c r="AP79" s="289"/>
      <c r="AQ79" s="289"/>
      <c r="AR79" s="243"/>
      <c r="AS79" s="243"/>
      <c r="AT79" s="243"/>
      <c r="AU79" s="243"/>
      <c r="AV79" s="243"/>
      <c r="AW79" s="243"/>
      <c r="AX79" s="243"/>
      <c r="AY79" s="243"/>
      <c r="AZ79" s="243"/>
      <c r="BA79" s="243"/>
      <c r="BB79" s="243"/>
      <c r="BC79" s="243"/>
      <c r="BD79" s="243"/>
      <c r="BE79" s="243"/>
      <c r="BF79" s="246"/>
      <c r="BG79" s="246"/>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c r="CM79" s="243"/>
      <c r="CN79" s="243"/>
      <c r="CO79" s="243"/>
      <c r="CP79" s="243"/>
    </row>
    <row r="80" spans="1:94" s="290" customForma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9"/>
      <c r="AL80" s="289"/>
      <c r="AM80" s="289"/>
      <c r="AN80" s="289"/>
      <c r="AO80" s="289"/>
      <c r="AP80" s="289"/>
      <c r="AQ80" s="289"/>
      <c r="AR80" s="243"/>
      <c r="AS80" s="243"/>
      <c r="AT80" s="243"/>
      <c r="AU80" s="243"/>
      <c r="AV80" s="243"/>
      <c r="AW80" s="243"/>
      <c r="AX80" s="243"/>
      <c r="AY80" s="243"/>
      <c r="AZ80" s="243"/>
      <c r="BA80" s="243"/>
      <c r="BB80" s="243"/>
      <c r="BC80" s="243"/>
      <c r="BD80" s="243"/>
      <c r="BE80" s="243"/>
      <c r="BF80" s="246"/>
      <c r="BG80" s="246"/>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c r="CM80" s="243"/>
      <c r="CN80" s="243"/>
      <c r="CO80" s="243"/>
      <c r="CP80" s="243"/>
    </row>
    <row r="81" spans="1:94" s="290" customForma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9"/>
      <c r="AL81" s="289"/>
      <c r="AM81" s="289"/>
      <c r="AN81" s="289"/>
      <c r="AO81" s="289"/>
      <c r="AP81" s="289"/>
      <c r="AQ81" s="289"/>
      <c r="AR81" s="243"/>
      <c r="AS81" s="243"/>
      <c r="AT81" s="243"/>
      <c r="AU81" s="243"/>
      <c r="AV81" s="243"/>
      <c r="AW81" s="243"/>
      <c r="AX81" s="243"/>
      <c r="AY81" s="243"/>
      <c r="AZ81" s="243"/>
      <c r="BA81" s="243"/>
      <c r="BB81" s="243"/>
      <c r="BC81" s="243"/>
      <c r="BD81" s="243"/>
      <c r="BE81" s="243"/>
      <c r="BF81" s="246"/>
      <c r="BG81" s="246"/>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c r="CM81" s="243"/>
      <c r="CN81" s="243"/>
      <c r="CO81" s="243"/>
      <c r="CP81" s="243"/>
    </row>
    <row r="82" spans="1:94" s="290" customForma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9"/>
      <c r="AL82" s="289"/>
      <c r="AM82" s="289"/>
      <c r="AN82" s="289"/>
      <c r="AO82" s="289"/>
      <c r="AP82" s="289"/>
      <c r="AQ82" s="289"/>
      <c r="AR82" s="243"/>
      <c r="AS82" s="243"/>
      <c r="AT82" s="243"/>
      <c r="AU82" s="243"/>
      <c r="AV82" s="243"/>
      <c r="AW82" s="243"/>
      <c r="AX82" s="243"/>
      <c r="AY82" s="243"/>
      <c r="AZ82" s="243"/>
      <c r="BA82" s="243"/>
      <c r="BB82" s="243"/>
      <c r="BC82" s="243"/>
      <c r="BD82" s="243"/>
      <c r="BE82" s="243"/>
      <c r="BF82" s="246"/>
      <c r="BG82" s="246"/>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c r="CM82" s="243"/>
      <c r="CN82" s="243"/>
      <c r="CO82" s="243"/>
      <c r="CP82" s="243"/>
    </row>
    <row r="83" spans="1:94" s="290" customForma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9"/>
      <c r="AL83" s="289"/>
      <c r="AM83" s="289"/>
      <c r="AN83" s="289"/>
      <c r="AO83" s="289"/>
      <c r="AP83" s="289"/>
      <c r="AQ83" s="289"/>
      <c r="AR83" s="243"/>
      <c r="AS83" s="243"/>
      <c r="AT83" s="243"/>
      <c r="AU83" s="243"/>
      <c r="AV83" s="243"/>
      <c r="AW83" s="243"/>
      <c r="AX83" s="243"/>
      <c r="AY83" s="243"/>
      <c r="AZ83" s="243"/>
      <c r="BA83" s="243"/>
      <c r="BB83" s="243"/>
      <c r="BC83" s="243"/>
      <c r="BD83" s="243"/>
      <c r="BE83" s="243"/>
      <c r="BF83" s="246"/>
      <c r="BG83" s="246"/>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c r="CM83" s="243"/>
      <c r="CN83" s="243"/>
      <c r="CO83" s="243"/>
      <c r="CP83" s="243"/>
    </row>
    <row r="84" spans="1:94" s="290" customForma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9"/>
      <c r="AL84" s="289"/>
      <c r="AM84" s="289"/>
      <c r="AN84" s="289"/>
      <c r="AO84" s="289"/>
      <c r="AP84" s="289"/>
      <c r="AQ84" s="289"/>
      <c r="AR84" s="243"/>
      <c r="AS84" s="243"/>
      <c r="AT84" s="243"/>
      <c r="AU84" s="243"/>
      <c r="AV84" s="243"/>
      <c r="AW84" s="243"/>
      <c r="AX84" s="243"/>
      <c r="AY84" s="243"/>
      <c r="AZ84" s="243"/>
      <c r="BA84" s="243"/>
      <c r="BB84" s="243"/>
      <c r="BC84" s="243"/>
      <c r="BD84" s="243"/>
      <c r="BE84" s="243"/>
      <c r="BF84" s="246"/>
      <c r="BG84" s="246"/>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c r="CM84" s="243"/>
      <c r="CN84" s="243"/>
      <c r="CO84" s="243"/>
      <c r="CP84" s="243"/>
    </row>
    <row r="85" spans="1:94" s="290" customForma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9"/>
      <c r="AL85" s="289"/>
      <c r="AM85" s="289"/>
      <c r="AN85" s="289"/>
      <c r="AO85" s="289"/>
      <c r="AP85" s="289"/>
      <c r="AQ85" s="289"/>
      <c r="AR85" s="243"/>
      <c r="AS85" s="243"/>
      <c r="AT85" s="243"/>
      <c r="AU85" s="243"/>
      <c r="AV85" s="243"/>
      <c r="AW85" s="243"/>
      <c r="AX85" s="243"/>
      <c r="AY85" s="243"/>
      <c r="AZ85" s="243"/>
      <c r="BA85" s="243"/>
      <c r="BB85" s="243"/>
      <c r="BC85" s="243"/>
      <c r="BD85" s="243"/>
      <c r="BE85" s="243"/>
      <c r="BF85" s="246"/>
      <c r="BG85" s="246"/>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c r="CM85" s="243"/>
      <c r="CN85" s="243"/>
      <c r="CO85" s="243"/>
      <c r="CP85" s="243"/>
    </row>
    <row r="86" spans="1:94" s="290" customForma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9"/>
      <c r="AL86" s="289"/>
      <c r="AM86" s="289"/>
      <c r="AN86" s="289"/>
      <c r="AO86" s="289"/>
      <c r="AP86" s="289"/>
      <c r="AQ86" s="289"/>
      <c r="AR86" s="243"/>
      <c r="AS86" s="243"/>
      <c r="AT86" s="243"/>
      <c r="AU86" s="243"/>
      <c r="AV86" s="243"/>
      <c r="AW86" s="243"/>
      <c r="AX86" s="243"/>
      <c r="AY86" s="243"/>
      <c r="AZ86" s="243"/>
      <c r="BA86" s="243"/>
      <c r="BB86" s="243"/>
      <c r="BC86" s="243"/>
      <c r="BD86" s="243"/>
      <c r="BE86" s="243"/>
      <c r="BF86" s="246"/>
      <c r="BG86" s="246"/>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row>
    <row r="87" spans="1:94" s="290" customForma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9"/>
      <c r="AL87" s="289"/>
      <c r="AM87" s="289"/>
      <c r="AN87" s="289"/>
      <c r="AO87" s="289"/>
      <c r="AP87" s="289"/>
      <c r="AQ87" s="289"/>
      <c r="AR87" s="243"/>
      <c r="AS87" s="243"/>
      <c r="AT87" s="243"/>
      <c r="AU87" s="243"/>
      <c r="AV87" s="243"/>
      <c r="AW87" s="243"/>
      <c r="AX87" s="243"/>
      <c r="AY87" s="243"/>
      <c r="AZ87" s="243"/>
      <c r="BA87" s="243"/>
      <c r="BB87" s="243"/>
      <c r="BC87" s="243"/>
      <c r="BD87" s="243"/>
      <c r="BE87" s="243"/>
      <c r="BF87" s="246"/>
      <c r="BG87" s="246"/>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c r="CM87" s="243"/>
      <c r="CN87" s="243"/>
      <c r="CO87" s="243"/>
      <c r="CP87" s="243"/>
    </row>
    <row r="88" spans="1:94" s="290" customForma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9"/>
      <c r="AL88" s="289"/>
      <c r="AM88" s="289"/>
      <c r="AN88" s="289"/>
      <c r="AO88" s="289"/>
      <c r="AP88" s="289"/>
      <c r="AQ88" s="289"/>
      <c r="AR88" s="243"/>
      <c r="AS88" s="243"/>
      <c r="AT88" s="243"/>
      <c r="AU88" s="243"/>
      <c r="AV88" s="243"/>
      <c r="AW88" s="243"/>
      <c r="AX88" s="243"/>
      <c r="AY88" s="243"/>
      <c r="AZ88" s="243"/>
      <c r="BA88" s="243"/>
      <c r="BB88" s="243"/>
      <c r="BC88" s="243"/>
      <c r="BD88" s="243"/>
      <c r="BE88" s="243"/>
      <c r="BF88" s="246"/>
      <c r="BG88" s="246"/>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c r="CM88" s="243"/>
      <c r="CN88" s="243"/>
      <c r="CO88" s="243"/>
      <c r="CP88" s="243"/>
    </row>
    <row r="89" spans="1:94" s="290" customForma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9"/>
      <c r="AL89" s="289"/>
      <c r="AM89" s="289"/>
      <c r="AN89" s="289"/>
      <c r="AO89" s="289"/>
      <c r="AP89" s="289"/>
      <c r="AQ89" s="289"/>
      <c r="AR89" s="243"/>
      <c r="AS89" s="243"/>
      <c r="AT89" s="243"/>
      <c r="AU89" s="243"/>
      <c r="AV89" s="243"/>
      <c r="AW89" s="243"/>
      <c r="AX89" s="243"/>
      <c r="AY89" s="243"/>
      <c r="AZ89" s="243"/>
      <c r="BA89" s="243"/>
      <c r="BB89" s="243"/>
      <c r="BC89" s="243"/>
      <c r="BD89" s="243"/>
      <c r="BE89" s="243"/>
      <c r="BF89" s="246"/>
      <c r="BG89" s="246"/>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row>
    <row r="90" spans="1:94" s="290" customForma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9"/>
      <c r="AL90" s="289"/>
      <c r="AM90" s="289"/>
      <c r="AN90" s="289"/>
      <c r="AO90" s="289"/>
      <c r="AP90" s="289"/>
      <c r="AQ90" s="289"/>
      <c r="AR90" s="243"/>
      <c r="AS90" s="243"/>
      <c r="AT90" s="243"/>
      <c r="AU90" s="243"/>
      <c r="AV90" s="243"/>
      <c r="AW90" s="243"/>
      <c r="AX90" s="243"/>
      <c r="AY90" s="243"/>
      <c r="AZ90" s="243"/>
      <c r="BA90" s="243"/>
      <c r="BB90" s="243"/>
      <c r="BC90" s="243"/>
      <c r="BD90" s="243"/>
      <c r="BE90" s="243"/>
      <c r="BF90" s="246"/>
      <c r="BG90" s="246"/>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row>
    <row r="91" spans="1:94">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9"/>
      <c r="AL91" s="289"/>
      <c r="AM91" s="289"/>
      <c r="AN91" s="289"/>
      <c r="AO91" s="289"/>
      <c r="AP91" s="289"/>
      <c r="AQ91" s="289"/>
      <c r="AR91" s="243"/>
      <c r="AS91" s="243"/>
      <c r="AT91" s="243"/>
      <c r="AU91" s="243"/>
      <c r="AV91" s="243"/>
      <c r="AW91" s="243"/>
      <c r="AX91" s="243"/>
      <c r="AY91" s="243"/>
      <c r="AZ91" s="243"/>
      <c r="BA91" s="243"/>
      <c r="BB91" s="243"/>
      <c r="BC91" s="243"/>
      <c r="BD91" s="243"/>
      <c r="BE91" s="243"/>
      <c r="BF91" s="246"/>
      <c r="BG91" s="246"/>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row>
    <row r="92" spans="1:94">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9"/>
      <c r="AL92" s="289"/>
      <c r="AM92" s="289"/>
      <c r="AN92" s="289"/>
      <c r="AO92" s="289"/>
      <c r="AP92" s="289"/>
      <c r="AQ92" s="289"/>
      <c r="AR92" s="243"/>
      <c r="AS92" s="243"/>
      <c r="AT92" s="243"/>
      <c r="AU92" s="243"/>
      <c r="AV92" s="243"/>
      <c r="AW92" s="243"/>
      <c r="AX92" s="243"/>
      <c r="AY92" s="243"/>
      <c r="AZ92" s="243"/>
      <c r="BA92" s="243"/>
      <c r="BB92" s="243"/>
      <c r="BC92" s="243"/>
      <c r="BD92" s="243"/>
      <c r="BE92" s="243"/>
      <c r="BF92" s="246"/>
      <c r="BG92" s="246"/>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row>
    <row r="93" spans="1:94">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9"/>
      <c r="AL93" s="289"/>
      <c r="AM93" s="289"/>
      <c r="AN93" s="289"/>
      <c r="AO93" s="289"/>
      <c r="AP93" s="289"/>
      <c r="AQ93" s="289"/>
      <c r="AR93" s="243"/>
      <c r="AS93" s="243"/>
      <c r="AT93" s="243"/>
      <c r="AU93" s="243"/>
      <c r="AV93" s="243"/>
      <c r="AW93" s="243"/>
      <c r="AX93" s="243"/>
      <c r="AY93" s="243"/>
      <c r="AZ93" s="243"/>
      <c r="BA93" s="243"/>
      <c r="BB93" s="243"/>
      <c r="BC93" s="243"/>
      <c r="BD93" s="243"/>
      <c r="BE93" s="243"/>
      <c r="BF93" s="246"/>
      <c r="BG93" s="246"/>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row>
    <row r="94" spans="1:94">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9"/>
      <c r="AL94" s="289"/>
      <c r="AM94" s="289"/>
      <c r="AN94" s="289"/>
      <c r="AO94" s="289"/>
      <c r="AP94" s="289"/>
      <c r="AQ94" s="289"/>
      <c r="AR94" s="243"/>
      <c r="AS94" s="243"/>
      <c r="AT94" s="243"/>
      <c r="AU94" s="243"/>
      <c r="AV94" s="243"/>
      <c r="AW94" s="243"/>
      <c r="AX94" s="243"/>
      <c r="AY94" s="243"/>
      <c r="AZ94" s="243"/>
      <c r="BA94" s="243"/>
      <c r="BB94" s="243"/>
      <c r="BC94" s="243"/>
      <c r="BD94" s="243"/>
      <c r="BE94" s="243"/>
      <c r="BF94" s="246"/>
      <c r="BG94" s="246"/>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row>
    <row r="95" spans="1:94">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9"/>
      <c r="AL95" s="289"/>
      <c r="AM95" s="289"/>
      <c r="AN95" s="289"/>
      <c r="AO95" s="289"/>
      <c r="AP95" s="289"/>
      <c r="AQ95" s="289"/>
      <c r="AR95" s="243"/>
      <c r="AS95" s="243"/>
      <c r="AT95" s="243"/>
      <c r="AU95" s="243"/>
      <c r="AV95" s="243"/>
      <c r="AW95" s="243"/>
      <c r="AX95" s="243"/>
      <c r="AY95" s="243"/>
      <c r="AZ95" s="243"/>
      <c r="BA95" s="243"/>
      <c r="BB95" s="243"/>
      <c r="BC95" s="243"/>
      <c r="BD95" s="243"/>
      <c r="BE95" s="243"/>
      <c r="BF95" s="246"/>
      <c r="BG95" s="246"/>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row>
    <row r="96" spans="1:94">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9"/>
      <c r="AL96" s="289"/>
      <c r="AM96" s="289"/>
      <c r="AN96" s="289"/>
      <c r="AO96" s="289"/>
      <c r="AP96" s="289"/>
      <c r="AQ96" s="289"/>
      <c r="AR96" s="243"/>
      <c r="AS96" s="243"/>
      <c r="AT96" s="243"/>
      <c r="AU96" s="243"/>
      <c r="AV96" s="243"/>
      <c r="AW96" s="243"/>
      <c r="AX96" s="243"/>
      <c r="AY96" s="243"/>
      <c r="AZ96" s="243"/>
      <c r="BA96" s="243"/>
      <c r="BB96" s="243"/>
      <c r="BC96" s="243"/>
      <c r="BD96" s="243"/>
      <c r="BE96" s="243"/>
      <c r="BF96" s="246"/>
      <c r="BG96" s="246"/>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row>
    <row r="97" spans="1:94">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9"/>
      <c r="AL97" s="289"/>
      <c r="AM97" s="289"/>
      <c r="AN97" s="289"/>
      <c r="AO97" s="289"/>
      <c r="AP97" s="289"/>
      <c r="AQ97" s="289"/>
      <c r="AR97" s="243"/>
      <c r="AS97" s="243"/>
      <c r="AT97" s="243"/>
      <c r="AU97" s="243"/>
      <c r="AV97" s="243"/>
      <c r="AW97" s="243"/>
      <c r="AX97" s="243"/>
      <c r="AY97" s="243"/>
      <c r="AZ97" s="243"/>
      <c r="BA97" s="243"/>
      <c r="BB97" s="243"/>
      <c r="BC97" s="243"/>
      <c r="BD97" s="243"/>
      <c r="BE97" s="243"/>
      <c r="BF97" s="246"/>
      <c r="BG97" s="246"/>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c r="CM97" s="243"/>
      <c r="CN97" s="243"/>
      <c r="CO97" s="243"/>
      <c r="CP97" s="243"/>
    </row>
    <row r="98" spans="1:94">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9"/>
      <c r="AL98" s="289"/>
      <c r="AM98" s="289"/>
      <c r="AN98" s="289"/>
      <c r="AO98" s="289"/>
      <c r="AP98" s="289"/>
      <c r="AQ98" s="289"/>
      <c r="AR98" s="243"/>
      <c r="AS98" s="243"/>
      <c r="AT98" s="243"/>
      <c r="AU98" s="243"/>
      <c r="AV98" s="243"/>
      <c r="AW98" s="243"/>
      <c r="AX98" s="243"/>
      <c r="AY98" s="243"/>
      <c r="AZ98" s="243"/>
      <c r="BA98" s="243"/>
      <c r="BB98" s="243"/>
      <c r="BC98" s="243"/>
      <c r="BD98" s="243"/>
      <c r="BE98" s="243"/>
      <c r="BF98" s="246"/>
      <c r="BG98" s="246"/>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c r="CM98" s="243"/>
      <c r="CN98" s="243"/>
      <c r="CO98" s="243"/>
      <c r="CP98" s="243"/>
    </row>
    <row r="99" spans="1:94">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9"/>
      <c r="AL99" s="289"/>
      <c r="AM99" s="289"/>
      <c r="AN99" s="289"/>
      <c r="AO99" s="289"/>
      <c r="AP99" s="289"/>
      <c r="AQ99" s="289"/>
      <c r="AR99" s="243"/>
      <c r="AS99" s="243"/>
      <c r="AT99" s="243"/>
      <c r="AU99" s="243"/>
      <c r="AV99" s="243"/>
      <c r="AW99" s="243"/>
      <c r="AX99" s="243"/>
      <c r="AY99" s="243"/>
      <c r="AZ99" s="243"/>
      <c r="BA99" s="243"/>
      <c r="BB99" s="243"/>
      <c r="BC99" s="243"/>
      <c r="BD99" s="243"/>
      <c r="BE99" s="243"/>
      <c r="BF99" s="246"/>
      <c r="BG99" s="246"/>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c r="CM99" s="243"/>
      <c r="CN99" s="243"/>
      <c r="CO99" s="243"/>
      <c r="CP99" s="243"/>
    </row>
    <row r="100" spans="1:94">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9"/>
      <c r="AL100" s="289"/>
      <c r="AM100" s="289"/>
      <c r="AN100" s="289"/>
      <c r="AO100" s="289"/>
      <c r="AP100" s="289"/>
      <c r="AQ100" s="289"/>
      <c r="AR100" s="243"/>
      <c r="AS100" s="243"/>
      <c r="AT100" s="243"/>
      <c r="AU100" s="243"/>
      <c r="AV100" s="243"/>
      <c r="AW100" s="243"/>
      <c r="AX100" s="243"/>
      <c r="AY100" s="243"/>
      <c r="AZ100" s="243"/>
      <c r="BA100" s="243"/>
      <c r="BB100" s="243"/>
      <c r="BC100" s="243"/>
      <c r="BD100" s="243"/>
      <c r="BE100" s="243"/>
      <c r="BF100" s="246"/>
      <c r="BG100" s="246"/>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c r="CM100" s="243"/>
      <c r="CN100" s="243"/>
      <c r="CO100" s="243"/>
      <c r="CP100" s="243"/>
    </row>
    <row r="101" spans="1:94">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9"/>
      <c r="AL101" s="289"/>
      <c r="AM101" s="289"/>
      <c r="AN101" s="289"/>
      <c r="AO101" s="289"/>
      <c r="AP101" s="289"/>
      <c r="AQ101" s="289"/>
      <c r="AR101" s="243"/>
      <c r="AS101" s="243"/>
      <c r="AT101" s="243"/>
      <c r="AU101" s="243"/>
      <c r="AV101" s="243"/>
      <c r="AW101" s="243"/>
      <c r="AX101" s="243"/>
      <c r="AY101" s="243"/>
      <c r="AZ101" s="243"/>
      <c r="BA101" s="243"/>
      <c r="BB101" s="243"/>
      <c r="BC101" s="243"/>
      <c r="BD101" s="243"/>
      <c r="BE101" s="243"/>
      <c r="BF101" s="246"/>
      <c r="BG101" s="246"/>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c r="CM101" s="243"/>
      <c r="CN101" s="243"/>
      <c r="CO101" s="243"/>
      <c r="CP101" s="243"/>
    </row>
    <row r="102" spans="1:94">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9"/>
      <c r="AL102" s="289"/>
      <c r="AM102" s="289"/>
      <c r="AN102" s="289"/>
      <c r="AO102" s="289"/>
      <c r="AP102" s="289"/>
      <c r="AQ102" s="289"/>
      <c r="AR102" s="243"/>
      <c r="AS102" s="243"/>
      <c r="AT102" s="243"/>
      <c r="AU102" s="243"/>
      <c r="AV102" s="243"/>
      <c r="AW102" s="243"/>
      <c r="AX102" s="243"/>
      <c r="AY102" s="243"/>
      <c r="AZ102" s="243"/>
      <c r="BA102" s="243"/>
      <c r="BB102" s="243"/>
      <c r="BC102" s="243"/>
      <c r="BD102" s="243"/>
      <c r="BE102" s="243"/>
      <c r="BF102" s="246"/>
      <c r="BG102" s="246"/>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row>
    <row r="103" spans="1:94">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9"/>
      <c r="AL103" s="289"/>
      <c r="AM103" s="289"/>
      <c r="AN103" s="289"/>
      <c r="AO103" s="289"/>
      <c r="AP103" s="289"/>
      <c r="AQ103" s="289"/>
      <c r="AR103" s="243"/>
      <c r="AS103" s="243"/>
      <c r="AT103" s="243"/>
      <c r="AU103" s="243"/>
      <c r="AV103" s="243"/>
      <c r="AW103" s="243"/>
      <c r="AX103" s="243"/>
      <c r="AY103" s="243"/>
      <c r="AZ103" s="243"/>
      <c r="BA103" s="243"/>
      <c r="BB103" s="243"/>
      <c r="BC103" s="243"/>
      <c r="BD103" s="243"/>
      <c r="BE103" s="243"/>
      <c r="BF103" s="246"/>
      <c r="BG103" s="246"/>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row>
    <row r="104" spans="1:94">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9"/>
      <c r="AL104" s="289"/>
      <c r="AM104" s="289"/>
      <c r="AN104" s="289"/>
      <c r="AO104" s="289"/>
      <c r="AP104" s="289"/>
      <c r="AQ104" s="289"/>
      <c r="AR104" s="243"/>
      <c r="AS104" s="243"/>
      <c r="AT104" s="243"/>
      <c r="AU104" s="243"/>
      <c r="AV104" s="243"/>
      <c r="AW104" s="243"/>
      <c r="AX104" s="243"/>
      <c r="AY104" s="243"/>
      <c r="AZ104" s="243"/>
      <c r="BA104" s="243"/>
      <c r="BB104" s="243"/>
      <c r="BC104" s="243"/>
      <c r="BD104" s="243"/>
      <c r="BE104" s="243"/>
      <c r="BF104" s="246"/>
      <c r="BG104" s="246"/>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row>
    <row r="105" spans="1:94">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9"/>
      <c r="AL105" s="289"/>
      <c r="AM105" s="289"/>
      <c r="AN105" s="289"/>
      <c r="AO105" s="289"/>
      <c r="AP105" s="289"/>
      <c r="AQ105" s="289"/>
      <c r="AR105" s="243"/>
      <c r="AS105" s="243"/>
      <c r="AT105" s="243"/>
      <c r="AU105" s="243"/>
      <c r="AV105" s="243"/>
      <c r="AW105" s="243"/>
      <c r="AX105" s="243"/>
      <c r="AY105" s="243"/>
      <c r="AZ105" s="243"/>
      <c r="BA105" s="243"/>
      <c r="BB105" s="243"/>
      <c r="BC105" s="243"/>
      <c r="BD105" s="243"/>
      <c r="BE105" s="243"/>
      <c r="BF105" s="246"/>
      <c r="BG105" s="246"/>
      <c r="BH105" s="243"/>
      <c r="BI105" s="243"/>
      <c r="BJ105" s="243"/>
      <c r="BK105" s="243"/>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row>
    <row r="106" spans="1:94">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9"/>
      <c r="AL106" s="289"/>
      <c r="AM106" s="289"/>
      <c r="AN106" s="289"/>
      <c r="AO106" s="289"/>
      <c r="AP106" s="289"/>
      <c r="AQ106" s="289"/>
      <c r="AR106" s="243"/>
      <c r="AS106" s="243"/>
      <c r="AT106" s="243"/>
      <c r="AU106" s="243"/>
      <c r="AV106" s="243"/>
      <c r="AW106" s="243"/>
      <c r="AX106" s="243"/>
      <c r="AY106" s="243"/>
      <c r="AZ106" s="243"/>
      <c r="BA106" s="243"/>
      <c r="BB106" s="243"/>
      <c r="BC106" s="243"/>
      <c r="BD106" s="243"/>
      <c r="BE106" s="243"/>
      <c r="BF106" s="246"/>
      <c r="BG106" s="246"/>
      <c r="BH106" s="243"/>
      <c r="BI106" s="243"/>
      <c r="BJ106" s="243"/>
      <c r="BK106" s="243"/>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row>
    <row r="107" spans="1:94">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9"/>
      <c r="AL107" s="289"/>
      <c r="AM107" s="289"/>
      <c r="AN107" s="289"/>
      <c r="AO107" s="289"/>
      <c r="AP107" s="289"/>
      <c r="AQ107" s="289"/>
      <c r="AR107" s="243"/>
      <c r="AS107" s="243"/>
      <c r="AT107" s="243"/>
      <c r="AU107" s="243"/>
      <c r="AV107" s="243"/>
      <c r="AW107" s="243"/>
      <c r="AX107" s="243"/>
      <c r="AY107" s="243"/>
      <c r="AZ107" s="243"/>
      <c r="BA107" s="243"/>
      <c r="BB107" s="243"/>
      <c r="BC107" s="243"/>
      <c r="BD107" s="243"/>
      <c r="BE107" s="243"/>
      <c r="BF107" s="246"/>
      <c r="BG107" s="246"/>
      <c r="BH107" s="243"/>
      <c r="BI107" s="243"/>
      <c r="BJ107" s="243"/>
      <c r="BK107" s="243"/>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row>
    <row r="108" spans="1:94">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9"/>
      <c r="AL108" s="289"/>
      <c r="AM108" s="289"/>
      <c r="AN108" s="289"/>
      <c r="AO108" s="289"/>
      <c r="AP108" s="289"/>
      <c r="AQ108" s="289"/>
      <c r="AR108" s="243"/>
      <c r="AS108" s="243"/>
      <c r="AT108" s="243"/>
      <c r="AU108" s="243"/>
      <c r="AV108" s="243"/>
      <c r="AW108" s="243"/>
      <c r="AX108" s="243"/>
      <c r="AY108" s="243"/>
      <c r="AZ108" s="243"/>
      <c r="BA108" s="243"/>
      <c r="BB108" s="243"/>
      <c r="BC108" s="243"/>
      <c r="BD108" s="243"/>
      <c r="BE108" s="243"/>
      <c r="BF108" s="246"/>
      <c r="BG108" s="246"/>
      <c r="BH108" s="243"/>
      <c r="BI108" s="243"/>
      <c r="BJ108" s="243"/>
      <c r="BK108" s="243"/>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row>
    <row r="109" spans="1:94">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9"/>
      <c r="AL109" s="289"/>
      <c r="AM109" s="289"/>
      <c r="AN109" s="289"/>
      <c r="AO109" s="289"/>
      <c r="AP109" s="289"/>
      <c r="AQ109" s="289"/>
      <c r="AR109" s="243"/>
      <c r="AS109" s="243"/>
      <c r="AT109" s="243"/>
      <c r="AU109" s="243"/>
      <c r="AV109" s="243"/>
      <c r="AW109" s="243"/>
      <c r="AX109" s="243"/>
      <c r="AY109" s="243"/>
      <c r="AZ109" s="243"/>
      <c r="BA109" s="243"/>
      <c r="BB109" s="243"/>
      <c r="BC109" s="243"/>
      <c r="BD109" s="243"/>
      <c r="BE109" s="243"/>
      <c r="BF109" s="246"/>
      <c r="BG109" s="246"/>
      <c r="BH109" s="243"/>
      <c r="BI109" s="243"/>
      <c r="BJ109" s="243"/>
      <c r="BK109" s="243"/>
      <c r="BL109" s="243"/>
      <c r="BM109" s="243"/>
      <c r="BN109" s="243"/>
      <c r="BO109" s="243"/>
      <c r="BP109" s="243"/>
      <c r="BQ109" s="243"/>
      <c r="BR109" s="243"/>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c r="CM109" s="243"/>
      <c r="CN109" s="243"/>
      <c r="CO109" s="243"/>
      <c r="CP109" s="243"/>
    </row>
    <row r="110" spans="1:94">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9"/>
      <c r="AL110" s="289"/>
      <c r="AM110" s="289"/>
      <c r="AN110" s="289"/>
      <c r="AO110" s="289"/>
      <c r="AP110" s="289"/>
      <c r="AQ110" s="289"/>
      <c r="AR110" s="243"/>
      <c r="AS110" s="243"/>
      <c r="AT110" s="243"/>
      <c r="AU110" s="243"/>
      <c r="AV110" s="243"/>
      <c r="AW110" s="243"/>
      <c r="AX110" s="243"/>
      <c r="AY110" s="243"/>
      <c r="AZ110" s="243"/>
      <c r="BA110" s="243"/>
      <c r="BB110" s="243"/>
      <c r="BC110" s="243"/>
      <c r="BD110" s="243"/>
      <c r="BE110" s="243"/>
      <c r="BF110" s="246"/>
      <c r="BG110" s="246"/>
      <c r="BH110" s="243"/>
      <c r="BI110" s="243"/>
      <c r="BJ110" s="243"/>
      <c r="BK110" s="243"/>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row>
    <row r="111" spans="1:94">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9"/>
      <c r="AL111" s="289"/>
      <c r="AM111" s="289"/>
      <c r="AN111" s="289"/>
      <c r="AO111" s="289"/>
      <c r="AP111" s="289"/>
      <c r="AQ111" s="289"/>
      <c r="AR111" s="243"/>
      <c r="AS111" s="243"/>
      <c r="AT111" s="243"/>
      <c r="AU111" s="243"/>
      <c r="AV111" s="243"/>
      <c r="AW111" s="243"/>
      <c r="AX111" s="243"/>
      <c r="AY111" s="243"/>
      <c r="AZ111" s="243"/>
      <c r="BA111" s="243"/>
      <c r="BB111" s="243"/>
      <c r="BC111" s="243"/>
      <c r="BD111" s="243"/>
      <c r="BE111" s="243"/>
      <c r="BF111" s="246"/>
      <c r="BG111" s="246"/>
      <c r="BH111" s="243"/>
      <c r="BI111" s="243"/>
      <c r="BJ111" s="243"/>
      <c r="BK111" s="243"/>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row>
    <row r="112" spans="1:94">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9"/>
      <c r="AL112" s="289"/>
      <c r="AM112" s="289"/>
      <c r="AN112" s="289"/>
      <c r="AO112" s="289"/>
      <c r="AP112" s="289"/>
      <c r="AQ112" s="289"/>
      <c r="AR112" s="243"/>
      <c r="AS112" s="243"/>
      <c r="AT112" s="243"/>
      <c r="AU112" s="243"/>
      <c r="AV112" s="243"/>
      <c r="AW112" s="243"/>
      <c r="AX112" s="243"/>
      <c r="AY112" s="243"/>
      <c r="AZ112" s="243"/>
      <c r="BA112" s="243"/>
      <c r="BB112" s="243"/>
      <c r="BC112" s="243"/>
      <c r="BD112" s="243"/>
      <c r="BE112" s="243"/>
      <c r="BF112" s="246"/>
      <c r="BG112" s="246"/>
      <c r="BH112" s="243"/>
      <c r="BI112" s="243"/>
      <c r="BJ112" s="243"/>
      <c r="BK112" s="243"/>
      <c r="BL112" s="243"/>
      <c r="BM112" s="243"/>
      <c r="BN112" s="243"/>
      <c r="BO112" s="243"/>
      <c r="BP112" s="243"/>
      <c r="BQ112" s="243"/>
      <c r="BR112" s="243"/>
      <c r="BS112" s="243"/>
      <c r="BT112" s="243"/>
      <c r="BU112" s="243"/>
      <c r="BV112" s="243"/>
      <c r="BW112" s="243"/>
      <c r="BX112" s="243"/>
      <c r="BY112" s="243"/>
      <c r="BZ112" s="243"/>
      <c r="CA112" s="243"/>
      <c r="CB112" s="243"/>
      <c r="CC112" s="243"/>
      <c r="CD112" s="243"/>
      <c r="CE112" s="243"/>
      <c r="CF112" s="243"/>
      <c r="CG112" s="243"/>
      <c r="CH112" s="243"/>
      <c r="CI112" s="243"/>
      <c r="CJ112" s="243"/>
      <c r="CK112" s="243"/>
      <c r="CL112" s="243"/>
      <c r="CM112" s="243"/>
      <c r="CN112" s="243"/>
      <c r="CO112" s="243"/>
      <c r="CP112" s="243"/>
    </row>
    <row r="113" spans="1:94">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9"/>
      <c r="AL113" s="289"/>
      <c r="AM113" s="289"/>
      <c r="AN113" s="289"/>
      <c r="AO113" s="289"/>
      <c r="AP113" s="289"/>
      <c r="AQ113" s="289"/>
      <c r="AR113" s="243"/>
      <c r="AS113" s="243"/>
      <c r="AT113" s="243"/>
      <c r="AU113" s="243"/>
      <c r="AV113" s="243"/>
      <c r="AW113" s="243"/>
      <c r="AX113" s="243"/>
      <c r="AY113" s="243"/>
      <c r="AZ113" s="243"/>
      <c r="BA113" s="243"/>
      <c r="BB113" s="243"/>
      <c r="BC113" s="243"/>
      <c r="BD113" s="243"/>
      <c r="BE113" s="243"/>
      <c r="BF113" s="246"/>
      <c r="BG113" s="246"/>
      <c r="BH113" s="243"/>
      <c r="BI113" s="243"/>
      <c r="BJ113" s="243"/>
      <c r="BK113" s="243"/>
      <c r="BL113" s="243"/>
      <c r="BM113" s="243"/>
      <c r="BN113" s="243"/>
      <c r="BO113" s="243"/>
      <c r="BP113" s="243"/>
      <c r="BQ113" s="243"/>
      <c r="BR113" s="243"/>
      <c r="BS113" s="243"/>
      <c r="BT113" s="243"/>
      <c r="BU113" s="243"/>
      <c r="BV113" s="243"/>
      <c r="BW113" s="243"/>
      <c r="BX113" s="243"/>
      <c r="BY113" s="243"/>
      <c r="BZ113" s="243"/>
      <c r="CA113" s="243"/>
      <c r="CB113" s="243"/>
      <c r="CC113" s="243"/>
      <c r="CD113" s="243"/>
      <c r="CE113" s="243"/>
      <c r="CF113" s="243"/>
      <c r="CG113" s="243"/>
      <c r="CH113" s="243"/>
      <c r="CI113" s="243"/>
      <c r="CJ113" s="243"/>
      <c r="CK113" s="243"/>
      <c r="CL113" s="243"/>
      <c r="CM113" s="243"/>
      <c r="CN113" s="243"/>
      <c r="CO113" s="243"/>
      <c r="CP113" s="243"/>
    </row>
    <row r="114" spans="1:94">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9"/>
      <c r="AL114" s="289"/>
      <c r="AM114" s="289"/>
      <c r="AN114" s="289"/>
      <c r="AO114" s="289"/>
      <c r="AP114" s="289"/>
      <c r="AQ114" s="289"/>
      <c r="AR114" s="243"/>
      <c r="AS114" s="243"/>
      <c r="AT114" s="243"/>
      <c r="AU114" s="243"/>
      <c r="AV114" s="243"/>
      <c r="AW114" s="243"/>
      <c r="AX114" s="243"/>
      <c r="AY114" s="243"/>
      <c r="AZ114" s="243"/>
      <c r="BA114" s="243"/>
      <c r="BB114" s="243"/>
      <c r="BC114" s="243"/>
      <c r="BD114" s="243"/>
      <c r="BE114" s="243"/>
      <c r="BF114" s="246"/>
      <c r="BG114" s="246"/>
      <c r="BH114" s="243"/>
      <c r="BI114" s="243"/>
      <c r="BJ114" s="243"/>
      <c r="BK114" s="243"/>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row>
    <row r="115" spans="1:94">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9"/>
      <c r="AL115" s="289"/>
      <c r="AM115" s="289"/>
      <c r="AN115" s="289"/>
      <c r="AO115" s="289"/>
      <c r="AP115" s="289"/>
      <c r="AQ115" s="289"/>
      <c r="AR115" s="243"/>
      <c r="AS115" s="243"/>
      <c r="AT115" s="243"/>
      <c r="AU115" s="243"/>
      <c r="AV115" s="243"/>
      <c r="AW115" s="243"/>
      <c r="AX115" s="243"/>
      <c r="AY115" s="243"/>
      <c r="AZ115" s="243"/>
      <c r="BA115" s="243"/>
      <c r="BB115" s="243"/>
      <c r="BC115" s="243"/>
      <c r="BD115" s="243"/>
      <c r="BE115" s="243"/>
      <c r="BF115" s="246"/>
      <c r="BG115" s="246"/>
      <c r="BH115" s="243"/>
      <c r="BI115" s="243"/>
      <c r="BJ115" s="243"/>
      <c r="BK115" s="243"/>
      <c r="BL115" s="243"/>
      <c r="BM115" s="243"/>
      <c r="BN115" s="243"/>
      <c r="BO115" s="243"/>
      <c r="BP115" s="243"/>
      <c r="BQ115" s="243"/>
      <c r="BR115" s="243"/>
      <c r="BS115" s="243"/>
      <c r="BT115" s="243"/>
      <c r="BU115" s="243"/>
      <c r="BV115" s="243"/>
      <c r="BW115" s="243"/>
      <c r="BX115" s="243"/>
      <c r="BY115" s="243"/>
      <c r="BZ115" s="243"/>
      <c r="CA115" s="243"/>
      <c r="CB115" s="243"/>
      <c r="CC115" s="243"/>
      <c r="CD115" s="243"/>
      <c r="CE115" s="243"/>
      <c r="CF115" s="243"/>
      <c r="CG115" s="243"/>
      <c r="CH115" s="243"/>
      <c r="CI115" s="243"/>
      <c r="CJ115" s="243"/>
      <c r="CK115" s="243"/>
      <c r="CL115" s="243"/>
      <c r="CM115" s="243"/>
      <c r="CN115" s="243"/>
      <c r="CO115" s="243"/>
      <c r="CP115" s="243"/>
    </row>
    <row r="116" spans="1:94">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9"/>
      <c r="AL116" s="289"/>
      <c r="AM116" s="289"/>
      <c r="AN116" s="289"/>
      <c r="AO116" s="289"/>
      <c r="AP116" s="289"/>
      <c r="AQ116" s="289"/>
      <c r="AR116" s="243"/>
      <c r="AS116" s="243"/>
      <c r="AT116" s="243"/>
      <c r="AU116" s="243"/>
      <c r="AV116" s="243"/>
      <c r="AW116" s="243"/>
      <c r="AX116" s="243"/>
      <c r="AY116" s="243"/>
      <c r="AZ116" s="243"/>
      <c r="BA116" s="243"/>
      <c r="BB116" s="243"/>
      <c r="BC116" s="243"/>
      <c r="BD116" s="243"/>
      <c r="BE116" s="243"/>
      <c r="BF116" s="246"/>
      <c r="BG116" s="246"/>
      <c r="BH116" s="243"/>
      <c r="BI116" s="243"/>
      <c r="BJ116" s="243"/>
      <c r="BK116" s="243"/>
      <c r="BL116" s="243"/>
      <c r="BM116" s="243"/>
      <c r="BN116" s="243"/>
      <c r="BO116" s="243"/>
      <c r="BP116" s="243"/>
      <c r="BQ116" s="243"/>
      <c r="BR116" s="243"/>
      <c r="BS116" s="243"/>
      <c r="BT116" s="243"/>
      <c r="BU116" s="243"/>
      <c r="BV116" s="243"/>
      <c r="BW116" s="243"/>
      <c r="BX116" s="243"/>
      <c r="BY116" s="243"/>
      <c r="BZ116" s="243"/>
      <c r="CA116" s="243"/>
      <c r="CB116" s="243"/>
      <c r="CC116" s="243"/>
      <c r="CD116" s="243"/>
      <c r="CE116" s="243"/>
      <c r="CF116" s="243"/>
      <c r="CG116" s="243"/>
      <c r="CH116" s="243"/>
      <c r="CI116" s="243"/>
      <c r="CJ116" s="243"/>
      <c r="CK116" s="243"/>
      <c r="CL116" s="243"/>
      <c r="CM116" s="243"/>
      <c r="CN116" s="243"/>
      <c r="CO116" s="243"/>
      <c r="CP116" s="243"/>
    </row>
    <row r="117" spans="1:94">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9"/>
      <c r="AL117" s="289"/>
      <c r="AM117" s="289"/>
      <c r="AN117" s="289"/>
      <c r="AO117" s="289"/>
      <c r="AP117" s="289"/>
      <c r="AQ117" s="289"/>
      <c r="AR117" s="243"/>
      <c r="AS117" s="243"/>
      <c r="AT117" s="243"/>
      <c r="AU117" s="243"/>
      <c r="AV117" s="243"/>
      <c r="AW117" s="243"/>
      <c r="AX117" s="243"/>
      <c r="AY117" s="243"/>
      <c r="AZ117" s="243"/>
      <c r="BA117" s="243"/>
      <c r="BB117" s="243"/>
      <c r="BC117" s="243"/>
      <c r="BD117" s="243"/>
      <c r="BE117" s="243"/>
      <c r="BF117" s="246"/>
      <c r="BG117" s="246"/>
      <c r="BH117" s="243"/>
      <c r="BI117" s="243"/>
      <c r="BJ117" s="243"/>
      <c r="BK117" s="243"/>
      <c r="BL117" s="243"/>
      <c r="BM117" s="243"/>
      <c r="BN117" s="243"/>
      <c r="BO117" s="243"/>
      <c r="BP117" s="243"/>
      <c r="BQ117" s="243"/>
      <c r="BR117" s="243"/>
      <c r="BS117" s="243"/>
      <c r="BT117" s="243"/>
      <c r="BU117" s="243"/>
      <c r="BV117" s="243"/>
      <c r="BW117" s="243"/>
      <c r="BX117" s="243"/>
      <c r="BY117" s="243"/>
      <c r="BZ117" s="243"/>
      <c r="CA117" s="243"/>
      <c r="CB117" s="243"/>
      <c r="CC117" s="243"/>
      <c r="CD117" s="243"/>
      <c r="CE117" s="243"/>
      <c r="CF117" s="243"/>
      <c r="CG117" s="243"/>
      <c r="CH117" s="243"/>
      <c r="CI117" s="243"/>
      <c r="CJ117" s="243"/>
      <c r="CK117" s="243"/>
      <c r="CL117" s="243"/>
      <c r="CM117" s="243"/>
      <c r="CN117" s="243"/>
      <c r="CO117" s="243"/>
      <c r="CP117" s="243"/>
    </row>
    <row r="118" spans="1:94">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9"/>
      <c r="AL118" s="289"/>
      <c r="AM118" s="289"/>
      <c r="AN118" s="289"/>
      <c r="AO118" s="289"/>
      <c r="AP118" s="289"/>
      <c r="AQ118" s="289"/>
      <c r="AR118" s="243"/>
      <c r="AS118" s="243"/>
      <c r="AT118" s="243"/>
      <c r="AU118" s="243"/>
      <c r="AV118" s="243"/>
      <c r="AW118" s="243"/>
      <c r="AX118" s="243"/>
      <c r="AY118" s="243"/>
      <c r="AZ118" s="243"/>
      <c r="BA118" s="243"/>
      <c r="BB118" s="243"/>
      <c r="BC118" s="243"/>
      <c r="BD118" s="243"/>
      <c r="BE118" s="243"/>
      <c r="BF118" s="246"/>
      <c r="BG118" s="246"/>
      <c r="BH118" s="243"/>
      <c r="BI118" s="243"/>
      <c r="BJ118" s="243"/>
      <c r="BK118" s="243"/>
      <c r="BL118" s="243"/>
      <c r="BM118" s="243"/>
      <c r="BN118" s="243"/>
      <c r="BO118" s="243"/>
      <c r="BP118" s="243"/>
      <c r="BQ118" s="243"/>
      <c r="BR118" s="243"/>
      <c r="BS118" s="243"/>
      <c r="BT118" s="243"/>
      <c r="BU118" s="243"/>
      <c r="BV118" s="243"/>
      <c r="BW118" s="243"/>
      <c r="BX118" s="243"/>
      <c r="BY118" s="243"/>
      <c r="BZ118" s="243"/>
      <c r="CA118" s="243"/>
      <c r="CB118" s="243"/>
      <c r="CC118" s="243"/>
      <c r="CD118" s="243"/>
      <c r="CE118" s="243"/>
      <c r="CF118" s="243"/>
      <c r="CG118" s="243"/>
      <c r="CH118" s="243"/>
      <c r="CI118" s="243"/>
      <c r="CJ118" s="243"/>
      <c r="CK118" s="243"/>
      <c r="CL118" s="243"/>
      <c r="CM118" s="243"/>
      <c r="CN118" s="243"/>
      <c r="CO118" s="243"/>
      <c r="CP118" s="243"/>
    </row>
    <row r="119" spans="1:94">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9"/>
      <c r="AL119" s="289"/>
      <c r="AM119" s="289"/>
      <c r="AN119" s="289"/>
      <c r="AO119" s="289"/>
      <c r="AP119" s="289"/>
      <c r="AQ119" s="289"/>
      <c r="AR119" s="243"/>
      <c r="AS119" s="243"/>
      <c r="AT119" s="243"/>
      <c r="AU119" s="243"/>
      <c r="AV119" s="243"/>
      <c r="AW119" s="243"/>
      <c r="AX119" s="243"/>
      <c r="AY119" s="243"/>
      <c r="AZ119" s="243"/>
      <c r="BA119" s="243"/>
      <c r="BB119" s="243"/>
      <c r="BC119" s="243"/>
      <c r="BD119" s="243"/>
      <c r="BE119" s="243"/>
      <c r="BF119" s="246"/>
      <c r="BG119" s="246"/>
      <c r="BH119" s="243"/>
      <c r="BI119" s="243"/>
      <c r="BJ119" s="243"/>
      <c r="BK119" s="243"/>
      <c r="BL119" s="243"/>
      <c r="BM119" s="243"/>
      <c r="BN119" s="243"/>
      <c r="BO119" s="243"/>
      <c r="BP119" s="243"/>
      <c r="BQ119" s="243"/>
      <c r="BR119" s="243"/>
      <c r="BS119" s="243"/>
      <c r="BT119" s="243"/>
      <c r="BU119" s="243"/>
      <c r="BV119" s="243"/>
      <c r="BW119" s="243"/>
      <c r="BX119" s="243"/>
      <c r="BY119" s="243"/>
      <c r="BZ119" s="243"/>
      <c r="CA119" s="243"/>
      <c r="CB119" s="243"/>
      <c r="CC119" s="243"/>
      <c r="CD119" s="243"/>
      <c r="CE119" s="243"/>
      <c r="CF119" s="243"/>
      <c r="CG119" s="243"/>
      <c r="CH119" s="243"/>
      <c r="CI119" s="243"/>
      <c r="CJ119" s="243"/>
      <c r="CK119" s="243"/>
      <c r="CL119" s="243"/>
      <c r="CM119" s="243"/>
      <c r="CN119" s="243"/>
      <c r="CO119" s="243"/>
      <c r="CP119" s="243"/>
    </row>
    <row r="120" spans="1:94">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9"/>
      <c r="AL120" s="289"/>
      <c r="AM120" s="289"/>
      <c r="AN120" s="289"/>
      <c r="AO120" s="289"/>
      <c r="AP120" s="289"/>
      <c r="AQ120" s="289"/>
      <c r="AR120" s="243"/>
      <c r="AS120" s="243"/>
      <c r="AT120" s="243"/>
      <c r="AU120" s="243"/>
      <c r="AV120" s="243"/>
      <c r="AW120" s="243"/>
      <c r="AX120" s="243"/>
      <c r="AY120" s="243"/>
      <c r="AZ120" s="243"/>
      <c r="BA120" s="243"/>
      <c r="BB120" s="243"/>
      <c r="BC120" s="243"/>
      <c r="BD120" s="243"/>
      <c r="BE120" s="243"/>
      <c r="BF120" s="246"/>
      <c r="BG120" s="246"/>
      <c r="BH120" s="243"/>
      <c r="BI120" s="243"/>
      <c r="BJ120" s="243"/>
      <c r="BK120" s="243"/>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row>
    <row r="121" spans="1:94">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9"/>
      <c r="AL121" s="289"/>
      <c r="AM121" s="289"/>
      <c r="AN121" s="289"/>
      <c r="AO121" s="289"/>
      <c r="AP121" s="289"/>
      <c r="AQ121" s="289"/>
      <c r="AR121" s="243"/>
      <c r="AS121" s="243"/>
      <c r="AT121" s="243"/>
      <c r="AU121" s="243"/>
      <c r="AV121" s="243"/>
      <c r="AW121" s="243"/>
      <c r="AX121" s="243"/>
      <c r="AY121" s="243"/>
      <c r="AZ121" s="243"/>
      <c r="BA121" s="243"/>
      <c r="BB121" s="243"/>
      <c r="BC121" s="243"/>
      <c r="BD121" s="243"/>
      <c r="BE121" s="243"/>
      <c r="BF121" s="246"/>
      <c r="BG121" s="246"/>
      <c r="BH121" s="243"/>
      <c r="BI121" s="243"/>
      <c r="BJ121" s="243"/>
      <c r="BK121" s="243"/>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row>
    <row r="122" spans="1:94">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9"/>
      <c r="AL122" s="289"/>
      <c r="AM122" s="289"/>
      <c r="AN122" s="289"/>
      <c r="AO122" s="289"/>
      <c r="AP122" s="289"/>
      <c r="AQ122" s="289"/>
      <c r="AR122" s="243"/>
      <c r="AS122" s="243"/>
      <c r="AT122" s="243"/>
      <c r="AU122" s="243"/>
      <c r="AV122" s="243"/>
      <c r="AW122" s="243"/>
      <c r="AX122" s="243"/>
      <c r="AY122" s="243"/>
      <c r="AZ122" s="243"/>
      <c r="BA122" s="243"/>
      <c r="BB122" s="243"/>
      <c r="BC122" s="243"/>
      <c r="BD122" s="243"/>
      <c r="BE122" s="243"/>
      <c r="BF122" s="246"/>
      <c r="BG122" s="246"/>
      <c r="BH122" s="243"/>
      <c r="BI122" s="243"/>
      <c r="BJ122" s="243"/>
      <c r="BK122" s="243"/>
      <c r="BL122" s="243"/>
      <c r="BM122" s="243"/>
      <c r="BN122" s="243"/>
      <c r="BO122" s="243"/>
      <c r="BP122" s="243"/>
      <c r="BQ122" s="243"/>
      <c r="BR122" s="243"/>
      <c r="BS122" s="243"/>
      <c r="BT122" s="243"/>
      <c r="BU122" s="243"/>
      <c r="BV122" s="243"/>
      <c r="BW122" s="243"/>
      <c r="BX122" s="243"/>
      <c r="BY122" s="243"/>
      <c r="BZ122" s="243"/>
      <c r="CA122" s="243"/>
      <c r="CB122" s="243"/>
      <c r="CC122" s="243"/>
      <c r="CD122" s="243"/>
      <c r="CE122" s="243"/>
      <c r="CF122" s="243"/>
      <c r="CG122" s="243"/>
      <c r="CH122" s="243"/>
      <c r="CI122" s="243"/>
      <c r="CJ122" s="243"/>
      <c r="CK122" s="243"/>
      <c r="CL122" s="243"/>
      <c r="CM122" s="243"/>
      <c r="CN122" s="243"/>
      <c r="CO122" s="243"/>
      <c r="CP122" s="243"/>
    </row>
    <row r="123" spans="1:94">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9"/>
      <c r="AL123" s="289"/>
      <c r="AM123" s="289"/>
      <c r="AN123" s="289"/>
      <c r="AO123" s="289"/>
      <c r="AP123" s="289"/>
      <c r="AQ123" s="289"/>
      <c r="AR123" s="243"/>
      <c r="AS123" s="243"/>
      <c r="AT123" s="243"/>
      <c r="AU123" s="243"/>
      <c r="AV123" s="243"/>
      <c r="AW123" s="243"/>
      <c r="AX123" s="243"/>
      <c r="AY123" s="243"/>
      <c r="AZ123" s="243"/>
      <c r="BA123" s="243"/>
      <c r="BB123" s="243"/>
      <c r="BC123" s="243"/>
      <c r="BD123" s="243"/>
      <c r="BE123" s="243"/>
      <c r="BF123" s="246"/>
      <c r="BG123" s="246"/>
      <c r="BH123" s="243"/>
      <c r="BI123" s="243"/>
      <c r="BJ123" s="243"/>
      <c r="BK123" s="243"/>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row>
    <row r="124" spans="1:94">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9"/>
      <c r="AL124" s="289"/>
      <c r="AM124" s="289"/>
      <c r="AN124" s="289"/>
      <c r="AO124" s="289"/>
      <c r="AP124" s="289"/>
      <c r="AQ124" s="289"/>
      <c r="AR124" s="243"/>
      <c r="AS124" s="243"/>
      <c r="AT124" s="243"/>
      <c r="AU124" s="243"/>
      <c r="AV124" s="243"/>
      <c r="AW124" s="243"/>
      <c r="AX124" s="243"/>
      <c r="AY124" s="243"/>
      <c r="AZ124" s="243"/>
      <c r="BA124" s="243"/>
      <c r="BB124" s="243"/>
      <c r="BC124" s="243"/>
      <c r="BD124" s="243"/>
      <c r="BE124" s="243"/>
      <c r="BF124" s="246"/>
      <c r="BG124" s="246"/>
      <c r="BH124" s="243"/>
      <c r="BI124" s="243"/>
      <c r="BJ124" s="243"/>
      <c r="BK124" s="243"/>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row>
  </sheetData>
  <sheetProtection algorithmName="SHA-512" hashValue="1EmdtGdFVsltWwmGyQmB2JGBD5C+WE+RjF8re/um99nINkdYlZmnAS5pse2iVBMY4AS5hF1G2kMcFNfHrZBUlw==" saltValue="eiKxFbvuq8+NeI7INJLCsg==" spinCount="100000" sheet="1" objects="1" scenarios="1" selectLockedCells="1" selectUnlockedCells="1"/>
  <mergeCells count="370">
    <mergeCell ref="AE57:AF57"/>
    <mergeCell ref="AE55:AF55"/>
    <mergeCell ref="L61:M61"/>
    <mergeCell ref="N61:O61"/>
    <mergeCell ref="R61:S61"/>
    <mergeCell ref="Y61:Z61"/>
    <mergeCell ref="AC61:AD61"/>
    <mergeCell ref="L59:M59"/>
    <mergeCell ref="N59:O59"/>
    <mergeCell ref="R59:S59"/>
    <mergeCell ref="Y59:Z59"/>
    <mergeCell ref="AC59:AD59"/>
    <mergeCell ref="L60:M60"/>
    <mergeCell ref="N60:O60"/>
    <mergeCell ref="R60:S60"/>
    <mergeCell ref="Y60:Z60"/>
    <mergeCell ref="AC60:AD60"/>
    <mergeCell ref="T59:W59"/>
    <mergeCell ref="T60:W60"/>
    <mergeCell ref="T61:W61"/>
    <mergeCell ref="L58:M58"/>
    <mergeCell ref="N58:O58"/>
    <mergeCell ref="R58:S58"/>
    <mergeCell ref="Y58:Z58"/>
    <mergeCell ref="AC58:AD58"/>
    <mergeCell ref="L57:M57"/>
    <mergeCell ref="N57:O57"/>
    <mergeCell ref="R57:S57"/>
    <mergeCell ref="Y57:Z57"/>
    <mergeCell ref="AC57:AD57"/>
    <mergeCell ref="T57:W57"/>
    <mergeCell ref="T58:W58"/>
    <mergeCell ref="L56:M56"/>
    <mergeCell ref="N56:O56"/>
    <mergeCell ref="R56:S56"/>
    <mergeCell ref="Y56:Z56"/>
    <mergeCell ref="AC56:AD56"/>
    <mergeCell ref="L55:M55"/>
    <mergeCell ref="N55:O55"/>
    <mergeCell ref="R55:S55"/>
    <mergeCell ref="Y55:Z55"/>
    <mergeCell ref="AC55:AD55"/>
    <mergeCell ref="T55:W55"/>
    <mergeCell ref="T56:W56"/>
    <mergeCell ref="L53:M53"/>
    <mergeCell ref="X53:AF53"/>
    <mergeCell ref="L54:M54"/>
    <mergeCell ref="N54:O54"/>
    <mergeCell ref="R54:S54"/>
    <mergeCell ref="Y54:Z54"/>
    <mergeCell ref="AC54:AD54"/>
    <mergeCell ref="AE54:AF54"/>
    <mergeCell ref="R51:S51"/>
    <mergeCell ref="T51:U51"/>
    <mergeCell ref="T52:U52"/>
    <mergeCell ref="T54:W54"/>
    <mergeCell ref="A52:E52"/>
    <mergeCell ref="F52:G52"/>
    <mergeCell ref="H52:I52"/>
    <mergeCell ref="J52:K52"/>
    <mergeCell ref="L52:M52"/>
    <mergeCell ref="N52:O52"/>
    <mergeCell ref="P52:Q52"/>
    <mergeCell ref="R52:S52"/>
    <mergeCell ref="F51:G51"/>
    <mergeCell ref="H51:I51"/>
    <mergeCell ref="J51:K51"/>
    <mergeCell ref="L51:M51"/>
    <mergeCell ref="N51:O51"/>
    <mergeCell ref="P51:Q51"/>
    <mergeCell ref="R49:S49"/>
    <mergeCell ref="T49:U49"/>
    <mergeCell ref="F50:G50"/>
    <mergeCell ref="H50:I50"/>
    <mergeCell ref="J50:K50"/>
    <mergeCell ref="L50:M50"/>
    <mergeCell ref="N50:O50"/>
    <mergeCell ref="P50:Q50"/>
    <mergeCell ref="R50:S50"/>
    <mergeCell ref="T50:U50"/>
    <mergeCell ref="F49:G49"/>
    <mergeCell ref="H49:I49"/>
    <mergeCell ref="J49:K49"/>
    <mergeCell ref="L49:M49"/>
    <mergeCell ref="N49:O49"/>
    <mergeCell ref="P49:Q49"/>
    <mergeCell ref="R47:S47"/>
    <mergeCell ref="T47:U47"/>
    <mergeCell ref="F48:G48"/>
    <mergeCell ref="H48:I48"/>
    <mergeCell ref="J48:K48"/>
    <mergeCell ref="L48:M48"/>
    <mergeCell ref="N48:O48"/>
    <mergeCell ref="P48:Q48"/>
    <mergeCell ref="R48:S48"/>
    <mergeCell ref="T48:U48"/>
    <mergeCell ref="F47:G47"/>
    <mergeCell ref="H47:I47"/>
    <mergeCell ref="J47:K47"/>
    <mergeCell ref="L47:M47"/>
    <mergeCell ref="N47:O47"/>
    <mergeCell ref="P47:Q47"/>
    <mergeCell ref="R45:S45"/>
    <mergeCell ref="T45:U45"/>
    <mergeCell ref="F46:G46"/>
    <mergeCell ref="H46:I46"/>
    <mergeCell ref="J46:K46"/>
    <mergeCell ref="L46:M46"/>
    <mergeCell ref="N46:O46"/>
    <mergeCell ref="P46:Q46"/>
    <mergeCell ref="R46:S46"/>
    <mergeCell ref="T46:U46"/>
    <mergeCell ref="F45:G45"/>
    <mergeCell ref="H45:I45"/>
    <mergeCell ref="J45:K45"/>
    <mergeCell ref="L45:M45"/>
    <mergeCell ref="N45:O45"/>
    <mergeCell ref="P45:Q45"/>
    <mergeCell ref="R43:S43"/>
    <mergeCell ref="T43:U43"/>
    <mergeCell ref="F44:G44"/>
    <mergeCell ref="H44:I44"/>
    <mergeCell ref="J44:K44"/>
    <mergeCell ref="L44:M44"/>
    <mergeCell ref="N44:O44"/>
    <mergeCell ref="P44:Q44"/>
    <mergeCell ref="R44:S44"/>
    <mergeCell ref="T44:U44"/>
    <mergeCell ref="F43:G43"/>
    <mergeCell ref="H43:I43"/>
    <mergeCell ref="J43:K43"/>
    <mergeCell ref="L43:M43"/>
    <mergeCell ref="N43:O43"/>
    <mergeCell ref="P43:Q43"/>
    <mergeCell ref="R41:S41"/>
    <mergeCell ref="T41:U41"/>
    <mergeCell ref="F42:G42"/>
    <mergeCell ref="H42:I42"/>
    <mergeCell ref="J42:K42"/>
    <mergeCell ref="L42:M42"/>
    <mergeCell ref="N42:O42"/>
    <mergeCell ref="P42:Q42"/>
    <mergeCell ref="R42:S42"/>
    <mergeCell ref="T42:U42"/>
    <mergeCell ref="F41:G41"/>
    <mergeCell ref="H41:I41"/>
    <mergeCell ref="J41:K41"/>
    <mergeCell ref="L41:M41"/>
    <mergeCell ref="N41:O41"/>
    <mergeCell ref="P41:Q41"/>
    <mergeCell ref="R39:S39"/>
    <mergeCell ref="T39:U39"/>
    <mergeCell ref="F40:G40"/>
    <mergeCell ref="H40:I40"/>
    <mergeCell ref="J40:K40"/>
    <mergeCell ref="L40:M40"/>
    <mergeCell ref="N40:O40"/>
    <mergeCell ref="P40:Q40"/>
    <mergeCell ref="R40:S40"/>
    <mergeCell ref="T40:U40"/>
    <mergeCell ref="F39:G39"/>
    <mergeCell ref="H39:I39"/>
    <mergeCell ref="J39:K39"/>
    <mergeCell ref="L39:M39"/>
    <mergeCell ref="N39:O39"/>
    <mergeCell ref="P39:Q39"/>
    <mergeCell ref="R37:S37"/>
    <mergeCell ref="T37:U37"/>
    <mergeCell ref="F38:G38"/>
    <mergeCell ref="H38:I38"/>
    <mergeCell ref="J38:K38"/>
    <mergeCell ref="L38:M38"/>
    <mergeCell ref="N38:O38"/>
    <mergeCell ref="P38:Q38"/>
    <mergeCell ref="R38:S38"/>
    <mergeCell ref="T38:U38"/>
    <mergeCell ref="F37:G37"/>
    <mergeCell ref="H37:I37"/>
    <mergeCell ref="J37:K37"/>
    <mergeCell ref="L37:M37"/>
    <mergeCell ref="N37:O37"/>
    <mergeCell ref="P37:Q37"/>
    <mergeCell ref="R35:S35"/>
    <mergeCell ref="T35:U35"/>
    <mergeCell ref="F36:G36"/>
    <mergeCell ref="H36:I36"/>
    <mergeCell ref="J36:K36"/>
    <mergeCell ref="L36:M36"/>
    <mergeCell ref="N36:O36"/>
    <mergeCell ref="P36:Q36"/>
    <mergeCell ref="R36:S36"/>
    <mergeCell ref="T36:U36"/>
    <mergeCell ref="F35:G35"/>
    <mergeCell ref="H35:I35"/>
    <mergeCell ref="J35:K35"/>
    <mergeCell ref="L35:M35"/>
    <mergeCell ref="N35:O35"/>
    <mergeCell ref="P35:Q35"/>
    <mergeCell ref="T33:U33"/>
    <mergeCell ref="F34:G34"/>
    <mergeCell ref="H34:I34"/>
    <mergeCell ref="J34:K34"/>
    <mergeCell ref="L34:M34"/>
    <mergeCell ref="N34:O34"/>
    <mergeCell ref="P34:Q34"/>
    <mergeCell ref="R34:S34"/>
    <mergeCell ref="T34:U34"/>
    <mergeCell ref="F33:G33"/>
    <mergeCell ref="H33:I33"/>
    <mergeCell ref="J33:K33"/>
    <mergeCell ref="L33:M33"/>
    <mergeCell ref="N33:O33"/>
    <mergeCell ref="P33:Q33"/>
    <mergeCell ref="R33:S33"/>
    <mergeCell ref="A27:E27"/>
    <mergeCell ref="F27:U27"/>
    <mergeCell ref="F28:I29"/>
    <mergeCell ref="J28:M28"/>
    <mergeCell ref="N28:O29"/>
    <mergeCell ref="P28:U29"/>
    <mergeCell ref="J29:K29"/>
    <mergeCell ref="L29:M29"/>
    <mergeCell ref="A30:E30"/>
    <mergeCell ref="R30:S30"/>
    <mergeCell ref="T30:U30"/>
    <mergeCell ref="N30:O30"/>
    <mergeCell ref="P30:Q30"/>
    <mergeCell ref="F30:G30"/>
    <mergeCell ref="H30:I30"/>
    <mergeCell ref="J30:K30"/>
    <mergeCell ref="L30:M30"/>
    <mergeCell ref="T26:W26"/>
    <mergeCell ref="X26:Z26"/>
    <mergeCell ref="AA26:AB26"/>
    <mergeCell ref="F31:G31"/>
    <mergeCell ref="H31:I31"/>
    <mergeCell ref="J31:K31"/>
    <mergeCell ref="L31:M31"/>
    <mergeCell ref="N31:O31"/>
    <mergeCell ref="P31:Q31"/>
    <mergeCell ref="V27:AJ32"/>
    <mergeCell ref="AC26:AD26"/>
    <mergeCell ref="AE26:AG26"/>
    <mergeCell ref="AH26:AI26"/>
    <mergeCell ref="R32:S32"/>
    <mergeCell ref="T32:U32"/>
    <mergeCell ref="F32:G32"/>
    <mergeCell ref="H32:I32"/>
    <mergeCell ref="J32:K32"/>
    <mergeCell ref="L32:M32"/>
    <mergeCell ref="N32:O32"/>
    <mergeCell ref="P32:Q32"/>
    <mergeCell ref="R31:S31"/>
    <mergeCell ref="T31:U31"/>
    <mergeCell ref="T25:W25"/>
    <mergeCell ref="X25:Z25"/>
    <mergeCell ref="AA25:AB25"/>
    <mergeCell ref="AC25:AD25"/>
    <mergeCell ref="AE25:AG25"/>
    <mergeCell ref="AH25:AI25"/>
    <mergeCell ref="H22:J22"/>
    <mergeCell ref="K22:M22"/>
    <mergeCell ref="N22:P22"/>
    <mergeCell ref="Q22:S22"/>
    <mergeCell ref="H23:J23"/>
    <mergeCell ref="K23:M23"/>
    <mergeCell ref="N23:P23"/>
    <mergeCell ref="Q23:S23"/>
    <mergeCell ref="T22:V22"/>
    <mergeCell ref="W22:Y22"/>
    <mergeCell ref="Z22:AB22"/>
    <mergeCell ref="AC22:AE22"/>
    <mergeCell ref="T23:V23"/>
    <mergeCell ref="W23:Y23"/>
    <mergeCell ref="Z23:AB23"/>
    <mergeCell ref="AC23:AE23"/>
    <mergeCell ref="H20:J20"/>
    <mergeCell ref="K20:M20"/>
    <mergeCell ref="N20:P20"/>
    <mergeCell ref="Q20:S20"/>
    <mergeCell ref="H21:J21"/>
    <mergeCell ref="K21:M21"/>
    <mergeCell ref="N21:P21"/>
    <mergeCell ref="Q21:S21"/>
    <mergeCell ref="AI18:AK18"/>
    <mergeCell ref="H19:J19"/>
    <mergeCell ref="K19:M19"/>
    <mergeCell ref="N19:P19"/>
    <mergeCell ref="Q19:S19"/>
    <mergeCell ref="T19:V19"/>
    <mergeCell ref="W19:Y19"/>
    <mergeCell ref="Z19:AB19"/>
    <mergeCell ref="AC19:AE19"/>
    <mergeCell ref="T20:V20"/>
    <mergeCell ref="W20:Y20"/>
    <mergeCell ref="Z20:AB20"/>
    <mergeCell ref="AC20:AE20"/>
    <mergeCell ref="T21:V21"/>
    <mergeCell ref="W21:Y21"/>
    <mergeCell ref="Z21:AB21"/>
    <mergeCell ref="Z15:AB15"/>
    <mergeCell ref="AC15:AE15"/>
    <mergeCell ref="AF15:AH15"/>
    <mergeCell ref="AC17:AE17"/>
    <mergeCell ref="AF17:AH17"/>
    <mergeCell ref="AI17:AK17"/>
    <mergeCell ref="H18:J18"/>
    <mergeCell ref="K18:M18"/>
    <mergeCell ref="N18:P18"/>
    <mergeCell ref="Q18:S18"/>
    <mergeCell ref="T18:V18"/>
    <mergeCell ref="W18:Y18"/>
    <mergeCell ref="Z18:AB18"/>
    <mergeCell ref="H17:J17"/>
    <mergeCell ref="K17:M17"/>
    <mergeCell ref="N17:P17"/>
    <mergeCell ref="Q17:S17"/>
    <mergeCell ref="T17:V17"/>
    <mergeCell ref="W17:Y17"/>
    <mergeCell ref="Z17:AB17"/>
    <mergeCell ref="AC18:AE18"/>
    <mergeCell ref="AF18:AH18"/>
    <mergeCell ref="Q14:S14"/>
    <mergeCell ref="T14:V14"/>
    <mergeCell ref="W14:Y14"/>
    <mergeCell ref="Z14:AB14"/>
    <mergeCell ref="AC14:AE14"/>
    <mergeCell ref="AF14:AH14"/>
    <mergeCell ref="AI14:AK14"/>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AC21:AE21"/>
    <mergeCell ref="A1:AK4"/>
    <mergeCell ref="A5:G5"/>
    <mergeCell ref="Y5:AB5"/>
    <mergeCell ref="AC5:AK5"/>
    <mergeCell ref="A6:G6"/>
    <mergeCell ref="Y6:AB6"/>
    <mergeCell ref="AC6:AK6"/>
    <mergeCell ref="A7:G7"/>
    <mergeCell ref="Y7:AB7"/>
    <mergeCell ref="A8:G9"/>
    <mergeCell ref="H8:AK9"/>
    <mergeCell ref="A10:H10"/>
    <mergeCell ref="I10:X10"/>
    <mergeCell ref="Y10:AB10"/>
    <mergeCell ref="AC10:AE10"/>
    <mergeCell ref="AF10:AH10"/>
    <mergeCell ref="AI10:AK10"/>
    <mergeCell ref="A11:AK12"/>
    <mergeCell ref="A13:G13"/>
    <mergeCell ref="H13:AK13"/>
    <mergeCell ref="H14:J14"/>
    <mergeCell ref="K14:M14"/>
    <mergeCell ref="N14:P14"/>
  </mergeCells>
  <conditionalFormatting sqref="F52:M52 P52:AC52">
    <cfRule type="expression" dxfId="217" priority="11" stopIfTrue="1">
      <formula>F52=0</formula>
    </cfRule>
  </conditionalFormatting>
  <conditionalFormatting sqref="H31:U51">
    <cfRule type="expression" dxfId="216" priority="6">
      <formula>H31=0</formula>
    </cfRule>
  </conditionalFormatting>
  <conditionalFormatting sqref="O76">
    <cfRule type="expression" dxfId="215" priority="5">
      <formula>O76=0</formula>
    </cfRule>
  </conditionalFormatting>
  <conditionalFormatting sqref="R54:S61">
    <cfRule type="expression" dxfId="214" priority="9" stopIfTrue="1">
      <formula>R54=0</formula>
    </cfRule>
  </conditionalFormatting>
  <conditionalFormatting sqref="V37:AK51">
    <cfRule type="expression" dxfId="213" priority="1">
      <formula>V37=0</formula>
    </cfRule>
  </conditionalFormatting>
  <conditionalFormatting sqref="Z33:Z36">
    <cfRule type="expression" dxfId="212" priority="3">
      <formula>(Z33&lt;&gt;0)</formula>
    </cfRule>
    <cfRule type="expression" dxfId="211" priority="4">
      <formula>(Z33=0)</formula>
    </cfRule>
  </conditionalFormatting>
  <conditionalFormatting sqref="AF52:AI52 N54 AC54:AD54 AC56 N57 AC57:AD57 AC58:AC59">
    <cfRule type="expression" dxfId="210" priority="13" stopIfTrue="1">
      <formula>N52=0</formula>
    </cfRule>
  </conditionalFormatting>
  <conditionalFormatting sqref="AK31:AK32 V33:W36 AA33:AK36">
    <cfRule type="expression" dxfId="209" priority="10">
      <formula>V31=0</formula>
    </cfRule>
  </conditionalFormatting>
  <pageMargins left="0.7" right="0.7" top="0.75" bottom="0.75" header="0.3" footer="0.3"/>
  <pageSetup paperSize="9" scale="59" orientation="portrait" r:id="rId1"/>
  <headerFooter>
    <oddFooter>&amp;C_x000D_&amp;1#&amp;"Calibri"&amp;10&amp;K000000 Internal</oddFooter>
  </headerFooter>
  <colBreaks count="1" manualBreakCount="1">
    <brk id="37"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F95AA-7A9B-4D3D-9C15-BFFA07583E52}">
  <sheetPr>
    <tabColor rgb="FFFF0000"/>
    <pageSetUpPr fitToPage="1"/>
  </sheetPr>
  <dimension ref="A1:CP124"/>
  <sheetViews>
    <sheetView showGridLines="0" view="pageBreakPreview" zoomScaleNormal="100" zoomScaleSheetLayoutView="100" workbookViewId="0">
      <selection sqref="A1:AK4"/>
    </sheetView>
  </sheetViews>
  <sheetFormatPr defaultColWidth="9.28515625" defaultRowHeight="15"/>
  <cols>
    <col min="1" max="13" width="3.7109375" style="290" customWidth="1"/>
    <col min="14" max="14" width="4.7109375" style="290" customWidth="1"/>
    <col min="15" max="15" width="6.42578125" style="290" customWidth="1"/>
    <col min="16" max="17" width="3.7109375" style="290" customWidth="1"/>
    <col min="18" max="19" width="4.7109375" style="290" customWidth="1"/>
    <col min="20" max="23" width="3.7109375" style="290" customWidth="1"/>
    <col min="24" max="24" width="9" style="290" bestFit="1" customWidth="1"/>
    <col min="25" max="37" width="3.7109375" style="290" customWidth="1"/>
    <col min="38" max="38" width="9.28515625" style="247"/>
    <col min="39" max="50" width="8.7109375" style="247" customWidth="1"/>
    <col min="51" max="57" width="9.28515625" style="247"/>
    <col min="58" max="59" width="9.28515625" style="285"/>
    <col min="60" max="16384" width="9.28515625" style="247"/>
  </cols>
  <sheetData>
    <row r="1" spans="1:94"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8"/>
      <c r="AL1" s="238"/>
      <c r="AM1" s="238"/>
      <c r="AN1" s="238"/>
      <c r="AO1" s="238"/>
      <c r="AP1" s="238"/>
      <c r="AQ1" s="238"/>
      <c r="AR1" s="238"/>
      <c r="AS1" s="238"/>
      <c r="AT1" s="238"/>
      <c r="AU1" s="238"/>
      <c r="AV1" s="238"/>
      <c r="AW1" s="238"/>
      <c r="AX1" s="238"/>
      <c r="AY1" s="238"/>
      <c r="AZ1" s="238"/>
      <c r="BA1" s="238"/>
      <c r="BB1" s="238"/>
      <c r="BC1" s="238"/>
      <c r="BD1" s="238"/>
      <c r="BE1" s="238"/>
      <c r="BF1" s="239"/>
      <c r="BG1" s="239"/>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c r="CM1" s="238"/>
      <c r="CN1" s="238"/>
      <c r="CO1" s="238"/>
      <c r="CP1" s="238"/>
    </row>
    <row r="2" spans="1:94"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1"/>
      <c r="AL2" s="238"/>
      <c r="AM2" s="238"/>
      <c r="AN2" s="238"/>
      <c r="AO2" s="238"/>
      <c r="AP2" s="238"/>
      <c r="AQ2" s="238"/>
      <c r="AR2" s="238"/>
      <c r="AS2" s="238"/>
      <c r="AT2" s="238"/>
      <c r="AU2" s="238"/>
      <c r="AV2" s="238"/>
      <c r="AW2" s="238"/>
      <c r="AX2" s="238"/>
      <c r="AY2" s="238"/>
      <c r="AZ2" s="238"/>
      <c r="BA2" s="238"/>
      <c r="BB2" s="238"/>
      <c r="BC2" s="238"/>
      <c r="BD2" s="238"/>
      <c r="BE2" s="238"/>
      <c r="BF2" s="239"/>
      <c r="BG2" s="239"/>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row>
    <row r="3" spans="1:94"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1"/>
      <c r="AL3" s="238"/>
      <c r="AM3" s="238"/>
      <c r="AN3" s="238"/>
      <c r="AO3" s="238"/>
      <c r="AP3" s="238"/>
      <c r="AQ3" s="238"/>
      <c r="AR3" s="238"/>
      <c r="AS3" s="238"/>
      <c r="AT3" s="238"/>
      <c r="AU3" s="238"/>
      <c r="AV3" s="238"/>
      <c r="AW3" s="238"/>
      <c r="AX3" s="238"/>
      <c r="AY3" s="238"/>
      <c r="AZ3" s="238"/>
      <c r="BA3" s="238"/>
      <c r="BB3" s="238"/>
      <c r="BC3" s="238"/>
      <c r="BD3" s="238"/>
      <c r="BE3" s="238"/>
      <c r="BF3" s="239"/>
      <c r="BG3" s="239"/>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row>
    <row r="4" spans="1:94"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4"/>
      <c r="AL4" s="238"/>
      <c r="AM4" s="241"/>
      <c r="AN4" s="241"/>
      <c r="AO4" s="241"/>
      <c r="AP4" s="242" t="s">
        <v>576</v>
      </c>
      <c r="AQ4" s="242" t="s">
        <v>577</v>
      </c>
      <c r="AR4" s="242" t="s">
        <v>578</v>
      </c>
      <c r="AS4" s="241"/>
      <c r="AT4" s="241"/>
      <c r="AU4" s="241"/>
      <c r="AV4" s="241"/>
      <c r="AW4" s="241"/>
      <c r="AX4" s="238"/>
      <c r="AY4" s="238"/>
      <c r="AZ4" s="238"/>
      <c r="BA4" s="238"/>
      <c r="BB4" s="238"/>
      <c r="BC4" s="238"/>
      <c r="BD4" s="238"/>
      <c r="BE4" s="238"/>
      <c r="BF4" s="239"/>
      <c r="BG4" s="239"/>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row>
    <row r="5" spans="1:94" ht="15" customHeight="1">
      <c r="A5" s="875" t="s">
        <v>22</v>
      </c>
      <c r="B5" s="876"/>
      <c r="C5" s="876"/>
      <c r="D5" s="876"/>
      <c r="E5" s="876"/>
      <c r="F5" s="876"/>
      <c r="G5" s="876"/>
      <c r="H5" s="27" t="str">
        <f>'Emiss. Ops'!$C$2</f>
        <v>OMVP</v>
      </c>
      <c r="I5" s="27"/>
      <c r="J5" s="27"/>
      <c r="K5" s="27"/>
      <c r="L5" s="27"/>
      <c r="M5" s="27"/>
      <c r="N5" s="27"/>
      <c r="O5" s="27"/>
      <c r="P5" s="27"/>
      <c r="Q5" s="27"/>
      <c r="R5" s="27"/>
      <c r="S5" s="27"/>
      <c r="T5" s="27"/>
      <c r="U5" s="27"/>
      <c r="V5" s="27"/>
      <c r="W5" s="27"/>
      <c r="X5" s="27"/>
      <c r="Y5" s="876" t="s">
        <v>23</v>
      </c>
      <c r="Z5" s="876"/>
      <c r="AA5" s="876"/>
      <c r="AB5" s="876"/>
      <c r="AC5" s="877" t="str">
        <f>'ESD CR'!$AC$5</f>
        <v>PRJ-001030</v>
      </c>
      <c r="AD5" s="877"/>
      <c r="AE5" s="877"/>
      <c r="AF5" s="877"/>
      <c r="AG5" s="877"/>
      <c r="AH5" s="877"/>
      <c r="AI5" s="877"/>
      <c r="AJ5" s="877"/>
      <c r="AK5" s="878"/>
      <c r="AL5" s="243"/>
      <c r="AM5" s="244"/>
      <c r="AN5" s="244"/>
      <c r="AO5" s="244"/>
      <c r="AP5" s="245" t="s">
        <v>386</v>
      </c>
      <c r="AQ5" s="245" t="s">
        <v>729</v>
      </c>
      <c r="AR5" s="242">
        <v>1020</v>
      </c>
      <c r="AS5" s="244"/>
      <c r="AT5" s="244"/>
      <c r="AU5" s="244"/>
      <c r="AV5" s="244"/>
      <c r="AW5" s="244"/>
      <c r="AX5" s="238"/>
      <c r="AY5" s="238"/>
      <c r="AZ5" s="238"/>
      <c r="BA5" s="243"/>
      <c r="BB5" s="243"/>
      <c r="BC5" s="243"/>
      <c r="BD5" s="243"/>
      <c r="BE5" s="243"/>
      <c r="BF5" s="246"/>
      <c r="BG5" s="246"/>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row>
    <row r="6" spans="1:94" ht="15" customHeight="1">
      <c r="A6" s="862" t="s">
        <v>24</v>
      </c>
      <c r="B6" s="863"/>
      <c r="C6" s="863"/>
      <c r="D6" s="863"/>
      <c r="E6" s="863"/>
      <c r="F6" s="863"/>
      <c r="G6" s="863"/>
      <c r="H6" s="30" t="str">
        <f>'Emiss. Ops'!$C$3</f>
        <v>OMV Neptun BAT Study &amp; ESIA</v>
      </c>
      <c r="I6" s="30"/>
      <c r="J6" s="30"/>
      <c r="K6" s="30"/>
      <c r="L6" s="30"/>
      <c r="M6" s="30"/>
      <c r="N6" s="30"/>
      <c r="O6" s="30"/>
      <c r="P6" s="30"/>
      <c r="Q6" s="30"/>
      <c r="R6" s="30"/>
      <c r="S6" s="30"/>
      <c r="T6" s="30"/>
      <c r="U6" s="30"/>
      <c r="V6" s="30"/>
      <c r="W6" s="30"/>
      <c r="X6" s="30"/>
      <c r="Y6" s="863" t="s">
        <v>25</v>
      </c>
      <c r="Z6" s="863"/>
      <c r="AA6" s="863"/>
      <c r="AB6" s="863"/>
      <c r="AC6" s="860"/>
      <c r="AD6" s="860"/>
      <c r="AE6" s="860"/>
      <c r="AF6" s="860"/>
      <c r="AG6" s="860"/>
      <c r="AH6" s="860"/>
      <c r="AI6" s="860"/>
      <c r="AJ6" s="860"/>
      <c r="AK6" s="861"/>
      <c r="AL6" s="243"/>
      <c r="AM6" s="244"/>
      <c r="AN6" s="244"/>
      <c r="AO6" s="242"/>
      <c r="AP6" s="245" t="s">
        <v>406</v>
      </c>
      <c r="AQ6" s="245" t="s">
        <v>339</v>
      </c>
      <c r="AR6" s="245">
        <v>0.45400000000000001</v>
      </c>
      <c r="AS6" s="242"/>
      <c r="AT6" s="244"/>
      <c r="AU6" s="244"/>
      <c r="AV6" s="244"/>
      <c r="AW6" s="244"/>
      <c r="AX6" s="238"/>
      <c r="AY6" s="238"/>
      <c r="AZ6" s="238"/>
      <c r="BA6" s="243"/>
      <c r="BB6" s="243"/>
      <c r="BC6" s="243"/>
      <c r="BD6" s="243"/>
      <c r="BE6" s="243"/>
      <c r="BF6" s="246"/>
      <c r="BG6" s="246"/>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row>
    <row r="7" spans="1:94" ht="15" customHeight="1">
      <c r="A7" s="862" t="s">
        <v>26</v>
      </c>
      <c r="B7" s="863"/>
      <c r="C7" s="863"/>
      <c r="D7" s="863"/>
      <c r="E7" s="863"/>
      <c r="F7" s="863"/>
      <c r="G7" s="863"/>
      <c r="H7" s="30" t="str">
        <f>'Emiss. Ops'!$C$4</f>
        <v>Emissions Inventory</v>
      </c>
      <c r="I7" s="30"/>
      <c r="J7" s="30"/>
      <c r="K7" s="30"/>
      <c r="L7" s="30"/>
      <c r="M7" s="30"/>
      <c r="N7" s="30"/>
      <c r="O7" s="30"/>
      <c r="P7" s="30"/>
      <c r="Q7" s="30"/>
      <c r="R7" s="30"/>
      <c r="S7" s="30"/>
      <c r="T7" s="30"/>
      <c r="U7" s="30"/>
      <c r="V7" s="30"/>
      <c r="W7" s="30"/>
      <c r="X7" s="30"/>
      <c r="Y7" s="863" t="s">
        <v>27</v>
      </c>
      <c r="Z7" s="863"/>
      <c r="AA7" s="863"/>
      <c r="AB7" s="863"/>
      <c r="AC7" s="30" t="str">
        <f>'Emiss. Ops'!$I$4</f>
        <v>Normal Operations</v>
      </c>
      <c r="AD7" s="31"/>
      <c r="AE7" s="31"/>
      <c r="AF7" s="31"/>
      <c r="AG7" s="31"/>
      <c r="AH7" s="31"/>
      <c r="AI7" s="31"/>
      <c r="AJ7" s="31"/>
      <c r="AK7" s="32"/>
      <c r="AL7" s="243"/>
      <c r="AM7" s="244"/>
      <c r="AN7" s="244"/>
      <c r="AO7" s="242"/>
      <c r="AP7" s="245" t="s">
        <v>407</v>
      </c>
      <c r="AQ7" s="245" t="s">
        <v>730</v>
      </c>
      <c r="AR7" s="248">
        <f>0.305^3</f>
        <v>2.8372624999999999E-2</v>
      </c>
      <c r="AS7" s="242"/>
      <c r="AT7" s="244"/>
      <c r="AU7" s="244"/>
      <c r="AV7" s="244"/>
      <c r="AW7" s="244"/>
      <c r="AX7" s="238"/>
      <c r="AY7" s="238"/>
      <c r="AZ7" s="238"/>
      <c r="BA7" s="243"/>
      <c r="BB7" s="243"/>
      <c r="BC7" s="243"/>
      <c r="BD7" s="243"/>
      <c r="BE7" s="243"/>
      <c r="BF7" s="246"/>
      <c r="BG7" s="246"/>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row>
    <row r="8" spans="1:94"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8"/>
      <c r="AH8" s="1288"/>
      <c r="AI8" s="1288"/>
      <c r="AJ8" s="1288"/>
      <c r="AK8" s="1289"/>
      <c r="AL8" s="243"/>
      <c r="AM8" s="244"/>
      <c r="AN8" s="244"/>
      <c r="AO8" s="242"/>
      <c r="AP8" s="245" t="s">
        <v>729</v>
      </c>
      <c r="AQ8" s="245" t="s">
        <v>731</v>
      </c>
      <c r="AR8" s="249">
        <f>AR6/AR7 * ((AN18+273.15)/(AN20+273.15))</f>
        <v>16.912595854908194</v>
      </c>
      <c r="AS8" s="242"/>
      <c r="AT8" s="244"/>
      <c r="AU8" s="244"/>
      <c r="AV8" s="244"/>
      <c r="AW8" s="244"/>
      <c r="AX8" s="238"/>
      <c r="AY8" s="238"/>
      <c r="AZ8" s="238"/>
      <c r="BA8" s="243"/>
      <c r="BB8" s="243"/>
      <c r="BC8" s="243"/>
      <c r="BD8" s="243"/>
      <c r="BE8" s="243"/>
      <c r="BF8" s="246"/>
      <c r="BG8" s="246"/>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row>
    <row r="9" spans="1:94"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8"/>
      <c r="AH9" s="1288"/>
      <c r="AI9" s="1288"/>
      <c r="AJ9" s="1288"/>
      <c r="AK9" s="1289"/>
      <c r="AL9" s="243"/>
      <c r="AM9" s="244"/>
      <c r="AN9" s="244"/>
      <c r="AO9" s="242"/>
      <c r="AP9" s="242" t="s">
        <v>409</v>
      </c>
      <c r="AQ9" s="242" t="s">
        <v>410</v>
      </c>
      <c r="AR9" s="242">
        <v>947</v>
      </c>
      <c r="AS9" s="242"/>
      <c r="AT9" s="244"/>
      <c r="AU9" s="244"/>
      <c r="AV9" s="244"/>
      <c r="AW9" s="244"/>
      <c r="AX9" s="238"/>
      <c r="AY9" s="238"/>
      <c r="AZ9" s="238"/>
      <c r="BA9" s="243"/>
      <c r="BB9" s="243"/>
      <c r="BC9" s="243"/>
      <c r="BD9" s="243"/>
      <c r="BE9" s="243"/>
      <c r="BF9" s="246"/>
      <c r="BG9" s="246"/>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row>
    <row r="10" spans="1:94"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1283"/>
      <c r="V10" s="1283"/>
      <c r="W10" s="1283"/>
      <c r="X10" s="1283"/>
      <c r="Y10" s="859" t="s">
        <v>28</v>
      </c>
      <c r="Z10" s="859"/>
      <c r="AA10" s="859"/>
      <c r="AB10" s="859"/>
      <c r="AC10" s="1284"/>
      <c r="AD10" s="1284"/>
      <c r="AE10" s="1284"/>
      <c r="AF10" s="1285"/>
      <c r="AG10" s="1285"/>
      <c r="AH10" s="1285"/>
      <c r="AI10" s="1286"/>
      <c r="AJ10" s="1286"/>
      <c r="AK10" s="1287"/>
      <c r="AL10" s="238"/>
      <c r="AM10" s="241"/>
      <c r="AN10" s="241"/>
      <c r="AO10" s="245"/>
      <c r="AP10" s="245" t="s">
        <v>710</v>
      </c>
      <c r="AQ10" s="245" t="s">
        <v>709</v>
      </c>
      <c r="AR10" s="245">
        <v>1E-3</v>
      </c>
      <c r="AS10" s="245"/>
      <c r="AT10" s="241"/>
      <c r="AU10" s="241"/>
      <c r="AV10" s="241"/>
      <c r="AW10" s="241"/>
      <c r="AX10" s="238"/>
      <c r="AY10" s="238"/>
      <c r="AZ10" s="238"/>
      <c r="BA10" s="238"/>
      <c r="BB10" s="238"/>
      <c r="BC10" s="238"/>
      <c r="BD10" s="238"/>
      <c r="BE10" s="238"/>
      <c r="BF10" s="239"/>
      <c r="BG10" s="239"/>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row>
    <row r="11" spans="1:94" s="240" customFormat="1" ht="14.25" customHeight="1">
      <c r="A11" s="1271" t="s">
        <v>376</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3"/>
      <c r="AL11" s="238"/>
      <c r="AM11" s="241"/>
      <c r="AN11" s="241"/>
      <c r="AO11" s="245"/>
      <c r="AP11" s="245" t="s">
        <v>732</v>
      </c>
      <c r="AQ11" s="245" t="s">
        <v>409</v>
      </c>
      <c r="AR11" s="245">
        <f>1/(AR9/1000000)</f>
        <v>1055.9662090813094</v>
      </c>
      <c r="AS11" s="245"/>
      <c r="AT11" s="241"/>
      <c r="AU11" s="241"/>
      <c r="AV11" s="241"/>
      <c r="AW11" s="241"/>
      <c r="AX11" s="238"/>
      <c r="AY11" s="238"/>
      <c r="AZ11" s="238"/>
      <c r="BA11" s="238"/>
      <c r="BB11" s="238"/>
      <c r="BC11" s="238"/>
      <c r="BD11" s="238"/>
      <c r="BE11" s="238"/>
      <c r="BF11" s="239"/>
      <c r="BG11" s="239"/>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row>
    <row r="12" spans="1:94" s="240" customFormat="1" ht="14.25" customHeight="1">
      <c r="A12" s="1274"/>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5"/>
      <c r="AH12" s="1275"/>
      <c r="AI12" s="1275"/>
      <c r="AJ12" s="1275"/>
      <c r="AK12" s="1276"/>
      <c r="AL12" s="238"/>
      <c r="AM12" s="241"/>
      <c r="AN12" s="241"/>
      <c r="AO12" s="245"/>
      <c r="AP12" s="245"/>
      <c r="AQ12" s="245"/>
      <c r="AR12" s="245"/>
      <c r="AS12" s="245"/>
      <c r="AT12" s="241"/>
      <c r="AU12" s="241"/>
      <c r="AV12" s="241"/>
      <c r="AW12" s="241"/>
      <c r="AX12" s="238"/>
      <c r="AY12" s="238"/>
      <c r="AZ12" s="238"/>
      <c r="BA12" s="238"/>
      <c r="BB12" s="238"/>
      <c r="BC12" s="238"/>
      <c r="BD12" s="238"/>
      <c r="BE12" s="238"/>
      <c r="BF12" s="239"/>
      <c r="BG12" s="239"/>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row>
    <row r="13" spans="1:94" s="240" customFormat="1" ht="14.25" customHeight="1">
      <c r="A13" s="1277" t="s">
        <v>587</v>
      </c>
      <c r="B13" s="1278"/>
      <c r="C13" s="1278"/>
      <c r="D13" s="1278"/>
      <c r="E13" s="1278"/>
      <c r="F13" s="1278"/>
      <c r="G13" s="1279"/>
      <c r="H13" s="1280" t="s">
        <v>799</v>
      </c>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2"/>
      <c r="AL13" s="238"/>
      <c r="AM13" s="241"/>
      <c r="AN13" s="241"/>
      <c r="AO13" s="241"/>
      <c r="AP13" s="241"/>
      <c r="AQ13" s="241"/>
      <c r="AR13" s="241"/>
      <c r="AS13" s="241"/>
      <c r="AT13" s="241"/>
      <c r="AU13" s="241"/>
      <c r="AV13" s="241"/>
      <c r="AW13" s="241"/>
      <c r="AX13" s="241"/>
      <c r="AY13" s="241"/>
      <c r="AZ13" s="241"/>
      <c r="BA13" s="238"/>
      <c r="BB13" s="238"/>
      <c r="BC13" s="238"/>
      <c r="BD13" s="238"/>
      <c r="BE13" s="238"/>
      <c r="BF13" s="239"/>
      <c r="BG13" s="239"/>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row>
    <row r="14" spans="1:94" s="240" customFormat="1" ht="14.25" customHeight="1">
      <c r="A14" s="279" t="s">
        <v>589</v>
      </c>
      <c r="B14" s="429"/>
      <c r="C14" s="429"/>
      <c r="D14" s="429"/>
      <c r="E14" s="429"/>
      <c r="F14" s="429"/>
      <c r="G14" s="429"/>
      <c r="H14" s="1271" t="s">
        <v>590</v>
      </c>
      <c r="I14" s="1272"/>
      <c r="J14" s="1273"/>
      <c r="K14" s="1271" t="s">
        <v>591</v>
      </c>
      <c r="L14" s="1272"/>
      <c r="M14" s="1273"/>
      <c r="N14" s="1271" t="s">
        <v>592</v>
      </c>
      <c r="O14" s="1272"/>
      <c r="P14" s="1273"/>
      <c r="Q14" s="1271" t="s">
        <v>400</v>
      </c>
      <c r="R14" s="1272"/>
      <c r="S14" s="1273"/>
      <c r="T14" s="1271" t="s">
        <v>593</v>
      </c>
      <c r="U14" s="1272"/>
      <c r="V14" s="1273"/>
      <c r="W14" s="1271" t="s">
        <v>593</v>
      </c>
      <c r="X14" s="1272"/>
      <c r="Y14" s="1273"/>
      <c r="Z14" s="1271" t="s">
        <v>115</v>
      </c>
      <c r="AA14" s="1272"/>
      <c r="AB14" s="1273"/>
      <c r="AC14" s="1271" t="s">
        <v>115</v>
      </c>
      <c r="AD14" s="1272"/>
      <c r="AE14" s="1273"/>
      <c r="AF14" s="1271" t="s">
        <v>116</v>
      </c>
      <c r="AG14" s="1272"/>
      <c r="AH14" s="1273"/>
      <c r="AI14" s="1271" t="s">
        <v>116</v>
      </c>
      <c r="AJ14" s="1272"/>
      <c r="AK14" s="1273"/>
      <c r="AL14" s="238"/>
      <c r="AM14" s="241"/>
      <c r="AN14" s="241"/>
      <c r="AO14" s="241"/>
      <c r="AP14" s="241"/>
      <c r="AQ14" s="430"/>
      <c r="AR14" s="241"/>
      <c r="AS14" s="241"/>
      <c r="AT14" s="241"/>
      <c r="AU14" s="241"/>
      <c r="AV14" s="241"/>
      <c r="AW14" s="241"/>
      <c r="AX14" s="238"/>
      <c r="AY14" s="238"/>
      <c r="AZ14" s="238"/>
      <c r="BA14" s="238"/>
      <c r="BB14" s="238"/>
      <c r="BC14" s="238"/>
      <c r="BD14" s="238"/>
      <c r="BE14" s="238"/>
      <c r="BF14" s="239"/>
      <c r="BG14" s="239"/>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row>
    <row r="15" spans="1:94" s="240" customFormat="1" ht="14.25" customHeight="1">
      <c r="A15" s="250"/>
      <c r="B15" s="251"/>
      <c r="C15" s="251"/>
      <c r="D15" s="251"/>
      <c r="E15" s="251"/>
      <c r="F15" s="251"/>
      <c r="G15" s="251"/>
      <c r="H15" s="1302" t="s">
        <v>594</v>
      </c>
      <c r="I15" s="1283"/>
      <c r="J15" s="1303"/>
      <c r="K15" s="1302" t="s">
        <v>595</v>
      </c>
      <c r="L15" s="1283"/>
      <c r="M15" s="1303"/>
      <c r="N15" s="1302" t="s">
        <v>596</v>
      </c>
      <c r="O15" s="1283"/>
      <c r="P15" s="1303"/>
      <c r="Q15" s="1302" t="s">
        <v>597</v>
      </c>
      <c r="R15" s="1283"/>
      <c r="S15" s="1303"/>
      <c r="T15" s="1302" t="s">
        <v>734</v>
      </c>
      <c r="U15" s="1283"/>
      <c r="V15" s="1303"/>
      <c r="W15" s="1302" t="s">
        <v>599</v>
      </c>
      <c r="X15" s="1283"/>
      <c r="Y15" s="1303"/>
      <c r="Z15" s="1302" t="s">
        <v>734</v>
      </c>
      <c r="AA15" s="1283"/>
      <c r="AB15" s="1303"/>
      <c r="AC15" s="1302" t="s">
        <v>599</v>
      </c>
      <c r="AD15" s="1283"/>
      <c r="AE15" s="1303"/>
      <c r="AF15" s="1302" t="s">
        <v>734</v>
      </c>
      <c r="AG15" s="1283"/>
      <c r="AH15" s="1303"/>
      <c r="AI15" s="1302" t="s">
        <v>599</v>
      </c>
      <c r="AJ15" s="1283"/>
      <c r="AK15" s="1303"/>
      <c r="AL15" s="238"/>
      <c r="AM15" s="241"/>
      <c r="AN15" s="241"/>
      <c r="AO15" s="241"/>
      <c r="AP15" s="431" t="s">
        <v>393</v>
      </c>
      <c r="AQ15" s="432"/>
      <c r="AR15" s="433"/>
      <c r="AS15" s="431" t="s">
        <v>115</v>
      </c>
      <c r="AT15" s="432"/>
      <c r="AU15" s="433"/>
      <c r="AY15" s="238"/>
      <c r="AZ15" s="238"/>
      <c r="BA15" s="238"/>
      <c r="BB15" s="238"/>
      <c r="BC15" s="238"/>
      <c r="BD15" s="238"/>
      <c r="BE15" s="238"/>
      <c r="BF15" s="239"/>
      <c r="BG15" s="239"/>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row>
    <row r="16" spans="1:94" s="240" customFormat="1" ht="14.25" customHeight="1">
      <c r="A16" s="434" t="s">
        <v>735</v>
      </c>
      <c r="B16" s="435"/>
      <c r="C16" s="435"/>
      <c r="D16" s="435"/>
      <c r="E16" s="435"/>
      <c r="F16" s="435"/>
      <c r="G16" s="436"/>
      <c r="H16" s="1304"/>
      <c r="I16" s="1305"/>
      <c r="J16" s="1306"/>
      <c r="K16" s="1307"/>
      <c r="L16" s="1308"/>
      <c r="M16" s="1309"/>
      <c r="N16" s="1304"/>
      <c r="O16" s="1305"/>
      <c r="P16" s="1306"/>
      <c r="Q16" s="1566">
        <v>37.96</v>
      </c>
      <c r="R16" s="1567"/>
      <c r="S16" s="1568"/>
      <c r="T16" s="1418">
        <f>AR17</f>
        <v>1173.0576484964322</v>
      </c>
      <c r="U16" s="1419"/>
      <c r="V16" s="1420"/>
      <c r="W16" s="1304"/>
      <c r="X16" s="1305"/>
      <c r="Y16" s="1306"/>
      <c r="Z16" s="1418">
        <f>AU17</f>
        <v>6382.8136756423519</v>
      </c>
      <c r="AA16" s="1419"/>
      <c r="AB16" s="1420"/>
      <c r="AC16" s="1304"/>
      <c r="AD16" s="1305"/>
      <c r="AE16" s="1306"/>
      <c r="AF16" s="1379">
        <f>AR22</f>
        <v>40</v>
      </c>
      <c r="AG16" s="1380"/>
      <c r="AH16" s="1381"/>
      <c r="AI16" s="1304" t="s">
        <v>604</v>
      </c>
      <c r="AJ16" s="1305"/>
      <c r="AK16" s="1306"/>
      <c r="AL16" s="238"/>
      <c r="AM16" s="241" t="s">
        <v>605</v>
      </c>
      <c r="AN16" s="241"/>
      <c r="AO16" s="241"/>
      <c r="AP16" s="437" t="s">
        <v>386</v>
      </c>
      <c r="AQ16" s="437" t="s">
        <v>714</v>
      </c>
      <c r="AR16" s="437" t="s">
        <v>715</v>
      </c>
      <c r="AS16" s="437" t="s">
        <v>386</v>
      </c>
      <c r="AT16" s="437" t="s">
        <v>714</v>
      </c>
      <c r="AU16" s="437" t="s">
        <v>715</v>
      </c>
      <c r="AY16" s="238"/>
      <c r="AZ16" s="238"/>
      <c r="BA16" s="238"/>
      <c r="BB16" s="238"/>
      <c r="BC16" s="238"/>
      <c r="BD16" s="238"/>
      <c r="BE16" s="238"/>
      <c r="BF16" s="239"/>
      <c r="BG16" s="239"/>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row>
    <row r="17" spans="1:94" s="240" customFormat="1" ht="14.25" customHeight="1">
      <c r="A17" s="438" t="s">
        <v>800</v>
      </c>
      <c r="B17" s="439"/>
      <c r="C17" s="439"/>
      <c r="D17" s="439"/>
      <c r="E17" s="439"/>
      <c r="F17" s="439"/>
      <c r="G17" s="440"/>
      <c r="H17" s="1421">
        <f>CO2eEF!P16</f>
        <v>16.12</v>
      </c>
      <c r="I17" s="1422"/>
      <c r="J17" s="1423"/>
      <c r="K17" s="1424">
        <f>CO2eEF!P12</f>
        <v>0.69899999999999995</v>
      </c>
      <c r="L17" s="1425"/>
      <c r="M17" s="1426"/>
      <c r="N17" s="1421">
        <f>CO2eEF!P19</f>
        <v>49.78</v>
      </c>
      <c r="O17" s="1427"/>
      <c r="P17" s="1428"/>
      <c r="Q17" s="1421">
        <f>CO2eEF!P21</f>
        <v>37.770000000000003</v>
      </c>
      <c r="R17" s="1427"/>
      <c r="S17" s="1428"/>
      <c r="T17" s="1340">
        <f>T16*Q16/Q17</f>
        <v>1178.9586533472216</v>
      </c>
      <c r="U17" s="1341"/>
      <c r="V17" s="1342"/>
      <c r="W17" s="1569">
        <f>T17/1000000/$K17</f>
        <v>1.6866361278214902E-3</v>
      </c>
      <c r="X17" s="1570"/>
      <c r="Y17" s="1571"/>
      <c r="Z17" s="1340">
        <f>Z16*$Q$16/$Q$17</f>
        <v>6414.9220843892945</v>
      </c>
      <c r="AA17" s="1341"/>
      <c r="AB17" s="1342"/>
      <c r="AC17" s="1569">
        <f>Z17/$K17/1000000</f>
        <v>9.1772848131463445E-3</v>
      </c>
      <c r="AD17" s="1570"/>
      <c r="AE17" s="1571"/>
      <c r="AF17" s="1340">
        <f>AF16*$Q$16/$Q$17</f>
        <v>40.201217897802486</v>
      </c>
      <c r="AG17" s="1341"/>
      <c r="AH17" s="1342"/>
      <c r="AI17" s="1572">
        <f>AF17/$K17/1000000</f>
        <v>5.7512471956798981E-5</v>
      </c>
      <c r="AJ17" s="1573"/>
      <c r="AK17" s="1574"/>
      <c r="AL17" s="238"/>
      <c r="AM17" s="441" t="s">
        <v>606</v>
      </c>
      <c r="AN17" s="241">
        <v>60</v>
      </c>
      <c r="AO17" s="241" t="s">
        <v>607</v>
      </c>
      <c r="AP17" s="442">
        <v>6.8000000000000005E-2</v>
      </c>
      <c r="AQ17" s="443">
        <f>AR5*$AP$17</f>
        <v>69.36</v>
      </c>
      <c r="AR17" s="443">
        <f>$AR$8*AQ17</f>
        <v>1173.0576484964322</v>
      </c>
      <c r="AS17" s="444">
        <v>0.37</v>
      </c>
      <c r="AT17" s="445">
        <f>AS17*AR5</f>
        <v>377.4</v>
      </c>
      <c r="AU17" s="446">
        <f>AT17*AR8</f>
        <v>6382.8136756423519</v>
      </c>
      <c r="AY17" s="238"/>
      <c r="AZ17" s="238"/>
      <c r="BA17" s="238"/>
      <c r="BB17" s="238"/>
      <c r="BC17" s="238"/>
      <c r="BD17" s="238"/>
      <c r="BE17" s="238"/>
      <c r="BF17" s="239"/>
      <c r="BG17" s="239"/>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row>
    <row r="18" spans="1:94" s="240" customFormat="1" ht="14.25" customHeight="1">
      <c r="A18" s="133"/>
      <c r="B18" s="251"/>
      <c r="C18" s="251"/>
      <c r="D18" s="251"/>
      <c r="E18" s="251"/>
      <c r="F18" s="251"/>
      <c r="G18" s="251"/>
      <c r="H18" s="1325"/>
      <c r="I18" s="1326"/>
      <c r="J18" s="1327"/>
      <c r="K18" s="1328">
        <v>1.05</v>
      </c>
      <c r="L18" s="1329"/>
      <c r="M18" s="1330"/>
      <c r="N18" s="1331"/>
      <c r="O18" s="1332"/>
      <c r="P18" s="1333"/>
      <c r="Q18" s="1334"/>
      <c r="R18" s="1335"/>
      <c r="S18" s="1336"/>
      <c r="T18" s="1337"/>
      <c r="U18" s="1338"/>
      <c r="V18" s="1339"/>
      <c r="W18" s="1302"/>
      <c r="X18" s="1283"/>
      <c r="Y18" s="1303"/>
      <c r="Z18" s="1337"/>
      <c r="AA18" s="1338"/>
      <c r="AB18" s="1339"/>
      <c r="AC18" s="1302"/>
      <c r="AD18" s="1283"/>
      <c r="AE18" s="1303"/>
      <c r="AF18" s="1343"/>
      <c r="AG18" s="1344"/>
      <c r="AH18" s="1345"/>
      <c r="AI18" s="1302"/>
      <c r="AJ18" s="1283"/>
      <c r="AK18" s="1303"/>
      <c r="AL18" s="238"/>
      <c r="AM18" s="441" t="s">
        <v>608</v>
      </c>
      <c r="AN18" s="447">
        <f>(AN17 - 32) * 5/9</f>
        <v>15.555555555555555</v>
      </c>
      <c r="AO18" s="241" t="s">
        <v>609</v>
      </c>
      <c r="AP18" s="444"/>
      <c r="AQ18" s="448"/>
      <c r="AR18" s="446"/>
      <c r="AS18" s="444"/>
      <c r="AT18" s="445"/>
      <c r="AU18" s="446"/>
      <c r="AY18" s="238"/>
      <c r="AZ18" s="238"/>
      <c r="BA18" s="238"/>
      <c r="BB18" s="238"/>
      <c r="BC18" s="238"/>
      <c r="BD18" s="238"/>
      <c r="BE18" s="238"/>
      <c r="BF18" s="239"/>
      <c r="BG18" s="239"/>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row>
    <row r="19" spans="1:94" s="240" customFormat="1" ht="14.25" customHeight="1">
      <c r="A19" s="279" t="s">
        <v>589</v>
      </c>
      <c r="B19" s="429"/>
      <c r="C19" s="429"/>
      <c r="D19" s="429"/>
      <c r="E19" s="429"/>
      <c r="F19" s="429"/>
      <c r="G19" s="449"/>
      <c r="H19" s="1271" t="s">
        <v>122</v>
      </c>
      <c r="I19" s="1272"/>
      <c r="J19" s="1273"/>
      <c r="K19" s="1271" t="s">
        <v>122</v>
      </c>
      <c r="L19" s="1272"/>
      <c r="M19" s="1273"/>
      <c r="N19" s="1271" t="s">
        <v>124</v>
      </c>
      <c r="O19" s="1272"/>
      <c r="P19" s="1273"/>
      <c r="Q19" s="1271" t="s">
        <v>124</v>
      </c>
      <c r="R19" s="1272"/>
      <c r="S19" s="1273"/>
      <c r="T19" s="1117" t="s">
        <v>123</v>
      </c>
      <c r="U19" s="1118"/>
      <c r="V19" s="1119"/>
      <c r="W19" s="1117" t="s">
        <v>123</v>
      </c>
      <c r="X19" s="1118"/>
      <c r="Y19" s="1119"/>
      <c r="Z19" s="1117" t="s">
        <v>716</v>
      </c>
      <c r="AA19" s="1118"/>
      <c r="AB19" s="1119"/>
      <c r="AC19" s="1117" t="s">
        <v>125</v>
      </c>
      <c r="AD19" s="1118"/>
      <c r="AE19" s="1119"/>
      <c r="AF19" s="30"/>
      <c r="AG19" s="30"/>
      <c r="AH19" s="30"/>
      <c r="AI19" s="30"/>
      <c r="AJ19" s="30"/>
      <c r="AK19" s="280"/>
      <c r="AL19" s="238"/>
      <c r="AM19" s="241"/>
      <c r="AN19" s="241"/>
      <c r="AO19" s="241"/>
      <c r="AP19" s="238"/>
      <c r="AQ19" s="238"/>
      <c r="AR19" s="238"/>
      <c r="AS19" s="238"/>
      <c r="AT19" s="238"/>
      <c r="AU19" s="238"/>
      <c r="AV19" s="238"/>
      <c r="AW19" s="238"/>
      <c r="AX19" s="238"/>
      <c r="AY19" s="238"/>
      <c r="AZ19" s="238"/>
      <c r="BA19" s="238"/>
      <c r="BB19" s="238"/>
      <c r="BC19" s="238"/>
      <c r="BD19" s="238"/>
      <c r="BE19" s="238"/>
      <c r="BF19" s="239"/>
      <c r="BG19" s="239"/>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row>
    <row r="20" spans="1:94" s="240" customFormat="1" ht="14.25" customHeight="1">
      <c r="A20" s="250"/>
      <c r="B20" s="251"/>
      <c r="C20" s="251"/>
      <c r="D20" s="251"/>
      <c r="E20" s="251"/>
      <c r="F20" s="251"/>
      <c r="G20" s="450"/>
      <c r="H20" s="1302" t="s">
        <v>734</v>
      </c>
      <c r="I20" s="1283"/>
      <c r="J20" s="1303"/>
      <c r="K20" s="1302" t="s">
        <v>599</v>
      </c>
      <c r="L20" s="1283"/>
      <c r="M20" s="1303"/>
      <c r="N20" s="1302" t="s">
        <v>734</v>
      </c>
      <c r="O20" s="1283"/>
      <c r="P20" s="1303"/>
      <c r="Q20" s="1302" t="s">
        <v>599</v>
      </c>
      <c r="R20" s="1283"/>
      <c r="S20" s="1303"/>
      <c r="T20" s="1089" t="s">
        <v>598</v>
      </c>
      <c r="U20" s="1090"/>
      <c r="V20" s="1091"/>
      <c r="W20" s="1089" t="s">
        <v>599</v>
      </c>
      <c r="X20" s="1090"/>
      <c r="Y20" s="1091"/>
      <c r="Z20" s="1089" t="s">
        <v>598</v>
      </c>
      <c r="AA20" s="1090"/>
      <c r="AB20" s="1091"/>
      <c r="AC20" s="1089" t="s">
        <v>599</v>
      </c>
      <c r="AD20" s="1090"/>
      <c r="AE20" s="1091"/>
      <c r="AF20" s="30"/>
      <c r="AG20" s="30"/>
      <c r="AH20" s="30"/>
      <c r="AI20" s="30"/>
      <c r="AJ20" s="30"/>
      <c r="AK20" s="253"/>
      <c r="AL20" s="238"/>
      <c r="AM20" s="441"/>
      <c r="AN20" s="241"/>
      <c r="AO20" s="241"/>
      <c r="AP20" s="431" t="s">
        <v>116</v>
      </c>
      <c r="AQ20" s="432"/>
      <c r="AR20" s="433"/>
      <c r="AS20" s="431" t="s">
        <v>122</v>
      </c>
      <c r="AT20" s="432"/>
      <c r="AU20" s="433"/>
      <c r="AV20" s="238"/>
      <c r="AW20" s="238"/>
      <c r="AX20" s="238"/>
      <c r="AY20" s="238"/>
      <c r="AZ20" s="238"/>
      <c r="BA20" s="238"/>
      <c r="BB20" s="238"/>
      <c r="BC20" s="238"/>
      <c r="BD20" s="238"/>
      <c r="BE20" s="238"/>
      <c r="BF20" s="239"/>
      <c r="BG20" s="239"/>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row>
    <row r="21" spans="1:94" s="240" customFormat="1" ht="14.25" customHeight="1">
      <c r="A21" s="434" t="s">
        <v>735</v>
      </c>
      <c r="B21" s="435"/>
      <c r="C21" s="435"/>
      <c r="D21" s="435"/>
      <c r="E21" s="435"/>
      <c r="F21" s="435"/>
      <c r="G21" s="436"/>
      <c r="H21" s="1418">
        <f>AU22</f>
        <v>2415.11868808089</v>
      </c>
      <c r="I21" s="1419"/>
      <c r="J21" s="1420"/>
      <c r="K21" s="1304"/>
      <c r="L21" s="1305"/>
      <c r="M21" s="1306"/>
      <c r="N21" s="1594"/>
      <c r="O21" s="1595"/>
      <c r="P21" s="1596"/>
      <c r="Q21" s="1597"/>
      <c r="R21" s="1598"/>
      <c r="S21" s="1599"/>
      <c r="T21" s="1600"/>
      <c r="U21" s="1601"/>
      <c r="V21" s="1602"/>
      <c r="W21" s="1603"/>
      <c r="X21" s="1604"/>
      <c r="Y21" s="1605"/>
      <c r="Z21" s="1600"/>
      <c r="AA21" s="1601"/>
      <c r="AB21" s="1602"/>
      <c r="AC21" s="1591"/>
      <c r="AD21" s="1592"/>
      <c r="AE21" s="1593"/>
      <c r="AF21" s="30"/>
      <c r="AG21" s="30"/>
      <c r="AH21" s="30"/>
      <c r="AI21" s="30"/>
      <c r="AJ21" s="30"/>
      <c r="AK21" s="253"/>
      <c r="AL21" s="238"/>
      <c r="AM21" s="241"/>
      <c r="AN21" s="241"/>
      <c r="AO21" s="241"/>
      <c r="AP21" s="437" t="s">
        <v>737</v>
      </c>
      <c r="AQ21" s="451" t="s">
        <v>738</v>
      </c>
      <c r="AR21" s="451" t="s">
        <v>731</v>
      </c>
      <c r="AS21" s="437" t="s">
        <v>386</v>
      </c>
      <c r="AT21" s="437" t="s">
        <v>714</v>
      </c>
      <c r="AU21" s="437" t="s">
        <v>715</v>
      </c>
      <c r="AV21" s="238"/>
      <c r="AW21" s="238"/>
      <c r="AX21" s="238"/>
      <c r="AY21" s="238"/>
      <c r="AZ21" s="238"/>
      <c r="BA21" s="238"/>
      <c r="BB21" s="238"/>
      <c r="BC21" s="238"/>
      <c r="BD21" s="238"/>
      <c r="BE21" s="238"/>
      <c r="BF21" s="239"/>
      <c r="BG21" s="239"/>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row>
    <row r="22" spans="1:94" s="240" customFormat="1" ht="14.25" customHeight="1">
      <c r="A22" s="438" t="s">
        <v>800</v>
      </c>
      <c r="B22" s="439"/>
      <c r="C22" s="439"/>
      <c r="D22" s="439"/>
      <c r="E22" s="439"/>
      <c r="F22" s="439"/>
      <c r="G22" s="440"/>
      <c r="H22" s="1340">
        <f>H21*$Q$16/$Q$17</f>
        <v>2427.2678157148684</v>
      </c>
      <c r="I22" s="1341"/>
      <c r="J22" s="1342"/>
      <c r="K22" s="1569">
        <f>H22/1000000/$K17</f>
        <v>3.4724861455148331E-3</v>
      </c>
      <c r="L22" s="1570"/>
      <c r="M22" s="1571"/>
      <c r="N22" s="1606"/>
      <c r="O22" s="1607"/>
      <c r="P22" s="1608"/>
      <c r="Q22" s="1609"/>
      <c r="R22" s="1610"/>
      <c r="S22" s="1611"/>
      <c r="T22" s="1618"/>
      <c r="U22" s="1619"/>
      <c r="V22" s="1620"/>
      <c r="W22" s="1621"/>
      <c r="X22" s="1622"/>
      <c r="Y22" s="1623"/>
      <c r="Z22" s="1624"/>
      <c r="AA22" s="1625"/>
      <c r="AB22" s="1626"/>
      <c r="AC22" s="1621"/>
      <c r="AD22" s="1622"/>
      <c r="AE22" s="1623"/>
      <c r="AF22" s="30"/>
      <c r="AG22" s="30"/>
      <c r="AH22" s="30"/>
      <c r="AI22" s="30"/>
      <c r="AJ22" s="30"/>
      <c r="AK22" s="253"/>
      <c r="AL22" s="238"/>
      <c r="AM22" s="241"/>
      <c r="AN22" s="241"/>
      <c r="AO22" s="241"/>
      <c r="AP22" s="444">
        <v>40</v>
      </c>
      <c r="AQ22" s="452">
        <f>AP22/1000000/1000/AR10</f>
        <v>4.0000000000000003E-5</v>
      </c>
      <c r="AR22" s="446">
        <f>AQ22*1000000</f>
        <v>40</v>
      </c>
      <c r="AS22" s="444">
        <v>0.14000000000000001</v>
      </c>
      <c r="AT22" s="443">
        <f>AS22*$AR$5</f>
        <v>142.80000000000001</v>
      </c>
      <c r="AU22" s="443">
        <f>$AR$8*AT22</f>
        <v>2415.11868808089</v>
      </c>
      <c r="AV22" s="238"/>
      <c r="AW22" s="238"/>
      <c r="AX22" s="238"/>
      <c r="AY22" s="238"/>
      <c r="AZ22" s="238"/>
      <c r="BA22" s="238"/>
      <c r="BB22" s="238"/>
      <c r="BC22" s="238"/>
      <c r="BD22" s="238"/>
      <c r="BE22" s="238"/>
      <c r="BF22" s="239"/>
      <c r="BG22" s="239"/>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row>
    <row r="23" spans="1:94" s="240" customFormat="1" ht="14.25" customHeight="1">
      <c r="A23" s="133"/>
      <c r="B23" s="30"/>
      <c r="C23" s="30"/>
      <c r="D23" s="30"/>
      <c r="E23" s="30"/>
      <c r="F23" s="30"/>
      <c r="G23" s="253"/>
      <c r="H23" s="1352"/>
      <c r="I23" s="1353"/>
      <c r="J23" s="1354"/>
      <c r="K23" s="1355"/>
      <c r="L23" s="1356"/>
      <c r="M23" s="1357"/>
      <c r="N23" s="1612"/>
      <c r="O23" s="1613"/>
      <c r="P23" s="1614"/>
      <c r="Q23" s="1615"/>
      <c r="R23" s="1616"/>
      <c r="S23" s="1617"/>
      <c r="T23" s="1618"/>
      <c r="U23" s="1619"/>
      <c r="V23" s="1620"/>
      <c r="W23" s="1627"/>
      <c r="X23" s="1628"/>
      <c r="Y23" s="1629"/>
      <c r="Z23" s="1627"/>
      <c r="AA23" s="1628"/>
      <c r="AB23" s="1629"/>
      <c r="AC23" s="1627"/>
      <c r="AD23" s="1628"/>
      <c r="AE23" s="1629"/>
      <c r="AF23" s="30"/>
      <c r="AG23" s="30"/>
      <c r="AH23" s="30"/>
      <c r="AI23" s="30"/>
      <c r="AJ23" s="30"/>
      <c r="AK23" s="253"/>
      <c r="AL23" s="238"/>
      <c r="AM23" s="453">
        <f>X25/K17</f>
        <v>119217.93037672866</v>
      </c>
      <c r="AN23" s="241"/>
      <c r="AO23" s="241"/>
      <c r="AP23" s="444">
        <f>AP22</f>
        <v>40</v>
      </c>
      <c r="AQ23" s="452">
        <f>AP23/1000000/1000/AR11</f>
        <v>3.7879999999999996E-11</v>
      </c>
      <c r="AR23" s="446">
        <f>AQ23*1000000</f>
        <v>3.7879999999999996E-5</v>
      </c>
      <c r="AS23" s="444"/>
      <c r="AT23" s="445"/>
      <c r="AU23" s="446"/>
      <c r="AV23" s="238"/>
      <c r="AW23" s="238"/>
      <c r="AX23" s="238"/>
      <c r="AY23" s="238"/>
      <c r="AZ23" s="238"/>
      <c r="BA23" s="238"/>
      <c r="BB23" s="238"/>
      <c r="BC23" s="238"/>
      <c r="BD23" s="238"/>
      <c r="BE23" s="238"/>
      <c r="BF23" s="239"/>
      <c r="BG23" s="239"/>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row>
    <row r="24" spans="1:94" s="240" customFormat="1" ht="14.25" customHeight="1">
      <c r="A24" s="279" t="s">
        <v>612</v>
      </c>
      <c r="B24" s="132"/>
      <c r="C24" s="132"/>
      <c r="D24" s="132"/>
      <c r="E24" s="132"/>
      <c r="F24" s="132"/>
      <c r="G24" s="132"/>
      <c r="H24" s="132"/>
      <c r="I24" s="132"/>
      <c r="J24" s="132"/>
      <c r="K24" s="132"/>
      <c r="L24" s="132"/>
      <c r="M24" s="132"/>
      <c r="N24" s="132"/>
      <c r="O24" s="132"/>
      <c r="P24" s="132"/>
      <c r="Q24" s="132"/>
      <c r="R24" s="132"/>
      <c r="S24" s="280"/>
      <c r="T24" s="587" t="s">
        <v>613</v>
      </c>
      <c r="U24" s="435"/>
      <c r="V24" s="435"/>
      <c r="W24" s="435"/>
      <c r="X24" s="435"/>
      <c r="Y24" s="435"/>
      <c r="Z24" s="435"/>
      <c r="AA24" s="435"/>
      <c r="AB24" s="435"/>
      <c r="AC24" s="435"/>
      <c r="AD24" s="435"/>
      <c r="AE24" s="435"/>
      <c r="AF24" s="435"/>
      <c r="AG24" s="435"/>
      <c r="AH24" s="435"/>
      <c r="AI24" s="435"/>
      <c r="AJ24" s="435"/>
      <c r="AK24" s="436"/>
      <c r="AL24" s="238"/>
      <c r="AM24" s="241"/>
      <c r="AN24" s="241"/>
      <c r="AO24" s="241"/>
      <c r="AP24" s="241"/>
      <c r="AQ24" s="241"/>
      <c r="AR24" s="241"/>
      <c r="AS24" s="241"/>
      <c r="AT24" s="241"/>
      <c r="AU24" s="241"/>
      <c r="AV24" s="241"/>
      <c r="AW24" s="241"/>
      <c r="AX24" s="238"/>
      <c r="AY24" s="238"/>
      <c r="AZ24" s="238"/>
      <c r="BA24" s="238"/>
      <c r="BB24" s="238"/>
      <c r="BC24" s="238"/>
      <c r="BD24" s="238"/>
      <c r="BE24" s="238"/>
      <c r="BF24" s="239"/>
      <c r="BG24" s="239"/>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row>
    <row r="25" spans="1:94" s="240" customFormat="1" ht="14.25" customHeight="1">
      <c r="A25" s="133" t="s">
        <v>614</v>
      </c>
      <c r="B25" s="30"/>
      <c r="C25" s="30"/>
      <c r="D25" s="30"/>
      <c r="E25" s="30"/>
      <c r="F25" s="30"/>
      <c r="G25" s="30"/>
      <c r="H25" s="588"/>
      <c r="I25" s="30" t="s">
        <v>590</v>
      </c>
      <c r="J25" s="30"/>
      <c r="K25" s="30"/>
      <c r="L25" s="30" t="s">
        <v>615</v>
      </c>
      <c r="M25" s="30"/>
      <c r="N25" s="30"/>
      <c r="O25" s="30"/>
      <c r="P25" s="30"/>
      <c r="Q25" s="30"/>
      <c r="R25" s="30"/>
      <c r="S25" s="253" t="s">
        <v>616</v>
      </c>
      <c r="T25" s="1294" t="s">
        <v>800</v>
      </c>
      <c r="U25" s="1295"/>
      <c r="V25" s="1295"/>
      <c r="W25" s="1295"/>
      <c r="X25" s="1296">
        <f>X41*1000/6/24</f>
        <v>83333.333333333328</v>
      </c>
      <c r="Y25" s="1296"/>
      <c r="Z25" s="1296"/>
      <c r="AA25" s="1295" t="s">
        <v>617</v>
      </c>
      <c r="AB25" s="1295"/>
      <c r="AC25" s="1297">
        <f>X25/H17</f>
        <v>5169.5616211745237</v>
      </c>
      <c r="AD25" s="1297"/>
      <c r="AE25" s="1295" t="s">
        <v>618</v>
      </c>
      <c r="AF25" s="1295"/>
      <c r="AG25" s="1295"/>
      <c r="AH25" s="1297">
        <f>X25*N17/3600</f>
        <v>1152.3148148148148</v>
      </c>
      <c r="AI25" s="1297"/>
      <c r="AJ25" s="479" t="s">
        <v>590</v>
      </c>
      <c r="AK25" s="480"/>
      <c r="AL25" s="238"/>
      <c r="AM25" s="254">
        <f>X25*W22</f>
        <v>0</v>
      </c>
      <c r="AN25" s="241"/>
      <c r="AO25" s="241"/>
      <c r="AP25" s="241"/>
      <c r="AQ25" s="241"/>
      <c r="AR25" s="241"/>
      <c r="AS25" s="241"/>
      <c r="AT25" s="241"/>
      <c r="AU25" s="241"/>
      <c r="AV25" s="241"/>
      <c r="AW25" s="241"/>
      <c r="AX25" s="238"/>
      <c r="AY25" s="238"/>
      <c r="AZ25" s="238"/>
      <c r="BA25" s="238"/>
      <c r="BB25" s="238"/>
      <c r="BC25" s="238"/>
      <c r="BD25" s="238"/>
      <c r="BE25" s="238"/>
      <c r="BF25" s="239"/>
      <c r="BG25" s="239"/>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row>
    <row r="26" spans="1:94" s="240" customFormat="1" ht="14.25" customHeight="1">
      <c r="A26" s="250" t="s">
        <v>619</v>
      </c>
      <c r="B26" s="251"/>
      <c r="C26" s="251"/>
      <c r="D26" s="251"/>
      <c r="E26" s="251"/>
      <c r="F26" s="251"/>
      <c r="G26" s="251"/>
      <c r="H26" s="252"/>
      <c r="I26" s="251" t="s">
        <v>590</v>
      </c>
      <c r="J26" s="251"/>
      <c r="K26" s="251"/>
      <c r="L26" s="251"/>
      <c r="M26" s="251"/>
      <c r="N26" s="251"/>
      <c r="O26" s="251"/>
      <c r="P26" s="251"/>
      <c r="Q26" s="251"/>
      <c r="R26" s="251"/>
      <c r="S26" s="450"/>
      <c r="T26" s="1292"/>
      <c r="U26" s="1286"/>
      <c r="V26" s="860"/>
      <c r="W26" s="860"/>
      <c r="X26" s="1630"/>
      <c r="Y26" s="1630"/>
      <c r="Z26" s="1630"/>
      <c r="AA26" s="860"/>
      <c r="AB26" s="860"/>
      <c r="AC26" s="1293"/>
      <c r="AD26" s="1293"/>
      <c r="AE26" s="860"/>
      <c r="AF26" s="860"/>
      <c r="AG26" s="860"/>
      <c r="AH26" s="1293"/>
      <c r="AI26" s="1293"/>
      <c r="AJ26" s="30"/>
      <c r="AK26" s="253"/>
      <c r="AL26" s="238"/>
      <c r="AM26" s="254">
        <f>W22*SUM(N33:O42)</f>
        <v>0</v>
      </c>
      <c r="AN26" s="241"/>
      <c r="AO26" s="241"/>
      <c r="AP26" s="241"/>
      <c r="AQ26" s="241"/>
      <c r="AR26" s="241"/>
      <c r="AS26" s="241"/>
      <c r="AT26" s="241"/>
      <c r="AU26" s="241"/>
      <c r="AV26" s="241"/>
      <c r="AW26" s="241"/>
      <c r="AX26" s="238"/>
      <c r="AY26" s="238"/>
      <c r="AZ26" s="238"/>
      <c r="BA26" s="238"/>
      <c r="BB26" s="238"/>
      <c r="BC26" s="238"/>
      <c r="BD26" s="238"/>
      <c r="BE26" s="238"/>
      <c r="BF26" s="239"/>
      <c r="BG26" s="239"/>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row>
    <row r="27" spans="1:94" s="240" customFormat="1" ht="14.25" customHeight="1">
      <c r="A27" s="1370" t="s">
        <v>718</v>
      </c>
      <c r="B27" s="1370"/>
      <c r="C27" s="1370"/>
      <c r="D27" s="1370"/>
      <c r="E27" s="1370"/>
      <c r="F27" s="1371" t="s">
        <v>801</v>
      </c>
      <c r="G27" s="1372"/>
      <c r="H27" s="1372"/>
      <c r="I27" s="1372"/>
      <c r="J27" s="1372"/>
      <c r="K27" s="1372"/>
      <c r="L27" s="1372"/>
      <c r="M27" s="1372"/>
      <c r="N27" s="1372"/>
      <c r="O27" s="1372"/>
      <c r="P27" s="1372"/>
      <c r="Q27" s="1372"/>
      <c r="R27" s="1372"/>
      <c r="S27" s="1372"/>
      <c r="T27" s="1372"/>
      <c r="U27" s="1373"/>
      <c r="V27" s="30"/>
      <c r="W27" s="1402" t="s">
        <v>807</v>
      </c>
      <c r="X27" s="1184"/>
      <c r="Y27" s="1184"/>
      <c r="Z27" s="1184"/>
      <c r="AA27" s="1184"/>
      <c r="AB27" s="1184"/>
      <c r="AC27" s="1184"/>
      <c r="AD27" s="1184"/>
      <c r="AE27" s="1184"/>
      <c r="AF27" s="1184"/>
      <c r="AG27" s="1184"/>
      <c r="AH27" s="1184"/>
      <c r="AI27" s="1184"/>
      <c r="AJ27" s="1184"/>
      <c r="AK27" s="253"/>
      <c r="AL27" s="255"/>
      <c r="AM27" s="241"/>
      <c r="AN27" s="241"/>
      <c r="AO27" s="241"/>
      <c r="AP27" s="241"/>
      <c r="AQ27" s="241"/>
      <c r="AR27" s="241"/>
      <c r="AS27" s="241"/>
      <c r="AT27" s="241"/>
      <c r="AU27" s="241"/>
      <c r="AV27" s="241"/>
      <c r="AW27" s="241"/>
      <c r="AX27" s="241"/>
      <c r="AY27" s="241"/>
      <c r="AZ27" s="238"/>
      <c r="BA27" s="238"/>
      <c r="BB27" s="238"/>
      <c r="BC27" s="238"/>
      <c r="BD27" s="238"/>
      <c r="BE27" s="238"/>
      <c r="BF27" s="239"/>
      <c r="BG27" s="239"/>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row>
    <row r="28" spans="1:94" s="240" customFormat="1" ht="14.25" customHeight="1">
      <c r="A28" s="256" t="s">
        <v>620</v>
      </c>
      <c r="B28" s="30"/>
      <c r="C28" s="30"/>
      <c r="D28" s="30"/>
      <c r="E28" s="30"/>
      <c r="F28" s="1374"/>
      <c r="G28" s="1374"/>
      <c r="H28" s="1374"/>
      <c r="I28" s="1374"/>
      <c r="J28" s="1375" t="s">
        <v>120</v>
      </c>
      <c r="K28" s="1375"/>
      <c r="L28" s="1375"/>
      <c r="M28" s="1375"/>
      <c r="N28" s="1374" t="s">
        <v>621</v>
      </c>
      <c r="O28" s="1374"/>
      <c r="P28" s="1375" t="s">
        <v>622</v>
      </c>
      <c r="Q28" s="1375"/>
      <c r="R28" s="1375"/>
      <c r="S28" s="1375"/>
      <c r="T28" s="1375"/>
      <c r="U28" s="1375"/>
      <c r="V28" s="257"/>
      <c r="W28" s="1184"/>
      <c r="X28" s="1184"/>
      <c r="Y28" s="1184"/>
      <c r="Z28" s="1184"/>
      <c r="AA28" s="1184"/>
      <c r="AB28" s="1184"/>
      <c r="AC28" s="1184"/>
      <c r="AD28" s="1184"/>
      <c r="AE28" s="1184"/>
      <c r="AF28" s="1184"/>
      <c r="AG28" s="1184"/>
      <c r="AH28" s="1184"/>
      <c r="AI28" s="1184"/>
      <c r="AJ28" s="1184"/>
      <c r="AK28" s="253"/>
      <c r="AL28" s="255"/>
      <c r="AM28" s="241"/>
      <c r="AN28" s="241"/>
      <c r="AO28" s="241"/>
      <c r="AP28" s="241"/>
      <c r="AQ28" s="241"/>
      <c r="AR28" s="241"/>
      <c r="AS28" s="241"/>
      <c r="AT28" s="241"/>
      <c r="AU28" s="241"/>
      <c r="AV28" s="241"/>
      <c r="AW28" s="241"/>
      <c r="AX28" s="241"/>
      <c r="AY28" s="241"/>
      <c r="AZ28" s="238"/>
      <c r="BA28" s="238"/>
      <c r="BB28" s="238"/>
      <c r="BC28" s="238"/>
      <c r="BD28" s="238"/>
      <c r="BE28" s="238"/>
      <c r="BF28" s="239"/>
      <c r="BG28" s="239"/>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38"/>
      <c r="CN28" s="238"/>
      <c r="CO28" s="238"/>
      <c r="CP28" s="238"/>
    </row>
    <row r="29" spans="1:94" s="240" customFormat="1" ht="14.25" customHeight="1">
      <c r="A29" s="133"/>
      <c r="B29" s="30"/>
      <c r="C29" s="30"/>
      <c r="D29" s="30"/>
      <c r="E29" s="30"/>
      <c r="F29" s="1374"/>
      <c r="G29" s="1374"/>
      <c r="H29" s="1374"/>
      <c r="I29" s="1374"/>
      <c r="J29" s="1375" t="s">
        <v>624</v>
      </c>
      <c r="K29" s="1375"/>
      <c r="L29" s="1375" t="s">
        <v>625</v>
      </c>
      <c r="M29" s="1375"/>
      <c r="N29" s="1374"/>
      <c r="O29" s="1374"/>
      <c r="P29" s="1375"/>
      <c r="Q29" s="1375"/>
      <c r="R29" s="1375"/>
      <c r="S29" s="1375"/>
      <c r="T29" s="1375"/>
      <c r="U29" s="1375"/>
      <c r="V29" s="257"/>
      <c r="W29" s="1184"/>
      <c r="X29" s="1184"/>
      <c r="Y29" s="1184"/>
      <c r="Z29" s="1184"/>
      <c r="AA29" s="1184"/>
      <c r="AB29" s="1184"/>
      <c r="AC29" s="1184"/>
      <c r="AD29" s="1184"/>
      <c r="AE29" s="1184"/>
      <c r="AF29" s="1184"/>
      <c r="AG29" s="1184"/>
      <c r="AH29" s="1184"/>
      <c r="AI29" s="1184"/>
      <c r="AJ29" s="1184"/>
      <c r="AK29" s="253"/>
      <c r="AL29" s="258"/>
      <c r="AM29" s="259" t="s">
        <v>740</v>
      </c>
      <c r="AN29" s="259"/>
      <c r="AO29" s="259"/>
      <c r="AP29" s="259"/>
      <c r="AQ29" s="259"/>
      <c r="AR29" s="259"/>
      <c r="AS29" s="259" t="s">
        <v>741</v>
      </c>
      <c r="AT29" s="259"/>
      <c r="AU29" s="259" t="s">
        <v>742</v>
      </c>
      <c r="AV29" s="259"/>
      <c r="AW29" s="259"/>
      <c r="AX29" s="259"/>
      <c r="AY29" s="258"/>
      <c r="AZ29" s="238"/>
      <c r="BA29" s="238"/>
      <c r="BB29" s="238"/>
      <c r="BC29" s="238"/>
      <c r="BD29" s="238"/>
      <c r="BE29" s="238"/>
      <c r="BF29" s="239"/>
      <c r="BG29" s="239"/>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row>
    <row r="30" spans="1:94" s="240" customFormat="1" ht="14.25" customHeight="1">
      <c r="A30" s="1376" t="s">
        <v>630</v>
      </c>
      <c r="B30" s="1376"/>
      <c r="C30" s="1376"/>
      <c r="D30" s="1376"/>
      <c r="E30" s="1376"/>
      <c r="F30" s="1375" t="s">
        <v>631</v>
      </c>
      <c r="G30" s="1375"/>
      <c r="H30" s="1375" t="s">
        <v>618</v>
      </c>
      <c r="I30" s="1375"/>
      <c r="J30" s="1373" t="s">
        <v>618</v>
      </c>
      <c r="K30" s="1375"/>
      <c r="L30" s="1375" t="s">
        <v>618</v>
      </c>
      <c r="M30" s="1375"/>
      <c r="N30" s="1375" t="s">
        <v>617</v>
      </c>
      <c r="O30" s="1375"/>
      <c r="P30" s="1375" t="s">
        <v>631</v>
      </c>
      <c r="Q30" s="1375"/>
      <c r="R30" s="1371" t="s">
        <v>618</v>
      </c>
      <c r="S30" s="1373"/>
      <c r="T30" s="1371" t="s">
        <v>617</v>
      </c>
      <c r="U30" s="1373"/>
      <c r="V30" s="30"/>
      <c r="W30" s="1184"/>
      <c r="X30" s="1184"/>
      <c r="Y30" s="1184"/>
      <c r="Z30" s="1184"/>
      <c r="AA30" s="1184"/>
      <c r="AB30" s="1184"/>
      <c r="AC30" s="1184"/>
      <c r="AD30" s="1184"/>
      <c r="AE30" s="1184"/>
      <c r="AF30" s="1184"/>
      <c r="AG30" s="1184"/>
      <c r="AH30" s="1184"/>
      <c r="AI30" s="1184"/>
      <c r="AJ30" s="1184"/>
      <c r="AK30" s="253"/>
      <c r="AL30" s="258"/>
      <c r="AM30" s="259" t="s">
        <v>633</v>
      </c>
      <c r="AN30" s="259" t="s">
        <v>634</v>
      </c>
      <c r="AO30" s="259" t="s">
        <v>635</v>
      </c>
      <c r="AP30" s="259" t="s">
        <v>636</v>
      </c>
      <c r="AQ30" s="259" t="s">
        <v>637</v>
      </c>
      <c r="AR30" s="259" t="s">
        <v>590</v>
      </c>
      <c r="AS30" s="259" t="s">
        <v>428</v>
      </c>
      <c r="AT30" s="259" t="s">
        <v>429</v>
      </c>
      <c r="AU30" s="259" t="s">
        <v>126</v>
      </c>
      <c r="AV30" s="259" t="s">
        <v>431</v>
      </c>
      <c r="AW30" s="259" t="s">
        <v>429</v>
      </c>
      <c r="AX30" s="259" t="s">
        <v>124</v>
      </c>
      <c r="AY30" s="258"/>
      <c r="AZ30" s="238"/>
      <c r="BA30" s="238"/>
      <c r="BB30" s="238"/>
      <c r="BC30" s="238"/>
      <c r="BD30" s="238"/>
      <c r="BE30" s="238"/>
      <c r="BF30" s="239" t="s">
        <v>128</v>
      </c>
      <c r="BG30" s="239" t="s">
        <v>743</v>
      </c>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row>
    <row r="31" spans="1:94" s="240" customFormat="1" ht="14.25" customHeight="1">
      <c r="A31" s="260" t="s">
        <v>638</v>
      </c>
      <c r="B31" s="261"/>
      <c r="C31" s="261"/>
      <c r="D31" s="261"/>
      <c r="E31" s="262"/>
      <c r="F31" s="1377">
        <v>0</v>
      </c>
      <c r="G31" s="1378"/>
      <c r="H31" s="1379">
        <v>0</v>
      </c>
      <c r="I31" s="1381"/>
      <c r="J31" s="1380"/>
      <c r="K31" s="1380"/>
      <c r="L31" s="1379"/>
      <c r="M31" s="1380"/>
      <c r="N31" s="1379">
        <f t="shared" ref="N31:N51" si="0">SUM(H31,J31,L31)*AR31</f>
        <v>0</v>
      </c>
      <c r="O31" s="1380"/>
      <c r="P31" s="1379"/>
      <c r="Q31" s="1381"/>
      <c r="R31" s="1379"/>
      <c r="S31" s="1380"/>
      <c r="T31" s="1379"/>
      <c r="U31" s="1381"/>
      <c r="V31" s="263"/>
      <c r="W31" s="1184"/>
      <c r="X31" s="1184"/>
      <c r="Y31" s="1184"/>
      <c r="Z31" s="1184"/>
      <c r="AA31" s="1184"/>
      <c r="AB31" s="1184"/>
      <c r="AC31" s="1184"/>
      <c r="AD31" s="1184"/>
      <c r="AE31" s="1184"/>
      <c r="AF31" s="1184"/>
      <c r="AG31" s="1184"/>
      <c r="AH31" s="1184"/>
      <c r="AI31" s="1184"/>
      <c r="AJ31" s="1184"/>
      <c r="AK31" s="264"/>
      <c r="AL31" s="258"/>
      <c r="AM31" s="259"/>
      <c r="AN31" s="259">
        <v>2</v>
      </c>
      <c r="AO31" s="259"/>
      <c r="AP31" s="259"/>
      <c r="AQ31" s="259"/>
      <c r="AR31" s="265">
        <f>AM31*12.01+AN31*1.008+AO31*16+AP31*14+AQ31*32</f>
        <v>2.016</v>
      </c>
      <c r="AS31" s="259">
        <f>AM31*1+AN31*0.25+AQ31*1</f>
        <v>0.5</v>
      </c>
      <c r="AT31" s="266">
        <f>0.79/0.21*AS31</f>
        <v>1.8809523809523812</v>
      </c>
      <c r="AU31" s="259">
        <f>1*AM31</f>
        <v>0</v>
      </c>
      <c r="AV31" s="259">
        <f>AN31/2</f>
        <v>1</v>
      </c>
      <c r="AW31" s="266">
        <f>AP31*0.5+AT31</f>
        <v>1.8809523809523812</v>
      </c>
      <c r="AX31" s="259">
        <f>AQ31*1</f>
        <v>0</v>
      </c>
      <c r="AY31" s="258"/>
      <c r="AZ31" s="238"/>
      <c r="BA31" s="238"/>
      <c r="BB31" s="238"/>
      <c r="BC31" s="238"/>
      <c r="BD31" s="238"/>
      <c r="BE31" s="239" t="s">
        <v>639</v>
      </c>
      <c r="BF31" s="239">
        <v>1.4200000000000001E-2</v>
      </c>
      <c r="BG31" s="239">
        <v>2.9999999999999997E-4</v>
      </c>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row>
    <row r="32" spans="1:94" s="240" customFormat="1" ht="14.25" customHeight="1">
      <c r="A32" s="267" t="s">
        <v>122</v>
      </c>
      <c r="B32" s="268"/>
      <c r="C32" s="268"/>
      <c r="D32" s="268"/>
      <c r="E32" s="269"/>
      <c r="F32" s="1377">
        <f>CO2eEF!P26</f>
        <v>0.99629999999999996</v>
      </c>
      <c r="G32" s="1378"/>
      <c r="H32" s="1299">
        <f>F32*$AC$25</f>
        <v>5150.4342431761779</v>
      </c>
      <c r="I32" s="1301"/>
      <c r="J32" s="1300"/>
      <c r="K32" s="1300"/>
      <c r="L32" s="1299"/>
      <c r="M32" s="1300"/>
      <c r="N32" s="1299">
        <f t="shared" si="0"/>
        <v>82623.266129032258</v>
      </c>
      <c r="O32" s="1301"/>
      <c r="P32" s="1547">
        <f>R32/$R$52</f>
        <v>1.8964269577005921E-3</v>
      </c>
      <c r="Q32" s="1548"/>
      <c r="R32" s="1299">
        <f>T32/$AR32</f>
        <v>103.00868486352356</v>
      </c>
      <c r="S32" s="1300"/>
      <c r="T32" s="1299">
        <f>H32*0.02*AR32</f>
        <v>1652.4653225806451</v>
      </c>
      <c r="U32" s="1301"/>
      <c r="V32" s="1382"/>
      <c r="W32" s="1384"/>
      <c r="X32" s="263"/>
      <c r="Y32" s="263"/>
      <c r="Z32" s="263"/>
      <c r="AA32" s="263"/>
      <c r="AB32" s="263"/>
      <c r="AC32" s="263"/>
      <c r="AD32" s="263"/>
      <c r="AE32" s="263"/>
      <c r="AF32" s="263"/>
      <c r="AG32" s="263"/>
      <c r="AH32" s="263"/>
      <c r="AI32" s="263"/>
      <c r="AJ32" s="263"/>
      <c r="AK32" s="264"/>
      <c r="AL32" s="258"/>
      <c r="AM32" s="259">
        <v>1</v>
      </c>
      <c r="AN32" s="259">
        <v>4</v>
      </c>
      <c r="AO32" s="259"/>
      <c r="AP32" s="259"/>
      <c r="AQ32" s="259"/>
      <c r="AR32" s="265">
        <f t="shared" ref="AR32:AR47" si="1">AM32*12.01+AN32*1.008+AO32*16+AP32*14+AQ32*32</f>
        <v>16.042000000000002</v>
      </c>
      <c r="AS32" s="259">
        <f t="shared" ref="AS32:AS46" si="2">AM32*1+AN32*0.25+AQ32*1</f>
        <v>2</v>
      </c>
      <c r="AT32" s="266">
        <f t="shared" ref="AT32:AT46" si="3">0.79/0.21*AS32</f>
        <v>7.5238095238095246</v>
      </c>
      <c r="AU32" s="259">
        <f t="shared" ref="AU32:AU46" si="4">1*AM32</f>
        <v>1</v>
      </c>
      <c r="AV32" s="259">
        <f t="shared" ref="AV32:AV46" si="5">AN32/2</f>
        <v>2</v>
      </c>
      <c r="AW32" s="266">
        <f t="shared" ref="AW32:AW46" si="6">AP32*0.5+AT32</f>
        <v>7.5238095238095246</v>
      </c>
      <c r="AX32" s="259">
        <f t="shared" ref="AX32:AX46" si="7">AQ32*1</f>
        <v>0</v>
      </c>
      <c r="AY32" s="258"/>
      <c r="AZ32" s="238"/>
      <c r="BA32" s="238"/>
      <c r="BB32" s="238"/>
      <c r="BC32" s="238"/>
      <c r="BD32" s="238"/>
      <c r="BE32" s="239" t="s">
        <v>126</v>
      </c>
      <c r="BF32" s="239">
        <v>9.5999999999999992E-3</v>
      </c>
      <c r="BG32" s="239">
        <v>0.77539999999999998</v>
      </c>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row>
    <row r="33" spans="1:94" s="240" customFormat="1" ht="14.25" customHeight="1">
      <c r="A33" s="267" t="s">
        <v>641</v>
      </c>
      <c r="B33" s="268"/>
      <c r="C33" s="268"/>
      <c r="D33" s="268"/>
      <c r="E33" s="269"/>
      <c r="F33" s="1377">
        <v>0</v>
      </c>
      <c r="G33" s="1378"/>
      <c r="H33" s="1299">
        <f t="shared" ref="H33:H51" si="8">F33*$AC$25</f>
        <v>0</v>
      </c>
      <c r="I33" s="1301"/>
      <c r="J33" s="1300"/>
      <c r="K33" s="1300"/>
      <c r="L33" s="1299"/>
      <c r="M33" s="1300"/>
      <c r="N33" s="1299">
        <f t="shared" si="0"/>
        <v>0</v>
      </c>
      <c r="O33" s="1301"/>
      <c r="P33" s="1299">
        <f t="shared" ref="P33:P51" si="9">R33/$R$52</f>
        <v>0</v>
      </c>
      <c r="Q33" s="1301"/>
      <c r="R33" s="1300"/>
      <c r="S33" s="1300"/>
      <c r="T33" s="1299"/>
      <c r="U33" s="1301"/>
      <c r="V33" s="263"/>
      <c r="W33" s="263"/>
      <c r="X33" s="270">
        <f>AH25</f>
        <v>1152.3148148148148</v>
      </c>
      <c r="Y33" s="31" t="s">
        <v>590</v>
      </c>
      <c r="Z33" s="270"/>
      <c r="AA33" s="263"/>
      <c r="AB33" s="263"/>
      <c r="AC33" s="263"/>
      <c r="AD33" s="263"/>
      <c r="AE33" s="263"/>
      <c r="AF33" s="263"/>
      <c r="AG33" s="263"/>
      <c r="AH33" s="263"/>
      <c r="AI33" s="263"/>
      <c r="AJ33" s="263"/>
      <c r="AK33" s="264"/>
      <c r="AL33" s="258"/>
      <c r="AM33" s="259">
        <v>2</v>
      </c>
      <c r="AN33" s="259">
        <v>4</v>
      </c>
      <c r="AO33" s="259"/>
      <c r="AP33" s="259"/>
      <c r="AQ33" s="259"/>
      <c r="AR33" s="265">
        <f t="shared" si="1"/>
        <v>28.052</v>
      </c>
      <c r="AS33" s="259">
        <f t="shared" si="2"/>
        <v>3</v>
      </c>
      <c r="AT33" s="266">
        <f t="shared" si="3"/>
        <v>11.285714285714286</v>
      </c>
      <c r="AU33" s="259">
        <f t="shared" si="4"/>
        <v>2</v>
      </c>
      <c r="AV33" s="259">
        <f t="shared" si="5"/>
        <v>2</v>
      </c>
      <c r="AW33" s="266">
        <f t="shared" si="6"/>
        <v>11.285714285714286</v>
      </c>
      <c r="AX33" s="259">
        <f t="shared" si="7"/>
        <v>0</v>
      </c>
      <c r="AY33" s="258"/>
      <c r="AZ33" s="238"/>
      <c r="BA33" s="238"/>
      <c r="BB33" s="238"/>
      <c r="BC33" s="238"/>
      <c r="BD33" s="238"/>
      <c r="BE33" s="239" t="s">
        <v>642</v>
      </c>
      <c r="BF33" s="239">
        <v>0.60499999999999998</v>
      </c>
      <c r="BG33" s="239">
        <v>1.43E-2</v>
      </c>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row>
    <row r="34" spans="1:94" s="240" customFormat="1" ht="14.25" customHeight="1">
      <c r="A34" s="267" t="s">
        <v>643</v>
      </c>
      <c r="B34" s="268"/>
      <c r="C34" s="268"/>
      <c r="D34" s="268"/>
      <c r="E34" s="269"/>
      <c r="F34" s="1377">
        <f>CO2eEF!P27</f>
        <v>7.000000000000001E-4</v>
      </c>
      <c r="G34" s="1378"/>
      <c r="H34" s="1299">
        <f t="shared" si="8"/>
        <v>3.6186931348221671</v>
      </c>
      <c r="I34" s="1301"/>
      <c r="J34" s="1300"/>
      <c r="K34" s="1300"/>
      <c r="L34" s="1299"/>
      <c r="M34" s="1300"/>
      <c r="N34" s="1299">
        <f t="shared" si="0"/>
        <v>108.80686517783292</v>
      </c>
      <c r="O34" s="1301"/>
      <c r="P34" s="1578">
        <f t="shared" si="9"/>
        <v>0</v>
      </c>
      <c r="Q34" s="1579"/>
      <c r="R34" s="1300">
        <f>T34/$AR34</f>
        <v>0</v>
      </c>
      <c r="S34" s="1300"/>
      <c r="T34" s="1299">
        <f>$Q$22*N34</f>
        <v>0</v>
      </c>
      <c r="U34" s="1301"/>
      <c r="V34" s="263"/>
      <c r="W34" s="263"/>
      <c r="X34" s="31">
        <v>48</v>
      </c>
      <c r="Y34" s="31" t="s">
        <v>623</v>
      </c>
      <c r="Z34" s="270"/>
      <c r="AA34" s="263"/>
      <c r="AB34" s="263"/>
      <c r="AC34" s="263"/>
      <c r="AD34" s="263"/>
      <c r="AE34" s="263"/>
      <c r="AF34" s="263"/>
      <c r="AG34" s="263"/>
      <c r="AH34" s="263"/>
      <c r="AI34" s="263"/>
      <c r="AJ34" s="263"/>
      <c r="AK34" s="264"/>
      <c r="AL34" s="258"/>
      <c r="AM34" s="259">
        <v>2</v>
      </c>
      <c r="AN34" s="259">
        <v>6</v>
      </c>
      <c r="AO34" s="259"/>
      <c r="AP34" s="259"/>
      <c r="AQ34" s="259"/>
      <c r="AR34" s="265">
        <f t="shared" si="1"/>
        <v>30.067999999999998</v>
      </c>
      <c r="AS34" s="259">
        <f t="shared" si="2"/>
        <v>3.5</v>
      </c>
      <c r="AT34" s="266">
        <f t="shared" si="3"/>
        <v>13.166666666666668</v>
      </c>
      <c r="AU34" s="259">
        <f t="shared" si="4"/>
        <v>2</v>
      </c>
      <c r="AV34" s="259">
        <f t="shared" si="5"/>
        <v>3</v>
      </c>
      <c r="AW34" s="266">
        <f t="shared" si="6"/>
        <v>13.166666666666668</v>
      </c>
      <c r="AX34" s="259">
        <f t="shared" si="7"/>
        <v>0</v>
      </c>
      <c r="AY34" s="258"/>
      <c r="AZ34" s="238"/>
      <c r="BA34" s="238"/>
      <c r="BB34" s="238"/>
      <c r="BC34" s="238"/>
      <c r="BD34" s="238"/>
      <c r="BE34" s="239" t="s">
        <v>644</v>
      </c>
      <c r="BF34" s="239">
        <v>0.17519999999999999</v>
      </c>
      <c r="BG34" s="239">
        <v>1.9E-3</v>
      </c>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38"/>
      <c r="CN34" s="238"/>
      <c r="CO34" s="238"/>
      <c r="CP34" s="238"/>
    </row>
    <row r="35" spans="1:94" s="240" customFormat="1" ht="14.25" customHeight="1">
      <c r="A35" s="267" t="s">
        <v>418</v>
      </c>
      <c r="B35" s="268"/>
      <c r="C35" s="268"/>
      <c r="D35" s="268"/>
      <c r="E35" s="269"/>
      <c r="F35" s="1377">
        <v>0</v>
      </c>
      <c r="G35" s="1378"/>
      <c r="H35" s="1299">
        <f t="shared" si="8"/>
        <v>0</v>
      </c>
      <c r="I35" s="1301"/>
      <c r="J35" s="1300"/>
      <c r="K35" s="1300"/>
      <c r="L35" s="1299"/>
      <c r="M35" s="1300"/>
      <c r="N35" s="1299">
        <f t="shared" si="0"/>
        <v>0</v>
      </c>
      <c r="O35" s="1301"/>
      <c r="P35" s="1299">
        <f t="shared" si="9"/>
        <v>0</v>
      </c>
      <c r="Q35" s="1301"/>
      <c r="R35" s="1300"/>
      <c r="S35" s="1300"/>
      <c r="T35" s="1299"/>
      <c r="U35" s="1301"/>
      <c r="V35" s="263"/>
      <c r="W35" s="263"/>
      <c r="X35" s="272">
        <f>X33*X34</f>
        <v>55311.111111111109</v>
      </c>
      <c r="Y35" s="31" t="s">
        <v>626</v>
      </c>
      <c r="Z35" s="270"/>
      <c r="AA35" s="263"/>
      <c r="AB35" s="263"/>
      <c r="AC35" s="263"/>
      <c r="AD35" s="263"/>
      <c r="AE35" s="263"/>
      <c r="AF35" s="263"/>
      <c r="AG35" s="263"/>
      <c r="AH35" s="263"/>
      <c r="AI35" s="263"/>
      <c r="AJ35" s="263"/>
      <c r="AK35" s="264"/>
      <c r="AL35" s="258"/>
      <c r="AM35" s="259">
        <v>3</v>
      </c>
      <c r="AN35" s="259">
        <v>6</v>
      </c>
      <c r="AO35" s="259"/>
      <c r="AP35" s="259"/>
      <c r="AQ35" s="259"/>
      <c r="AR35" s="265">
        <f t="shared" si="1"/>
        <v>42.078000000000003</v>
      </c>
      <c r="AS35" s="259">
        <f t="shared" si="2"/>
        <v>4.5</v>
      </c>
      <c r="AT35" s="266">
        <f t="shared" si="3"/>
        <v>16.928571428571431</v>
      </c>
      <c r="AU35" s="259">
        <f t="shared" si="4"/>
        <v>3</v>
      </c>
      <c r="AV35" s="259">
        <f t="shared" si="5"/>
        <v>3</v>
      </c>
      <c r="AW35" s="266">
        <f t="shared" si="6"/>
        <v>16.928571428571431</v>
      </c>
      <c r="AX35" s="259">
        <f t="shared" si="7"/>
        <v>0</v>
      </c>
      <c r="AY35" s="258"/>
      <c r="AZ35" s="238"/>
      <c r="BA35" s="238"/>
      <c r="BB35" s="238"/>
      <c r="BC35" s="238"/>
      <c r="BD35" s="238"/>
      <c r="BE35" s="239" t="s">
        <v>645</v>
      </c>
      <c r="BF35" s="239">
        <v>0.1139</v>
      </c>
      <c r="BG35" s="239">
        <v>3.5999999999999999E-3</v>
      </c>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row>
    <row r="36" spans="1:94" s="240" customFormat="1" ht="14.25" customHeight="1">
      <c r="A36" s="267" t="s">
        <v>419</v>
      </c>
      <c r="B36" s="268"/>
      <c r="C36" s="268"/>
      <c r="D36" s="268"/>
      <c r="E36" s="269"/>
      <c r="F36" s="1377">
        <f>CO2eEF!P28</f>
        <v>2.0000000000000001E-4</v>
      </c>
      <c r="G36" s="1378"/>
      <c r="H36" s="1299">
        <f t="shared" si="8"/>
        <v>1.0339123242349049</v>
      </c>
      <c r="I36" s="1301"/>
      <c r="J36" s="1300"/>
      <c r="K36" s="1300"/>
      <c r="L36" s="1299"/>
      <c r="M36" s="1300"/>
      <c r="N36" s="1299">
        <f t="shared" si="0"/>
        <v>45.589330024813897</v>
      </c>
      <c r="O36" s="1301"/>
      <c r="P36" s="1299">
        <f t="shared" si="9"/>
        <v>0</v>
      </c>
      <c r="Q36" s="1301"/>
      <c r="R36" s="1300">
        <f>T36/$AR36</f>
        <v>0</v>
      </c>
      <c r="S36" s="1300"/>
      <c r="T36" s="1299">
        <f>$Q$22*N36</f>
        <v>0</v>
      </c>
      <c r="U36" s="1301"/>
      <c r="V36" s="263"/>
      <c r="W36" s="263"/>
      <c r="X36" s="272">
        <f>X35*3600/1000</f>
        <v>199120</v>
      </c>
      <c r="Y36" s="31" t="s">
        <v>632</v>
      </c>
      <c r="Z36" s="270"/>
      <c r="AA36" s="263"/>
      <c r="AB36" s="263"/>
      <c r="AC36" s="263"/>
      <c r="AD36" s="263"/>
      <c r="AE36" s="263"/>
      <c r="AF36" s="263"/>
      <c r="AG36" s="263"/>
      <c r="AH36" s="263"/>
      <c r="AI36" s="263"/>
      <c r="AJ36" s="263"/>
      <c r="AK36" s="264"/>
      <c r="AL36" s="258"/>
      <c r="AM36" s="259">
        <v>3</v>
      </c>
      <c r="AN36" s="259">
        <v>8</v>
      </c>
      <c r="AO36" s="259"/>
      <c r="AP36" s="259"/>
      <c r="AQ36" s="259"/>
      <c r="AR36" s="265">
        <f t="shared" si="1"/>
        <v>44.094000000000001</v>
      </c>
      <c r="AS36" s="259">
        <f t="shared" si="2"/>
        <v>5</v>
      </c>
      <c r="AT36" s="266">
        <f t="shared" si="3"/>
        <v>18.80952380952381</v>
      </c>
      <c r="AU36" s="259">
        <f t="shared" si="4"/>
        <v>3</v>
      </c>
      <c r="AV36" s="259">
        <f t="shared" si="5"/>
        <v>4</v>
      </c>
      <c r="AW36" s="266">
        <f t="shared" si="6"/>
        <v>18.80952380952381</v>
      </c>
      <c r="AX36" s="259">
        <f t="shared" si="7"/>
        <v>0</v>
      </c>
      <c r="AY36" s="258"/>
      <c r="AZ36" s="238"/>
      <c r="BA36" s="238"/>
      <c r="BB36" s="238"/>
      <c r="BC36" s="238"/>
      <c r="BD36" s="238"/>
      <c r="BE36" s="239" t="s">
        <v>646</v>
      </c>
      <c r="BF36" s="239">
        <v>1.7100000000000001E-2</v>
      </c>
      <c r="BG36" s="239">
        <v>1E-3</v>
      </c>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row>
    <row r="37" spans="1:94" s="240" customFormat="1" ht="14.25" customHeight="1">
      <c r="A37" s="267" t="s">
        <v>420</v>
      </c>
      <c r="B37" s="268"/>
      <c r="C37" s="268"/>
      <c r="D37" s="268"/>
      <c r="E37" s="269"/>
      <c r="F37" s="1377">
        <v>0</v>
      </c>
      <c r="G37" s="1378"/>
      <c r="H37" s="1299">
        <f t="shared" si="8"/>
        <v>0</v>
      </c>
      <c r="I37" s="1301"/>
      <c r="J37" s="1300"/>
      <c r="K37" s="1300"/>
      <c r="L37" s="1299"/>
      <c r="M37" s="1300"/>
      <c r="N37" s="1299">
        <f t="shared" si="0"/>
        <v>0</v>
      </c>
      <c r="O37" s="1301"/>
      <c r="P37" s="1299">
        <f t="shared" si="9"/>
        <v>0</v>
      </c>
      <c r="Q37" s="1301"/>
      <c r="R37" s="1300"/>
      <c r="S37" s="1300"/>
      <c r="T37" s="1299"/>
      <c r="U37" s="1301"/>
      <c r="V37" s="263"/>
      <c r="W37" s="263"/>
      <c r="X37" s="263"/>
      <c r="Y37" s="263"/>
      <c r="Z37" s="263"/>
      <c r="AA37" s="263"/>
      <c r="AB37" s="263"/>
      <c r="AC37" s="263"/>
      <c r="AD37" s="263"/>
      <c r="AE37" s="263"/>
      <c r="AF37" s="263"/>
      <c r="AG37" s="263"/>
      <c r="AH37" s="263"/>
      <c r="AI37" s="263"/>
      <c r="AJ37" s="263"/>
      <c r="AK37" s="264"/>
      <c r="AL37" s="258"/>
      <c r="AM37" s="259">
        <v>4</v>
      </c>
      <c r="AN37" s="259">
        <v>8</v>
      </c>
      <c r="AO37" s="259"/>
      <c r="AP37" s="259"/>
      <c r="AQ37" s="259"/>
      <c r="AR37" s="265">
        <f t="shared" si="1"/>
        <v>56.103999999999999</v>
      </c>
      <c r="AS37" s="259">
        <f t="shared" si="2"/>
        <v>6</v>
      </c>
      <c r="AT37" s="266">
        <f t="shared" si="3"/>
        <v>22.571428571428573</v>
      </c>
      <c r="AU37" s="259">
        <f t="shared" si="4"/>
        <v>4</v>
      </c>
      <c r="AV37" s="259">
        <f t="shared" si="5"/>
        <v>4</v>
      </c>
      <c r="AW37" s="266">
        <f t="shared" si="6"/>
        <v>22.571428571428573</v>
      </c>
      <c r="AX37" s="259">
        <f t="shared" si="7"/>
        <v>0</v>
      </c>
      <c r="AY37" s="258"/>
      <c r="AZ37" s="238"/>
      <c r="BA37" s="238"/>
      <c r="BB37" s="238"/>
      <c r="BC37" s="238"/>
      <c r="BD37" s="238"/>
      <c r="BE37" s="239" t="s">
        <v>647</v>
      </c>
      <c r="BF37" s="239">
        <v>4.5900000000000003E-2</v>
      </c>
      <c r="BG37" s="239">
        <v>2.3999999999999998E-3</v>
      </c>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row>
    <row r="38" spans="1:94" s="240" customFormat="1" ht="14.25" customHeight="1">
      <c r="A38" s="267" t="s">
        <v>421</v>
      </c>
      <c r="B38" s="268"/>
      <c r="C38" s="268"/>
      <c r="D38" s="268"/>
      <c r="E38" s="269"/>
      <c r="F38" s="1377">
        <f>CO2eEF!P29</f>
        <v>1E-4</v>
      </c>
      <c r="G38" s="1378"/>
      <c r="H38" s="1299">
        <f t="shared" si="8"/>
        <v>0.51695616211745243</v>
      </c>
      <c r="I38" s="1301"/>
      <c r="J38" s="1300"/>
      <c r="K38" s="1300"/>
      <c r="L38" s="1299"/>
      <c r="M38" s="1300"/>
      <c r="N38" s="1299">
        <f t="shared" si="0"/>
        <v>30.045492142266333</v>
      </c>
      <c r="O38" s="1301"/>
      <c r="P38" s="1299">
        <f t="shared" si="9"/>
        <v>0</v>
      </c>
      <c r="Q38" s="1301"/>
      <c r="R38" s="1300">
        <f>T38/$AR38</f>
        <v>0</v>
      </c>
      <c r="S38" s="1300"/>
      <c r="T38" s="1299">
        <f>$Q$22*N38</f>
        <v>0</v>
      </c>
      <c r="U38" s="1301"/>
      <c r="V38" s="263"/>
      <c r="W38" s="263"/>
      <c r="X38" s="263"/>
      <c r="Y38" s="263"/>
      <c r="Z38" s="263"/>
      <c r="AA38" s="263"/>
      <c r="AB38" s="263"/>
      <c r="AC38" s="263"/>
      <c r="AD38" s="263"/>
      <c r="AE38" s="263"/>
      <c r="AF38" s="263"/>
      <c r="AG38" s="263"/>
      <c r="AH38" s="263"/>
      <c r="AI38" s="263"/>
      <c r="AJ38" s="263"/>
      <c r="AK38" s="264"/>
      <c r="AL38" s="258"/>
      <c r="AM38" s="259">
        <v>4</v>
      </c>
      <c r="AN38" s="259">
        <v>10</v>
      </c>
      <c r="AO38" s="259"/>
      <c r="AP38" s="259"/>
      <c r="AQ38" s="259"/>
      <c r="AR38" s="265">
        <f>AM38*12.01+AN38*1.008+AO38*16+AP38*14+AQ38*32</f>
        <v>58.12</v>
      </c>
      <c r="AS38" s="259">
        <f t="shared" si="2"/>
        <v>6.5</v>
      </c>
      <c r="AT38" s="266">
        <f t="shared" si="3"/>
        <v>24.452380952380956</v>
      </c>
      <c r="AU38" s="259">
        <f t="shared" si="4"/>
        <v>4</v>
      </c>
      <c r="AV38" s="259">
        <f t="shared" si="5"/>
        <v>5</v>
      </c>
      <c r="AW38" s="266">
        <f t="shared" si="6"/>
        <v>24.452380952380956</v>
      </c>
      <c r="AX38" s="259">
        <f t="shared" si="7"/>
        <v>0</v>
      </c>
      <c r="AY38" s="258"/>
      <c r="AZ38" s="238"/>
      <c r="BA38" s="238"/>
      <c r="BB38" s="238"/>
      <c r="BC38" s="238"/>
      <c r="BD38" s="238"/>
      <c r="BE38" s="239" t="s">
        <v>648</v>
      </c>
      <c r="BF38" s="239">
        <v>8.2000000000000007E-3</v>
      </c>
      <c r="BG38" s="239">
        <v>1.6000000000000001E-3</v>
      </c>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row>
    <row r="39" spans="1:94" s="240" customFormat="1" ht="14.25" customHeight="1">
      <c r="A39" s="267" t="s">
        <v>422</v>
      </c>
      <c r="B39" s="268"/>
      <c r="C39" s="268"/>
      <c r="D39" s="268"/>
      <c r="E39" s="269"/>
      <c r="F39" s="1377">
        <f>CO2eEF!P30</f>
        <v>0</v>
      </c>
      <c r="G39" s="1378"/>
      <c r="H39" s="1299">
        <f t="shared" si="8"/>
        <v>0</v>
      </c>
      <c r="I39" s="1301"/>
      <c r="J39" s="1300"/>
      <c r="K39" s="1300"/>
      <c r="L39" s="1299"/>
      <c r="M39" s="1300"/>
      <c r="N39" s="1299">
        <f t="shared" si="0"/>
        <v>0</v>
      </c>
      <c r="O39" s="1301"/>
      <c r="P39" s="1299">
        <f t="shared" si="9"/>
        <v>0</v>
      </c>
      <c r="Q39" s="1301"/>
      <c r="R39" s="1300">
        <f>T39/$AR39</f>
        <v>0</v>
      </c>
      <c r="S39" s="1300"/>
      <c r="T39" s="1299">
        <f>$Q$22*N39</f>
        <v>0</v>
      </c>
      <c r="U39" s="1301"/>
      <c r="V39" s="263"/>
      <c r="W39" s="263"/>
      <c r="X39" s="263" t="s">
        <v>761</v>
      </c>
      <c r="Y39" s="263"/>
      <c r="Z39" s="263"/>
      <c r="AA39" s="263"/>
      <c r="AB39" s="263"/>
      <c r="AC39" s="263"/>
      <c r="AD39" s="263"/>
      <c r="AE39" s="263"/>
      <c r="AF39" s="263"/>
      <c r="AG39" s="263"/>
      <c r="AH39" s="263"/>
      <c r="AI39" s="263"/>
      <c r="AJ39" s="263"/>
      <c r="AK39" s="264"/>
      <c r="AL39" s="258"/>
      <c r="AM39" s="259">
        <v>4</v>
      </c>
      <c r="AN39" s="259">
        <v>10</v>
      </c>
      <c r="AO39" s="259"/>
      <c r="AP39" s="259"/>
      <c r="AQ39" s="259"/>
      <c r="AR39" s="265">
        <f t="shared" si="1"/>
        <v>58.12</v>
      </c>
      <c r="AS39" s="259">
        <f t="shared" si="2"/>
        <v>6.5</v>
      </c>
      <c r="AT39" s="266">
        <f t="shared" si="3"/>
        <v>24.452380952380956</v>
      </c>
      <c r="AU39" s="259">
        <f t="shared" si="4"/>
        <v>4</v>
      </c>
      <c r="AV39" s="259">
        <f t="shared" si="5"/>
        <v>5</v>
      </c>
      <c r="AW39" s="266">
        <f t="shared" si="6"/>
        <v>24.452380952380956</v>
      </c>
      <c r="AX39" s="259">
        <f t="shared" si="7"/>
        <v>0</v>
      </c>
      <c r="AY39" s="258"/>
      <c r="AZ39" s="238"/>
      <c r="BA39" s="238"/>
      <c r="BB39" s="238"/>
      <c r="BC39" s="238"/>
      <c r="BD39" s="238"/>
      <c r="BE39" s="239" t="s">
        <v>649</v>
      </c>
      <c r="BF39" s="239">
        <v>2.0000000000000001E-4</v>
      </c>
      <c r="BG39" s="239">
        <v>0</v>
      </c>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38"/>
      <c r="CN39" s="238"/>
      <c r="CO39" s="238"/>
      <c r="CP39" s="238"/>
    </row>
    <row r="40" spans="1:94" s="240" customFormat="1" ht="14.25" customHeight="1">
      <c r="A40" s="267" t="s">
        <v>423</v>
      </c>
      <c r="B40" s="268"/>
      <c r="C40" s="268"/>
      <c r="D40" s="268"/>
      <c r="E40" s="269"/>
      <c r="F40" s="1377">
        <f>CO2eEF!P31</f>
        <v>1E-4</v>
      </c>
      <c r="G40" s="1378"/>
      <c r="H40" s="1299">
        <f t="shared" si="8"/>
        <v>0.51695616211745243</v>
      </c>
      <c r="I40" s="1301"/>
      <c r="J40" s="1300"/>
      <c r="K40" s="1300"/>
      <c r="L40" s="1299"/>
      <c r="M40" s="1300"/>
      <c r="N40" s="1299">
        <f t="shared" si="0"/>
        <v>37.296319272125722</v>
      </c>
      <c r="O40" s="1301"/>
      <c r="P40" s="1299">
        <f t="shared" si="9"/>
        <v>0</v>
      </c>
      <c r="Q40" s="1301"/>
      <c r="R40" s="1300">
        <f>T40/$AR40</f>
        <v>0</v>
      </c>
      <c r="S40" s="1300"/>
      <c r="T40" s="1299">
        <f>$Q$22*N40</f>
        <v>0</v>
      </c>
      <c r="U40" s="1301"/>
      <c r="V40" s="263"/>
      <c r="W40" s="263"/>
      <c r="X40" s="263"/>
      <c r="Y40" s="263"/>
      <c r="Z40" s="263"/>
      <c r="AA40" s="263"/>
      <c r="AB40" s="263"/>
      <c r="AC40" s="263"/>
      <c r="AD40" s="263"/>
      <c r="AE40" s="263"/>
      <c r="AF40" s="263"/>
      <c r="AG40" s="263"/>
      <c r="AH40" s="263"/>
      <c r="AI40" s="263"/>
      <c r="AJ40" s="263"/>
      <c r="AK40" s="264"/>
      <c r="AL40" s="258"/>
      <c r="AM40" s="259">
        <v>5</v>
      </c>
      <c r="AN40" s="259">
        <v>12</v>
      </c>
      <c r="AO40" s="259"/>
      <c r="AP40" s="259"/>
      <c r="AQ40" s="259"/>
      <c r="AR40" s="265">
        <f t="shared" si="1"/>
        <v>72.146000000000001</v>
      </c>
      <c r="AS40" s="259">
        <f t="shared" si="2"/>
        <v>8</v>
      </c>
      <c r="AT40" s="266">
        <f t="shared" si="3"/>
        <v>30.095238095238098</v>
      </c>
      <c r="AU40" s="259">
        <f t="shared" si="4"/>
        <v>5</v>
      </c>
      <c r="AV40" s="259">
        <f t="shared" si="5"/>
        <v>6</v>
      </c>
      <c r="AW40" s="266">
        <f t="shared" si="6"/>
        <v>30.095238095238098</v>
      </c>
      <c r="AX40" s="259">
        <f t="shared" si="7"/>
        <v>0</v>
      </c>
      <c r="AY40" s="258"/>
      <c r="AZ40" s="238"/>
      <c r="BA40" s="238"/>
      <c r="BB40" s="238"/>
      <c r="BC40" s="238"/>
      <c r="BD40" s="238"/>
      <c r="BE40" s="239" t="s">
        <v>650</v>
      </c>
      <c r="BF40" s="239">
        <v>8.8999999999999999E-3</v>
      </c>
      <c r="BG40" s="239">
        <v>1.9E-3</v>
      </c>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row>
    <row r="41" spans="1:94" s="240" customFormat="1" ht="14.25" customHeight="1">
      <c r="A41" s="267" t="s">
        <v>424</v>
      </c>
      <c r="B41" s="268"/>
      <c r="C41" s="268"/>
      <c r="D41" s="268"/>
      <c r="E41" s="269"/>
      <c r="F41" s="1377">
        <f>CO2eEF!P33</f>
        <v>1E-4</v>
      </c>
      <c r="G41" s="1378"/>
      <c r="H41" s="1299">
        <f t="shared" si="8"/>
        <v>0.51695616211745243</v>
      </c>
      <c r="I41" s="1301"/>
      <c r="J41" s="1300"/>
      <c r="K41" s="1300"/>
      <c r="L41" s="1299"/>
      <c r="M41" s="1300"/>
      <c r="N41" s="1299">
        <f t="shared" si="0"/>
        <v>37.296319272125722</v>
      </c>
      <c r="O41" s="1301"/>
      <c r="P41" s="1299">
        <f t="shared" si="9"/>
        <v>0</v>
      </c>
      <c r="Q41" s="1301"/>
      <c r="R41" s="1300">
        <f>T41/$AR41</f>
        <v>0</v>
      </c>
      <c r="S41" s="1300"/>
      <c r="T41" s="1299">
        <f>$Q$22*N41</f>
        <v>0</v>
      </c>
      <c r="U41" s="1301"/>
      <c r="V41" s="263"/>
      <c r="W41" s="263"/>
      <c r="X41" s="589">
        <f>X43*X42</f>
        <v>12000</v>
      </c>
      <c r="Y41" s="589" t="s">
        <v>744</v>
      </c>
      <c r="Z41" s="263"/>
      <c r="AA41" s="263"/>
      <c r="AB41" s="263"/>
      <c r="AC41" s="263"/>
      <c r="AD41" s="263"/>
      <c r="AE41" s="263"/>
      <c r="AF41" s="263"/>
      <c r="AG41" s="263"/>
      <c r="AH41" s="263"/>
      <c r="AI41" s="263"/>
      <c r="AJ41" s="263"/>
      <c r="AK41" s="264"/>
      <c r="AL41" s="258"/>
      <c r="AM41" s="259">
        <v>5</v>
      </c>
      <c r="AN41" s="259">
        <v>12</v>
      </c>
      <c r="AO41" s="259"/>
      <c r="AP41" s="259"/>
      <c r="AQ41" s="259"/>
      <c r="AR41" s="265">
        <f t="shared" si="1"/>
        <v>72.146000000000001</v>
      </c>
      <c r="AS41" s="259">
        <f t="shared" si="2"/>
        <v>8</v>
      </c>
      <c r="AT41" s="266">
        <f t="shared" si="3"/>
        <v>30.095238095238098</v>
      </c>
      <c r="AU41" s="259">
        <f t="shared" si="4"/>
        <v>5</v>
      </c>
      <c r="AV41" s="259">
        <f t="shared" si="5"/>
        <v>6</v>
      </c>
      <c r="AW41" s="266">
        <f t="shared" si="6"/>
        <v>30.095238095238098</v>
      </c>
      <c r="AX41" s="259">
        <f t="shared" si="7"/>
        <v>0</v>
      </c>
      <c r="AY41" s="258"/>
      <c r="AZ41" s="238"/>
      <c r="BA41" s="238"/>
      <c r="BB41" s="238"/>
      <c r="BC41" s="238"/>
      <c r="BD41" s="238"/>
      <c r="BE41" s="239" t="s">
        <v>651</v>
      </c>
      <c r="BF41" s="239">
        <v>2.0000000000000001E-4</v>
      </c>
      <c r="BG41" s="239">
        <v>2.9999999999999997E-4</v>
      </c>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row>
    <row r="42" spans="1:94" s="240" customFormat="1" ht="14.25" customHeight="1">
      <c r="A42" s="267" t="s">
        <v>721</v>
      </c>
      <c r="B42" s="268"/>
      <c r="C42" s="268"/>
      <c r="D42" s="268"/>
      <c r="E42" s="269"/>
      <c r="F42" s="1377">
        <f>1-(SUM(F31:F41)+SUM(F43:G51))</f>
        <v>2.00000000000089E-4</v>
      </c>
      <c r="G42" s="1378"/>
      <c r="H42" s="1299">
        <f t="shared" si="8"/>
        <v>1.0339123242353647</v>
      </c>
      <c r="I42" s="1301"/>
      <c r="J42" s="1300"/>
      <c r="K42" s="1300"/>
      <c r="L42" s="1299"/>
      <c r="M42" s="1300"/>
      <c r="N42" s="1299">
        <f t="shared" si="0"/>
        <v>89.094292804009839</v>
      </c>
      <c r="O42" s="1301"/>
      <c r="P42" s="1299">
        <f t="shared" si="9"/>
        <v>0</v>
      </c>
      <c r="Q42" s="1301"/>
      <c r="R42" s="1300">
        <f>T42/$AR42</f>
        <v>0</v>
      </c>
      <c r="S42" s="1300"/>
      <c r="T42" s="1299">
        <f>$Q$22*N42</f>
        <v>0</v>
      </c>
      <c r="U42" s="1301"/>
      <c r="V42" s="263"/>
      <c r="W42" s="263"/>
      <c r="X42" s="589">
        <v>6</v>
      </c>
      <c r="Y42" s="589" t="s">
        <v>745</v>
      </c>
      <c r="Z42" s="263"/>
      <c r="AA42" s="263"/>
      <c r="AB42" s="263"/>
      <c r="AC42" s="263"/>
      <c r="AD42" s="263"/>
      <c r="AE42" s="263"/>
      <c r="AF42" s="263"/>
      <c r="AG42" s="263"/>
      <c r="AH42" s="263"/>
      <c r="AI42" s="263"/>
      <c r="AJ42" s="263"/>
      <c r="AK42" s="264"/>
      <c r="AL42" s="258"/>
      <c r="AM42" s="259">
        <v>6</v>
      </c>
      <c r="AN42" s="259">
        <v>14</v>
      </c>
      <c r="AO42" s="259"/>
      <c r="AP42" s="259"/>
      <c r="AQ42" s="259"/>
      <c r="AR42" s="265">
        <f t="shared" si="1"/>
        <v>86.171999999999997</v>
      </c>
      <c r="AS42" s="259">
        <f t="shared" si="2"/>
        <v>9.5</v>
      </c>
      <c r="AT42" s="266">
        <f t="shared" si="3"/>
        <v>35.738095238095241</v>
      </c>
      <c r="AU42" s="259">
        <f t="shared" si="4"/>
        <v>6</v>
      </c>
      <c r="AV42" s="259">
        <f t="shared" si="5"/>
        <v>7</v>
      </c>
      <c r="AW42" s="266">
        <f t="shared" si="6"/>
        <v>35.738095238095241</v>
      </c>
      <c r="AX42" s="259">
        <f t="shared" si="7"/>
        <v>0</v>
      </c>
      <c r="AY42" s="258"/>
      <c r="AZ42" s="238"/>
      <c r="BA42" s="238"/>
      <c r="BB42" s="238"/>
      <c r="BC42" s="238"/>
      <c r="BD42" s="238"/>
      <c r="BE42" s="239" t="s">
        <v>652</v>
      </c>
      <c r="BF42" s="239">
        <v>0</v>
      </c>
      <c r="BG42" s="239">
        <v>5.0000000000000001E-4</v>
      </c>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row>
    <row r="43" spans="1:94" s="240" customFormat="1" ht="14.25" customHeight="1">
      <c r="A43" s="267" t="s">
        <v>426</v>
      </c>
      <c r="B43" s="268"/>
      <c r="C43" s="268"/>
      <c r="D43" s="268"/>
      <c r="E43" s="269"/>
      <c r="F43" s="1377">
        <v>0</v>
      </c>
      <c r="G43" s="1378"/>
      <c r="H43" s="1299">
        <f t="shared" si="8"/>
        <v>0</v>
      </c>
      <c r="I43" s="1301"/>
      <c r="J43" s="1300"/>
      <c r="K43" s="1300"/>
      <c r="L43" s="1299"/>
      <c r="M43" s="1300"/>
      <c r="N43" s="1299">
        <f t="shared" si="0"/>
        <v>0</v>
      </c>
      <c r="O43" s="1301"/>
      <c r="P43" s="1299">
        <f t="shared" si="9"/>
        <v>0</v>
      </c>
      <c r="Q43" s="1301"/>
      <c r="R43" s="1300"/>
      <c r="S43" s="1300"/>
      <c r="T43" s="1299"/>
      <c r="U43" s="1301"/>
      <c r="V43" s="263"/>
      <c r="W43" s="263"/>
      <c r="X43" s="590">
        <v>2000</v>
      </c>
      <c r="Y43" s="589" t="s">
        <v>746</v>
      </c>
      <c r="Z43" s="263"/>
      <c r="AA43" s="263"/>
      <c r="AB43" s="263"/>
      <c r="AC43" s="263"/>
      <c r="AD43" s="263"/>
      <c r="AE43" s="263"/>
      <c r="AF43" s="263"/>
      <c r="AG43" s="263"/>
      <c r="AH43" s="263"/>
      <c r="AI43" s="263"/>
      <c r="AJ43" s="263"/>
      <c r="AK43" s="264"/>
      <c r="AL43" s="258"/>
      <c r="AM43" s="259"/>
      <c r="AN43" s="259"/>
      <c r="AO43" s="259"/>
      <c r="AP43" s="259"/>
      <c r="AQ43" s="259"/>
      <c r="AR43" s="265">
        <v>4.0030000000000001</v>
      </c>
      <c r="AS43" s="259"/>
      <c r="AT43" s="266"/>
      <c r="AU43" s="259"/>
      <c r="AV43" s="259"/>
      <c r="AW43" s="266"/>
      <c r="AX43" s="259"/>
      <c r="AY43" s="258"/>
      <c r="AZ43" s="238"/>
      <c r="BA43" s="238"/>
      <c r="BB43" s="238"/>
      <c r="BC43" s="238"/>
      <c r="BD43" s="238"/>
      <c r="BE43" s="239" t="s">
        <v>653</v>
      </c>
      <c r="BF43" s="239">
        <v>0</v>
      </c>
      <c r="BG43" s="239">
        <v>1E-4</v>
      </c>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38"/>
      <c r="CN43" s="238"/>
      <c r="CO43" s="238"/>
      <c r="CP43" s="238"/>
    </row>
    <row r="44" spans="1:94" s="240" customFormat="1" ht="14.25" customHeight="1">
      <c r="A44" s="267" t="s">
        <v>427</v>
      </c>
      <c r="B44" s="268"/>
      <c r="C44" s="268"/>
      <c r="D44" s="268"/>
      <c r="E44" s="269"/>
      <c r="F44" s="1377">
        <v>0</v>
      </c>
      <c r="G44" s="1378"/>
      <c r="H44" s="1299">
        <f t="shared" si="8"/>
        <v>0</v>
      </c>
      <c r="I44" s="1301"/>
      <c r="J44" s="1300"/>
      <c r="K44" s="1300"/>
      <c r="L44" s="1299"/>
      <c r="M44" s="1300"/>
      <c r="N44" s="1299">
        <f t="shared" si="0"/>
        <v>0</v>
      </c>
      <c r="O44" s="1301"/>
      <c r="P44" s="1299">
        <f t="shared" si="9"/>
        <v>0</v>
      </c>
      <c r="Q44" s="1301"/>
      <c r="R44" s="1299"/>
      <c r="S44" s="1301"/>
      <c r="T44" s="1299"/>
      <c r="U44" s="1301"/>
      <c r="V44" s="263"/>
      <c r="W44" s="263"/>
      <c r="X44" s="589">
        <f>X43/24*1000</f>
        <v>83333.333333333328</v>
      </c>
      <c r="Y44" s="589" t="s">
        <v>617</v>
      </c>
      <c r="Z44" s="263"/>
      <c r="AA44" s="263"/>
      <c r="AB44" s="263"/>
      <c r="AC44" s="263"/>
      <c r="AD44" s="263"/>
      <c r="AE44" s="263"/>
      <c r="AF44" s="263"/>
      <c r="AG44" s="263"/>
      <c r="AH44" s="263"/>
      <c r="AI44" s="263"/>
      <c r="AJ44" s="263"/>
      <c r="AK44" s="264"/>
      <c r="AL44" s="258"/>
      <c r="AM44" s="259"/>
      <c r="AN44" s="259">
        <v>2</v>
      </c>
      <c r="AO44" s="259"/>
      <c r="AP44" s="259"/>
      <c r="AQ44" s="259">
        <v>1</v>
      </c>
      <c r="AR44" s="265">
        <f t="shared" si="1"/>
        <v>34.015999999999998</v>
      </c>
      <c r="AS44" s="259">
        <f t="shared" si="2"/>
        <v>1.5</v>
      </c>
      <c r="AT44" s="266">
        <f t="shared" si="3"/>
        <v>5.6428571428571432</v>
      </c>
      <c r="AU44" s="259">
        <f t="shared" si="4"/>
        <v>0</v>
      </c>
      <c r="AV44" s="259">
        <f t="shared" si="5"/>
        <v>1</v>
      </c>
      <c r="AW44" s="266">
        <f t="shared" si="6"/>
        <v>5.6428571428571432</v>
      </c>
      <c r="AX44" s="259">
        <f t="shared" si="7"/>
        <v>1</v>
      </c>
      <c r="AY44" s="258"/>
      <c r="AZ44" s="238"/>
      <c r="BA44" s="238"/>
      <c r="BB44" s="238"/>
      <c r="BC44" s="238"/>
      <c r="BD44" s="238"/>
      <c r="BE44" s="239" t="s">
        <v>654</v>
      </c>
      <c r="BF44" s="239">
        <v>0</v>
      </c>
      <c r="BG44" s="239">
        <v>4.0000000000000002E-4</v>
      </c>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row>
    <row r="45" spans="1:94" s="240" customFormat="1" ht="14.25" customHeight="1">
      <c r="A45" s="267" t="s">
        <v>428</v>
      </c>
      <c r="B45" s="268"/>
      <c r="C45" s="268"/>
      <c r="D45" s="268"/>
      <c r="E45" s="269"/>
      <c r="F45" s="1377">
        <v>0</v>
      </c>
      <c r="G45" s="1378"/>
      <c r="H45" s="1299">
        <f t="shared" si="8"/>
        <v>0</v>
      </c>
      <c r="I45" s="1301"/>
      <c r="J45" s="1300">
        <f>SUMPRODUCT(H31:H51,AS31:AS51)-H45</f>
        <v>10340.157154673285</v>
      </c>
      <c r="K45" s="1300"/>
      <c r="L45" s="1299">
        <v>0</v>
      </c>
      <c r="M45" s="1300"/>
      <c r="N45" s="1299">
        <f t="shared" si="0"/>
        <v>330885.02894954511</v>
      </c>
      <c r="O45" s="1301"/>
      <c r="P45" s="1299">
        <f t="shared" si="9"/>
        <v>3.7928539154011842E-3</v>
      </c>
      <c r="Q45" s="1301"/>
      <c r="R45" s="1300">
        <f>L45+SUMPRODUCT(R32:R44,$AS32:$AS44)</f>
        <v>206.01736972704711</v>
      </c>
      <c r="S45" s="1300"/>
      <c r="T45" s="1299">
        <f>R45*$AR45</f>
        <v>6592.5558312655075</v>
      </c>
      <c r="U45" s="1301"/>
      <c r="V45" s="263"/>
      <c r="W45" s="263"/>
      <c r="X45" s="263"/>
      <c r="Y45" s="263"/>
      <c r="Z45" s="263"/>
      <c r="AA45" s="263"/>
      <c r="AB45" s="263"/>
      <c r="AC45" s="263"/>
      <c r="AD45" s="263"/>
      <c r="AE45" s="263"/>
      <c r="AF45" s="263"/>
      <c r="AG45" s="263"/>
      <c r="AH45" s="263"/>
      <c r="AI45" s="263"/>
      <c r="AJ45" s="263"/>
      <c r="AK45" s="264"/>
      <c r="AL45" s="258"/>
      <c r="AM45" s="259"/>
      <c r="AN45" s="259"/>
      <c r="AO45" s="259">
        <v>2</v>
      </c>
      <c r="AP45" s="259"/>
      <c r="AQ45" s="259"/>
      <c r="AR45" s="265">
        <f t="shared" si="1"/>
        <v>32</v>
      </c>
      <c r="AS45" s="259">
        <f t="shared" si="2"/>
        <v>0</v>
      </c>
      <c r="AT45" s="266">
        <f t="shared" si="3"/>
        <v>0</v>
      </c>
      <c r="AU45" s="259">
        <f t="shared" si="4"/>
        <v>0</v>
      </c>
      <c r="AV45" s="259">
        <f t="shared" si="5"/>
        <v>0</v>
      </c>
      <c r="AW45" s="266">
        <f t="shared" si="6"/>
        <v>0</v>
      </c>
      <c r="AX45" s="259">
        <f t="shared" si="7"/>
        <v>0</v>
      </c>
      <c r="AY45" s="258"/>
      <c r="AZ45" s="238"/>
      <c r="BA45" s="238"/>
      <c r="BB45" s="238"/>
      <c r="BC45" s="238"/>
      <c r="BD45" s="238"/>
      <c r="BE45" s="239" t="s">
        <v>655</v>
      </c>
      <c r="BF45" s="239">
        <v>0</v>
      </c>
      <c r="BG45" s="239">
        <v>2.0000000000000001E-4</v>
      </c>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row>
    <row r="46" spans="1:94" s="240" customFormat="1" ht="14.25" customHeight="1">
      <c r="A46" s="267" t="s">
        <v>429</v>
      </c>
      <c r="B46" s="268"/>
      <c r="C46" s="268"/>
      <c r="D46" s="268"/>
      <c r="E46" s="269"/>
      <c r="F46" s="1377">
        <f>CO2eEF!P24</f>
        <v>1.5E-3</v>
      </c>
      <c r="G46" s="1378"/>
      <c r="H46" s="1299">
        <f t="shared" si="8"/>
        <v>7.7543424317617857</v>
      </c>
      <c r="I46" s="1301"/>
      <c r="J46" s="1300">
        <f>0.79/0.21*J45</f>
        <v>38898.686439009027</v>
      </c>
      <c r="K46" s="1301"/>
      <c r="L46" s="1299">
        <v>0</v>
      </c>
      <c r="M46" s="1300"/>
      <c r="N46" s="1299">
        <f t="shared" si="0"/>
        <v>1089380.341880342</v>
      </c>
      <c r="O46" s="1301"/>
      <c r="P46" s="1299">
        <f t="shared" si="9"/>
        <v>0.7162534494771341</v>
      </c>
      <c r="Q46" s="1301"/>
      <c r="R46" s="1299">
        <f>$H46+J46+L46-R49/2</f>
        <v>38904.913031325006</v>
      </c>
      <c r="S46" s="1301"/>
      <c r="T46" s="1580">
        <f>R46*$AR46</f>
        <v>1089337.5648771003</v>
      </c>
      <c r="U46" s="1581"/>
      <c r="V46" s="263"/>
      <c r="W46" s="263"/>
      <c r="X46" s="263"/>
      <c r="Y46" s="263"/>
      <c r="Z46" s="263"/>
      <c r="AA46" s="263"/>
      <c r="AB46" s="263"/>
      <c r="AC46" s="263"/>
      <c r="AD46" s="263"/>
      <c r="AE46" s="263"/>
      <c r="AF46" s="263"/>
      <c r="AG46" s="263"/>
      <c r="AH46" s="263"/>
      <c r="AI46" s="263"/>
      <c r="AJ46" s="263"/>
      <c r="AK46" s="264"/>
      <c r="AL46" s="258"/>
      <c r="AM46" s="259"/>
      <c r="AN46" s="259"/>
      <c r="AO46" s="259"/>
      <c r="AP46" s="259">
        <v>2</v>
      </c>
      <c r="AQ46" s="259"/>
      <c r="AR46" s="265">
        <f t="shared" si="1"/>
        <v>28</v>
      </c>
      <c r="AS46" s="259">
        <f t="shared" si="2"/>
        <v>0</v>
      </c>
      <c r="AT46" s="266">
        <f t="shared" si="3"/>
        <v>0</v>
      </c>
      <c r="AU46" s="259">
        <f t="shared" si="4"/>
        <v>0</v>
      </c>
      <c r="AV46" s="259">
        <f t="shared" si="5"/>
        <v>0</v>
      </c>
      <c r="AW46" s="266">
        <f t="shared" si="6"/>
        <v>1</v>
      </c>
      <c r="AX46" s="259">
        <f t="shared" si="7"/>
        <v>0</v>
      </c>
      <c r="AY46" s="258"/>
      <c r="AZ46" s="238"/>
      <c r="BA46" s="238"/>
      <c r="BB46" s="238"/>
      <c r="BC46" s="238"/>
      <c r="BD46" s="238"/>
      <c r="BE46" s="239" t="s">
        <v>656</v>
      </c>
      <c r="BF46" s="239">
        <v>1.5E-3</v>
      </c>
      <c r="BG46" s="239">
        <v>0</v>
      </c>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row>
    <row r="47" spans="1:94" s="240" customFormat="1" ht="14.25" customHeight="1">
      <c r="A47" s="267" t="s">
        <v>115</v>
      </c>
      <c r="B47" s="268"/>
      <c r="C47" s="268"/>
      <c r="D47" s="268"/>
      <c r="E47" s="269"/>
      <c r="F47" s="1377">
        <v>0</v>
      </c>
      <c r="G47" s="1378"/>
      <c r="H47" s="1299">
        <f t="shared" si="8"/>
        <v>0</v>
      </c>
      <c r="I47" s="1301"/>
      <c r="J47" s="1300"/>
      <c r="K47" s="1300"/>
      <c r="L47" s="1299"/>
      <c r="M47" s="1300"/>
      <c r="N47" s="1299">
        <f t="shared" si="0"/>
        <v>0</v>
      </c>
      <c r="O47" s="1301"/>
      <c r="P47" s="1299">
        <f t="shared" si="9"/>
        <v>5.0266903488736456E-4</v>
      </c>
      <c r="Q47" s="1301"/>
      <c r="R47" s="1300">
        <f>T47/$AR$47</f>
        <v>27.303596373754445</v>
      </c>
      <c r="S47" s="1300"/>
      <c r="T47" s="1299">
        <f>$AC17*$X25</f>
        <v>764.77373442886199</v>
      </c>
      <c r="U47" s="1301"/>
      <c r="V47" s="263"/>
      <c r="W47" s="263"/>
      <c r="X47" s="263"/>
      <c r="Y47" s="263"/>
      <c r="Z47" s="263"/>
      <c r="AA47" s="263"/>
      <c r="AB47" s="263"/>
      <c r="AC47" s="263"/>
      <c r="AD47" s="263"/>
      <c r="AE47" s="263"/>
      <c r="AF47" s="263"/>
      <c r="AG47" s="263"/>
      <c r="AH47" s="263"/>
      <c r="AI47" s="263"/>
      <c r="AJ47" s="263"/>
      <c r="AK47" s="264"/>
      <c r="AL47" s="258"/>
      <c r="AM47" s="258">
        <v>1</v>
      </c>
      <c r="AN47" s="258"/>
      <c r="AO47" s="258">
        <v>1</v>
      </c>
      <c r="AP47" s="258"/>
      <c r="AQ47" s="258"/>
      <c r="AR47" s="265">
        <f t="shared" si="1"/>
        <v>28.009999999999998</v>
      </c>
      <c r="AS47" s="259"/>
      <c r="AT47" s="258"/>
      <c r="AU47" s="258"/>
      <c r="AV47" s="258"/>
      <c r="AW47" s="258"/>
      <c r="AX47" s="258"/>
      <c r="AY47" s="258"/>
      <c r="AZ47" s="238"/>
      <c r="BA47" s="238"/>
      <c r="BB47" s="238"/>
      <c r="BC47" s="238"/>
      <c r="BD47" s="238"/>
      <c r="BE47" s="239" t="s">
        <v>657</v>
      </c>
      <c r="BF47" s="239">
        <v>1E-4</v>
      </c>
      <c r="BG47" s="239">
        <v>0</v>
      </c>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row>
    <row r="48" spans="1:94" s="240" customFormat="1" ht="14.25" customHeight="1">
      <c r="A48" s="267" t="s">
        <v>126</v>
      </c>
      <c r="B48" s="268"/>
      <c r="C48" s="268"/>
      <c r="D48" s="268"/>
      <c r="E48" s="269"/>
      <c r="F48" s="1377">
        <f>CO2eEF!P25</f>
        <v>8.0000000000000004E-4</v>
      </c>
      <c r="G48" s="1378"/>
      <c r="H48" s="1299">
        <f t="shared" si="8"/>
        <v>4.1356492969396195</v>
      </c>
      <c r="I48" s="1301"/>
      <c r="J48" s="1300"/>
      <c r="K48" s="1300"/>
      <c r="L48" s="1299"/>
      <c r="M48" s="1300"/>
      <c r="N48" s="1299">
        <f t="shared" si="0"/>
        <v>182.00992555831263</v>
      </c>
      <c r="O48" s="1301"/>
      <c r="P48" s="1299">
        <f t="shared" si="9"/>
        <v>9.1077464962600066E-2</v>
      </c>
      <c r="Q48" s="1301"/>
      <c r="R48" s="1300">
        <f>(SUMPRODUCT($H31:$H51,$AU31:$AU51)+$H48-R47-SUMPRODUCT(R32:R42,$AU32:$AU42))*0.98</f>
        <v>4947.0768427993798</v>
      </c>
      <c r="S48" s="1300"/>
      <c r="T48" s="1340">
        <f>R48*$AR48</f>
        <v>217720.85185160069</v>
      </c>
      <c r="U48" s="1342"/>
      <c r="V48" s="263"/>
      <c r="W48" s="263"/>
      <c r="X48" s="263"/>
      <c r="Y48" s="263"/>
      <c r="Z48" s="263"/>
      <c r="AA48" s="263"/>
      <c r="AB48" s="263"/>
      <c r="AC48" s="263"/>
      <c r="AD48" s="263"/>
      <c r="AE48" s="263"/>
      <c r="AF48" s="263"/>
      <c r="AG48" s="263"/>
      <c r="AH48" s="263"/>
      <c r="AI48" s="263"/>
      <c r="AJ48" s="263"/>
      <c r="AK48" s="264"/>
      <c r="AL48" s="258"/>
      <c r="AM48" s="259">
        <v>1</v>
      </c>
      <c r="AN48" s="259"/>
      <c r="AO48" s="259">
        <v>2</v>
      </c>
      <c r="AP48" s="259"/>
      <c r="AQ48" s="259"/>
      <c r="AR48" s="265">
        <f>AM48*12.01+AN48*1.008+AO48*16+AP48*14+AQ48*32</f>
        <v>44.01</v>
      </c>
      <c r="AS48" s="259"/>
      <c r="AT48" s="259"/>
      <c r="AU48" s="259"/>
      <c r="AV48" s="259"/>
      <c r="AW48" s="259"/>
      <c r="AX48" s="259"/>
      <c r="AY48" s="258"/>
      <c r="AZ48" s="238"/>
      <c r="BA48" s="238"/>
      <c r="BB48" s="238"/>
      <c r="BC48" s="238"/>
      <c r="BD48" s="238"/>
      <c r="BE48" s="239" t="s">
        <v>658</v>
      </c>
      <c r="BF48" s="239">
        <v>0</v>
      </c>
      <c r="BG48" s="239">
        <v>0</v>
      </c>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38"/>
      <c r="CN48" s="238"/>
      <c r="CO48" s="238"/>
      <c r="CP48" s="238"/>
    </row>
    <row r="49" spans="1:94" s="240" customFormat="1" ht="14.25" customHeight="1">
      <c r="A49" s="267" t="s">
        <v>430</v>
      </c>
      <c r="B49" s="268"/>
      <c r="C49" s="268"/>
      <c r="D49" s="268"/>
      <c r="E49" s="269"/>
      <c r="F49" s="1377">
        <v>0</v>
      </c>
      <c r="G49" s="1378"/>
      <c r="H49" s="1299">
        <f t="shared" si="8"/>
        <v>0</v>
      </c>
      <c r="I49" s="1301"/>
      <c r="J49" s="1300"/>
      <c r="K49" s="1300"/>
      <c r="L49" s="1299"/>
      <c r="M49" s="1300"/>
      <c r="N49" s="1299">
        <f t="shared" si="0"/>
        <v>0</v>
      </c>
      <c r="O49" s="1301"/>
      <c r="P49" s="1299">
        <f t="shared" si="9"/>
        <v>5.6252858834856947E-5</v>
      </c>
      <c r="Q49" s="1301"/>
      <c r="R49" s="1300">
        <f>T49/$AR49</f>
        <v>3.0555002315606701</v>
      </c>
      <c r="S49" s="1300"/>
      <c r="T49" s="1299">
        <f>$W17*$X25</f>
        <v>140.55301065179083</v>
      </c>
      <c r="U49" s="1301"/>
      <c r="V49" s="263"/>
      <c r="W49" s="263"/>
      <c r="X49" s="263"/>
      <c r="Y49" s="263"/>
      <c r="Z49" s="263"/>
      <c r="AA49" s="263"/>
      <c r="AB49" s="263"/>
      <c r="AC49" s="263"/>
      <c r="AD49" s="263"/>
      <c r="AE49" s="263"/>
      <c r="AF49" s="263"/>
      <c r="AG49" s="263"/>
      <c r="AH49" s="263"/>
      <c r="AI49" s="263"/>
      <c r="AJ49" s="263"/>
      <c r="AK49" s="264"/>
      <c r="AL49" s="258"/>
      <c r="AM49" s="258"/>
      <c r="AN49" s="258"/>
      <c r="AO49" s="258">
        <v>2</v>
      </c>
      <c r="AP49" s="258">
        <v>1</v>
      </c>
      <c r="AQ49" s="258"/>
      <c r="AR49" s="265">
        <f>AM49*12.01+AN49*1.008+AO49*16+AP49*14+AQ49*32</f>
        <v>46</v>
      </c>
      <c r="AS49" s="259"/>
      <c r="AT49" s="258"/>
      <c r="AU49" s="258"/>
      <c r="AV49" s="258"/>
      <c r="AW49" s="258"/>
      <c r="AX49" s="258"/>
      <c r="AY49" s="258"/>
      <c r="AZ49" s="238"/>
      <c r="BA49" s="238"/>
      <c r="BB49" s="238"/>
      <c r="BC49" s="238"/>
      <c r="BD49" s="238"/>
      <c r="BE49" s="239" t="s">
        <v>659</v>
      </c>
      <c r="BF49" s="239">
        <v>0</v>
      </c>
      <c r="BG49" s="239">
        <v>0</v>
      </c>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row>
    <row r="50" spans="1:94" s="240" customFormat="1" ht="14.25" customHeight="1">
      <c r="A50" s="267" t="s">
        <v>124</v>
      </c>
      <c r="B50" s="268"/>
      <c r="C50" s="268"/>
      <c r="D50" s="268"/>
      <c r="E50" s="269"/>
      <c r="F50" s="1377">
        <v>0</v>
      </c>
      <c r="G50" s="1378"/>
      <c r="H50" s="1299">
        <f t="shared" si="8"/>
        <v>0</v>
      </c>
      <c r="I50" s="1301"/>
      <c r="J50" s="1300"/>
      <c r="K50" s="1300"/>
      <c r="L50" s="1299"/>
      <c r="M50" s="1300"/>
      <c r="N50" s="1299">
        <f t="shared" si="0"/>
        <v>0</v>
      </c>
      <c r="O50" s="1301"/>
      <c r="P50" s="1299">
        <f t="shared" si="9"/>
        <v>0</v>
      </c>
      <c r="Q50" s="1301"/>
      <c r="R50" s="1299">
        <f>SUMPRODUCT(H31:H51,$AX31:$AX51)+H50</f>
        <v>0</v>
      </c>
      <c r="S50" s="1300"/>
      <c r="T50" s="1299">
        <f>R50*$AR50</f>
        <v>0</v>
      </c>
      <c r="U50" s="1301"/>
      <c r="V50" s="263"/>
      <c r="W50" s="263"/>
      <c r="X50" s="263"/>
      <c r="Y50" s="263"/>
      <c r="Z50" s="263"/>
      <c r="AA50" s="263"/>
      <c r="AB50" s="263"/>
      <c r="AC50" s="263"/>
      <c r="AD50" s="263"/>
      <c r="AE50" s="263"/>
      <c r="AF50" s="263"/>
      <c r="AG50" s="263"/>
      <c r="AH50" s="263"/>
      <c r="AI50" s="263"/>
      <c r="AJ50" s="263"/>
      <c r="AK50" s="264"/>
      <c r="AL50" s="258"/>
      <c r="AM50" s="258"/>
      <c r="AN50" s="258"/>
      <c r="AO50" s="258">
        <v>2</v>
      </c>
      <c r="AP50" s="258"/>
      <c r="AQ50" s="258">
        <v>1</v>
      </c>
      <c r="AR50" s="265">
        <f>AM50*12.01+AN50*1.008+AO50*16+AP50*14+AQ50*32</f>
        <v>64</v>
      </c>
      <c r="AS50" s="259"/>
      <c r="AT50" s="258"/>
      <c r="AU50" s="258"/>
      <c r="AV50" s="258"/>
      <c r="AW50" s="258"/>
      <c r="AX50" s="258"/>
      <c r="AY50" s="258"/>
      <c r="AZ50" s="238"/>
      <c r="BA50" s="238"/>
      <c r="BB50" s="238"/>
      <c r="BC50" s="238"/>
      <c r="BD50" s="238"/>
      <c r="BE50" s="239" t="s">
        <v>660</v>
      </c>
      <c r="BF50" s="239">
        <v>0</v>
      </c>
      <c r="BG50" s="239">
        <v>0</v>
      </c>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38"/>
      <c r="CN50" s="238"/>
      <c r="CO50" s="238"/>
      <c r="CP50" s="238"/>
    </row>
    <row r="51" spans="1:94" s="240" customFormat="1" ht="14.25" customHeight="1">
      <c r="A51" s="273" t="s">
        <v>431</v>
      </c>
      <c r="B51" s="274"/>
      <c r="C51" s="274"/>
      <c r="D51" s="274"/>
      <c r="E51" s="274"/>
      <c r="F51" s="1377">
        <f>CO2eEF!P47</f>
        <v>0</v>
      </c>
      <c r="G51" s="1378"/>
      <c r="H51" s="1299">
        <f t="shared" si="8"/>
        <v>0</v>
      </c>
      <c r="I51" s="1301"/>
      <c r="J51" s="1384"/>
      <c r="K51" s="1384"/>
      <c r="L51" s="1382"/>
      <c r="M51" s="1384"/>
      <c r="N51" s="1299">
        <f t="shared" si="0"/>
        <v>0</v>
      </c>
      <c r="O51" s="1301"/>
      <c r="P51" s="1299">
        <f t="shared" si="9"/>
        <v>0.18642088279344174</v>
      </c>
      <c r="Q51" s="1301"/>
      <c r="R51" s="1300">
        <f>SUMPRODUCT(H31:H51,$AV31:$AV51)+H51-SUMPRODUCT(R32:R42,$AV32:$AV42)</f>
        <v>10125.868486352358</v>
      </c>
      <c r="S51" s="1300"/>
      <c r="T51" s="1352">
        <f>R51*$AR51</f>
        <v>182427.64665012405</v>
      </c>
      <c r="U51" s="1354"/>
      <c r="V51" s="263"/>
      <c r="W51" s="263"/>
      <c r="X51" s="263"/>
      <c r="Y51" s="263"/>
      <c r="Z51" s="263"/>
      <c r="AA51" s="263"/>
      <c r="AB51" s="263"/>
      <c r="AC51" s="263"/>
      <c r="AD51" s="263"/>
      <c r="AE51" s="263"/>
      <c r="AF51" s="263"/>
      <c r="AG51" s="263"/>
      <c r="AH51" s="263"/>
      <c r="AI51" s="263"/>
      <c r="AJ51" s="263"/>
      <c r="AK51" s="264"/>
      <c r="AL51" s="258"/>
      <c r="AM51" s="258"/>
      <c r="AN51" s="258">
        <v>2</v>
      </c>
      <c r="AO51" s="258">
        <v>1</v>
      </c>
      <c r="AP51" s="258"/>
      <c r="AQ51" s="258"/>
      <c r="AR51" s="265">
        <f>AM51*12.01+AN51*1.008+AO51*16+AP51*14+AQ51*32</f>
        <v>18.015999999999998</v>
      </c>
      <c r="AS51" s="259"/>
      <c r="AT51" s="258"/>
      <c r="AU51" s="258"/>
      <c r="AV51" s="258"/>
      <c r="AW51" s="258"/>
      <c r="AX51" s="258"/>
      <c r="AY51" s="258"/>
      <c r="AZ51" s="238"/>
      <c r="BA51" s="238"/>
      <c r="BB51" s="238"/>
      <c r="BC51" s="238"/>
      <c r="BD51" s="238"/>
      <c r="BE51" s="239" t="s">
        <v>661</v>
      </c>
      <c r="BF51" s="239">
        <v>0</v>
      </c>
      <c r="BG51" s="239">
        <v>0</v>
      </c>
      <c r="BH51" s="238"/>
      <c r="BI51" s="238"/>
      <c r="BJ51" s="238"/>
      <c r="BK51" s="238"/>
      <c r="BL51" s="238"/>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38"/>
      <c r="CN51" s="238"/>
      <c r="CO51" s="238"/>
      <c r="CP51" s="238"/>
    </row>
    <row r="52" spans="1:94" s="240" customFormat="1" ht="14.25" customHeight="1">
      <c r="A52" s="1391" t="s">
        <v>663</v>
      </c>
      <c r="B52" s="1392"/>
      <c r="C52" s="1392"/>
      <c r="D52" s="1392"/>
      <c r="E52" s="1393"/>
      <c r="F52" s="1394">
        <f>SUM(F31:F51)</f>
        <v>1</v>
      </c>
      <c r="G52" s="1395"/>
      <c r="H52" s="1371">
        <v>6106.1389961389959</v>
      </c>
      <c r="I52" s="1373"/>
      <c r="J52" s="1396">
        <f>SUM(J45:J51)</f>
        <v>49238.843593682308</v>
      </c>
      <c r="K52" s="1396"/>
      <c r="L52" s="1371">
        <v>0</v>
      </c>
      <c r="M52" s="1372"/>
      <c r="N52" s="1385">
        <f>SUM(N31:N51)</f>
        <v>1503418.7755031707</v>
      </c>
      <c r="O52" s="1386"/>
      <c r="P52" s="1385">
        <f>SUM(P32:Q51)</f>
        <v>0.99999999999999989</v>
      </c>
      <c r="Q52" s="1386"/>
      <c r="R52" s="1385">
        <f>SUM(R32:S51)</f>
        <v>54317.243511672634</v>
      </c>
      <c r="S52" s="1386"/>
      <c r="T52" s="1582">
        <f>SUM(T32:U51)</f>
        <v>1498636.4112777519</v>
      </c>
      <c r="U52" s="1583"/>
      <c r="V52" s="275"/>
      <c r="W52" s="275"/>
      <c r="X52" s="30"/>
      <c r="Y52" s="30"/>
      <c r="Z52" s="276"/>
      <c r="AA52" s="276"/>
      <c r="AB52" s="30"/>
      <c r="AC52" s="30"/>
      <c r="AD52" s="277"/>
      <c r="AE52" s="277"/>
      <c r="AF52" s="263"/>
      <c r="AG52" s="263"/>
      <c r="AH52" s="30"/>
      <c r="AI52" s="30"/>
      <c r="AJ52" s="277"/>
      <c r="AK52" s="278"/>
      <c r="AL52" s="238"/>
      <c r="AM52" s="238"/>
      <c r="AN52" s="238"/>
      <c r="AO52" s="238"/>
      <c r="AP52" s="238"/>
      <c r="AQ52" s="238"/>
      <c r="AR52" s="238"/>
      <c r="AS52" s="238"/>
      <c r="AT52" s="238"/>
      <c r="AU52" s="238"/>
      <c r="AV52" s="238"/>
      <c r="AW52" s="238"/>
      <c r="AX52" s="238"/>
      <c r="AY52" s="238"/>
      <c r="AZ52" s="238"/>
      <c r="BA52" s="238"/>
      <c r="BB52" s="238"/>
      <c r="BC52" s="238"/>
      <c r="BD52" s="238"/>
      <c r="BE52" s="239" t="s">
        <v>662</v>
      </c>
      <c r="BF52" s="239">
        <v>0</v>
      </c>
      <c r="BG52" s="239">
        <v>0</v>
      </c>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row>
    <row r="53" spans="1:94" s="240" customFormat="1" ht="14.25" customHeight="1">
      <c r="A53" s="475" t="s">
        <v>665</v>
      </c>
      <c r="B53" s="476"/>
      <c r="C53" s="476"/>
      <c r="D53" s="476"/>
      <c r="E53" s="435"/>
      <c r="F53" s="435"/>
      <c r="G53" s="435"/>
      <c r="H53" s="435"/>
      <c r="I53" s="435"/>
      <c r="J53" s="435"/>
      <c r="K53" s="435"/>
      <c r="L53" s="1189" t="s">
        <v>666</v>
      </c>
      <c r="M53" s="1190"/>
      <c r="N53" s="477"/>
      <c r="O53" s="477"/>
      <c r="P53" s="477"/>
      <c r="Q53" s="477"/>
      <c r="R53" s="477"/>
      <c r="S53" s="477" t="s">
        <v>332</v>
      </c>
      <c r="T53" s="477"/>
      <c r="U53" s="477"/>
      <c r="V53" s="479"/>
      <c r="W53" s="479"/>
      <c r="X53" s="1482"/>
      <c r="Y53" s="1482"/>
      <c r="Z53" s="1482"/>
      <c r="AA53" s="1482"/>
      <c r="AB53" s="1482"/>
      <c r="AC53" s="1482"/>
      <c r="AD53" s="1482"/>
      <c r="AE53" s="1482"/>
      <c r="AF53" s="1482"/>
      <c r="AG53" s="479"/>
      <c r="AH53" s="479"/>
      <c r="AI53" s="479"/>
      <c r="AJ53" s="479"/>
      <c r="AK53" s="480"/>
      <c r="AL53" s="481"/>
      <c r="AM53" s="238"/>
      <c r="AN53" s="238"/>
      <c r="AO53" s="238"/>
      <c r="AP53" s="238"/>
      <c r="AQ53" s="238"/>
      <c r="AR53" s="238"/>
      <c r="AS53" s="238"/>
      <c r="AT53" s="238"/>
      <c r="AU53" s="238"/>
      <c r="AV53" s="238"/>
      <c r="AW53" s="238"/>
      <c r="AX53" s="238"/>
      <c r="AY53" s="238"/>
      <c r="AZ53" s="238"/>
      <c r="BA53" s="238"/>
      <c r="BB53" s="238"/>
      <c r="BC53" s="238"/>
      <c r="BD53" s="238"/>
      <c r="BE53" s="239" t="s">
        <v>664</v>
      </c>
      <c r="BF53" s="239">
        <v>0</v>
      </c>
      <c r="BG53" s="239">
        <v>0</v>
      </c>
      <c r="BH53" s="238"/>
      <c r="BI53" s="238"/>
      <c r="BJ53" s="238"/>
      <c r="BK53" s="238"/>
      <c r="BL53" s="238"/>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38"/>
      <c r="CN53" s="238"/>
      <c r="CO53" s="238"/>
      <c r="CP53" s="238"/>
    </row>
    <row r="54" spans="1:94" s="240" customFormat="1" ht="14.25" customHeight="1">
      <c r="A54" s="483" t="s">
        <v>748</v>
      </c>
      <c r="B54" s="484"/>
      <c r="C54" s="484"/>
      <c r="D54" s="484"/>
      <c r="E54" s="484"/>
      <c r="F54" s="484"/>
      <c r="G54" s="484"/>
      <c r="H54" s="484"/>
      <c r="I54" s="484"/>
      <c r="J54" s="484"/>
      <c r="K54" s="484"/>
      <c r="L54" s="1185">
        <f>N54*1000/3600</f>
        <v>1.3313072212221986</v>
      </c>
      <c r="M54" s="1186"/>
      <c r="N54" s="1586">
        <f>AI17*X25</f>
        <v>4.7927059963999143</v>
      </c>
      <c r="O54" s="1586"/>
      <c r="P54" s="484" t="s">
        <v>617</v>
      </c>
      <c r="Q54" s="591"/>
      <c r="R54" s="1585">
        <f>N54*6*24/1000</f>
        <v>0.69014966348158768</v>
      </c>
      <c r="S54" s="1585"/>
      <c r="T54" s="1390"/>
      <c r="U54" s="1390"/>
      <c r="V54" s="1584"/>
      <c r="W54" s="1584"/>
      <c r="X54" s="484"/>
      <c r="Y54" s="1483"/>
      <c r="Z54" s="1483"/>
      <c r="AA54" s="484"/>
      <c r="AB54" s="484"/>
      <c r="AC54" s="1484"/>
      <c r="AD54" s="1484"/>
      <c r="AE54" s="1390"/>
      <c r="AF54" s="1390"/>
      <c r="AG54" s="484"/>
      <c r="AH54" s="484"/>
      <c r="AI54" s="484"/>
      <c r="AJ54" s="485"/>
      <c r="AK54" s="486"/>
      <c r="AL54" s="238"/>
      <c r="AM54" s="238"/>
      <c r="AN54" s="281"/>
      <c r="AO54" s="238"/>
      <c r="AP54" s="238"/>
      <c r="AQ54" s="238"/>
      <c r="AR54" s="238"/>
      <c r="AS54" s="238"/>
      <c r="AT54" s="238"/>
      <c r="AU54" s="238"/>
      <c r="AV54" s="238"/>
      <c r="AW54" s="238"/>
      <c r="AX54" s="238"/>
      <c r="AY54" s="238"/>
      <c r="AZ54" s="238"/>
      <c r="BA54" s="238"/>
      <c r="BB54" s="238"/>
      <c r="BC54" s="238"/>
      <c r="BD54" s="238"/>
      <c r="BE54" s="239" t="s">
        <v>667</v>
      </c>
      <c r="BF54" s="239">
        <v>0</v>
      </c>
      <c r="BG54" s="239">
        <v>4.4999999999999997E-3</v>
      </c>
      <c r="BH54" s="238"/>
      <c r="BI54" s="238"/>
      <c r="BJ54" s="238"/>
      <c r="BK54" s="238"/>
      <c r="BL54" s="238"/>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38"/>
      <c r="CN54" s="238"/>
      <c r="CO54" s="238"/>
      <c r="CP54" s="238"/>
    </row>
    <row r="55" spans="1:94" s="240" customFormat="1" ht="14.25" customHeight="1">
      <c r="A55" s="273" t="s">
        <v>668</v>
      </c>
      <c r="B55" s="30"/>
      <c r="C55" s="30"/>
      <c r="D55" s="30"/>
      <c r="E55" s="30"/>
      <c r="F55" s="30"/>
      <c r="G55" s="30"/>
      <c r="H55" s="30"/>
      <c r="I55" s="30"/>
      <c r="J55" s="30"/>
      <c r="K55" s="30"/>
      <c r="L55" s="1436">
        <f t="shared" ref="L55:L60" si="10">N55*1000/3600</f>
        <v>39.042502958830788</v>
      </c>
      <c r="M55" s="1437"/>
      <c r="N55" s="1560">
        <f>W17*X25</f>
        <v>140.55301065179083</v>
      </c>
      <c r="O55" s="1560"/>
      <c r="P55" s="30" t="s">
        <v>617</v>
      </c>
      <c r="Q55" s="591"/>
      <c r="R55" s="1585">
        <f t="shared" ref="R55:R61" si="11">N55*6*24/1000</f>
        <v>20.23963353385788</v>
      </c>
      <c r="S55" s="1585"/>
      <c r="T55" s="1390"/>
      <c r="U55" s="1390"/>
      <c r="V55" s="1584"/>
      <c r="W55" s="1584"/>
      <c r="X55" s="30"/>
      <c r="Y55" s="1485"/>
      <c r="Z55" s="1485"/>
      <c r="AA55" s="30"/>
      <c r="AB55" s="30"/>
      <c r="AC55" s="1486"/>
      <c r="AD55" s="1486"/>
      <c r="AE55" s="860"/>
      <c r="AF55" s="860"/>
      <c r="AG55" s="30"/>
      <c r="AH55" s="30"/>
      <c r="AI55" s="30"/>
      <c r="AJ55" s="30"/>
      <c r="AK55" s="253"/>
      <c r="AL55" s="238"/>
      <c r="AM55" s="238"/>
      <c r="AN55" s="238"/>
      <c r="AO55" s="482"/>
      <c r="AP55" s="238"/>
      <c r="AQ55" s="238"/>
      <c r="AR55" s="238"/>
      <c r="AS55" s="238"/>
      <c r="AT55" s="238"/>
      <c r="AU55" s="238"/>
      <c r="AV55" s="238"/>
      <c r="AW55" s="238"/>
      <c r="AX55" s="238"/>
      <c r="AY55" s="238"/>
      <c r="AZ55" s="238"/>
      <c r="BA55" s="238"/>
      <c r="BB55" s="238"/>
      <c r="BC55" s="238"/>
      <c r="BD55" s="238"/>
      <c r="BE55" s="239" t="s">
        <v>669</v>
      </c>
      <c r="BF55" s="239">
        <v>0</v>
      </c>
      <c r="BG55" s="239">
        <v>1.5800000000000002E-2</v>
      </c>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38"/>
      <c r="CN55" s="238"/>
      <c r="CO55" s="238"/>
      <c r="CP55" s="238"/>
    </row>
    <row r="56" spans="1:94" s="240" customFormat="1" ht="14.25" customHeight="1">
      <c r="A56" s="273" t="s">
        <v>670</v>
      </c>
      <c r="B56" s="30"/>
      <c r="C56" s="30"/>
      <c r="D56" s="30"/>
      <c r="E56" s="30"/>
      <c r="F56" s="30"/>
      <c r="G56" s="30"/>
      <c r="H56" s="30"/>
      <c r="I56" s="30"/>
      <c r="J56" s="30"/>
      <c r="K56" s="30"/>
      <c r="L56" s="1246">
        <f t="shared" si="10"/>
        <v>212.43714845246166</v>
      </c>
      <c r="M56" s="1247"/>
      <c r="N56" s="1560">
        <f>AC17*X25</f>
        <v>764.77373442886199</v>
      </c>
      <c r="O56" s="1560"/>
      <c r="P56" s="30" t="s">
        <v>617</v>
      </c>
      <c r="Q56" s="591"/>
      <c r="R56" s="1585">
        <f t="shared" si="11"/>
        <v>110.12741775775612</v>
      </c>
      <c r="S56" s="1585"/>
      <c r="T56" s="1390"/>
      <c r="U56" s="1390"/>
      <c r="V56" s="1584"/>
      <c r="W56" s="1584"/>
      <c r="X56" s="30"/>
      <c r="Y56" s="1485"/>
      <c r="Z56" s="1485"/>
      <c r="AA56" s="30"/>
      <c r="AB56" s="30"/>
      <c r="AC56" s="1486"/>
      <c r="AD56" s="1486"/>
      <c r="AE56" s="473"/>
      <c r="AF56" s="473"/>
      <c r="AG56" s="30"/>
      <c r="AH56" s="30"/>
      <c r="AI56" s="30"/>
      <c r="AJ56" s="30"/>
      <c r="AK56" s="253"/>
      <c r="AL56" s="238"/>
      <c r="AM56" s="238"/>
      <c r="AN56" s="238"/>
      <c r="AO56" s="482"/>
      <c r="AP56" s="238"/>
      <c r="AQ56" s="238"/>
      <c r="AR56" s="238"/>
      <c r="AS56" s="238"/>
      <c r="AT56" s="238"/>
      <c r="AU56" s="238"/>
      <c r="AV56" s="238"/>
      <c r="AW56" s="238"/>
      <c r="AX56" s="238"/>
      <c r="AY56" s="238"/>
      <c r="AZ56" s="238"/>
      <c r="BA56" s="238"/>
      <c r="BB56" s="238"/>
      <c r="BC56" s="238"/>
      <c r="BD56" s="238"/>
      <c r="BE56" s="239"/>
      <c r="BF56" s="239"/>
      <c r="BG56" s="239"/>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38"/>
      <c r="CN56" s="238"/>
      <c r="CO56" s="238"/>
      <c r="CP56" s="238"/>
    </row>
    <row r="57" spans="1:94" s="240" customFormat="1" ht="14.25" customHeight="1">
      <c r="A57" s="273" t="s">
        <v>673</v>
      </c>
      <c r="B57" s="30"/>
      <c r="C57" s="30"/>
      <c r="D57" s="30"/>
      <c r="E57" s="30"/>
      <c r="F57" s="30"/>
      <c r="G57" s="30"/>
      <c r="H57" s="30"/>
      <c r="I57" s="30"/>
      <c r="J57" s="30"/>
      <c r="K57" s="30"/>
      <c r="L57" s="1246">
        <f t="shared" si="10"/>
        <v>0</v>
      </c>
      <c r="M57" s="1247"/>
      <c r="N57" s="1560">
        <f>Q22*X25</f>
        <v>0</v>
      </c>
      <c r="O57" s="1560"/>
      <c r="P57" s="30" t="s">
        <v>617</v>
      </c>
      <c r="Q57" s="591"/>
      <c r="R57" s="1585">
        <f t="shared" si="11"/>
        <v>0</v>
      </c>
      <c r="S57" s="1585"/>
      <c r="T57" s="1390"/>
      <c r="U57" s="1390"/>
      <c r="V57" s="1584"/>
      <c r="W57" s="1584"/>
      <c r="X57" s="30"/>
      <c r="Y57" s="1485"/>
      <c r="Z57" s="1485"/>
      <c r="AA57" s="30"/>
      <c r="AB57" s="30"/>
      <c r="AC57" s="1486"/>
      <c r="AD57" s="1486"/>
      <c r="AE57" s="860"/>
      <c r="AF57" s="860"/>
      <c r="AG57" s="30"/>
      <c r="AH57" s="30"/>
      <c r="AI57" s="30"/>
      <c r="AJ57" s="30"/>
      <c r="AK57" s="253"/>
      <c r="AL57" s="238"/>
      <c r="AM57" s="238"/>
      <c r="AN57" s="238"/>
      <c r="AO57" s="482"/>
      <c r="AP57" s="238"/>
      <c r="AQ57" s="238"/>
      <c r="AR57" s="238"/>
      <c r="AS57" s="238"/>
      <c r="AT57" s="238"/>
      <c r="AU57" s="238"/>
      <c r="AV57" s="238"/>
      <c r="AW57" s="238"/>
      <c r="AX57" s="238"/>
      <c r="AY57" s="238"/>
      <c r="AZ57" s="238"/>
      <c r="BA57" s="238"/>
      <c r="BB57" s="238"/>
      <c r="BC57" s="238"/>
      <c r="BD57" s="238"/>
      <c r="BE57" s="239"/>
      <c r="BF57" s="239"/>
      <c r="BG57" s="239"/>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38"/>
      <c r="CN57" s="238"/>
      <c r="CO57" s="238"/>
      <c r="CP57" s="238"/>
    </row>
    <row r="58" spans="1:94" s="240" customFormat="1" ht="14.25" customHeight="1">
      <c r="A58" s="273" t="s">
        <v>672</v>
      </c>
      <c r="B58" s="30"/>
      <c r="C58" s="30"/>
      <c r="D58" s="30"/>
      <c r="E58" s="30"/>
      <c r="F58" s="30"/>
      <c r="G58" s="30"/>
      <c r="H58" s="30"/>
      <c r="I58" s="30"/>
      <c r="J58" s="30"/>
      <c r="K58" s="30"/>
      <c r="L58" s="1587">
        <f t="shared" si="10"/>
        <v>459.01814516129031</v>
      </c>
      <c r="M58" s="1588"/>
      <c r="N58" s="1590">
        <f>T32</f>
        <v>1652.4653225806451</v>
      </c>
      <c r="O58" s="1590"/>
      <c r="P58" s="30" t="s">
        <v>617</v>
      </c>
      <c r="Q58" s="591"/>
      <c r="R58" s="1585">
        <f t="shared" si="11"/>
        <v>237.95500645161289</v>
      </c>
      <c r="S58" s="1585"/>
      <c r="T58" s="1390"/>
      <c r="U58" s="1390"/>
      <c r="V58" s="1584"/>
      <c r="W58" s="1584"/>
      <c r="X58" s="30"/>
      <c r="Y58" s="1485"/>
      <c r="Z58" s="1485"/>
      <c r="AA58" s="30"/>
      <c r="AB58" s="30"/>
      <c r="AC58" s="1486"/>
      <c r="AD58" s="1486"/>
      <c r="AE58" s="473"/>
      <c r="AF58" s="473"/>
      <c r="AG58" s="30"/>
      <c r="AH58" s="30"/>
      <c r="AI58" s="30"/>
      <c r="AJ58" s="30"/>
      <c r="AK58" s="253"/>
      <c r="AL58" s="238"/>
      <c r="AM58" s="238"/>
      <c r="AN58" s="238"/>
      <c r="AO58" s="482"/>
      <c r="AP58" s="238"/>
      <c r="AQ58" s="238"/>
      <c r="AR58" s="238"/>
      <c r="AS58" s="238"/>
      <c r="AT58" s="238"/>
      <c r="AU58" s="238"/>
      <c r="AV58" s="238"/>
      <c r="AW58" s="238"/>
      <c r="AX58" s="238"/>
      <c r="AY58" s="238"/>
      <c r="AZ58" s="238"/>
      <c r="BA58" s="238"/>
      <c r="BB58" s="238"/>
      <c r="BC58" s="238"/>
      <c r="BD58" s="238"/>
      <c r="BE58" s="239"/>
      <c r="BF58" s="239"/>
      <c r="BG58" s="239"/>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row>
    <row r="59" spans="1:94" s="240" customFormat="1" ht="14.25" customHeight="1">
      <c r="A59" s="273" t="s">
        <v>675</v>
      </c>
      <c r="B59" s="30"/>
      <c r="C59" s="30"/>
      <c r="D59" s="30"/>
      <c r="E59" s="30"/>
      <c r="F59" s="30"/>
      <c r="G59" s="30"/>
      <c r="H59" s="30"/>
      <c r="I59" s="30"/>
      <c r="J59" s="30"/>
      <c r="K59" s="30"/>
      <c r="L59" s="1185">
        <f t="shared" si="10"/>
        <v>0</v>
      </c>
      <c r="M59" s="1186"/>
      <c r="N59" s="1589"/>
      <c r="O59" s="1589"/>
      <c r="P59" s="30" t="s">
        <v>617</v>
      </c>
      <c r="Q59" s="591"/>
      <c r="R59" s="1585">
        <f t="shared" si="11"/>
        <v>0</v>
      </c>
      <c r="S59" s="1585"/>
      <c r="T59" s="1390"/>
      <c r="U59" s="1390"/>
      <c r="V59" s="1584"/>
      <c r="W59" s="1584"/>
      <c r="X59" s="30"/>
      <c r="Y59" s="1485"/>
      <c r="Z59" s="1485"/>
      <c r="AA59" s="30"/>
      <c r="AB59" s="30"/>
      <c r="AC59" s="1486"/>
      <c r="AD59" s="1486"/>
      <c r="AE59" s="473"/>
      <c r="AF59" s="473"/>
      <c r="AG59" s="30"/>
      <c r="AH59" s="30"/>
      <c r="AI59" s="30"/>
      <c r="AJ59" s="30"/>
      <c r="AK59" s="253"/>
      <c r="AL59" s="238"/>
      <c r="AM59" s="238"/>
      <c r="AN59" s="238"/>
      <c r="AO59" s="482"/>
      <c r="AP59" s="238"/>
      <c r="AQ59" s="238"/>
      <c r="AR59" s="238"/>
      <c r="AS59" s="238"/>
      <c r="AT59" s="238"/>
      <c r="AU59" s="238"/>
      <c r="AV59" s="238"/>
      <c r="AW59" s="238"/>
      <c r="AX59" s="238"/>
      <c r="AY59" s="238"/>
      <c r="AZ59" s="238"/>
      <c r="BA59" s="238"/>
      <c r="BB59" s="238"/>
      <c r="BC59" s="238"/>
      <c r="BD59" s="238"/>
      <c r="BE59" s="239"/>
      <c r="BF59" s="239"/>
      <c r="BG59" s="239"/>
      <c r="BH59" s="238"/>
      <c r="BI59" s="238"/>
      <c r="BJ59" s="238"/>
      <c r="BK59" s="238"/>
      <c r="BL59" s="238"/>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38"/>
      <c r="CN59" s="238"/>
      <c r="CO59" s="238"/>
      <c r="CP59" s="238"/>
    </row>
    <row r="60" spans="1:94" s="240" customFormat="1" ht="14.25" customHeight="1">
      <c r="A60" s="273" t="s">
        <v>676</v>
      </c>
      <c r="B60" s="30"/>
      <c r="C60" s="30"/>
      <c r="D60" s="30"/>
      <c r="E60" s="30"/>
      <c r="F60" s="30"/>
      <c r="G60" s="30"/>
      <c r="H60" s="30"/>
      <c r="I60" s="30"/>
      <c r="J60" s="30"/>
      <c r="K60" s="30"/>
      <c r="L60" s="1185">
        <f t="shared" si="10"/>
        <v>0</v>
      </c>
      <c r="M60" s="1186"/>
      <c r="N60" s="1589"/>
      <c r="O60" s="1589"/>
      <c r="P60" s="30" t="s">
        <v>617</v>
      </c>
      <c r="Q60" s="591"/>
      <c r="R60" s="1585">
        <f t="shared" si="11"/>
        <v>0</v>
      </c>
      <c r="S60" s="1585"/>
      <c r="T60" s="1390"/>
      <c r="U60" s="1390"/>
      <c r="V60" s="1584"/>
      <c r="W60" s="1584"/>
      <c r="X60" s="30"/>
      <c r="Y60" s="1485"/>
      <c r="Z60" s="1485"/>
      <c r="AA60" s="30"/>
      <c r="AB60" s="30"/>
      <c r="AC60" s="1486"/>
      <c r="AD60" s="1486"/>
      <c r="AE60" s="30"/>
      <c r="AF60" s="30"/>
      <c r="AG60" s="30"/>
      <c r="AH60" s="30"/>
      <c r="AI60" s="30"/>
      <c r="AJ60" s="30"/>
      <c r="AK60" s="253"/>
      <c r="AL60" s="238"/>
      <c r="AM60" s="238"/>
      <c r="AN60" s="238"/>
      <c r="AO60" s="281"/>
      <c r="AP60" s="238"/>
      <c r="AQ60" s="238"/>
      <c r="AR60" s="238"/>
      <c r="AS60" s="238"/>
      <c r="AT60" s="238"/>
      <c r="AU60" s="238"/>
      <c r="AV60" s="238"/>
      <c r="AW60" s="238"/>
      <c r="AX60" s="238"/>
      <c r="AY60" s="238"/>
      <c r="AZ60" s="238"/>
      <c r="BA60" s="238"/>
      <c r="BB60" s="238"/>
      <c r="BC60" s="238"/>
      <c r="BD60" s="238"/>
      <c r="BE60" s="239"/>
      <c r="BF60" s="239"/>
      <c r="BG60" s="239"/>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row>
    <row r="61" spans="1:94" s="240" customFormat="1" ht="14.25" customHeight="1">
      <c r="A61" s="273" t="s">
        <v>677</v>
      </c>
      <c r="B61" s="30"/>
      <c r="C61" s="30"/>
      <c r="D61" s="30"/>
      <c r="E61" s="30"/>
      <c r="F61" s="30"/>
      <c r="G61" s="30"/>
      <c r="H61" s="30"/>
      <c r="I61" s="30"/>
      <c r="J61" s="30"/>
      <c r="K61" s="30"/>
      <c r="L61" s="1587">
        <f>N61*1000/3600</f>
        <v>63258.705318598491</v>
      </c>
      <c r="M61" s="1588"/>
      <c r="N61" s="1564">
        <f>X25*CO2eEF!I57</f>
        <v>227731.33914695456</v>
      </c>
      <c r="O61" s="1564"/>
      <c r="P61" s="284" t="s">
        <v>617</v>
      </c>
      <c r="Q61" s="592"/>
      <c r="R61" s="1585">
        <f t="shared" si="11"/>
        <v>32793.312837161458</v>
      </c>
      <c r="S61" s="1585"/>
      <c r="T61" s="1390"/>
      <c r="U61" s="1390"/>
      <c r="V61" s="1584"/>
      <c r="W61" s="1584"/>
      <c r="X61" s="284"/>
      <c r="Y61" s="1487"/>
      <c r="Z61" s="1487"/>
      <c r="AA61" s="593"/>
      <c r="AB61" s="594"/>
      <c r="AC61" s="1488"/>
      <c r="AD61" s="1488"/>
      <c r="AE61" s="30"/>
      <c r="AF61" s="30"/>
      <c r="AG61" s="30"/>
      <c r="AH61" s="30"/>
      <c r="AI61" s="30"/>
      <c r="AJ61" s="30"/>
      <c r="AK61" s="253"/>
      <c r="AL61" s="238"/>
      <c r="AM61" s="238"/>
      <c r="AN61" s="238"/>
      <c r="AO61" s="281"/>
      <c r="AP61" s="238"/>
      <c r="AQ61" s="238"/>
      <c r="AR61" s="238"/>
      <c r="AS61" s="238"/>
      <c r="AT61" s="238"/>
      <c r="AU61" s="238"/>
      <c r="AV61" s="238"/>
      <c r="AW61" s="238"/>
      <c r="AX61" s="238"/>
      <c r="AY61" s="238"/>
      <c r="AZ61" s="238"/>
      <c r="BA61" s="238"/>
      <c r="BB61" s="238"/>
      <c r="BC61" s="238"/>
      <c r="BD61" s="238"/>
      <c r="BE61" s="239"/>
      <c r="BF61" s="239"/>
      <c r="BG61" s="239"/>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row>
    <row r="62" spans="1:94" s="240" customFormat="1" ht="14.25" customHeight="1">
      <c r="A62" s="279" t="s">
        <v>749</v>
      </c>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2"/>
      <c r="AF62" s="132"/>
      <c r="AG62" s="132"/>
      <c r="AH62" s="132"/>
      <c r="AI62" s="132"/>
      <c r="AJ62" s="132"/>
      <c r="AK62" s="280"/>
      <c r="AL62" s="238"/>
      <c r="AM62" s="238"/>
      <c r="AN62" s="238"/>
      <c r="AO62" s="281"/>
      <c r="AP62" s="238"/>
      <c r="AQ62" s="238"/>
      <c r="AR62" s="238"/>
      <c r="AS62" s="238"/>
      <c r="AT62" s="238"/>
      <c r="AU62" s="238"/>
      <c r="AV62" s="238"/>
      <c r="AW62" s="238"/>
      <c r="AX62" s="238"/>
      <c r="AY62" s="238"/>
      <c r="AZ62" s="238"/>
      <c r="BA62" s="238"/>
      <c r="BB62" s="238"/>
      <c r="BC62" s="238"/>
      <c r="BD62" s="238"/>
      <c r="BE62" s="239"/>
      <c r="BF62" s="239"/>
      <c r="BG62" s="239"/>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row>
    <row r="63" spans="1:94" s="240" customFormat="1" ht="14.25" customHeight="1">
      <c r="A63" s="282" t="s">
        <v>31</v>
      </c>
      <c r="B63" s="30" t="s">
        <v>804</v>
      </c>
      <c r="C63" s="30"/>
      <c r="D63" s="30"/>
      <c r="E63" s="30"/>
      <c r="F63" s="30"/>
      <c r="G63" s="30"/>
      <c r="H63" s="30"/>
      <c r="I63" s="30"/>
      <c r="J63" s="30"/>
      <c r="K63" s="30"/>
      <c r="L63" s="30"/>
      <c r="M63" s="30"/>
      <c r="N63" s="283"/>
      <c r="O63" s="283"/>
      <c r="P63" s="283"/>
      <c r="Q63" s="30"/>
      <c r="R63" s="30"/>
      <c r="S63" s="30"/>
      <c r="T63" s="30"/>
      <c r="U63" s="30"/>
      <c r="V63" s="30"/>
      <c r="W63" s="30"/>
      <c r="X63" s="30"/>
      <c r="Y63" s="30"/>
      <c r="Z63" s="30"/>
      <c r="AA63" s="30"/>
      <c r="AB63" s="30"/>
      <c r="AC63" s="30"/>
      <c r="AD63" s="30"/>
      <c r="AE63" s="30"/>
      <c r="AF63" s="30"/>
      <c r="AG63" s="30"/>
      <c r="AH63" s="30"/>
      <c r="AI63" s="30"/>
      <c r="AJ63" s="30"/>
      <c r="AK63" s="253"/>
      <c r="AL63" s="238"/>
      <c r="AM63" s="238"/>
      <c r="AN63" s="238"/>
      <c r="AO63" s="238"/>
      <c r="AP63" s="238"/>
      <c r="AQ63" s="238"/>
      <c r="AR63" s="238"/>
      <c r="AS63" s="238"/>
      <c r="AT63" s="238"/>
      <c r="AU63" s="238"/>
      <c r="AV63" s="238"/>
      <c r="AW63" s="238"/>
      <c r="AX63" s="238"/>
      <c r="AY63" s="238"/>
      <c r="AZ63" s="238"/>
      <c r="BA63" s="238"/>
      <c r="BB63" s="238"/>
      <c r="BC63" s="238"/>
      <c r="BD63" s="238"/>
      <c r="BE63" s="239" t="s">
        <v>679</v>
      </c>
      <c r="BF63" s="239">
        <v>0</v>
      </c>
      <c r="BG63" s="239">
        <v>0</v>
      </c>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row>
    <row r="64" spans="1:94" ht="14.25" customHeight="1">
      <c r="A64" s="282" t="s">
        <v>33</v>
      </c>
      <c r="B64" s="31" t="s">
        <v>751</v>
      </c>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5"/>
      <c r="AK64" s="286"/>
      <c r="AL64" s="243"/>
      <c r="AM64" s="243"/>
      <c r="AN64" s="243"/>
      <c r="AO64" s="243"/>
      <c r="AP64" s="243"/>
      <c r="AQ64" s="243"/>
      <c r="AR64" s="243"/>
      <c r="AS64" s="243"/>
      <c r="AT64" s="243"/>
      <c r="AU64" s="243"/>
      <c r="AV64" s="243"/>
      <c r="AW64" s="243"/>
      <c r="AX64" s="243"/>
      <c r="AY64" s="243"/>
      <c r="AZ64" s="243"/>
      <c r="BA64" s="243"/>
      <c r="BB64" s="243"/>
      <c r="BC64" s="243"/>
      <c r="BD64" s="243"/>
      <c r="BE64" s="246" t="s">
        <v>681</v>
      </c>
      <c r="BF64" s="246">
        <v>0</v>
      </c>
      <c r="BG64" s="246">
        <v>0</v>
      </c>
      <c r="BH64" s="243"/>
      <c r="BI64" s="243"/>
      <c r="BJ64" s="243"/>
      <c r="BK64" s="243"/>
      <c r="BL64" s="243"/>
      <c r="BM64" s="243"/>
      <c r="BN64" s="243"/>
      <c r="BO64" s="243"/>
      <c r="BP64" s="243"/>
      <c r="BQ64" s="243"/>
      <c r="BR64" s="243"/>
      <c r="BS64" s="243"/>
      <c r="BT64" s="243"/>
      <c r="BU64" s="243"/>
      <c r="BV64" s="243"/>
      <c r="BW64" s="243"/>
      <c r="BX64" s="243"/>
      <c r="BY64" s="243"/>
      <c r="BZ64" s="243"/>
      <c r="CA64" s="243"/>
      <c r="CB64" s="243"/>
      <c r="CC64" s="243"/>
      <c r="CD64" s="243"/>
      <c r="CE64" s="243"/>
      <c r="CF64" s="243"/>
      <c r="CG64" s="243"/>
      <c r="CH64" s="243"/>
      <c r="CI64" s="243"/>
      <c r="CJ64" s="243"/>
      <c r="CK64" s="243"/>
      <c r="CL64" s="243"/>
      <c r="CM64" s="243"/>
      <c r="CN64" s="243"/>
      <c r="CO64" s="243"/>
      <c r="CP64" s="243"/>
    </row>
    <row r="65" spans="1:94" ht="14.25" customHeight="1">
      <c r="A65" s="282" t="s">
        <v>752</v>
      </c>
      <c r="B65" s="284" t="s">
        <v>805</v>
      </c>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5"/>
      <c r="AE65" s="285"/>
      <c r="AF65" s="285"/>
      <c r="AG65" s="285"/>
      <c r="AH65" s="285"/>
      <c r="AI65" s="285"/>
      <c r="AJ65" s="285"/>
      <c r="AK65" s="286"/>
      <c r="AL65" s="243"/>
      <c r="AM65" s="243"/>
      <c r="AN65" s="243"/>
      <c r="AO65" s="243"/>
      <c r="AP65" s="243"/>
      <c r="AQ65" s="243"/>
      <c r="AR65" s="243"/>
      <c r="AS65" s="243"/>
      <c r="AT65" s="243"/>
      <c r="AU65" s="243"/>
      <c r="AV65" s="243"/>
      <c r="AW65" s="243"/>
      <c r="AX65" s="243"/>
      <c r="AY65" s="243"/>
      <c r="AZ65" s="243"/>
      <c r="BA65" s="243"/>
      <c r="BB65" s="243"/>
      <c r="BC65" s="243"/>
      <c r="BD65" s="243"/>
      <c r="BE65" s="246" t="s">
        <v>684</v>
      </c>
      <c r="BF65" s="246">
        <v>0</v>
      </c>
      <c r="BG65" s="246">
        <v>0</v>
      </c>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c r="CM65" s="243"/>
      <c r="CN65" s="243"/>
      <c r="CO65" s="243"/>
      <c r="CP65" s="243"/>
    </row>
    <row r="66" spans="1:94" ht="14.25">
      <c r="A66" s="282" t="s">
        <v>38</v>
      </c>
      <c r="B66" s="284" t="s">
        <v>725</v>
      </c>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6"/>
      <c r="AL66" s="243"/>
      <c r="AM66" s="243"/>
      <c r="AN66" s="243"/>
      <c r="AO66" s="243"/>
      <c r="AP66" s="243"/>
      <c r="AQ66" s="243"/>
      <c r="AR66" s="243"/>
      <c r="AS66" s="243"/>
      <c r="AT66" s="243"/>
      <c r="AU66" s="243"/>
      <c r="AV66" s="243"/>
      <c r="AW66" s="243"/>
      <c r="AX66" s="243"/>
      <c r="AY66" s="243"/>
      <c r="AZ66" s="243"/>
      <c r="BA66" s="243"/>
      <c r="BB66" s="243"/>
      <c r="BC66" s="243"/>
      <c r="BD66" s="243"/>
      <c r="BE66" s="246"/>
      <c r="BF66" s="246"/>
      <c r="BG66" s="246"/>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row>
    <row r="67" spans="1:94" ht="14.25">
      <c r="A67" s="282" t="s">
        <v>41</v>
      </c>
      <c r="B67" s="284" t="s">
        <v>726</v>
      </c>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6"/>
      <c r="AL67" s="243"/>
      <c r="AM67" s="243"/>
      <c r="AN67" s="243"/>
      <c r="AO67" s="243"/>
      <c r="AP67" s="243"/>
      <c r="AQ67" s="243"/>
      <c r="AR67" s="243"/>
      <c r="AS67" s="243"/>
      <c r="AT67" s="243"/>
      <c r="AU67" s="243"/>
      <c r="AV67" s="243"/>
      <c r="AW67" s="243"/>
      <c r="AX67" s="243"/>
      <c r="AY67" s="243"/>
      <c r="AZ67" s="243"/>
      <c r="BA67" s="243"/>
      <c r="BB67" s="243"/>
      <c r="BC67" s="243"/>
      <c r="BD67" s="243"/>
      <c r="BE67" s="246" t="s">
        <v>688</v>
      </c>
      <c r="BF67" s="246">
        <v>0</v>
      </c>
      <c r="BG67" s="246">
        <v>0</v>
      </c>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c r="CM67" s="243"/>
      <c r="CN67" s="243"/>
      <c r="CO67" s="243"/>
      <c r="CP67" s="243"/>
    </row>
    <row r="68" spans="1:94">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9"/>
      <c r="AL68" s="289"/>
      <c r="AM68" s="289"/>
      <c r="AN68" s="289"/>
      <c r="AO68" s="289"/>
      <c r="AP68" s="289"/>
      <c r="AQ68" s="289"/>
      <c r="AR68" s="243"/>
      <c r="AS68" s="243"/>
      <c r="AT68" s="243"/>
      <c r="AU68" s="243"/>
      <c r="AV68" s="243"/>
      <c r="AW68" s="243"/>
      <c r="AX68" s="243"/>
      <c r="AY68" s="243"/>
      <c r="AZ68" s="243"/>
      <c r="BA68" s="243"/>
      <c r="BB68" s="243"/>
      <c r="BC68" s="243"/>
      <c r="BD68" s="243"/>
      <c r="BE68" s="246" t="s">
        <v>690</v>
      </c>
      <c r="BF68" s="246">
        <v>2.9999999999999997E-4</v>
      </c>
      <c r="BG68" s="246">
        <v>0</v>
      </c>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c r="CM68" s="243"/>
      <c r="CN68" s="243"/>
      <c r="CO68" s="243"/>
      <c r="CP68" s="243"/>
    </row>
    <row r="69" spans="1:94">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9"/>
      <c r="AL69" s="289"/>
      <c r="AM69" s="289"/>
      <c r="AN69" s="289"/>
      <c r="AO69" s="289"/>
      <c r="AP69" s="289"/>
      <c r="AQ69" s="289"/>
      <c r="AR69" s="243"/>
      <c r="AS69" s="243"/>
      <c r="AT69" s="243"/>
      <c r="AU69" s="243"/>
      <c r="AV69" s="243"/>
      <c r="AW69" s="243"/>
      <c r="AX69" s="243"/>
      <c r="AY69" s="243"/>
      <c r="AZ69" s="243"/>
      <c r="BA69" s="243"/>
      <c r="BB69" s="243"/>
      <c r="BC69" s="243"/>
      <c r="BD69" s="243"/>
      <c r="BE69" s="246" t="s">
        <v>691</v>
      </c>
      <c r="BF69" s="246">
        <v>0</v>
      </c>
      <c r="BG69" s="246">
        <v>0</v>
      </c>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row>
    <row r="70" spans="1:94">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9"/>
      <c r="AL70" s="289"/>
      <c r="AM70" s="289"/>
      <c r="AN70" s="289"/>
      <c r="AO70" s="289"/>
      <c r="AP70" s="289"/>
      <c r="AQ70" s="289"/>
      <c r="AR70" s="243"/>
      <c r="AS70" s="243"/>
      <c r="AT70" s="243"/>
      <c r="AU70" s="243"/>
      <c r="AV70" s="243"/>
      <c r="AW70" s="243"/>
      <c r="AX70" s="243"/>
      <c r="AY70" s="243"/>
      <c r="AZ70" s="243"/>
      <c r="BA70" s="243"/>
      <c r="BB70" s="243"/>
      <c r="BC70" s="243"/>
      <c r="BD70" s="243"/>
      <c r="BE70" s="246" t="s">
        <v>692</v>
      </c>
      <c r="BF70" s="246">
        <v>0</v>
      </c>
      <c r="BG70" s="246">
        <v>0</v>
      </c>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row>
    <row r="71" spans="1:94">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9"/>
      <c r="AL71" s="289"/>
      <c r="AM71" s="289"/>
      <c r="AN71" s="289"/>
      <c r="AO71" s="289"/>
      <c r="AP71" s="289"/>
      <c r="AQ71" s="289"/>
      <c r="AR71" s="243"/>
      <c r="AS71" s="243"/>
      <c r="AT71" s="243"/>
      <c r="AU71" s="243"/>
      <c r="AV71" s="243"/>
      <c r="AW71" s="243"/>
      <c r="AX71" s="243"/>
      <c r="AY71" s="243"/>
      <c r="AZ71" s="243"/>
      <c r="BA71" s="243"/>
      <c r="BB71" s="243"/>
      <c r="BC71" s="243"/>
      <c r="BD71" s="243"/>
      <c r="BE71" s="246" t="s">
        <v>693</v>
      </c>
      <c r="BF71" s="246">
        <v>0</v>
      </c>
      <c r="BG71" s="246">
        <v>0</v>
      </c>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row>
    <row r="72" spans="1:94">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9"/>
      <c r="AL72" s="289"/>
      <c r="AM72" s="289"/>
      <c r="AN72" s="289"/>
      <c r="AO72" s="289"/>
      <c r="AP72" s="289"/>
      <c r="AQ72" s="289"/>
      <c r="AR72" s="243"/>
      <c r="AS72" s="243"/>
      <c r="AT72" s="243"/>
      <c r="AU72" s="243"/>
      <c r="AV72" s="243"/>
      <c r="AW72" s="243"/>
      <c r="AX72" s="243"/>
      <c r="AY72" s="243"/>
      <c r="AZ72" s="243"/>
      <c r="BA72" s="243"/>
      <c r="BB72" s="243"/>
      <c r="BC72" s="243"/>
      <c r="BD72" s="243"/>
      <c r="BE72" s="246" t="s">
        <v>694</v>
      </c>
      <c r="BF72" s="246">
        <v>0</v>
      </c>
      <c r="BG72" s="246">
        <v>0</v>
      </c>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row>
    <row r="73" spans="1:94">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9"/>
      <c r="AL73" s="289"/>
      <c r="AM73" s="289"/>
      <c r="AN73" s="289"/>
      <c r="AO73" s="289"/>
      <c r="AP73" s="289"/>
      <c r="AQ73" s="289"/>
      <c r="AR73" s="243"/>
      <c r="AS73" s="243"/>
      <c r="AT73" s="243"/>
      <c r="AU73" s="243"/>
      <c r="AV73" s="243"/>
      <c r="AW73" s="243"/>
      <c r="AX73" s="243"/>
      <c r="AY73" s="243"/>
      <c r="AZ73" s="243"/>
      <c r="BA73" s="243"/>
      <c r="BB73" s="243"/>
      <c r="BC73" s="243"/>
      <c r="BD73" s="243"/>
      <c r="BE73" s="246" t="s">
        <v>695</v>
      </c>
      <c r="BF73" s="246">
        <v>0</v>
      </c>
      <c r="BG73" s="246">
        <v>0</v>
      </c>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243"/>
      <c r="CO73" s="243"/>
      <c r="CP73" s="243"/>
    </row>
    <row r="74" spans="1:94">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9"/>
      <c r="AL74" s="289"/>
      <c r="AM74" s="289"/>
      <c r="AN74" s="289"/>
      <c r="AO74" s="289"/>
      <c r="AP74" s="289"/>
      <c r="AQ74" s="289"/>
      <c r="AR74" s="243"/>
      <c r="AS74" s="243"/>
      <c r="AT74" s="243"/>
      <c r="AU74" s="243"/>
      <c r="AV74" s="243"/>
      <c r="AW74" s="243"/>
      <c r="AX74" s="243"/>
      <c r="AY74" s="243"/>
      <c r="AZ74" s="243"/>
      <c r="BA74" s="243"/>
      <c r="BB74" s="243"/>
      <c r="BC74" s="243"/>
      <c r="BD74" s="243"/>
      <c r="BE74" s="246" t="s">
        <v>696</v>
      </c>
      <c r="BF74" s="246">
        <v>0</v>
      </c>
      <c r="BG74" s="246">
        <v>0</v>
      </c>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row>
    <row r="75" spans="1:94" s="290" customFormat="1">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9"/>
      <c r="AL75" s="289"/>
      <c r="AM75" s="289"/>
      <c r="AN75" s="289"/>
      <c r="AO75" s="289"/>
      <c r="AP75" s="289"/>
      <c r="AQ75" s="289"/>
      <c r="AR75" s="243"/>
      <c r="AS75" s="243"/>
      <c r="AT75" s="243"/>
      <c r="AU75" s="243"/>
      <c r="AV75" s="243"/>
      <c r="AW75" s="243"/>
      <c r="AX75" s="243"/>
      <c r="AY75" s="243"/>
      <c r="AZ75" s="243"/>
      <c r="BA75" s="243"/>
      <c r="BB75" s="243"/>
      <c r="BC75" s="243"/>
      <c r="BD75" s="243"/>
      <c r="BE75" s="246" t="s">
        <v>697</v>
      </c>
      <c r="BF75" s="246">
        <v>0</v>
      </c>
      <c r="BG75" s="246">
        <v>0</v>
      </c>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row>
    <row r="76" spans="1:94" s="290" customFormat="1">
      <c r="A76" s="288"/>
      <c r="B76" s="288"/>
      <c r="C76" s="288"/>
      <c r="D76" s="288"/>
      <c r="E76" s="288"/>
      <c r="F76" s="288"/>
      <c r="G76" s="288"/>
      <c r="H76" s="288"/>
      <c r="I76" s="288"/>
      <c r="J76" s="288"/>
      <c r="K76" s="288"/>
      <c r="L76" s="288"/>
      <c r="M76" s="288"/>
      <c r="N76" s="288"/>
      <c r="O76" s="263"/>
      <c r="P76" s="288"/>
      <c r="Q76" s="288"/>
      <c r="R76" s="288"/>
      <c r="S76" s="288"/>
      <c r="T76" s="288"/>
      <c r="U76" s="288"/>
      <c r="V76" s="288"/>
      <c r="W76" s="288"/>
      <c r="X76" s="288"/>
      <c r="Y76" s="288"/>
      <c r="Z76" s="288"/>
      <c r="AA76" s="288"/>
      <c r="AB76" s="288"/>
      <c r="AC76" s="288"/>
      <c r="AD76" s="288"/>
      <c r="AE76" s="288"/>
      <c r="AF76" s="288"/>
      <c r="AG76" s="288"/>
      <c r="AH76" s="288"/>
      <c r="AI76" s="288"/>
      <c r="AJ76" s="288"/>
      <c r="AK76" s="289"/>
      <c r="AL76" s="289"/>
      <c r="AM76" s="289"/>
      <c r="AN76" s="289"/>
      <c r="AO76" s="289"/>
      <c r="AP76" s="289"/>
      <c r="AQ76" s="289"/>
      <c r="AR76" s="243"/>
      <c r="AS76" s="243"/>
      <c r="AT76" s="243"/>
      <c r="AU76" s="243"/>
      <c r="AV76" s="243"/>
      <c r="AW76" s="243"/>
      <c r="AX76" s="243"/>
      <c r="AY76" s="243"/>
      <c r="AZ76" s="243"/>
      <c r="BA76" s="243"/>
      <c r="BB76" s="243"/>
      <c r="BC76" s="243"/>
      <c r="BD76" s="243"/>
      <c r="BE76" s="246" t="s">
        <v>431</v>
      </c>
      <c r="BF76" s="246">
        <v>1E-4</v>
      </c>
      <c r="BG76" s="246">
        <v>0.17530000000000001</v>
      </c>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c r="CM76" s="243"/>
      <c r="CN76" s="243"/>
      <c r="CO76" s="243"/>
      <c r="CP76" s="243"/>
    </row>
    <row r="77" spans="1:94" s="290" customForma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9"/>
      <c r="AL77" s="289"/>
      <c r="AM77" s="289"/>
      <c r="AN77" s="289"/>
      <c r="AO77" s="289"/>
      <c r="AP77" s="289"/>
      <c r="AQ77" s="289"/>
      <c r="AR77" s="243"/>
      <c r="AS77" s="243"/>
      <c r="AT77" s="243"/>
      <c r="AU77" s="243"/>
      <c r="AV77" s="243"/>
      <c r="AW77" s="243"/>
      <c r="AX77" s="243"/>
      <c r="AY77" s="243"/>
      <c r="AZ77" s="243"/>
      <c r="BA77" s="243"/>
      <c r="BB77" s="243"/>
      <c r="BC77" s="243"/>
      <c r="BD77" s="243"/>
      <c r="BE77" s="243"/>
      <c r="BF77" s="246"/>
      <c r="BG77" s="246"/>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c r="CM77" s="243"/>
      <c r="CN77" s="243"/>
      <c r="CO77" s="243"/>
      <c r="CP77" s="243"/>
    </row>
    <row r="78" spans="1:94" s="290" customForma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9"/>
      <c r="AL78" s="289"/>
      <c r="AM78" s="289"/>
      <c r="AN78" s="289"/>
      <c r="AO78" s="289"/>
      <c r="AP78" s="289"/>
      <c r="AQ78" s="289"/>
      <c r="AR78" s="243"/>
      <c r="AS78" s="243"/>
      <c r="AT78" s="243"/>
      <c r="AU78" s="243"/>
      <c r="AV78" s="243"/>
      <c r="AW78" s="243"/>
      <c r="AX78" s="243"/>
      <c r="AY78" s="243"/>
      <c r="AZ78" s="243"/>
      <c r="BA78" s="243"/>
      <c r="BB78" s="243"/>
      <c r="BC78" s="243"/>
      <c r="BD78" s="243"/>
      <c r="BE78" s="243"/>
      <c r="BF78" s="246"/>
      <c r="BG78" s="246"/>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c r="CM78" s="243"/>
      <c r="CN78" s="243"/>
      <c r="CO78" s="243"/>
      <c r="CP78" s="243"/>
    </row>
    <row r="79" spans="1:94" s="290" customForma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9"/>
      <c r="AL79" s="289"/>
      <c r="AM79" s="289"/>
      <c r="AN79" s="289"/>
      <c r="AO79" s="289"/>
      <c r="AP79" s="289"/>
      <c r="AQ79" s="289"/>
      <c r="AR79" s="243"/>
      <c r="AS79" s="243"/>
      <c r="AT79" s="243"/>
      <c r="AU79" s="243"/>
      <c r="AV79" s="243"/>
      <c r="AW79" s="243"/>
      <c r="AX79" s="243"/>
      <c r="AY79" s="243"/>
      <c r="AZ79" s="243"/>
      <c r="BA79" s="243"/>
      <c r="BB79" s="243"/>
      <c r="BC79" s="243"/>
      <c r="BD79" s="243"/>
      <c r="BE79" s="243"/>
      <c r="BF79" s="246"/>
      <c r="BG79" s="246"/>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c r="CM79" s="243"/>
      <c r="CN79" s="243"/>
      <c r="CO79" s="243"/>
      <c r="CP79" s="243"/>
    </row>
    <row r="80" spans="1:94" s="290" customForma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9"/>
      <c r="AL80" s="289"/>
      <c r="AM80" s="289"/>
      <c r="AN80" s="289"/>
      <c r="AO80" s="289"/>
      <c r="AP80" s="289"/>
      <c r="AQ80" s="289"/>
      <c r="AR80" s="243"/>
      <c r="AS80" s="243"/>
      <c r="AT80" s="243"/>
      <c r="AU80" s="243"/>
      <c r="AV80" s="243"/>
      <c r="AW80" s="243"/>
      <c r="AX80" s="243"/>
      <c r="AY80" s="243"/>
      <c r="AZ80" s="243"/>
      <c r="BA80" s="243"/>
      <c r="BB80" s="243"/>
      <c r="BC80" s="243"/>
      <c r="BD80" s="243"/>
      <c r="BE80" s="243"/>
      <c r="BF80" s="246"/>
      <c r="BG80" s="246"/>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c r="CM80" s="243"/>
      <c r="CN80" s="243"/>
      <c r="CO80" s="243"/>
      <c r="CP80" s="243"/>
    </row>
    <row r="81" spans="1:94" s="290" customForma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9"/>
      <c r="AL81" s="289"/>
      <c r="AM81" s="289"/>
      <c r="AN81" s="289"/>
      <c r="AO81" s="289"/>
      <c r="AP81" s="289"/>
      <c r="AQ81" s="289"/>
      <c r="AR81" s="243"/>
      <c r="AS81" s="243"/>
      <c r="AT81" s="243"/>
      <c r="AU81" s="243"/>
      <c r="AV81" s="243"/>
      <c r="AW81" s="243"/>
      <c r="AX81" s="243"/>
      <c r="AY81" s="243"/>
      <c r="AZ81" s="243"/>
      <c r="BA81" s="243"/>
      <c r="BB81" s="243"/>
      <c r="BC81" s="243"/>
      <c r="BD81" s="243"/>
      <c r="BE81" s="243"/>
      <c r="BF81" s="246"/>
      <c r="BG81" s="246"/>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c r="CM81" s="243"/>
      <c r="CN81" s="243"/>
      <c r="CO81" s="243"/>
      <c r="CP81" s="243"/>
    </row>
    <row r="82" spans="1:94" s="290" customForma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9"/>
      <c r="AL82" s="289"/>
      <c r="AM82" s="289"/>
      <c r="AN82" s="289"/>
      <c r="AO82" s="289"/>
      <c r="AP82" s="289"/>
      <c r="AQ82" s="289"/>
      <c r="AR82" s="243"/>
      <c r="AS82" s="243"/>
      <c r="AT82" s="243"/>
      <c r="AU82" s="243"/>
      <c r="AV82" s="243"/>
      <c r="AW82" s="243"/>
      <c r="AX82" s="243"/>
      <c r="AY82" s="243"/>
      <c r="AZ82" s="243"/>
      <c r="BA82" s="243"/>
      <c r="BB82" s="243"/>
      <c r="BC82" s="243"/>
      <c r="BD82" s="243"/>
      <c r="BE82" s="243"/>
      <c r="BF82" s="246"/>
      <c r="BG82" s="246"/>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c r="CM82" s="243"/>
      <c r="CN82" s="243"/>
      <c r="CO82" s="243"/>
      <c r="CP82" s="243"/>
    </row>
    <row r="83" spans="1:94" s="290" customForma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9"/>
      <c r="AL83" s="289"/>
      <c r="AM83" s="289"/>
      <c r="AN83" s="289"/>
      <c r="AO83" s="289"/>
      <c r="AP83" s="289"/>
      <c r="AQ83" s="289"/>
      <c r="AR83" s="243"/>
      <c r="AS83" s="243"/>
      <c r="AT83" s="243"/>
      <c r="AU83" s="243"/>
      <c r="AV83" s="243"/>
      <c r="AW83" s="243"/>
      <c r="AX83" s="243"/>
      <c r="AY83" s="243"/>
      <c r="AZ83" s="243"/>
      <c r="BA83" s="243"/>
      <c r="BB83" s="243"/>
      <c r="BC83" s="243"/>
      <c r="BD83" s="243"/>
      <c r="BE83" s="243"/>
      <c r="BF83" s="246"/>
      <c r="BG83" s="246"/>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c r="CM83" s="243"/>
      <c r="CN83" s="243"/>
      <c r="CO83" s="243"/>
      <c r="CP83" s="243"/>
    </row>
    <row r="84" spans="1:94" s="290" customForma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9"/>
      <c r="AL84" s="289"/>
      <c r="AM84" s="289"/>
      <c r="AN84" s="289"/>
      <c r="AO84" s="289"/>
      <c r="AP84" s="289"/>
      <c r="AQ84" s="289"/>
      <c r="AR84" s="243"/>
      <c r="AS84" s="243"/>
      <c r="AT84" s="243"/>
      <c r="AU84" s="243"/>
      <c r="AV84" s="243"/>
      <c r="AW84" s="243"/>
      <c r="AX84" s="243"/>
      <c r="AY84" s="243"/>
      <c r="AZ84" s="243"/>
      <c r="BA84" s="243"/>
      <c r="BB84" s="243"/>
      <c r="BC84" s="243"/>
      <c r="BD84" s="243"/>
      <c r="BE84" s="243"/>
      <c r="BF84" s="246"/>
      <c r="BG84" s="246"/>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c r="CM84" s="243"/>
      <c r="CN84" s="243"/>
      <c r="CO84" s="243"/>
      <c r="CP84" s="243"/>
    </row>
    <row r="85" spans="1:94" s="290" customForma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9"/>
      <c r="AL85" s="289"/>
      <c r="AM85" s="289"/>
      <c r="AN85" s="289"/>
      <c r="AO85" s="289"/>
      <c r="AP85" s="289"/>
      <c r="AQ85" s="289"/>
      <c r="AR85" s="243"/>
      <c r="AS85" s="243"/>
      <c r="AT85" s="243"/>
      <c r="AU85" s="243"/>
      <c r="AV85" s="243"/>
      <c r="AW85" s="243"/>
      <c r="AX85" s="243"/>
      <c r="AY85" s="243"/>
      <c r="AZ85" s="243"/>
      <c r="BA85" s="243"/>
      <c r="BB85" s="243"/>
      <c r="BC85" s="243"/>
      <c r="BD85" s="243"/>
      <c r="BE85" s="243"/>
      <c r="BF85" s="246"/>
      <c r="BG85" s="246"/>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c r="CM85" s="243"/>
      <c r="CN85" s="243"/>
      <c r="CO85" s="243"/>
      <c r="CP85" s="243"/>
    </row>
    <row r="86" spans="1:94" s="290" customForma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9"/>
      <c r="AL86" s="289"/>
      <c r="AM86" s="289"/>
      <c r="AN86" s="289"/>
      <c r="AO86" s="289"/>
      <c r="AP86" s="289"/>
      <c r="AQ86" s="289"/>
      <c r="AR86" s="243"/>
      <c r="AS86" s="243"/>
      <c r="AT86" s="243"/>
      <c r="AU86" s="243"/>
      <c r="AV86" s="243"/>
      <c r="AW86" s="243"/>
      <c r="AX86" s="243"/>
      <c r="AY86" s="243"/>
      <c r="AZ86" s="243"/>
      <c r="BA86" s="243"/>
      <c r="BB86" s="243"/>
      <c r="BC86" s="243"/>
      <c r="BD86" s="243"/>
      <c r="BE86" s="243"/>
      <c r="BF86" s="246"/>
      <c r="BG86" s="246"/>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row>
    <row r="87" spans="1:94" s="290" customForma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9"/>
      <c r="AL87" s="289"/>
      <c r="AM87" s="289"/>
      <c r="AN87" s="289"/>
      <c r="AO87" s="289"/>
      <c r="AP87" s="289"/>
      <c r="AQ87" s="289"/>
      <c r="AR87" s="243"/>
      <c r="AS87" s="243"/>
      <c r="AT87" s="243"/>
      <c r="AU87" s="243"/>
      <c r="AV87" s="243"/>
      <c r="AW87" s="243"/>
      <c r="AX87" s="243"/>
      <c r="AY87" s="243"/>
      <c r="AZ87" s="243"/>
      <c r="BA87" s="243"/>
      <c r="BB87" s="243"/>
      <c r="BC87" s="243"/>
      <c r="BD87" s="243"/>
      <c r="BE87" s="243"/>
      <c r="BF87" s="246"/>
      <c r="BG87" s="246"/>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c r="CM87" s="243"/>
      <c r="CN87" s="243"/>
      <c r="CO87" s="243"/>
      <c r="CP87" s="243"/>
    </row>
    <row r="88" spans="1:94" s="290" customForma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9"/>
      <c r="AL88" s="289"/>
      <c r="AM88" s="289"/>
      <c r="AN88" s="289"/>
      <c r="AO88" s="289"/>
      <c r="AP88" s="289"/>
      <c r="AQ88" s="289"/>
      <c r="AR88" s="243"/>
      <c r="AS88" s="243"/>
      <c r="AT88" s="243"/>
      <c r="AU88" s="243"/>
      <c r="AV88" s="243"/>
      <c r="AW88" s="243"/>
      <c r="AX88" s="243"/>
      <c r="AY88" s="243"/>
      <c r="AZ88" s="243"/>
      <c r="BA88" s="243"/>
      <c r="BB88" s="243"/>
      <c r="BC88" s="243"/>
      <c r="BD88" s="243"/>
      <c r="BE88" s="243"/>
      <c r="BF88" s="246"/>
      <c r="BG88" s="246"/>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c r="CM88" s="243"/>
      <c r="CN88" s="243"/>
      <c r="CO88" s="243"/>
      <c r="CP88" s="243"/>
    </row>
    <row r="89" spans="1:94" s="290" customForma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9"/>
      <c r="AL89" s="289"/>
      <c r="AM89" s="289"/>
      <c r="AN89" s="289"/>
      <c r="AO89" s="289"/>
      <c r="AP89" s="289"/>
      <c r="AQ89" s="289"/>
      <c r="AR89" s="243"/>
      <c r="AS89" s="243"/>
      <c r="AT89" s="243"/>
      <c r="AU89" s="243"/>
      <c r="AV89" s="243"/>
      <c r="AW89" s="243"/>
      <c r="AX89" s="243"/>
      <c r="AY89" s="243"/>
      <c r="AZ89" s="243"/>
      <c r="BA89" s="243"/>
      <c r="BB89" s="243"/>
      <c r="BC89" s="243"/>
      <c r="BD89" s="243"/>
      <c r="BE89" s="243"/>
      <c r="BF89" s="246"/>
      <c r="BG89" s="246"/>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row>
    <row r="90" spans="1:94" s="290" customForma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9"/>
      <c r="AL90" s="289"/>
      <c r="AM90" s="289"/>
      <c r="AN90" s="289"/>
      <c r="AO90" s="289"/>
      <c r="AP90" s="289"/>
      <c r="AQ90" s="289"/>
      <c r="AR90" s="243"/>
      <c r="AS90" s="243"/>
      <c r="AT90" s="243"/>
      <c r="AU90" s="243"/>
      <c r="AV90" s="243"/>
      <c r="AW90" s="243"/>
      <c r="AX90" s="243"/>
      <c r="AY90" s="243"/>
      <c r="AZ90" s="243"/>
      <c r="BA90" s="243"/>
      <c r="BB90" s="243"/>
      <c r="BC90" s="243"/>
      <c r="BD90" s="243"/>
      <c r="BE90" s="243"/>
      <c r="BF90" s="246"/>
      <c r="BG90" s="246"/>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row>
    <row r="91" spans="1:94">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9"/>
      <c r="AL91" s="289"/>
      <c r="AM91" s="289"/>
      <c r="AN91" s="289"/>
      <c r="AO91" s="289"/>
      <c r="AP91" s="289"/>
      <c r="AQ91" s="289"/>
      <c r="AR91" s="243"/>
      <c r="AS91" s="243"/>
      <c r="AT91" s="243"/>
      <c r="AU91" s="243"/>
      <c r="AV91" s="243"/>
      <c r="AW91" s="243"/>
      <c r="AX91" s="243"/>
      <c r="AY91" s="243"/>
      <c r="AZ91" s="243"/>
      <c r="BA91" s="243"/>
      <c r="BB91" s="243"/>
      <c r="BC91" s="243"/>
      <c r="BD91" s="243"/>
      <c r="BE91" s="243"/>
      <c r="BF91" s="246"/>
      <c r="BG91" s="246"/>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row>
    <row r="92" spans="1:94">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9"/>
      <c r="AL92" s="289"/>
      <c r="AM92" s="289"/>
      <c r="AN92" s="289"/>
      <c r="AO92" s="289"/>
      <c r="AP92" s="289"/>
      <c r="AQ92" s="289"/>
      <c r="AR92" s="243"/>
      <c r="AS92" s="243"/>
      <c r="AT92" s="243"/>
      <c r="AU92" s="243"/>
      <c r="AV92" s="243"/>
      <c r="AW92" s="243"/>
      <c r="AX92" s="243"/>
      <c r="AY92" s="243"/>
      <c r="AZ92" s="243"/>
      <c r="BA92" s="243"/>
      <c r="BB92" s="243"/>
      <c r="BC92" s="243"/>
      <c r="BD92" s="243"/>
      <c r="BE92" s="243"/>
      <c r="BF92" s="246"/>
      <c r="BG92" s="246"/>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row>
    <row r="93" spans="1:94">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9"/>
      <c r="AL93" s="289"/>
      <c r="AM93" s="289"/>
      <c r="AN93" s="289"/>
      <c r="AO93" s="289"/>
      <c r="AP93" s="289"/>
      <c r="AQ93" s="289"/>
      <c r="AR93" s="243"/>
      <c r="AS93" s="243"/>
      <c r="AT93" s="243"/>
      <c r="AU93" s="243"/>
      <c r="AV93" s="243"/>
      <c r="AW93" s="243"/>
      <c r="AX93" s="243"/>
      <c r="AY93" s="243"/>
      <c r="AZ93" s="243"/>
      <c r="BA93" s="243"/>
      <c r="BB93" s="243"/>
      <c r="BC93" s="243"/>
      <c r="BD93" s="243"/>
      <c r="BE93" s="243"/>
      <c r="BF93" s="246"/>
      <c r="BG93" s="246"/>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row>
    <row r="94" spans="1:94">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9"/>
      <c r="AL94" s="289"/>
      <c r="AM94" s="289"/>
      <c r="AN94" s="289"/>
      <c r="AO94" s="289"/>
      <c r="AP94" s="289"/>
      <c r="AQ94" s="289"/>
      <c r="AR94" s="243"/>
      <c r="AS94" s="243"/>
      <c r="AT94" s="243"/>
      <c r="AU94" s="243"/>
      <c r="AV94" s="243"/>
      <c r="AW94" s="243"/>
      <c r="AX94" s="243"/>
      <c r="AY94" s="243"/>
      <c r="AZ94" s="243"/>
      <c r="BA94" s="243"/>
      <c r="BB94" s="243"/>
      <c r="BC94" s="243"/>
      <c r="BD94" s="243"/>
      <c r="BE94" s="243"/>
      <c r="BF94" s="246"/>
      <c r="BG94" s="246"/>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row>
    <row r="95" spans="1:94">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9"/>
      <c r="AL95" s="289"/>
      <c r="AM95" s="289"/>
      <c r="AN95" s="289"/>
      <c r="AO95" s="289"/>
      <c r="AP95" s="289"/>
      <c r="AQ95" s="289"/>
      <c r="AR95" s="243"/>
      <c r="AS95" s="243"/>
      <c r="AT95" s="243"/>
      <c r="AU95" s="243"/>
      <c r="AV95" s="243"/>
      <c r="AW95" s="243"/>
      <c r="AX95" s="243"/>
      <c r="AY95" s="243"/>
      <c r="AZ95" s="243"/>
      <c r="BA95" s="243"/>
      <c r="BB95" s="243"/>
      <c r="BC95" s="243"/>
      <c r="BD95" s="243"/>
      <c r="BE95" s="243"/>
      <c r="BF95" s="246"/>
      <c r="BG95" s="246"/>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row>
    <row r="96" spans="1:94">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9"/>
      <c r="AL96" s="289"/>
      <c r="AM96" s="289"/>
      <c r="AN96" s="289"/>
      <c r="AO96" s="289"/>
      <c r="AP96" s="289"/>
      <c r="AQ96" s="289"/>
      <c r="AR96" s="243"/>
      <c r="AS96" s="243"/>
      <c r="AT96" s="243"/>
      <c r="AU96" s="243"/>
      <c r="AV96" s="243"/>
      <c r="AW96" s="243"/>
      <c r="AX96" s="243"/>
      <c r="AY96" s="243"/>
      <c r="AZ96" s="243"/>
      <c r="BA96" s="243"/>
      <c r="BB96" s="243"/>
      <c r="BC96" s="243"/>
      <c r="BD96" s="243"/>
      <c r="BE96" s="243"/>
      <c r="BF96" s="246"/>
      <c r="BG96" s="246"/>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row>
    <row r="97" spans="1:94">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9"/>
      <c r="AL97" s="289"/>
      <c r="AM97" s="289"/>
      <c r="AN97" s="289"/>
      <c r="AO97" s="289"/>
      <c r="AP97" s="289"/>
      <c r="AQ97" s="289"/>
      <c r="AR97" s="243"/>
      <c r="AS97" s="243"/>
      <c r="AT97" s="243"/>
      <c r="AU97" s="243"/>
      <c r="AV97" s="243"/>
      <c r="AW97" s="243"/>
      <c r="AX97" s="243"/>
      <c r="AY97" s="243"/>
      <c r="AZ97" s="243"/>
      <c r="BA97" s="243"/>
      <c r="BB97" s="243"/>
      <c r="BC97" s="243"/>
      <c r="BD97" s="243"/>
      <c r="BE97" s="243"/>
      <c r="BF97" s="246"/>
      <c r="BG97" s="246"/>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c r="CM97" s="243"/>
      <c r="CN97" s="243"/>
      <c r="CO97" s="243"/>
      <c r="CP97" s="243"/>
    </row>
    <row r="98" spans="1:94">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9"/>
      <c r="AL98" s="289"/>
      <c r="AM98" s="289"/>
      <c r="AN98" s="289"/>
      <c r="AO98" s="289"/>
      <c r="AP98" s="289"/>
      <c r="AQ98" s="289"/>
      <c r="AR98" s="243"/>
      <c r="AS98" s="243"/>
      <c r="AT98" s="243"/>
      <c r="AU98" s="243"/>
      <c r="AV98" s="243"/>
      <c r="AW98" s="243"/>
      <c r="AX98" s="243"/>
      <c r="AY98" s="243"/>
      <c r="AZ98" s="243"/>
      <c r="BA98" s="243"/>
      <c r="BB98" s="243"/>
      <c r="BC98" s="243"/>
      <c r="BD98" s="243"/>
      <c r="BE98" s="243"/>
      <c r="BF98" s="246"/>
      <c r="BG98" s="246"/>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c r="CM98" s="243"/>
      <c r="CN98" s="243"/>
      <c r="CO98" s="243"/>
      <c r="CP98" s="243"/>
    </row>
    <row r="99" spans="1:94">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9"/>
      <c r="AL99" s="289"/>
      <c r="AM99" s="289"/>
      <c r="AN99" s="289"/>
      <c r="AO99" s="289"/>
      <c r="AP99" s="289"/>
      <c r="AQ99" s="289"/>
      <c r="AR99" s="243"/>
      <c r="AS99" s="243"/>
      <c r="AT99" s="243"/>
      <c r="AU99" s="243"/>
      <c r="AV99" s="243"/>
      <c r="AW99" s="243"/>
      <c r="AX99" s="243"/>
      <c r="AY99" s="243"/>
      <c r="AZ99" s="243"/>
      <c r="BA99" s="243"/>
      <c r="BB99" s="243"/>
      <c r="BC99" s="243"/>
      <c r="BD99" s="243"/>
      <c r="BE99" s="243"/>
      <c r="BF99" s="246"/>
      <c r="BG99" s="246"/>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c r="CM99" s="243"/>
      <c r="CN99" s="243"/>
      <c r="CO99" s="243"/>
      <c r="CP99" s="243"/>
    </row>
    <row r="100" spans="1:94">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9"/>
      <c r="AL100" s="289"/>
      <c r="AM100" s="289"/>
      <c r="AN100" s="289"/>
      <c r="AO100" s="289"/>
      <c r="AP100" s="289"/>
      <c r="AQ100" s="289"/>
      <c r="AR100" s="243"/>
      <c r="AS100" s="243"/>
      <c r="AT100" s="243"/>
      <c r="AU100" s="243"/>
      <c r="AV100" s="243"/>
      <c r="AW100" s="243"/>
      <c r="AX100" s="243"/>
      <c r="AY100" s="243"/>
      <c r="AZ100" s="243"/>
      <c r="BA100" s="243"/>
      <c r="BB100" s="243"/>
      <c r="BC100" s="243"/>
      <c r="BD100" s="243"/>
      <c r="BE100" s="243"/>
      <c r="BF100" s="246"/>
      <c r="BG100" s="246"/>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c r="CM100" s="243"/>
      <c r="CN100" s="243"/>
      <c r="CO100" s="243"/>
      <c r="CP100" s="243"/>
    </row>
    <row r="101" spans="1:94">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9"/>
      <c r="AL101" s="289"/>
      <c r="AM101" s="289"/>
      <c r="AN101" s="289"/>
      <c r="AO101" s="289"/>
      <c r="AP101" s="289"/>
      <c r="AQ101" s="289"/>
      <c r="AR101" s="243"/>
      <c r="AS101" s="243"/>
      <c r="AT101" s="243"/>
      <c r="AU101" s="243"/>
      <c r="AV101" s="243"/>
      <c r="AW101" s="243"/>
      <c r="AX101" s="243"/>
      <c r="AY101" s="243"/>
      <c r="AZ101" s="243"/>
      <c r="BA101" s="243"/>
      <c r="BB101" s="243"/>
      <c r="BC101" s="243"/>
      <c r="BD101" s="243"/>
      <c r="BE101" s="243"/>
      <c r="BF101" s="246"/>
      <c r="BG101" s="246"/>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c r="CM101" s="243"/>
      <c r="CN101" s="243"/>
      <c r="CO101" s="243"/>
      <c r="CP101" s="243"/>
    </row>
    <row r="102" spans="1:94">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9"/>
      <c r="AL102" s="289"/>
      <c r="AM102" s="289"/>
      <c r="AN102" s="289"/>
      <c r="AO102" s="289"/>
      <c r="AP102" s="289"/>
      <c r="AQ102" s="289"/>
      <c r="AR102" s="243"/>
      <c r="AS102" s="243"/>
      <c r="AT102" s="243"/>
      <c r="AU102" s="243"/>
      <c r="AV102" s="243"/>
      <c r="AW102" s="243"/>
      <c r="AX102" s="243"/>
      <c r="AY102" s="243"/>
      <c r="AZ102" s="243"/>
      <c r="BA102" s="243"/>
      <c r="BB102" s="243"/>
      <c r="BC102" s="243"/>
      <c r="BD102" s="243"/>
      <c r="BE102" s="243"/>
      <c r="BF102" s="246"/>
      <c r="BG102" s="246"/>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row>
    <row r="103" spans="1:94">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9"/>
      <c r="AL103" s="289"/>
      <c r="AM103" s="289"/>
      <c r="AN103" s="289"/>
      <c r="AO103" s="289"/>
      <c r="AP103" s="289"/>
      <c r="AQ103" s="289"/>
      <c r="AR103" s="243"/>
      <c r="AS103" s="243"/>
      <c r="AT103" s="243"/>
      <c r="AU103" s="243"/>
      <c r="AV103" s="243"/>
      <c r="AW103" s="243"/>
      <c r="AX103" s="243"/>
      <c r="AY103" s="243"/>
      <c r="AZ103" s="243"/>
      <c r="BA103" s="243"/>
      <c r="BB103" s="243"/>
      <c r="BC103" s="243"/>
      <c r="BD103" s="243"/>
      <c r="BE103" s="243"/>
      <c r="BF103" s="246"/>
      <c r="BG103" s="246"/>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row>
    <row r="104" spans="1:94">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9"/>
      <c r="AL104" s="289"/>
      <c r="AM104" s="289"/>
      <c r="AN104" s="289"/>
      <c r="AO104" s="289"/>
      <c r="AP104" s="289"/>
      <c r="AQ104" s="289"/>
      <c r="AR104" s="243"/>
      <c r="AS104" s="243"/>
      <c r="AT104" s="243"/>
      <c r="AU104" s="243"/>
      <c r="AV104" s="243"/>
      <c r="AW104" s="243"/>
      <c r="AX104" s="243"/>
      <c r="AY104" s="243"/>
      <c r="AZ104" s="243"/>
      <c r="BA104" s="243"/>
      <c r="BB104" s="243"/>
      <c r="BC104" s="243"/>
      <c r="BD104" s="243"/>
      <c r="BE104" s="243"/>
      <c r="BF104" s="246"/>
      <c r="BG104" s="246"/>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row>
    <row r="105" spans="1:94">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9"/>
      <c r="AL105" s="289"/>
      <c r="AM105" s="289"/>
      <c r="AN105" s="289"/>
      <c r="AO105" s="289"/>
      <c r="AP105" s="289"/>
      <c r="AQ105" s="289"/>
      <c r="AR105" s="243"/>
      <c r="AS105" s="243"/>
      <c r="AT105" s="243"/>
      <c r="AU105" s="243"/>
      <c r="AV105" s="243"/>
      <c r="AW105" s="243"/>
      <c r="AX105" s="243"/>
      <c r="AY105" s="243"/>
      <c r="AZ105" s="243"/>
      <c r="BA105" s="243"/>
      <c r="BB105" s="243"/>
      <c r="BC105" s="243"/>
      <c r="BD105" s="243"/>
      <c r="BE105" s="243"/>
      <c r="BF105" s="246"/>
      <c r="BG105" s="246"/>
      <c r="BH105" s="243"/>
      <c r="BI105" s="243"/>
      <c r="BJ105" s="243"/>
      <c r="BK105" s="243"/>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row>
    <row r="106" spans="1:94">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9"/>
      <c r="AL106" s="289"/>
      <c r="AM106" s="289"/>
      <c r="AN106" s="289"/>
      <c r="AO106" s="289"/>
      <c r="AP106" s="289"/>
      <c r="AQ106" s="289"/>
      <c r="AR106" s="243"/>
      <c r="AS106" s="243"/>
      <c r="AT106" s="243"/>
      <c r="AU106" s="243"/>
      <c r="AV106" s="243"/>
      <c r="AW106" s="243"/>
      <c r="AX106" s="243"/>
      <c r="AY106" s="243"/>
      <c r="AZ106" s="243"/>
      <c r="BA106" s="243"/>
      <c r="BB106" s="243"/>
      <c r="BC106" s="243"/>
      <c r="BD106" s="243"/>
      <c r="BE106" s="243"/>
      <c r="BF106" s="246"/>
      <c r="BG106" s="246"/>
      <c r="BH106" s="243"/>
      <c r="BI106" s="243"/>
      <c r="BJ106" s="243"/>
      <c r="BK106" s="243"/>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row>
    <row r="107" spans="1:94">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9"/>
      <c r="AL107" s="289"/>
      <c r="AM107" s="289"/>
      <c r="AN107" s="289"/>
      <c r="AO107" s="289"/>
      <c r="AP107" s="289"/>
      <c r="AQ107" s="289"/>
      <c r="AR107" s="243"/>
      <c r="AS107" s="243"/>
      <c r="AT107" s="243"/>
      <c r="AU107" s="243"/>
      <c r="AV107" s="243"/>
      <c r="AW107" s="243"/>
      <c r="AX107" s="243"/>
      <c r="AY107" s="243"/>
      <c r="AZ107" s="243"/>
      <c r="BA107" s="243"/>
      <c r="BB107" s="243"/>
      <c r="BC107" s="243"/>
      <c r="BD107" s="243"/>
      <c r="BE107" s="243"/>
      <c r="BF107" s="246"/>
      <c r="BG107" s="246"/>
      <c r="BH107" s="243"/>
      <c r="BI107" s="243"/>
      <c r="BJ107" s="243"/>
      <c r="BK107" s="243"/>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row>
    <row r="108" spans="1:94">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9"/>
      <c r="AL108" s="289"/>
      <c r="AM108" s="289"/>
      <c r="AN108" s="289"/>
      <c r="AO108" s="289"/>
      <c r="AP108" s="289"/>
      <c r="AQ108" s="289"/>
      <c r="AR108" s="243"/>
      <c r="AS108" s="243"/>
      <c r="AT108" s="243"/>
      <c r="AU108" s="243"/>
      <c r="AV108" s="243"/>
      <c r="AW108" s="243"/>
      <c r="AX108" s="243"/>
      <c r="AY108" s="243"/>
      <c r="AZ108" s="243"/>
      <c r="BA108" s="243"/>
      <c r="BB108" s="243"/>
      <c r="BC108" s="243"/>
      <c r="BD108" s="243"/>
      <c r="BE108" s="243"/>
      <c r="BF108" s="246"/>
      <c r="BG108" s="246"/>
      <c r="BH108" s="243"/>
      <c r="BI108" s="243"/>
      <c r="BJ108" s="243"/>
      <c r="BK108" s="243"/>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row>
    <row r="109" spans="1:94">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9"/>
      <c r="AL109" s="289"/>
      <c r="AM109" s="289"/>
      <c r="AN109" s="289"/>
      <c r="AO109" s="289"/>
      <c r="AP109" s="289"/>
      <c r="AQ109" s="289"/>
      <c r="AR109" s="243"/>
      <c r="AS109" s="243"/>
      <c r="AT109" s="243"/>
      <c r="AU109" s="243"/>
      <c r="AV109" s="243"/>
      <c r="AW109" s="243"/>
      <c r="AX109" s="243"/>
      <c r="AY109" s="243"/>
      <c r="AZ109" s="243"/>
      <c r="BA109" s="243"/>
      <c r="BB109" s="243"/>
      <c r="BC109" s="243"/>
      <c r="BD109" s="243"/>
      <c r="BE109" s="243"/>
      <c r="BF109" s="246"/>
      <c r="BG109" s="246"/>
      <c r="BH109" s="243"/>
      <c r="BI109" s="243"/>
      <c r="BJ109" s="243"/>
      <c r="BK109" s="243"/>
      <c r="BL109" s="243"/>
      <c r="BM109" s="243"/>
      <c r="BN109" s="243"/>
      <c r="BO109" s="243"/>
      <c r="BP109" s="243"/>
      <c r="BQ109" s="243"/>
      <c r="BR109" s="243"/>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c r="CM109" s="243"/>
      <c r="CN109" s="243"/>
      <c r="CO109" s="243"/>
      <c r="CP109" s="243"/>
    </row>
    <row r="110" spans="1:94">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9"/>
      <c r="AL110" s="289"/>
      <c r="AM110" s="289"/>
      <c r="AN110" s="289"/>
      <c r="AO110" s="289"/>
      <c r="AP110" s="289"/>
      <c r="AQ110" s="289"/>
      <c r="AR110" s="243"/>
      <c r="AS110" s="243"/>
      <c r="AT110" s="243"/>
      <c r="AU110" s="243"/>
      <c r="AV110" s="243"/>
      <c r="AW110" s="243"/>
      <c r="AX110" s="243"/>
      <c r="AY110" s="243"/>
      <c r="AZ110" s="243"/>
      <c r="BA110" s="243"/>
      <c r="BB110" s="243"/>
      <c r="BC110" s="243"/>
      <c r="BD110" s="243"/>
      <c r="BE110" s="243"/>
      <c r="BF110" s="246"/>
      <c r="BG110" s="246"/>
      <c r="BH110" s="243"/>
      <c r="BI110" s="243"/>
      <c r="BJ110" s="243"/>
      <c r="BK110" s="243"/>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row>
    <row r="111" spans="1:94">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9"/>
      <c r="AL111" s="289"/>
      <c r="AM111" s="289"/>
      <c r="AN111" s="289"/>
      <c r="AO111" s="289"/>
      <c r="AP111" s="289"/>
      <c r="AQ111" s="289"/>
      <c r="AR111" s="243"/>
      <c r="AS111" s="243"/>
      <c r="AT111" s="243"/>
      <c r="AU111" s="243"/>
      <c r="AV111" s="243"/>
      <c r="AW111" s="243"/>
      <c r="AX111" s="243"/>
      <c r="AY111" s="243"/>
      <c r="AZ111" s="243"/>
      <c r="BA111" s="243"/>
      <c r="BB111" s="243"/>
      <c r="BC111" s="243"/>
      <c r="BD111" s="243"/>
      <c r="BE111" s="243"/>
      <c r="BF111" s="246"/>
      <c r="BG111" s="246"/>
      <c r="BH111" s="243"/>
      <c r="BI111" s="243"/>
      <c r="BJ111" s="243"/>
      <c r="BK111" s="243"/>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row>
    <row r="112" spans="1:94">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9"/>
      <c r="AL112" s="289"/>
      <c r="AM112" s="289"/>
      <c r="AN112" s="289"/>
      <c r="AO112" s="289"/>
      <c r="AP112" s="289"/>
      <c r="AQ112" s="289"/>
      <c r="AR112" s="243"/>
      <c r="AS112" s="243"/>
      <c r="AT112" s="243"/>
      <c r="AU112" s="243"/>
      <c r="AV112" s="243"/>
      <c r="AW112" s="243"/>
      <c r="AX112" s="243"/>
      <c r="AY112" s="243"/>
      <c r="AZ112" s="243"/>
      <c r="BA112" s="243"/>
      <c r="BB112" s="243"/>
      <c r="BC112" s="243"/>
      <c r="BD112" s="243"/>
      <c r="BE112" s="243"/>
      <c r="BF112" s="246"/>
      <c r="BG112" s="246"/>
      <c r="BH112" s="243"/>
      <c r="BI112" s="243"/>
      <c r="BJ112" s="243"/>
      <c r="BK112" s="243"/>
      <c r="BL112" s="243"/>
      <c r="BM112" s="243"/>
      <c r="BN112" s="243"/>
      <c r="BO112" s="243"/>
      <c r="BP112" s="243"/>
      <c r="BQ112" s="243"/>
      <c r="BR112" s="243"/>
      <c r="BS112" s="243"/>
      <c r="BT112" s="243"/>
      <c r="BU112" s="243"/>
      <c r="BV112" s="243"/>
      <c r="BW112" s="243"/>
      <c r="BX112" s="243"/>
      <c r="BY112" s="243"/>
      <c r="BZ112" s="243"/>
      <c r="CA112" s="243"/>
      <c r="CB112" s="243"/>
      <c r="CC112" s="243"/>
      <c r="CD112" s="243"/>
      <c r="CE112" s="243"/>
      <c r="CF112" s="243"/>
      <c r="CG112" s="243"/>
      <c r="CH112" s="243"/>
      <c r="CI112" s="243"/>
      <c r="CJ112" s="243"/>
      <c r="CK112" s="243"/>
      <c r="CL112" s="243"/>
      <c r="CM112" s="243"/>
      <c r="CN112" s="243"/>
      <c r="CO112" s="243"/>
      <c r="CP112" s="243"/>
    </row>
    <row r="113" spans="1:94">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9"/>
      <c r="AL113" s="289"/>
      <c r="AM113" s="289"/>
      <c r="AN113" s="289"/>
      <c r="AO113" s="289"/>
      <c r="AP113" s="289"/>
      <c r="AQ113" s="289"/>
      <c r="AR113" s="243"/>
      <c r="AS113" s="243"/>
      <c r="AT113" s="243"/>
      <c r="AU113" s="243"/>
      <c r="AV113" s="243"/>
      <c r="AW113" s="243"/>
      <c r="AX113" s="243"/>
      <c r="AY113" s="243"/>
      <c r="AZ113" s="243"/>
      <c r="BA113" s="243"/>
      <c r="BB113" s="243"/>
      <c r="BC113" s="243"/>
      <c r="BD113" s="243"/>
      <c r="BE113" s="243"/>
      <c r="BF113" s="246"/>
      <c r="BG113" s="246"/>
      <c r="BH113" s="243"/>
      <c r="BI113" s="243"/>
      <c r="BJ113" s="243"/>
      <c r="BK113" s="243"/>
      <c r="BL113" s="243"/>
      <c r="BM113" s="243"/>
      <c r="BN113" s="243"/>
      <c r="BO113" s="243"/>
      <c r="BP113" s="243"/>
      <c r="BQ113" s="243"/>
      <c r="BR113" s="243"/>
      <c r="BS113" s="243"/>
      <c r="BT113" s="243"/>
      <c r="BU113" s="243"/>
      <c r="BV113" s="243"/>
      <c r="BW113" s="243"/>
      <c r="BX113" s="243"/>
      <c r="BY113" s="243"/>
      <c r="BZ113" s="243"/>
      <c r="CA113" s="243"/>
      <c r="CB113" s="243"/>
      <c r="CC113" s="243"/>
      <c r="CD113" s="243"/>
      <c r="CE113" s="243"/>
      <c r="CF113" s="243"/>
      <c r="CG113" s="243"/>
      <c r="CH113" s="243"/>
      <c r="CI113" s="243"/>
      <c r="CJ113" s="243"/>
      <c r="CK113" s="243"/>
      <c r="CL113" s="243"/>
      <c r="CM113" s="243"/>
      <c r="CN113" s="243"/>
      <c r="CO113" s="243"/>
      <c r="CP113" s="243"/>
    </row>
    <row r="114" spans="1:94">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9"/>
      <c r="AL114" s="289"/>
      <c r="AM114" s="289"/>
      <c r="AN114" s="289"/>
      <c r="AO114" s="289"/>
      <c r="AP114" s="289"/>
      <c r="AQ114" s="289"/>
      <c r="AR114" s="243"/>
      <c r="AS114" s="243"/>
      <c r="AT114" s="243"/>
      <c r="AU114" s="243"/>
      <c r="AV114" s="243"/>
      <c r="AW114" s="243"/>
      <c r="AX114" s="243"/>
      <c r="AY114" s="243"/>
      <c r="AZ114" s="243"/>
      <c r="BA114" s="243"/>
      <c r="BB114" s="243"/>
      <c r="BC114" s="243"/>
      <c r="BD114" s="243"/>
      <c r="BE114" s="243"/>
      <c r="BF114" s="246"/>
      <c r="BG114" s="246"/>
      <c r="BH114" s="243"/>
      <c r="BI114" s="243"/>
      <c r="BJ114" s="243"/>
      <c r="BK114" s="243"/>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row>
    <row r="115" spans="1:94">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9"/>
      <c r="AL115" s="289"/>
      <c r="AM115" s="289"/>
      <c r="AN115" s="289"/>
      <c r="AO115" s="289"/>
      <c r="AP115" s="289"/>
      <c r="AQ115" s="289"/>
      <c r="AR115" s="243"/>
      <c r="AS115" s="243"/>
      <c r="AT115" s="243"/>
      <c r="AU115" s="243"/>
      <c r="AV115" s="243"/>
      <c r="AW115" s="243"/>
      <c r="AX115" s="243"/>
      <c r="AY115" s="243"/>
      <c r="AZ115" s="243"/>
      <c r="BA115" s="243"/>
      <c r="BB115" s="243"/>
      <c r="BC115" s="243"/>
      <c r="BD115" s="243"/>
      <c r="BE115" s="243"/>
      <c r="BF115" s="246"/>
      <c r="BG115" s="246"/>
      <c r="BH115" s="243"/>
      <c r="BI115" s="243"/>
      <c r="BJ115" s="243"/>
      <c r="BK115" s="243"/>
      <c r="BL115" s="243"/>
      <c r="BM115" s="243"/>
      <c r="BN115" s="243"/>
      <c r="BO115" s="243"/>
      <c r="BP115" s="243"/>
      <c r="BQ115" s="243"/>
      <c r="BR115" s="243"/>
      <c r="BS115" s="243"/>
      <c r="BT115" s="243"/>
      <c r="BU115" s="243"/>
      <c r="BV115" s="243"/>
      <c r="BW115" s="243"/>
      <c r="BX115" s="243"/>
      <c r="BY115" s="243"/>
      <c r="BZ115" s="243"/>
      <c r="CA115" s="243"/>
      <c r="CB115" s="243"/>
      <c r="CC115" s="243"/>
      <c r="CD115" s="243"/>
      <c r="CE115" s="243"/>
      <c r="CF115" s="243"/>
      <c r="CG115" s="243"/>
      <c r="CH115" s="243"/>
      <c r="CI115" s="243"/>
      <c r="CJ115" s="243"/>
      <c r="CK115" s="243"/>
      <c r="CL115" s="243"/>
      <c r="CM115" s="243"/>
      <c r="CN115" s="243"/>
      <c r="CO115" s="243"/>
      <c r="CP115" s="243"/>
    </row>
    <row r="116" spans="1:94">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9"/>
      <c r="AL116" s="289"/>
      <c r="AM116" s="289"/>
      <c r="AN116" s="289"/>
      <c r="AO116" s="289"/>
      <c r="AP116" s="289"/>
      <c r="AQ116" s="289"/>
      <c r="AR116" s="243"/>
      <c r="AS116" s="243"/>
      <c r="AT116" s="243"/>
      <c r="AU116" s="243"/>
      <c r="AV116" s="243"/>
      <c r="AW116" s="243"/>
      <c r="AX116" s="243"/>
      <c r="AY116" s="243"/>
      <c r="AZ116" s="243"/>
      <c r="BA116" s="243"/>
      <c r="BB116" s="243"/>
      <c r="BC116" s="243"/>
      <c r="BD116" s="243"/>
      <c r="BE116" s="243"/>
      <c r="BF116" s="246"/>
      <c r="BG116" s="246"/>
      <c r="BH116" s="243"/>
      <c r="BI116" s="243"/>
      <c r="BJ116" s="243"/>
      <c r="BK116" s="243"/>
      <c r="BL116" s="243"/>
      <c r="BM116" s="243"/>
      <c r="BN116" s="243"/>
      <c r="BO116" s="243"/>
      <c r="BP116" s="243"/>
      <c r="BQ116" s="243"/>
      <c r="BR116" s="243"/>
      <c r="BS116" s="243"/>
      <c r="BT116" s="243"/>
      <c r="BU116" s="243"/>
      <c r="BV116" s="243"/>
      <c r="BW116" s="243"/>
      <c r="BX116" s="243"/>
      <c r="BY116" s="243"/>
      <c r="BZ116" s="243"/>
      <c r="CA116" s="243"/>
      <c r="CB116" s="243"/>
      <c r="CC116" s="243"/>
      <c r="CD116" s="243"/>
      <c r="CE116" s="243"/>
      <c r="CF116" s="243"/>
      <c r="CG116" s="243"/>
      <c r="CH116" s="243"/>
      <c r="CI116" s="243"/>
      <c r="CJ116" s="243"/>
      <c r="CK116" s="243"/>
      <c r="CL116" s="243"/>
      <c r="CM116" s="243"/>
      <c r="CN116" s="243"/>
      <c r="CO116" s="243"/>
      <c r="CP116" s="243"/>
    </row>
    <row r="117" spans="1:94">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9"/>
      <c r="AL117" s="289"/>
      <c r="AM117" s="289"/>
      <c r="AN117" s="289"/>
      <c r="AO117" s="289"/>
      <c r="AP117" s="289"/>
      <c r="AQ117" s="289"/>
      <c r="AR117" s="243"/>
      <c r="AS117" s="243"/>
      <c r="AT117" s="243"/>
      <c r="AU117" s="243"/>
      <c r="AV117" s="243"/>
      <c r="AW117" s="243"/>
      <c r="AX117" s="243"/>
      <c r="AY117" s="243"/>
      <c r="AZ117" s="243"/>
      <c r="BA117" s="243"/>
      <c r="BB117" s="243"/>
      <c r="BC117" s="243"/>
      <c r="BD117" s="243"/>
      <c r="BE117" s="243"/>
      <c r="BF117" s="246"/>
      <c r="BG117" s="246"/>
      <c r="BH117" s="243"/>
      <c r="BI117" s="243"/>
      <c r="BJ117" s="243"/>
      <c r="BK117" s="243"/>
      <c r="BL117" s="243"/>
      <c r="BM117" s="243"/>
      <c r="BN117" s="243"/>
      <c r="BO117" s="243"/>
      <c r="BP117" s="243"/>
      <c r="BQ117" s="243"/>
      <c r="BR117" s="243"/>
      <c r="BS117" s="243"/>
      <c r="BT117" s="243"/>
      <c r="BU117" s="243"/>
      <c r="BV117" s="243"/>
      <c r="BW117" s="243"/>
      <c r="BX117" s="243"/>
      <c r="BY117" s="243"/>
      <c r="BZ117" s="243"/>
      <c r="CA117" s="243"/>
      <c r="CB117" s="243"/>
      <c r="CC117" s="243"/>
      <c r="CD117" s="243"/>
      <c r="CE117" s="243"/>
      <c r="CF117" s="243"/>
      <c r="CG117" s="243"/>
      <c r="CH117" s="243"/>
      <c r="CI117" s="243"/>
      <c r="CJ117" s="243"/>
      <c r="CK117" s="243"/>
      <c r="CL117" s="243"/>
      <c r="CM117" s="243"/>
      <c r="CN117" s="243"/>
      <c r="CO117" s="243"/>
      <c r="CP117" s="243"/>
    </row>
    <row r="118" spans="1:94">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9"/>
      <c r="AL118" s="289"/>
      <c r="AM118" s="289"/>
      <c r="AN118" s="289"/>
      <c r="AO118" s="289"/>
      <c r="AP118" s="289"/>
      <c r="AQ118" s="289"/>
      <c r="AR118" s="243"/>
      <c r="AS118" s="243"/>
      <c r="AT118" s="243"/>
      <c r="AU118" s="243"/>
      <c r="AV118" s="243"/>
      <c r="AW118" s="243"/>
      <c r="AX118" s="243"/>
      <c r="AY118" s="243"/>
      <c r="AZ118" s="243"/>
      <c r="BA118" s="243"/>
      <c r="BB118" s="243"/>
      <c r="BC118" s="243"/>
      <c r="BD118" s="243"/>
      <c r="BE118" s="243"/>
      <c r="BF118" s="246"/>
      <c r="BG118" s="246"/>
      <c r="BH118" s="243"/>
      <c r="BI118" s="243"/>
      <c r="BJ118" s="243"/>
      <c r="BK118" s="243"/>
      <c r="BL118" s="243"/>
      <c r="BM118" s="243"/>
      <c r="BN118" s="243"/>
      <c r="BO118" s="243"/>
      <c r="BP118" s="243"/>
      <c r="BQ118" s="243"/>
      <c r="BR118" s="243"/>
      <c r="BS118" s="243"/>
      <c r="BT118" s="243"/>
      <c r="BU118" s="243"/>
      <c r="BV118" s="243"/>
      <c r="BW118" s="243"/>
      <c r="BX118" s="243"/>
      <c r="BY118" s="243"/>
      <c r="BZ118" s="243"/>
      <c r="CA118" s="243"/>
      <c r="CB118" s="243"/>
      <c r="CC118" s="243"/>
      <c r="CD118" s="243"/>
      <c r="CE118" s="243"/>
      <c r="CF118" s="243"/>
      <c r="CG118" s="243"/>
      <c r="CH118" s="243"/>
      <c r="CI118" s="243"/>
      <c r="CJ118" s="243"/>
      <c r="CK118" s="243"/>
      <c r="CL118" s="243"/>
      <c r="CM118" s="243"/>
      <c r="CN118" s="243"/>
      <c r="CO118" s="243"/>
      <c r="CP118" s="243"/>
    </row>
    <row r="119" spans="1:94">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9"/>
      <c r="AL119" s="289"/>
      <c r="AM119" s="289"/>
      <c r="AN119" s="289"/>
      <c r="AO119" s="289"/>
      <c r="AP119" s="289"/>
      <c r="AQ119" s="289"/>
      <c r="AR119" s="243"/>
      <c r="AS119" s="243"/>
      <c r="AT119" s="243"/>
      <c r="AU119" s="243"/>
      <c r="AV119" s="243"/>
      <c r="AW119" s="243"/>
      <c r="AX119" s="243"/>
      <c r="AY119" s="243"/>
      <c r="AZ119" s="243"/>
      <c r="BA119" s="243"/>
      <c r="BB119" s="243"/>
      <c r="BC119" s="243"/>
      <c r="BD119" s="243"/>
      <c r="BE119" s="243"/>
      <c r="BF119" s="246"/>
      <c r="BG119" s="246"/>
      <c r="BH119" s="243"/>
      <c r="BI119" s="243"/>
      <c r="BJ119" s="243"/>
      <c r="BK119" s="243"/>
      <c r="BL119" s="243"/>
      <c r="BM119" s="243"/>
      <c r="BN119" s="243"/>
      <c r="BO119" s="243"/>
      <c r="BP119" s="243"/>
      <c r="BQ119" s="243"/>
      <c r="BR119" s="243"/>
      <c r="BS119" s="243"/>
      <c r="BT119" s="243"/>
      <c r="BU119" s="243"/>
      <c r="BV119" s="243"/>
      <c r="BW119" s="243"/>
      <c r="BX119" s="243"/>
      <c r="BY119" s="243"/>
      <c r="BZ119" s="243"/>
      <c r="CA119" s="243"/>
      <c r="CB119" s="243"/>
      <c r="CC119" s="243"/>
      <c r="CD119" s="243"/>
      <c r="CE119" s="243"/>
      <c r="CF119" s="243"/>
      <c r="CG119" s="243"/>
      <c r="CH119" s="243"/>
      <c r="CI119" s="243"/>
      <c r="CJ119" s="243"/>
      <c r="CK119" s="243"/>
      <c r="CL119" s="243"/>
      <c r="CM119" s="243"/>
      <c r="CN119" s="243"/>
      <c r="CO119" s="243"/>
      <c r="CP119" s="243"/>
    </row>
    <row r="120" spans="1:94">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9"/>
      <c r="AL120" s="289"/>
      <c r="AM120" s="289"/>
      <c r="AN120" s="289"/>
      <c r="AO120" s="289"/>
      <c r="AP120" s="289"/>
      <c r="AQ120" s="289"/>
      <c r="AR120" s="243"/>
      <c r="AS120" s="243"/>
      <c r="AT120" s="243"/>
      <c r="AU120" s="243"/>
      <c r="AV120" s="243"/>
      <c r="AW120" s="243"/>
      <c r="AX120" s="243"/>
      <c r="AY120" s="243"/>
      <c r="AZ120" s="243"/>
      <c r="BA120" s="243"/>
      <c r="BB120" s="243"/>
      <c r="BC120" s="243"/>
      <c r="BD120" s="243"/>
      <c r="BE120" s="243"/>
      <c r="BF120" s="246"/>
      <c r="BG120" s="246"/>
      <c r="BH120" s="243"/>
      <c r="BI120" s="243"/>
      <c r="BJ120" s="243"/>
      <c r="BK120" s="243"/>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row>
    <row r="121" spans="1:94">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9"/>
      <c r="AL121" s="289"/>
      <c r="AM121" s="289"/>
      <c r="AN121" s="289"/>
      <c r="AO121" s="289"/>
      <c r="AP121" s="289"/>
      <c r="AQ121" s="289"/>
      <c r="AR121" s="243"/>
      <c r="AS121" s="243"/>
      <c r="AT121" s="243"/>
      <c r="AU121" s="243"/>
      <c r="AV121" s="243"/>
      <c r="AW121" s="243"/>
      <c r="AX121" s="243"/>
      <c r="AY121" s="243"/>
      <c r="AZ121" s="243"/>
      <c r="BA121" s="243"/>
      <c r="BB121" s="243"/>
      <c r="BC121" s="243"/>
      <c r="BD121" s="243"/>
      <c r="BE121" s="243"/>
      <c r="BF121" s="246"/>
      <c r="BG121" s="246"/>
      <c r="BH121" s="243"/>
      <c r="BI121" s="243"/>
      <c r="BJ121" s="243"/>
      <c r="BK121" s="243"/>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row>
    <row r="122" spans="1:94">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9"/>
      <c r="AL122" s="289"/>
      <c r="AM122" s="289"/>
      <c r="AN122" s="289"/>
      <c r="AO122" s="289"/>
      <c r="AP122" s="289"/>
      <c r="AQ122" s="289"/>
      <c r="AR122" s="243"/>
      <c r="AS122" s="243"/>
      <c r="AT122" s="243"/>
      <c r="AU122" s="243"/>
      <c r="AV122" s="243"/>
      <c r="AW122" s="243"/>
      <c r="AX122" s="243"/>
      <c r="AY122" s="243"/>
      <c r="AZ122" s="243"/>
      <c r="BA122" s="243"/>
      <c r="BB122" s="243"/>
      <c r="BC122" s="243"/>
      <c r="BD122" s="243"/>
      <c r="BE122" s="243"/>
      <c r="BF122" s="246"/>
      <c r="BG122" s="246"/>
      <c r="BH122" s="243"/>
      <c r="BI122" s="243"/>
      <c r="BJ122" s="243"/>
      <c r="BK122" s="243"/>
      <c r="BL122" s="243"/>
      <c r="BM122" s="243"/>
      <c r="BN122" s="243"/>
      <c r="BO122" s="243"/>
      <c r="BP122" s="243"/>
      <c r="BQ122" s="243"/>
      <c r="BR122" s="243"/>
      <c r="BS122" s="243"/>
      <c r="BT122" s="243"/>
      <c r="BU122" s="243"/>
      <c r="BV122" s="243"/>
      <c r="BW122" s="243"/>
      <c r="BX122" s="243"/>
      <c r="BY122" s="243"/>
      <c r="BZ122" s="243"/>
      <c r="CA122" s="243"/>
      <c r="CB122" s="243"/>
      <c r="CC122" s="243"/>
      <c r="CD122" s="243"/>
      <c r="CE122" s="243"/>
      <c r="CF122" s="243"/>
      <c r="CG122" s="243"/>
      <c r="CH122" s="243"/>
      <c r="CI122" s="243"/>
      <c r="CJ122" s="243"/>
      <c r="CK122" s="243"/>
      <c r="CL122" s="243"/>
      <c r="CM122" s="243"/>
      <c r="CN122" s="243"/>
      <c r="CO122" s="243"/>
      <c r="CP122" s="243"/>
    </row>
    <row r="123" spans="1:94">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9"/>
      <c r="AL123" s="289"/>
      <c r="AM123" s="289"/>
      <c r="AN123" s="289"/>
      <c r="AO123" s="289"/>
      <c r="AP123" s="289"/>
      <c r="AQ123" s="289"/>
      <c r="AR123" s="243"/>
      <c r="AS123" s="243"/>
      <c r="AT123" s="243"/>
      <c r="AU123" s="243"/>
      <c r="AV123" s="243"/>
      <c r="AW123" s="243"/>
      <c r="AX123" s="243"/>
      <c r="AY123" s="243"/>
      <c r="AZ123" s="243"/>
      <c r="BA123" s="243"/>
      <c r="BB123" s="243"/>
      <c r="BC123" s="243"/>
      <c r="BD123" s="243"/>
      <c r="BE123" s="243"/>
      <c r="BF123" s="246"/>
      <c r="BG123" s="246"/>
      <c r="BH123" s="243"/>
      <c r="BI123" s="243"/>
      <c r="BJ123" s="243"/>
      <c r="BK123" s="243"/>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row>
    <row r="124" spans="1:94">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9"/>
      <c r="AL124" s="289"/>
      <c r="AM124" s="289"/>
      <c r="AN124" s="289"/>
      <c r="AO124" s="289"/>
      <c r="AP124" s="289"/>
      <c r="AQ124" s="289"/>
      <c r="AR124" s="243"/>
      <c r="AS124" s="243"/>
      <c r="AT124" s="243"/>
      <c r="AU124" s="243"/>
      <c r="AV124" s="243"/>
      <c r="AW124" s="243"/>
      <c r="AX124" s="243"/>
      <c r="AY124" s="243"/>
      <c r="AZ124" s="243"/>
      <c r="BA124" s="243"/>
      <c r="BB124" s="243"/>
      <c r="BC124" s="243"/>
      <c r="BD124" s="243"/>
      <c r="BE124" s="243"/>
      <c r="BF124" s="246"/>
      <c r="BG124" s="246"/>
      <c r="BH124" s="243"/>
      <c r="BI124" s="243"/>
      <c r="BJ124" s="243"/>
      <c r="BK124" s="243"/>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row>
  </sheetData>
  <sheetProtection algorithmName="SHA-512" hashValue="hS9pTnUI6aaZo5KUw2zVagu6BavZssR7ZZhmFUTuxaGcSW17B2ZennPaZg9JXolWRXg49ECHXHmoPQ0I/zLqWA==" saltValue="XCTpZUpljPX7EB4FwcNgbA==" spinCount="100000" sheet="1" objects="1" scenarios="1" selectLockedCells="1" selectUnlockedCells="1"/>
  <mergeCells count="371">
    <mergeCell ref="L61:M61"/>
    <mergeCell ref="N61:O61"/>
    <mergeCell ref="R61:S61"/>
    <mergeCell ref="Y61:Z61"/>
    <mergeCell ref="AC61:AD61"/>
    <mergeCell ref="L59:M59"/>
    <mergeCell ref="N59:O59"/>
    <mergeCell ref="R59:S59"/>
    <mergeCell ref="Y59:Z59"/>
    <mergeCell ref="AC59:AD59"/>
    <mergeCell ref="L60:M60"/>
    <mergeCell ref="N60:O60"/>
    <mergeCell ref="R60:S60"/>
    <mergeCell ref="Y60:Z60"/>
    <mergeCell ref="AC60:AD60"/>
    <mergeCell ref="T59:W59"/>
    <mergeCell ref="T60:W60"/>
    <mergeCell ref="T61:W61"/>
    <mergeCell ref="AE57:AF57"/>
    <mergeCell ref="L58:M58"/>
    <mergeCell ref="N58:O58"/>
    <mergeCell ref="R58:S58"/>
    <mergeCell ref="Y58:Z58"/>
    <mergeCell ref="AC58:AD58"/>
    <mergeCell ref="L57:M57"/>
    <mergeCell ref="N57:O57"/>
    <mergeCell ref="R57:S57"/>
    <mergeCell ref="Y57:Z57"/>
    <mergeCell ref="AC57:AD57"/>
    <mergeCell ref="T57:W57"/>
    <mergeCell ref="T58:W58"/>
    <mergeCell ref="AE55:AF55"/>
    <mergeCell ref="L56:M56"/>
    <mergeCell ref="N56:O56"/>
    <mergeCell ref="R56:S56"/>
    <mergeCell ref="Y56:Z56"/>
    <mergeCell ref="AC56:AD56"/>
    <mergeCell ref="L55:M55"/>
    <mergeCell ref="N55:O55"/>
    <mergeCell ref="R55:S55"/>
    <mergeCell ref="Y55:Z55"/>
    <mergeCell ref="AC55:AD55"/>
    <mergeCell ref="T55:W55"/>
    <mergeCell ref="T56:W56"/>
    <mergeCell ref="L53:M53"/>
    <mergeCell ref="X53:AF53"/>
    <mergeCell ref="L54:M54"/>
    <mergeCell ref="N54:O54"/>
    <mergeCell ref="R54:S54"/>
    <mergeCell ref="Y54:Z54"/>
    <mergeCell ref="AC54:AD54"/>
    <mergeCell ref="AE54:AF54"/>
    <mergeCell ref="T54:W54"/>
    <mergeCell ref="R51:S51"/>
    <mergeCell ref="T51:U51"/>
    <mergeCell ref="A52:E52"/>
    <mergeCell ref="F52:G52"/>
    <mergeCell ref="H52:I52"/>
    <mergeCell ref="J52:K52"/>
    <mergeCell ref="L52:M52"/>
    <mergeCell ref="N52:O52"/>
    <mergeCell ref="P52:Q52"/>
    <mergeCell ref="R52:S52"/>
    <mergeCell ref="F51:G51"/>
    <mergeCell ref="H51:I51"/>
    <mergeCell ref="J51:K51"/>
    <mergeCell ref="L51:M51"/>
    <mergeCell ref="N51:O51"/>
    <mergeCell ref="P51:Q51"/>
    <mergeCell ref="T52:U52"/>
    <mergeCell ref="R49:S49"/>
    <mergeCell ref="T49:U49"/>
    <mergeCell ref="F50:G50"/>
    <mergeCell ref="H50:I50"/>
    <mergeCell ref="J50:K50"/>
    <mergeCell ref="L50:M50"/>
    <mergeCell ref="N50:O50"/>
    <mergeCell ref="P50:Q50"/>
    <mergeCell ref="R50:S50"/>
    <mergeCell ref="T50:U50"/>
    <mergeCell ref="F49:G49"/>
    <mergeCell ref="H49:I49"/>
    <mergeCell ref="J49:K49"/>
    <mergeCell ref="L49:M49"/>
    <mergeCell ref="N49:O49"/>
    <mergeCell ref="P49:Q49"/>
    <mergeCell ref="R47:S47"/>
    <mergeCell ref="T47:U47"/>
    <mergeCell ref="F48:G48"/>
    <mergeCell ref="H48:I48"/>
    <mergeCell ref="J48:K48"/>
    <mergeCell ref="L48:M48"/>
    <mergeCell ref="N48:O48"/>
    <mergeCell ref="P48:Q48"/>
    <mergeCell ref="R48:S48"/>
    <mergeCell ref="T48:U48"/>
    <mergeCell ref="F47:G47"/>
    <mergeCell ref="H47:I47"/>
    <mergeCell ref="J47:K47"/>
    <mergeCell ref="L47:M47"/>
    <mergeCell ref="N47:O47"/>
    <mergeCell ref="P47:Q47"/>
    <mergeCell ref="R45:S45"/>
    <mergeCell ref="T45:U45"/>
    <mergeCell ref="F46:G46"/>
    <mergeCell ref="H46:I46"/>
    <mergeCell ref="J46:K46"/>
    <mergeCell ref="L46:M46"/>
    <mergeCell ref="N46:O46"/>
    <mergeCell ref="P46:Q46"/>
    <mergeCell ref="R46:S46"/>
    <mergeCell ref="T46:U46"/>
    <mergeCell ref="F45:G45"/>
    <mergeCell ref="H45:I45"/>
    <mergeCell ref="J45:K45"/>
    <mergeCell ref="L45:M45"/>
    <mergeCell ref="N45:O45"/>
    <mergeCell ref="P45:Q45"/>
    <mergeCell ref="R43:S43"/>
    <mergeCell ref="T43:U43"/>
    <mergeCell ref="F44:G44"/>
    <mergeCell ref="H44:I44"/>
    <mergeCell ref="J44:K44"/>
    <mergeCell ref="L44:M44"/>
    <mergeCell ref="N44:O44"/>
    <mergeCell ref="P44:Q44"/>
    <mergeCell ref="R44:S44"/>
    <mergeCell ref="T44:U44"/>
    <mergeCell ref="F43:G43"/>
    <mergeCell ref="H43:I43"/>
    <mergeCell ref="J43:K43"/>
    <mergeCell ref="L43:M43"/>
    <mergeCell ref="N43:O43"/>
    <mergeCell ref="P43:Q43"/>
    <mergeCell ref="R41:S41"/>
    <mergeCell ref="T41:U41"/>
    <mergeCell ref="F42:G42"/>
    <mergeCell ref="H42:I42"/>
    <mergeCell ref="J42:K42"/>
    <mergeCell ref="L42:M42"/>
    <mergeCell ref="N42:O42"/>
    <mergeCell ref="P42:Q42"/>
    <mergeCell ref="R42:S42"/>
    <mergeCell ref="T42:U42"/>
    <mergeCell ref="F41:G41"/>
    <mergeCell ref="H41:I41"/>
    <mergeCell ref="J41:K41"/>
    <mergeCell ref="L41:M41"/>
    <mergeCell ref="N41:O41"/>
    <mergeCell ref="P41:Q41"/>
    <mergeCell ref="R39:S39"/>
    <mergeCell ref="T39:U39"/>
    <mergeCell ref="F40:G40"/>
    <mergeCell ref="H40:I40"/>
    <mergeCell ref="J40:K40"/>
    <mergeCell ref="L40:M40"/>
    <mergeCell ref="N40:O40"/>
    <mergeCell ref="P40:Q40"/>
    <mergeCell ref="R40:S40"/>
    <mergeCell ref="T40:U40"/>
    <mergeCell ref="F39:G39"/>
    <mergeCell ref="H39:I39"/>
    <mergeCell ref="J39:K39"/>
    <mergeCell ref="L39:M39"/>
    <mergeCell ref="N39:O39"/>
    <mergeCell ref="P39:Q39"/>
    <mergeCell ref="R37:S37"/>
    <mergeCell ref="T37:U37"/>
    <mergeCell ref="F38:G38"/>
    <mergeCell ref="H38:I38"/>
    <mergeCell ref="J38:K38"/>
    <mergeCell ref="L38:M38"/>
    <mergeCell ref="N38:O38"/>
    <mergeCell ref="P38:Q38"/>
    <mergeCell ref="R38:S38"/>
    <mergeCell ref="T38:U38"/>
    <mergeCell ref="F37:G37"/>
    <mergeCell ref="H37:I37"/>
    <mergeCell ref="J37:K37"/>
    <mergeCell ref="L37:M37"/>
    <mergeCell ref="N37:O37"/>
    <mergeCell ref="P37:Q37"/>
    <mergeCell ref="F36:G36"/>
    <mergeCell ref="H36:I36"/>
    <mergeCell ref="J36:K36"/>
    <mergeCell ref="L36:M36"/>
    <mergeCell ref="N36:O36"/>
    <mergeCell ref="P36:Q36"/>
    <mergeCell ref="R36:S36"/>
    <mergeCell ref="T36:U36"/>
    <mergeCell ref="F35:G35"/>
    <mergeCell ref="H35:I35"/>
    <mergeCell ref="J35:K35"/>
    <mergeCell ref="L35:M35"/>
    <mergeCell ref="N35:O35"/>
    <mergeCell ref="P35:Q35"/>
    <mergeCell ref="F34:G34"/>
    <mergeCell ref="H34:I34"/>
    <mergeCell ref="J34:K34"/>
    <mergeCell ref="L34:M34"/>
    <mergeCell ref="N34:O34"/>
    <mergeCell ref="P34:Q34"/>
    <mergeCell ref="R34:S34"/>
    <mergeCell ref="T34:U34"/>
    <mergeCell ref="R35:S35"/>
    <mergeCell ref="T35:U35"/>
    <mergeCell ref="N30:O30"/>
    <mergeCell ref="P30:Q30"/>
    <mergeCell ref="R32:S32"/>
    <mergeCell ref="T32:U32"/>
    <mergeCell ref="V32:W32"/>
    <mergeCell ref="F33:G33"/>
    <mergeCell ref="H33:I33"/>
    <mergeCell ref="J33:K33"/>
    <mergeCell ref="L33:M33"/>
    <mergeCell ref="N33:O33"/>
    <mergeCell ref="P33:Q33"/>
    <mergeCell ref="R33:S33"/>
    <mergeCell ref="F32:G32"/>
    <mergeCell ref="H32:I32"/>
    <mergeCell ref="J32:K32"/>
    <mergeCell ref="L32:M32"/>
    <mergeCell ref="N32:O32"/>
    <mergeCell ref="P32:Q32"/>
    <mergeCell ref="T33:U33"/>
    <mergeCell ref="A27:E27"/>
    <mergeCell ref="F27:U27"/>
    <mergeCell ref="W27:AJ31"/>
    <mergeCell ref="F28:I29"/>
    <mergeCell ref="J28:M28"/>
    <mergeCell ref="N28:O29"/>
    <mergeCell ref="P28:U29"/>
    <mergeCell ref="J29:K29"/>
    <mergeCell ref="L29:M29"/>
    <mergeCell ref="A30:E30"/>
    <mergeCell ref="R30:S30"/>
    <mergeCell ref="T30:U30"/>
    <mergeCell ref="F31:G31"/>
    <mergeCell ref="H31:I31"/>
    <mergeCell ref="J31:K31"/>
    <mergeCell ref="L31:M31"/>
    <mergeCell ref="N31:O31"/>
    <mergeCell ref="P31:Q31"/>
    <mergeCell ref="R31:S31"/>
    <mergeCell ref="T31:U31"/>
    <mergeCell ref="F30:G30"/>
    <mergeCell ref="H30:I30"/>
    <mergeCell ref="J30:K30"/>
    <mergeCell ref="L30:M30"/>
    <mergeCell ref="T26:W26"/>
    <mergeCell ref="X26:Z26"/>
    <mergeCell ref="AA26:AB26"/>
    <mergeCell ref="AC26:AD26"/>
    <mergeCell ref="AE26:AG26"/>
    <mergeCell ref="AH26:AI26"/>
    <mergeCell ref="T25:W25"/>
    <mergeCell ref="X25:Z25"/>
    <mergeCell ref="AA25:AB25"/>
    <mergeCell ref="AC25:AD25"/>
    <mergeCell ref="AE25:AG25"/>
    <mergeCell ref="AH25:AI25"/>
    <mergeCell ref="H22:J22"/>
    <mergeCell ref="K22:M22"/>
    <mergeCell ref="N22:P22"/>
    <mergeCell ref="Q22:S22"/>
    <mergeCell ref="H23:J23"/>
    <mergeCell ref="K23:M23"/>
    <mergeCell ref="N23:P23"/>
    <mergeCell ref="Q23:S23"/>
    <mergeCell ref="H20:J20"/>
    <mergeCell ref="K20:M20"/>
    <mergeCell ref="N20:P20"/>
    <mergeCell ref="Q20:S20"/>
    <mergeCell ref="H21:J21"/>
    <mergeCell ref="K21:M21"/>
    <mergeCell ref="N21:P21"/>
    <mergeCell ref="Q21:S21"/>
    <mergeCell ref="AI18:AK18"/>
    <mergeCell ref="H19:J19"/>
    <mergeCell ref="K19:M19"/>
    <mergeCell ref="N19:P19"/>
    <mergeCell ref="Q19:S19"/>
    <mergeCell ref="AC17:AE17"/>
    <mergeCell ref="AF17:AH17"/>
    <mergeCell ref="AI17:AK17"/>
    <mergeCell ref="H18:J18"/>
    <mergeCell ref="K18:M18"/>
    <mergeCell ref="N18:P18"/>
    <mergeCell ref="Q18:S18"/>
    <mergeCell ref="T18:V18"/>
    <mergeCell ref="W18:Y18"/>
    <mergeCell ref="Z18:AB18"/>
    <mergeCell ref="H17:J17"/>
    <mergeCell ref="K17:M17"/>
    <mergeCell ref="N17:P17"/>
    <mergeCell ref="Q17:S17"/>
    <mergeCell ref="T17:V17"/>
    <mergeCell ref="W17:Y17"/>
    <mergeCell ref="Z17:AB17"/>
    <mergeCell ref="AC18:AE18"/>
    <mergeCell ref="AF18:AH18"/>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 ref="T22:V22"/>
    <mergeCell ref="W22:Y22"/>
    <mergeCell ref="Z22:AB22"/>
    <mergeCell ref="AC22:AE22"/>
    <mergeCell ref="T23:V23"/>
    <mergeCell ref="W23:Y23"/>
    <mergeCell ref="Z23:AB23"/>
    <mergeCell ref="AC23:AE23"/>
    <mergeCell ref="T19:V19"/>
    <mergeCell ref="W19:Y19"/>
    <mergeCell ref="Z19:AB19"/>
    <mergeCell ref="AC19:AE19"/>
    <mergeCell ref="T20:V20"/>
    <mergeCell ref="W20:Y20"/>
    <mergeCell ref="Z20:AB20"/>
    <mergeCell ref="AC20:AE20"/>
    <mergeCell ref="T21:V21"/>
    <mergeCell ref="W21:Y21"/>
    <mergeCell ref="Z21:AB21"/>
    <mergeCell ref="AC21:AE21"/>
  </mergeCells>
  <conditionalFormatting sqref="F52:M52 P52:AC52">
    <cfRule type="expression" dxfId="208" priority="11" stopIfTrue="1">
      <formula>F52=0</formula>
    </cfRule>
  </conditionalFormatting>
  <conditionalFormatting sqref="H31:S51">
    <cfRule type="expression" dxfId="207" priority="6">
      <formula>H31=0</formula>
    </cfRule>
  </conditionalFormatting>
  <conditionalFormatting sqref="O76">
    <cfRule type="expression" dxfId="206" priority="5">
      <formula>O76=0</formula>
    </cfRule>
  </conditionalFormatting>
  <conditionalFormatting sqref="R54:S61">
    <cfRule type="expression" dxfId="205" priority="9" stopIfTrue="1">
      <formula>R54=0</formula>
    </cfRule>
  </conditionalFormatting>
  <conditionalFormatting sqref="T32:U51">
    <cfRule type="expression" dxfId="204" priority="8">
      <formula>T32=0</formula>
    </cfRule>
  </conditionalFormatting>
  <conditionalFormatting sqref="T31:V31 AK31 V32 X32:AK32 V33:W36 AA33:AK36">
    <cfRule type="expression" dxfId="203" priority="10">
      <formula>T31=0</formula>
    </cfRule>
  </conditionalFormatting>
  <conditionalFormatting sqref="V37:AK51">
    <cfRule type="expression" dxfId="202" priority="1">
      <formula>V37=0</formula>
    </cfRule>
  </conditionalFormatting>
  <conditionalFormatting sqref="Z33:Z36">
    <cfRule type="expression" dxfId="201" priority="3">
      <formula>(Z33&lt;&gt;0)</formula>
    </cfRule>
    <cfRule type="expression" dxfId="200" priority="4">
      <formula>(Z33=0)</formula>
    </cfRule>
  </conditionalFormatting>
  <conditionalFormatting sqref="AF52:AI52 N54 AC54:AD54 AC56 N57 AC57:AD57 AC58:AC59">
    <cfRule type="expression" dxfId="199" priority="13" stopIfTrue="1">
      <formula>N52=0</formula>
    </cfRule>
  </conditionalFormatting>
  <pageMargins left="0.7" right="0.7" top="0.75" bottom="0.75" header="0.3" footer="0.3"/>
  <pageSetup paperSize="9" scale="59" orientation="portrait" r:id="rId1"/>
  <headerFooter>
    <oddFooter>&amp;C_x000D_&amp;1#&amp;"Calibri"&amp;10&amp;K000000 Internal</oddFooter>
  </headerFooter>
  <colBreaks count="1" manualBreakCount="1">
    <brk id="37"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892DA-5258-43D1-A064-6DF2C615E919}">
  <sheetPr>
    <tabColor rgb="FFFF0000"/>
    <pageSetUpPr fitToPage="1"/>
  </sheetPr>
  <dimension ref="A1:CP124"/>
  <sheetViews>
    <sheetView showGridLines="0" view="pageBreakPreview" topLeftCell="A11" zoomScaleNormal="100" zoomScaleSheetLayoutView="100" workbookViewId="0">
      <selection sqref="A1:AK4"/>
    </sheetView>
  </sheetViews>
  <sheetFormatPr defaultColWidth="9.28515625" defaultRowHeight="15"/>
  <cols>
    <col min="1" max="13" width="3.7109375" style="290" customWidth="1"/>
    <col min="14" max="14" width="4.7109375" style="290" customWidth="1"/>
    <col min="15" max="15" width="6.42578125" style="290" customWidth="1"/>
    <col min="16" max="17" width="3.7109375" style="290" customWidth="1"/>
    <col min="18" max="19" width="4.7109375" style="290" customWidth="1"/>
    <col min="20" max="23" width="3.7109375" style="290" customWidth="1"/>
    <col min="24" max="24" width="9" style="290" bestFit="1" customWidth="1"/>
    <col min="25" max="37" width="3.7109375" style="290" customWidth="1"/>
    <col min="38" max="38" width="9.28515625" style="247"/>
    <col min="39" max="50" width="8.7109375" style="247" customWidth="1"/>
    <col min="51" max="57" width="9.28515625" style="247"/>
    <col min="58" max="59" width="9.28515625" style="285"/>
    <col min="60" max="16384" width="9.28515625" style="247"/>
  </cols>
  <sheetData>
    <row r="1" spans="1:94"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8"/>
      <c r="AL1" s="238"/>
      <c r="AM1" s="238"/>
      <c r="AN1" s="238"/>
      <c r="AO1" s="238"/>
      <c r="AP1" s="238"/>
      <c r="AQ1" s="238"/>
      <c r="AR1" s="238"/>
      <c r="AS1" s="238"/>
      <c r="AT1" s="238"/>
      <c r="AU1" s="238"/>
      <c r="AV1" s="238"/>
      <c r="AW1" s="238"/>
      <c r="AX1" s="238"/>
      <c r="AY1" s="238"/>
      <c r="AZ1" s="238"/>
      <c r="BA1" s="238"/>
      <c r="BB1" s="238"/>
      <c r="BC1" s="238"/>
      <c r="BD1" s="238"/>
      <c r="BE1" s="238"/>
      <c r="BF1" s="239"/>
      <c r="BG1" s="239"/>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c r="CM1" s="238"/>
      <c r="CN1" s="238"/>
      <c r="CO1" s="238"/>
      <c r="CP1" s="238"/>
    </row>
    <row r="2" spans="1:94"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1"/>
      <c r="AL2" s="238"/>
      <c r="AM2" s="238"/>
      <c r="AN2" s="238"/>
      <c r="AO2" s="238"/>
      <c r="AP2" s="238"/>
      <c r="AQ2" s="238"/>
      <c r="AR2" s="238"/>
      <c r="AS2" s="238"/>
      <c r="AT2" s="238"/>
      <c r="AU2" s="238"/>
      <c r="AV2" s="238"/>
      <c r="AW2" s="238"/>
      <c r="AX2" s="238"/>
      <c r="AY2" s="238"/>
      <c r="AZ2" s="238"/>
      <c r="BA2" s="238"/>
      <c r="BB2" s="238"/>
      <c r="BC2" s="238"/>
      <c r="BD2" s="238"/>
      <c r="BE2" s="238"/>
      <c r="BF2" s="239"/>
      <c r="BG2" s="239"/>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row>
    <row r="3" spans="1:94"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1"/>
      <c r="AL3" s="238"/>
      <c r="AM3" s="238"/>
      <c r="AN3" s="238"/>
      <c r="AO3" s="238"/>
      <c r="AP3" s="238"/>
      <c r="AQ3" s="238"/>
      <c r="AR3" s="238"/>
      <c r="AS3" s="238"/>
      <c r="AT3" s="238"/>
      <c r="AU3" s="238"/>
      <c r="AV3" s="238"/>
      <c r="AW3" s="238"/>
      <c r="AX3" s="238"/>
      <c r="AY3" s="238"/>
      <c r="AZ3" s="238"/>
      <c r="BA3" s="238"/>
      <c r="BB3" s="238"/>
      <c r="BC3" s="238"/>
      <c r="BD3" s="238"/>
      <c r="BE3" s="238"/>
      <c r="BF3" s="239"/>
      <c r="BG3" s="239"/>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row>
    <row r="4" spans="1:94"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4"/>
      <c r="AL4" s="238"/>
      <c r="AM4" s="241"/>
      <c r="AN4" s="241"/>
      <c r="AO4" s="241"/>
      <c r="AP4" s="242" t="s">
        <v>576</v>
      </c>
      <c r="AQ4" s="242" t="s">
        <v>577</v>
      </c>
      <c r="AR4" s="242" t="s">
        <v>578</v>
      </c>
      <c r="AS4" s="241"/>
      <c r="AT4" s="241"/>
      <c r="AU4" s="241"/>
      <c r="AV4" s="241"/>
      <c r="AW4" s="241"/>
      <c r="AX4" s="238"/>
      <c r="AY4" s="238"/>
      <c r="AZ4" s="238"/>
      <c r="BA4" s="238"/>
      <c r="BB4" s="238"/>
      <c r="BC4" s="238"/>
      <c r="BD4" s="238"/>
      <c r="BE4" s="238"/>
      <c r="BF4" s="239"/>
      <c r="BG4" s="239"/>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row>
    <row r="5" spans="1:94" ht="15" customHeight="1">
      <c r="A5" s="875" t="s">
        <v>22</v>
      </c>
      <c r="B5" s="876"/>
      <c r="C5" s="876"/>
      <c r="D5" s="876"/>
      <c r="E5" s="876"/>
      <c r="F5" s="876"/>
      <c r="G5" s="876"/>
      <c r="H5" s="27" t="str">
        <f>'Emiss. Ops'!$C$2</f>
        <v>OMVP</v>
      </c>
      <c r="I5" s="27"/>
      <c r="J5" s="27"/>
      <c r="K5" s="27"/>
      <c r="L5" s="27"/>
      <c r="M5" s="27"/>
      <c r="N5" s="27"/>
      <c r="O5" s="27"/>
      <c r="P5" s="27"/>
      <c r="Q5" s="27"/>
      <c r="R5" s="27"/>
      <c r="S5" s="27"/>
      <c r="T5" s="27"/>
      <c r="U5" s="27"/>
      <c r="V5" s="27"/>
      <c r="W5" s="27"/>
      <c r="X5" s="27"/>
      <c r="Y5" s="876" t="s">
        <v>23</v>
      </c>
      <c r="Z5" s="876"/>
      <c r="AA5" s="876"/>
      <c r="AB5" s="876"/>
      <c r="AC5" s="877" t="str">
        <f>'ESD CR'!$AC$5</f>
        <v>PRJ-001030</v>
      </c>
      <c r="AD5" s="877"/>
      <c r="AE5" s="877"/>
      <c r="AF5" s="877"/>
      <c r="AG5" s="877"/>
      <c r="AH5" s="877"/>
      <c r="AI5" s="877"/>
      <c r="AJ5" s="877"/>
      <c r="AK5" s="878"/>
      <c r="AL5" s="243"/>
      <c r="AM5" s="244"/>
      <c r="AN5" s="244"/>
      <c r="AO5" s="244"/>
      <c r="AP5" s="245" t="s">
        <v>386</v>
      </c>
      <c r="AQ5" s="245" t="s">
        <v>729</v>
      </c>
      <c r="AR5" s="242">
        <v>1020</v>
      </c>
      <c r="AS5" s="244"/>
      <c r="AT5" s="244"/>
      <c r="AU5" s="244"/>
      <c r="AV5" s="244"/>
      <c r="AW5" s="244"/>
      <c r="AX5" s="238"/>
      <c r="AY5" s="238"/>
      <c r="AZ5" s="238"/>
      <c r="BA5" s="243"/>
      <c r="BB5" s="243"/>
      <c r="BC5" s="243"/>
      <c r="BD5" s="243"/>
      <c r="BE5" s="243"/>
      <c r="BF5" s="246"/>
      <c r="BG5" s="246"/>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row>
    <row r="6" spans="1:94" ht="15" customHeight="1">
      <c r="A6" s="862" t="s">
        <v>24</v>
      </c>
      <c r="B6" s="863"/>
      <c r="C6" s="863"/>
      <c r="D6" s="863"/>
      <c r="E6" s="863"/>
      <c r="F6" s="863"/>
      <c r="G6" s="863"/>
      <c r="H6" s="30" t="str">
        <f>'Emiss. Ops'!$C$3</f>
        <v>OMV Neptun BAT Study &amp; ESIA</v>
      </c>
      <c r="I6" s="30"/>
      <c r="J6" s="30"/>
      <c r="K6" s="30"/>
      <c r="L6" s="30"/>
      <c r="M6" s="30"/>
      <c r="N6" s="30"/>
      <c r="O6" s="30"/>
      <c r="P6" s="30"/>
      <c r="Q6" s="30"/>
      <c r="R6" s="30"/>
      <c r="S6" s="30"/>
      <c r="T6" s="30"/>
      <c r="U6" s="30"/>
      <c r="V6" s="30"/>
      <c r="W6" s="30"/>
      <c r="X6" s="30"/>
      <c r="Y6" s="863" t="s">
        <v>25</v>
      </c>
      <c r="Z6" s="863"/>
      <c r="AA6" s="863"/>
      <c r="AB6" s="863"/>
      <c r="AC6" s="860"/>
      <c r="AD6" s="860"/>
      <c r="AE6" s="860"/>
      <c r="AF6" s="860"/>
      <c r="AG6" s="860"/>
      <c r="AH6" s="860"/>
      <c r="AI6" s="860"/>
      <c r="AJ6" s="860"/>
      <c r="AK6" s="861"/>
      <c r="AL6" s="243"/>
      <c r="AM6" s="244"/>
      <c r="AN6" s="244"/>
      <c r="AO6" s="242"/>
      <c r="AP6" s="245" t="s">
        <v>406</v>
      </c>
      <c r="AQ6" s="245" t="s">
        <v>339</v>
      </c>
      <c r="AR6" s="245">
        <v>0.45400000000000001</v>
      </c>
      <c r="AS6" s="242"/>
      <c r="AT6" s="244"/>
      <c r="AU6" s="244"/>
      <c r="AV6" s="244"/>
      <c r="AW6" s="244"/>
      <c r="AX6" s="238"/>
      <c r="AY6" s="238"/>
      <c r="AZ6" s="238"/>
      <c r="BA6" s="243"/>
      <c r="BB6" s="243"/>
      <c r="BC6" s="243"/>
      <c r="BD6" s="243"/>
      <c r="BE6" s="243"/>
      <c r="BF6" s="246"/>
      <c r="BG6" s="246"/>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row>
    <row r="7" spans="1:94" ht="15" customHeight="1">
      <c r="A7" s="862" t="s">
        <v>26</v>
      </c>
      <c r="B7" s="863"/>
      <c r="C7" s="863"/>
      <c r="D7" s="863"/>
      <c r="E7" s="863"/>
      <c r="F7" s="863"/>
      <c r="G7" s="863"/>
      <c r="H7" s="30" t="str">
        <f>'Emiss. Ops'!$C$4</f>
        <v>Emissions Inventory</v>
      </c>
      <c r="I7" s="30"/>
      <c r="J7" s="30"/>
      <c r="K7" s="30"/>
      <c r="L7" s="30"/>
      <c r="M7" s="30"/>
      <c r="N7" s="30"/>
      <c r="O7" s="30"/>
      <c r="P7" s="30"/>
      <c r="Q7" s="30"/>
      <c r="R7" s="30"/>
      <c r="S7" s="30"/>
      <c r="T7" s="30"/>
      <c r="U7" s="30"/>
      <c r="V7" s="30"/>
      <c r="W7" s="30"/>
      <c r="X7" s="30"/>
      <c r="Y7" s="863" t="s">
        <v>27</v>
      </c>
      <c r="Z7" s="863"/>
      <c r="AA7" s="863"/>
      <c r="AB7" s="863"/>
      <c r="AC7" s="30" t="str">
        <f>'Emiss. Ops'!$I$4</f>
        <v>Normal Operations</v>
      </c>
      <c r="AD7" s="31"/>
      <c r="AE7" s="31"/>
      <c r="AF7" s="31"/>
      <c r="AG7" s="31"/>
      <c r="AH7" s="31"/>
      <c r="AI7" s="31"/>
      <c r="AJ7" s="31"/>
      <c r="AK7" s="32"/>
      <c r="AL7" s="243"/>
      <c r="AM7" s="244"/>
      <c r="AN7" s="244"/>
      <c r="AO7" s="242"/>
      <c r="AP7" s="245" t="s">
        <v>407</v>
      </c>
      <c r="AQ7" s="245" t="s">
        <v>730</v>
      </c>
      <c r="AR7" s="248">
        <f>0.305^3</f>
        <v>2.8372624999999999E-2</v>
      </c>
      <c r="AS7" s="242"/>
      <c r="AT7" s="244"/>
      <c r="AU7" s="244"/>
      <c r="AV7" s="244"/>
      <c r="AW7" s="244"/>
      <c r="AX7" s="238"/>
      <c r="AY7" s="238"/>
      <c r="AZ7" s="238"/>
      <c r="BA7" s="243"/>
      <c r="BB7" s="243"/>
      <c r="BC7" s="243"/>
      <c r="BD7" s="243"/>
      <c r="BE7" s="243"/>
      <c r="BF7" s="246"/>
      <c r="BG7" s="246"/>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row>
    <row r="8" spans="1:94"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8"/>
      <c r="AH8" s="1288"/>
      <c r="AI8" s="1288"/>
      <c r="AJ8" s="1288"/>
      <c r="AK8" s="1289"/>
      <c r="AL8" s="243"/>
      <c r="AM8" s="244"/>
      <c r="AN8" s="244"/>
      <c r="AO8" s="242"/>
      <c r="AP8" s="245" t="s">
        <v>729</v>
      </c>
      <c r="AQ8" s="245" t="s">
        <v>731</v>
      </c>
      <c r="AR8" s="249">
        <f>AR6/AR7 * ((AN18+273.15)/(AN20+273.15))</f>
        <v>16.912595854908194</v>
      </c>
      <c r="AS8" s="242"/>
      <c r="AT8" s="244"/>
      <c r="AU8" s="244"/>
      <c r="AV8" s="244"/>
      <c r="AW8" s="244"/>
      <c r="AX8" s="238"/>
      <c r="AY8" s="238"/>
      <c r="AZ8" s="238"/>
      <c r="BA8" s="243"/>
      <c r="BB8" s="243"/>
      <c r="BC8" s="243"/>
      <c r="BD8" s="243"/>
      <c r="BE8" s="243"/>
      <c r="BF8" s="246"/>
      <c r="BG8" s="246"/>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row>
    <row r="9" spans="1:94"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8"/>
      <c r="AH9" s="1288"/>
      <c r="AI9" s="1288"/>
      <c r="AJ9" s="1288"/>
      <c r="AK9" s="1289"/>
      <c r="AL9" s="243"/>
      <c r="AM9" s="244"/>
      <c r="AN9" s="244"/>
      <c r="AO9" s="242"/>
      <c r="AP9" s="242" t="s">
        <v>409</v>
      </c>
      <c r="AQ9" s="242" t="s">
        <v>410</v>
      </c>
      <c r="AR9" s="242">
        <v>947</v>
      </c>
      <c r="AS9" s="242"/>
      <c r="AT9" s="244"/>
      <c r="AU9" s="244"/>
      <c r="AV9" s="244"/>
      <c r="AW9" s="244"/>
      <c r="AX9" s="238"/>
      <c r="AY9" s="238"/>
      <c r="AZ9" s="238"/>
      <c r="BA9" s="243"/>
      <c r="BB9" s="243"/>
      <c r="BC9" s="243"/>
      <c r="BD9" s="243"/>
      <c r="BE9" s="243"/>
      <c r="BF9" s="246"/>
      <c r="BG9" s="246"/>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row>
    <row r="10" spans="1:94"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1283"/>
      <c r="V10" s="1283"/>
      <c r="W10" s="1283"/>
      <c r="X10" s="1283"/>
      <c r="Y10" s="859" t="s">
        <v>28</v>
      </c>
      <c r="Z10" s="859"/>
      <c r="AA10" s="859"/>
      <c r="AB10" s="859"/>
      <c r="AC10" s="1284"/>
      <c r="AD10" s="1284"/>
      <c r="AE10" s="1284"/>
      <c r="AF10" s="1285"/>
      <c r="AG10" s="1285"/>
      <c r="AH10" s="1285"/>
      <c r="AI10" s="1286"/>
      <c r="AJ10" s="1286"/>
      <c r="AK10" s="1287"/>
      <c r="AL10" s="238"/>
      <c r="AM10" s="241"/>
      <c r="AN10" s="241"/>
      <c r="AO10" s="245"/>
      <c r="AP10" s="245" t="s">
        <v>710</v>
      </c>
      <c r="AQ10" s="245" t="s">
        <v>709</v>
      </c>
      <c r="AR10" s="245">
        <v>1E-3</v>
      </c>
      <c r="AS10" s="245"/>
      <c r="AT10" s="241"/>
      <c r="AU10" s="241"/>
      <c r="AV10" s="241"/>
      <c r="AW10" s="241"/>
      <c r="AX10" s="238"/>
      <c r="AY10" s="238"/>
      <c r="AZ10" s="238"/>
      <c r="BA10" s="238"/>
      <c r="BB10" s="238"/>
      <c r="BC10" s="238"/>
      <c r="BD10" s="238"/>
      <c r="BE10" s="238"/>
      <c r="BF10" s="239"/>
      <c r="BG10" s="239"/>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row>
    <row r="11" spans="1:94" s="240" customFormat="1" ht="14.25" customHeight="1">
      <c r="A11" s="1271" t="s">
        <v>378</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3"/>
      <c r="AL11" s="238"/>
      <c r="AM11" s="241"/>
      <c r="AN11" s="241"/>
      <c r="AO11" s="245"/>
      <c r="AP11" s="245" t="s">
        <v>732</v>
      </c>
      <c r="AQ11" s="245" t="s">
        <v>409</v>
      </c>
      <c r="AR11" s="245">
        <f>1/(AR9/1000000)</f>
        <v>1055.9662090813094</v>
      </c>
      <c r="AS11" s="245"/>
      <c r="AT11" s="241"/>
      <c r="AU11" s="241"/>
      <c r="AV11" s="241"/>
      <c r="AW11" s="241"/>
      <c r="AX11" s="238"/>
      <c r="AY11" s="238"/>
      <c r="AZ11" s="238"/>
      <c r="BA11" s="238"/>
      <c r="BB11" s="238"/>
      <c r="BC11" s="238"/>
      <c r="BD11" s="238"/>
      <c r="BE11" s="238"/>
      <c r="BF11" s="239"/>
      <c r="BG11" s="239"/>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row>
    <row r="12" spans="1:94" s="240" customFormat="1" ht="14.25" customHeight="1">
      <c r="A12" s="1274"/>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5"/>
      <c r="AH12" s="1275"/>
      <c r="AI12" s="1275"/>
      <c r="AJ12" s="1275"/>
      <c r="AK12" s="1276"/>
      <c r="AL12" s="238"/>
      <c r="AM12" s="241"/>
      <c r="AN12" s="241"/>
      <c r="AO12" s="245"/>
      <c r="AP12" s="245"/>
      <c r="AQ12" s="245"/>
      <c r="AR12" s="245"/>
      <c r="AS12" s="245"/>
      <c r="AT12" s="241"/>
      <c r="AU12" s="241"/>
      <c r="AV12" s="241"/>
      <c r="AW12" s="241"/>
      <c r="AX12" s="238"/>
      <c r="AY12" s="238"/>
      <c r="AZ12" s="238"/>
      <c r="BA12" s="238"/>
      <c r="BB12" s="238"/>
      <c r="BC12" s="238"/>
      <c r="BD12" s="238"/>
      <c r="BE12" s="238"/>
      <c r="BF12" s="239"/>
      <c r="BG12" s="239"/>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row>
    <row r="13" spans="1:94" s="240" customFormat="1" ht="14.25" customHeight="1">
      <c r="A13" s="1277" t="s">
        <v>587</v>
      </c>
      <c r="B13" s="1278"/>
      <c r="C13" s="1278"/>
      <c r="D13" s="1278"/>
      <c r="E13" s="1278"/>
      <c r="F13" s="1278"/>
      <c r="G13" s="1279"/>
      <c r="H13" s="1280" t="s">
        <v>799</v>
      </c>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2"/>
      <c r="AL13" s="238"/>
      <c r="AM13" s="241"/>
      <c r="AN13" s="241"/>
      <c r="AO13" s="241"/>
      <c r="AP13" s="241"/>
      <c r="AQ13" s="241"/>
      <c r="AR13" s="241"/>
      <c r="AS13" s="241"/>
      <c r="AT13" s="241"/>
      <c r="AU13" s="241"/>
      <c r="AV13" s="241"/>
      <c r="AW13" s="241"/>
      <c r="AX13" s="241"/>
      <c r="AY13" s="241"/>
      <c r="AZ13" s="241"/>
      <c r="BA13" s="238"/>
      <c r="BB13" s="238"/>
      <c r="BC13" s="238"/>
      <c r="BD13" s="238"/>
      <c r="BE13" s="238"/>
      <c r="BF13" s="239"/>
      <c r="BG13" s="239"/>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row>
    <row r="14" spans="1:94" s="240" customFormat="1" ht="14.25" customHeight="1">
      <c r="A14" s="279" t="s">
        <v>589</v>
      </c>
      <c r="B14" s="429"/>
      <c r="C14" s="429"/>
      <c r="D14" s="429"/>
      <c r="E14" s="429"/>
      <c r="F14" s="429"/>
      <c r="G14" s="429"/>
      <c r="H14" s="1271" t="s">
        <v>590</v>
      </c>
      <c r="I14" s="1272"/>
      <c r="J14" s="1273"/>
      <c r="K14" s="1271" t="s">
        <v>591</v>
      </c>
      <c r="L14" s="1272"/>
      <c r="M14" s="1273"/>
      <c r="N14" s="1271" t="s">
        <v>592</v>
      </c>
      <c r="O14" s="1272"/>
      <c r="P14" s="1273"/>
      <c r="Q14" s="1271" t="s">
        <v>400</v>
      </c>
      <c r="R14" s="1272"/>
      <c r="S14" s="1273"/>
      <c r="T14" s="1271" t="s">
        <v>593</v>
      </c>
      <c r="U14" s="1272"/>
      <c r="V14" s="1273"/>
      <c r="W14" s="1271" t="s">
        <v>593</v>
      </c>
      <c r="X14" s="1272"/>
      <c r="Y14" s="1273"/>
      <c r="Z14" s="1271" t="s">
        <v>115</v>
      </c>
      <c r="AA14" s="1272"/>
      <c r="AB14" s="1273"/>
      <c r="AC14" s="1271" t="s">
        <v>115</v>
      </c>
      <c r="AD14" s="1272"/>
      <c r="AE14" s="1273"/>
      <c r="AF14" s="1271" t="s">
        <v>116</v>
      </c>
      <c r="AG14" s="1272"/>
      <c r="AH14" s="1273"/>
      <c r="AI14" s="1271" t="s">
        <v>116</v>
      </c>
      <c r="AJ14" s="1272"/>
      <c r="AK14" s="1273"/>
      <c r="AL14" s="238"/>
      <c r="AM14" s="241"/>
      <c r="AN14" s="241"/>
      <c r="AO14" s="241"/>
      <c r="AP14" s="241"/>
      <c r="AQ14" s="430"/>
      <c r="AR14" s="241"/>
      <c r="AS14" s="241"/>
      <c r="AT14" s="241"/>
      <c r="AU14" s="241"/>
      <c r="AV14" s="241"/>
      <c r="AW14" s="241"/>
      <c r="AX14" s="238"/>
      <c r="AY14" s="238"/>
      <c r="AZ14" s="238"/>
      <c r="BA14" s="238"/>
      <c r="BB14" s="238"/>
      <c r="BC14" s="238"/>
      <c r="BD14" s="238"/>
      <c r="BE14" s="238"/>
      <c r="BF14" s="239"/>
      <c r="BG14" s="239"/>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row>
    <row r="15" spans="1:94" s="240" customFormat="1" ht="14.25" customHeight="1">
      <c r="A15" s="250"/>
      <c r="B15" s="251"/>
      <c r="C15" s="251"/>
      <c r="D15" s="251"/>
      <c r="E15" s="251"/>
      <c r="F15" s="251"/>
      <c r="G15" s="251"/>
      <c r="H15" s="1302" t="s">
        <v>594</v>
      </c>
      <c r="I15" s="1283"/>
      <c r="J15" s="1303"/>
      <c r="K15" s="1302" t="s">
        <v>595</v>
      </c>
      <c r="L15" s="1283"/>
      <c r="M15" s="1303"/>
      <c r="N15" s="1302" t="s">
        <v>596</v>
      </c>
      <c r="O15" s="1283"/>
      <c r="P15" s="1303"/>
      <c r="Q15" s="1302" t="s">
        <v>597</v>
      </c>
      <c r="R15" s="1283"/>
      <c r="S15" s="1303"/>
      <c r="T15" s="1302" t="s">
        <v>734</v>
      </c>
      <c r="U15" s="1283"/>
      <c r="V15" s="1303"/>
      <c r="W15" s="1302" t="s">
        <v>599</v>
      </c>
      <c r="X15" s="1283"/>
      <c r="Y15" s="1303"/>
      <c r="Z15" s="1302" t="s">
        <v>734</v>
      </c>
      <c r="AA15" s="1283"/>
      <c r="AB15" s="1303"/>
      <c r="AC15" s="1302" t="s">
        <v>599</v>
      </c>
      <c r="AD15" s="1283"/>
      <c r="AE15" s="1303"/>
      <c r="AF15" s="1302" t="s">
        <v>734</v>
      </c>
      <c r="AG15" s="1283"/>
      <c r="AH15" s="1303"/>
      <c r="AI15" s="1302" t="s">
        <v>599</v>
      </c>
      <c r="AJ15" s="1283"/>
      <c r="AK15" s="1303"/>
      <c r="AL15" s="238"/>
      <c r="AM15" s="241"/>
      <c r="AN15" s="241"/>
      <c r="AO15" s="241"/>
      <c r="AP15" s="431" t="s">
        <v>393</v>
      </c>
      <c r="AQ15" s="432"/>
      <c r="AR15" s="433"/>
      <c r="AS15" s="431" t="s">
        <v>115</v>
      </c>
      <c r="AT15" s="432"/>
      <c r="AU15" s="433"/>
      <c r="AV15" s="238"/>
      <c r="AW15" s="238"/>
      <c r="AX15" s="238"/>
      <c r="AY15" s="238"/>
      <c r="AZ15" s="238"/>
      <c r="BA15" s="238"/>
      <c r="BB15" s="238"/>
      <c r="BC15" s="239"/>
      <c r="BD15" s="239"/>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row>
    <row r="16" spans="1:94" s="240" customFormat="1" ht="14.25" customHeight="1">
      <c r="A16" s="434" t="s">
        <v>735</v>
      </c>
      <c r="B16" s="435"/>
      <c r="C16" s="435"/>
      <c r="D16" s="435"/>
      <c r="E16" s="435"/>
      <c r="F16" s="435"/>
      <c r="G16" s="436"/>
      <c r="H16" s="1304"/>
      <c r="I16" s="1305"/>
      <c r="J16" s="1306"/>
      <c r="K16" s="1307"/>
      <c r="L16" s="1308"/>
      <c r="M16" s="1309"/>
      <c r="N16" s="1304"/>
      <c r="O16" s="1305"/>
      <c r="P16" s="1306"/>
      <c r="Q16" s="1566">
        <v>37.96</v>
      </c>
      <c r="R16" s="1567"/>
      <c r="S16" s="1568"/>
      <c r="T16" s="1418">
        <f>AR17</f>
        <v>1173.0576484964322</v>
      </c>
      <c r="U16" s="1419"/>
      <c r="V16" s="1420"/>
      <c r="W16" s="1304"/>
      <c r="X16" s="1305"/>
      <c r="Y16" s="1306"/>
      <c r="Z16" s="1418">
        <f>AU17</f>
        <v>6382.8136756423519</v>
      </c>
      <c r="AA16" s="1419"/>
      <c r="AB16" s="1420"/>
      <c r="AC16" s="1304"/>
      <c r="AD16" s="1305"/>
      <c r="AE16" s="1306"/>
      <c r="AF16" s="1379">
        <f>AR22</f>
        <v>40</v>
      </c>
      <c r="AG16" s="1380"/>
      <c r="AH16" s="1381"/>
      <c r="AI16" s="1304" t="s">
        <v>604</v>
      </c>
      <c r="AJ16" s="1305"/>
      <c r="AK16" s="1306"/>
      <c r="AL16" s="238"/>
      <c r="AM16" s="241" t="s">
        <v>605</v>
      </c>
      <c r="AN16" s="241"/>
      <c r="AO16" s="241"/>
      <c r="AP16" s="437" t="s">
        <v>386</v>
      </c>
      <c r="AQ16" s="437" t="s">
        <v>714</v>
      </c>
      <c r="AR16" s="437" t="s">
        <v>715</v>
      </c>
      <c r="AS16" s="437" t="s">
        <v>386</v>
      </c>
      <c r="AT16" s="437" t="s">
        <v>714</v>
      </c>
      <c r="AU16" s="437" t="s">
        <v>715</v>
      </c>
      <c r="AV16" s="238"/>
      <c r="AW16" s="238"/>
      <c r="AX16" s="238"/>
      <c r="AY16" s="238"/>
      <c r="AZ16" s="238"/>
      <c r="BA16" s="238"/>
      <c r="BB16" s="238"/>
      <c r="BC16" s="239"/>
      <c r="BD16" s="239"/>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row>
    <row r="17" spans="1:94" s="240" customFormat="1" ht="14.25" customHeight="1">
      <c r="A17" s="438" t="s">
        <v>800</v>
      </c>
      <c r="B17" s="439"/>
      <c r="C17" s="439"/>
      <c r="D17" s="439"/>
      <c r="E17" s="439"/>
      <c r="F17" s="439"/>
      <c r="G17" s="440"/>
      <c r="H17" s="1421">
        <f>CO2eEF!P16</f>
        <v>16.12</v>
      </c>
      <c r="I17" s="1422"/>
      <c r="J17" s="1423"/>
      <c r="K17" s="1424">
        <f>CO2eEF!P12</f>
        <v>0.69899999999999995</v>
      </c>
      <c r="L17" s="1425"/>
      <c r="M17" s="1426"/>
      <c r="N17" s="1421">
        <f>CO2eEF!P19</f>
        <v>49.78</v>
      </c>
      <c r="O17" s="1427"/>
      <c r="P17" s="1428"/>
      <c r="Q17" s="1421">
        <f>CO2eEF!P21</f>
        <v>37.770000000000003</v>
      </c>
      <c r="R17" s="1427"/>
      <c r="S17" s="1428"/>
      <c r="T17" s="1340">
        <f>T16*$Q$16/$Q$17</f>
        <v>1178.9586533472216</v>
      </c>
      <c r="U17" s="1341"/>
      <c r="V17" s="1342"/>
      <c r="W17" s="1569">
        <f>T17/1000000/$K17</f>
        <v>1.6866361278214902E-3</v>
      </c>
      <c r="X17" s="1570"/>
      <c r="Y17" s="1571"/>
      <c r="Z17" s="1340">
        <f>Z16*$Q$16/$Q$17</f>
        <v>6414.9220843892945</v>
      </c>
      <c r="AA17" s="1341"/>
      <c r="AB17" s="1342"/>
      <c r="AC17" s="1569">
        <f>Z17/$K17/1000000</f>
        <v>9.1772848131463445E-3</v>
      </c>
      <c r="AD17" s="1570"/>
      <c r="AE17" s="1571"/>
      <c r="AF17" s="1340">
        <f>AF16*$Q$16/$Q$17</f>
        <v>40.201217897802486</v>
      </c>
      <c r="AG17" s="1341"/>
      <c r="AH17" s="1342"/>
      <c r="AI17" s="1572">
        <f>AF17/$K17/1000000</f>
        <v>5.7512471956798981E-5</v>
      </c>
      <c r="AJ17" s="1573"/>
      <c r="AK17" s="1574"/>
      <c r="AL17" s="238"/>
      <c r="AM17" s="441" t="s">
        <v>606</v>
      </c>
      <c r="AN17" s="241">
        <v>60</v>
      </c>
      <c r="AO17" s="241" t="s">
        <v>607</v>
      </c>
      <c r="AP17" s="442">
        <v>6.8000000000000005E-2</v>
      </c>
      <c r="AQ17" s="443">
        <f>AR5*$AP$17</f>
        <v>69.36</v>
      </c>
      <c r="AR17" s="443">
        <f>$AR$8*AQ17</f>
        <v>1173.0576484964322</v>
      </c>
      <c r="AS17" s="444">
        <v>0.37</v>
      </c>
      <c r="AT17" s="445">
        <f>AS17*AR5</f>
        <v>377.4</v>
      </c>
      <c r="AU17" s="446">
        <f>AT17*AR8</f>
        <v>6382.8136756423519</v>
      </c>
      <c r="AV17" s="238"/>
      <c r="AW17" s="238"/>
      <c r="AX17" s="238"/>
      <c r="AY17" s="238"/>
      <c r="AZ17" s="238"/>
      <c r="BA17" s="238"/>
      <c r="BB17" s="238"/>
      <c r="BC17" s="239"/>
      <c r="BD17" s="239"/>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row>
    <row r="18" spans="1:94" s="240" customFormat="1" ht="14.25" customHeight="1">
      <c r="A18" s="133"/>
      <c r="B18" s="251"/>
      <c r="C18" s="251"/>
      <c r="D18" s="251"/>
      <c r="E18" s="251"/>
      <c r="F18" s="251"/>
      <c r="G18" s="251"/>
      <c r="H18" s="1325"/>
      <c r="I18" s="1326"/>
      <c r="J18" s="1327"/>
      <c r="K18" s="1328">
        <v>1.05</v>
      </c>
      <c r="L18" s="1329"/>
      <c r="M18" s="1330"/>
      <c r="N18" s="1331"/>
      <c r="O18" s="1332"/>
      <c r="P18" s="1333"/>
      <c r="Q18" s="1334"/>
      <c r="R18" s="1335"/>
      <c r="S18" s="1336"/>
      <c r="T18" s="1337"/>
      <c r="U18" s="1338"/>
      <c r="V18" s="1339"/>
      <c r="W18" s="1302"/>
      <c r="X18" s="1283"/>
      <c r="Y18" s="1303"/>
      <c r="Z18" s="1337"/>
      <c r="AA18" s="1338"/>
      <c r="AB18" s="1339"/>
      <c r="AC18" s="1302"/>
      <c r="AD18" s="1283"/>
      <c r="AE18" s="1303"/>
      <c r="AF18" s="1343"/>
      <c r="AG18" s="1344"/>
      <c r="AH18" s="1345"/>
      <c r="AI18" s="1302"/>
      <c r="AJ18" s="1283"/>
      <c r="AK18" s="1303"/>
      <c r="AL18" s="238"/>
      <c r="AM18" s="441" t="s">
        <v>608</v>
      </c>
      <c r="AN18" s="447">
        <f>(AN17 - 32) * 5/9</f>
        <v>15.555555555555555</v>
      </c>
      <c r="AO18" s="241" t="s">
        <v>609</v>
      </c>
      <c r="AP18" s="444"/>
      <c r="AQ18" s="448"/>
      <c r="AR18" s="446"/>
      <c r="AS18" s="444"/>
      <c r="AT18" s="445"/>
      <c r="AU18" s="446"/>
      <c r="AV18" s="238"/>
      <c r="AW18" s="238"/>
      <c r="AX18" s="238"/>
      <c r="AY18" s="238"/>
      <c r="AZ18" s="238"/>
      <c r="BA18" s="238"/>
      <c r="BB18" s="238"/>
      <c r="BC18" s="239"/>
      <c r="BD18" s="239"/>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row>
    <row r="19" spans="1:94" s="240" customFormat="1" ht="14.25" customHeight="1">
      <c r="A19" s="279" t="s">
        <v>589</v>
      </c>
      <c r="B19" s="429"/>
      <c r="C19" s="429"/>
      <c r="D19" s="429"/>
      <c r="E19" s="429"/>
      <c r="F19" s="429"/>
      <c r="G19" s="449"/>
      <c r="H19" s="1271" t="s">
        <v>122</v>
      </c>
      <c r="I19" s="1272"/>
      <c r="J19" s="1273"/>
      <c r="K19" s="1271" t="s">
        <v>122</v>
      </c>
      <c r="L19" s="1272"/>
      <c r="M19" s="1273"/>
      <c r="N19" s="1271" t="s">
        <v>124</v>
      </c>
      <c r="O19" s="1272"/>
      <c r="P19" s="1273"/>
      <c r="Q19" s="1271" t="s">
        <v>124</v>
      </c>
      <c r="R19" s="1272"/>
      <c r="S19" s="1273"/>
      <c r="T19" s="1117" t="s">
        <v>123</v>
      </c>
      <c r="U19" s="1118"/>
      <c r="V19" s="1119"/>
      <c r="W19" s="1117" t="s">
        <v>123</v>
      </c>
      <c r="X19" s="1118"/>
      <c r="Y19" s="1119"/>
      <c r="Z19" s="1117" t="s">
        <v>716</v>
      </c>
      <c r="AA19" s="1118"/>
      <c r="AB19" s="1119"/>
      <c r="AC19" s="1117" t="s">
        <v>125</v>
      </c>
      <c r="AD19" s="1118"/>
      <c r="AE19" s="1119"/>
      <c r="AF19" s="30"/>
      <c r="AG19" s="30"/>
      <c r="AH19" s="30"/>
      <c r="AI19" s="30"/>
      <c r="AJ19" s="30"/>
      <c r="AK19" s="280"/>
      <c r="AL19" s="238"/>
      <c r="AM19" s="241"/>
      <c r="AN19" s="241"/>
      <c r="AO19" s="241"/>
      <c r="AP19" s="238"/>
      <c r="AQ19" s="238"/>
      <c r="AR19" s="238"/>
      <c r="AS19" s="238"/>
      <c r="AT19" s="238"/>
      <c r="AU19" s="238"/>
      <c r="AV19" s="238"/>
      <c r="AW19" s="238"/>
      <c r="AX19" s="238"/>
      <c r="AY19" s="238"/>
      <c r="AZ19" s="238"/>
      <c r="BA19" s="238"/>
      <c r="BB19" s="238"/>
      <c r="BC19" s="238"/>
      <c r="BD19" s="238"/>
      <c r="BE19" s="238"/>
      <c r="BF19" s="239"/>
      <c r="BG19" s="239"/>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row>
    <row r="20" spans="1:94" s="240" customFormat="1" ht="14.25" customHeight="1">
      <c r="A20" s="250"/>
      <c r="B20" s="251"/>
      <c r="C20" s="251"/>
      <c r="D20" s="251"/>
      <c r="E20" s="251"/>
      <c r="F20" s="251"/>
      <c r="G20" s="450"/>
      <c r="H20" s="1302" t="s">
        <v>734</v>
      </c>
      <c r="I20" s="1283"/>
      <c r="J20" s="1303"/>
      <c r="K20" s="1302" t="s">
        <v>599</v>
      </c>
      <c r="L20" s="1283"/>
      <c r="M20" s="1303"/>
      <c r="N20" s="1302" t="s">
        <v>734</v>
      </c>
      <c r="O20" s="1283"/>
      <c r="P20" s="1303"/>
      <c r="Q20" s="1302" t="s">
        <v>599</v>
      </c>
      <c r="R20" s="1283"/>
      <c r="S20" s="1303"/>
      <c r="T20" s="1089" t="s">
        <v>598</v>
      </c>
      <c r="U20" s="1090"/>
      <c r="V20" s="1091"/>
      <c r="W20" s="1089" t="s">
        <v>599</v>
      </c>
      <c r="X20" s="1090"/>
      <c r="Y20" s="1091"/>
      <c r="Z20" s="1089" t="s">
        <v>598</v>
      </c>
      <c r="AA20" s="1090"/>
      <c r="AB20" s="1091"/>
      <c r="AC20" s="1089" t="s">
        <v>599</v>
      </c>
      <c r="AD20" s="1090"/>
      <c r="AE20" s="1091"/>
      <c r="AF20" s="30"/>
      <c r="AG20" s="30"/>
      <c r="AH20" s="30"/>
      <c r="AI20" s="30"/>
      <c r="AJ20" s="30"/>
      <c r="AK20" s="253"/>
      <c r="AL20" s="238"/>
      <c r="AM20" s="441"/>
      <c r="AN20" s="241"/>
      <c r="AO20" s="241"/>
      <c r="AP20" s="431" t="s">
        <v>116</v>
      </c>
      <c r="AQ20" s="432"/>
      <c r="AR20" s="433"/>
      <c r="AS20" s="431" t="s">
        <v>122</v>
      </c>
      <c r="AT20" s="432"/>
      <c r="AU20" s="433"/>
      <c r="AV20" s="238"/>
      <c r="AW20" s="238"/>
      <c r="AX20" s="238"/>
      <c r="AY20" s="238"/>
      <c r="AZ20" s="238"/>
      <c r="BA20" s="238"/>
      <c r="BB20" s="238"/>
      <c r="BC20" s="238"/>
      <c r="BD20" s="238"/>
      <c r="BE20" s="238"/>
      <c r="BF20" s="239"/>
      <c r="BG20" s="239"/>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row>
    <row r="21" spans="1:94" s="240" customFormat="1" ht="14.25" customHeight="1">
      <c r="A21" s="434" t="s">
        <v>735</v>
      </c>
      <c r="B21" s="435"/>
      <c r="C21" s="435"/>
      <c r="D21" s="435"/>
      <c r="E21" s="435"/>
      <c r="F21" s="435"/>
      <c r="G21" s="436"/>
      <c r="H21" s="1418">
        <f>AU22</f>
        <v>2415.11868808089</v>
      </c>
      <c r="I21" s="1419"/>
      <c r="J21" s="1420"/>
      <c r="K21" s="1304"/>
      <c r="L21" s="1305"/>
      <c r="M21" s="1306"/>
      <c r="N21" s="1418"/>
      <c r="O21" s="1419"/>
      <c r="P21" s="1420"/>
      <c r="Q21" s="1304"/>
      <c r="R21" s="1305"/>
      <c r="S21" s="1306"/>
      <c r="T21" s="1073"/>
      <c r="U21" s="1109"/>
      <c r="V21" s="1074"/>
      <c r="W21" s="1214"/>
      <c r="X21" s="1215"/>
      <c r="Y21" s="1216"/>
      <c r="Z21" s="1073"/>
      <c r="AA21" s="1109"/>
      <c r="AB21" s="1074"/>
      <c r="AC21" s="1076"/>
      <c r="AD21" s="1075"/>
      <c r="AE21" s="1077"/>
      <c r="AF21" s="30"/>
      <c r="AG21" s="30"/>
      <c r="AH21" s="30"/>
      <c r="AI21" s="30"/>
      <c r="AJ21" s="30"/>
      <c r="AK21" s="253"/>
      <c r="AL21" s="238"/>
      <c r="AM21" s="241"/>
      <c r="AN21" s="241"/>
      <c r="AO21" s="241"/>
      <c r="AP21" s="437" t="s">
        <v>737</v>
      </c>
      <c r="AQ21" s="451" t="s">
        <v>738</v>
      </c>
      <c r="AR21" s="451" t="s">
        <v>731</v>
      </c>
      <c r="AS21" s="437" t="s">
        <v>386</v>
      </c>
      <c r="AT21" s="437" t="s">
        <v>714</v>
      </c>
      <c r="AU21" s="437" t="s">
        <v>715</v>
      </c>
      <c r="AV21" s="238"/>
      <c r="AW21" s="238"/>
      <c r="AX21" s="238"/>
      <c r="AY21" s="238"/>
      <c r="AZ21" s="238"/>
      <c r="BA21" s="238"/>
      <c r="BB21" s="238"/>
      <c r="BC21" s="238"/>
      <c r="BD21" s="238"/>
      <c r="BE21" s="238"/>
      <c r="BF21" s="239"/>
      <c r="BG21" s="239"/>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row>
    <row r="22" spans="1:94" s="240" customFormat="1" ht="14.25" customHeight="1">
      <c r="A22" s="438" t="s">
        <v>800</v>
      </c>
      <c r="B22" s="439"/>
      <c r="C22" s="439"/>
      <c r="D22" s="439"/>
      <c r="E22" s="439"/>
      <c r="F22" s="439"/>
      <c r="G22" s="440"/>
      <c r="H22" s="1340">
        <f>H21*$Q$16/$Q$17</f>
        <v>2427.2678157148684</v>
      </c>
      <c r="I22" s="1341"/>
      <c r="J22" s="1342"/>
      <c r="K22" s="1569">
        <f>H22/1000000/$K17</f>
        <v>3.4724861455148331E-3</v>
      </c>
      <c r="L22" s="1570"/>
      <c r="M22" s="1571"/>
      <c r="N22" s="1340"/>
      <c r="O22" s="1341"/>
      <c r="P22" s="1342"/>
      <c r="Q22" s="1569"/>
      <c r="R22" s="1570"/>
      <c r="S22" s="1571"/>
      <c r="T22" s="1123"/>
      <c r="U22" s="1069"/>
      <c r="V22" s="1124"/>
      <c r="W22" s="1114"/>
      <c r="X22" s="1115"/>
      <c r="Y22" s="1116"/>
      <c r="Z22" s="1064"/>
      <c r="AA22" s="1230"/>
      <c r="AB22" s="1065"/>
      <c r="AC22" s="1114"/>
      <c r="AD22" s="1115"/>
      <c r="AE22" s="1116"/>
      <c r="AF22" s="30"/>
      <c r="AG22" s="30"/>
      <c r="AH22" s="30"/>
      <c r="AI22" s="30"/>
      <c r="AJ22" s="30"/>
      <c r="AK22" s="253"/>
      <c r="AL22" s="238"/>
      <c r="AM22" s="241"/>
      <c r="AN22" s="241"/>
      <c r="AO22" s="241"/>
      <c r="AP22" s="444">
        <v>40</v>
      </c>
      <c r="AQ22" s="452">
        <f>AP22/1000000/1000/AR10</f>
        <v>4.0000000000000003E-5</v>
      </c>
      <c r="AR22" s="446">
        <f>AQ22*1000000</f>
        <v>40</v>
      </c>
      <c r="AS22" s="444">
        <v>0.14000000000000001</v>
      </c>
      <c r="AT22" s="443">
        <f>AS22*$AR$5</f>
        <v>142.80000000000001</v>
      </c>
      <c r="AU22" s="443">
        <f>$AR$8*AT22</f>
        <v>2415.11868808089</v>
      </c>
      <c r="AV22" s="238"/>
      <c r="AW22" s="238"/>
      <c r="AX22" s="238"/>
      <c r="AY22" s="238"/>
      <c r="AZ22" s="238"/>
      <c r="BA22" s="238"/>
      <c r="BB22" s="238"/>
      <c r="BC22" s="238"/>
      <c r="BD22" s="238"/>
      <c r="BE22" s="238"/>
      <c r="BF22" s="239"/>
      <c r="BG22" s="239"/>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row>
    <row r="23" spans="1:94" s="240" customFormat="1" ht="14.25" customHeight="1">
      <c r="A23" s="133"/>
      <c r="B23" s="30"/>
      <c r="C23" s="30"/>
      <c r="D23" s="30"/>
      <c r="E23" s="30"/>
      <c r="F23" s="30"/>
      <c r="G23" s="253"/>
      <c r="H23" s="1352"/>
      <c r="I23" s="1353"/>
      <c r="J23" s="1354"/>
      <c r="K23" s="1355"/>
      <c r="L23" s="1356"/>
      <c r="M23" s="1357"/>
      <c r="N23" s="1352"/>
      <c r="O23" s="1353"/>
      <c r="P23" s="1354"/>
      <c r="Q23" s="1355"/>
      <c r="R23" s="1356"/>
      <c r="S23" s="1357"/>
      <c r="T23" s="1123"/>
      <c r="U23" s="1069"/>
      <c r="V23" s="1124"/>
      <c r="W23" s="1125"/>
      <c r="X23" s="1126"/>
      <c r="Y23" s="1127"/>
      <c r="Z23" s="1125"/>
      <c r="AA23" s="1126"/>
      <c r="AB23" s="1127"/>
      <c r="AC23" s="1125"/>
      <c r="AD23" s="1126"/>
      <c r="AE23" s="1127"/>
      <c r="AF23" s="30"/>
      <c r="AG23" s="30"/>
      <c r="AH23" s="30"/>
      <c r="AI23" s="30"/>
      <c r="AJ23" s="30"/>
      <c r="AK23" s="253"/>
      <c r="AL23" s="238"/>
      <c r="AM23" s="453">
        <f>X25/K17</f>
        <v>138054.3633762518</v>
      </c>
      <c r="AN23" s="241"/>
      <c r="AO23" s="241"/>
      <c r="AP23" s="444">
        <f>AP22</f>
        <v>40</v>
      </c>
      <c r="AQ23" s="452">
        <f>AP23/1000000/1000/AR11</f>
        <v>3.7879999999999996E-11</v>
      </c>
      <c r="AR23" s="446">
        <f>AQ23*1000000</f>
        <v>3.7879999999999996E-5</v>
      </c>
      <c r="AS23" s="444"/>
      <c r="AT23" s="445"/>
      <c r="AU23" s="446"/>
      <c r="AV23" s="238"/>
      <c r="AW23" s="238"/>
      <c r="AX23" s="238"/>
      <c r="AY23" s="238"/>
      <c r="AZ23" s="238"/>
      <c r="BA23" s="238"/>
      <c r="BB23" s="238"/>
      <c r="BC23" s="238"/>
      <c r="BD23" s="238"/>
      <c r="BE23" s="238"/>
      <c r="BF23" s="239"/>
      <c r="BG23" s="239"/>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row>
    <row r="24" spans="1:94" s="240" customFormat="1" ht="14.25" customHeight="1">
      <c r="A24" s="279" t="s">
        <v>612</v>
      </c>
      <c r="B24" s="132"/>
      <c r="C24" s="132"/>
      <c r="D24" s="132"/>
      <c r="E24" s="132"/>
      <c r="F24" s="132"/>
      <c r="G24" s="132"/>
      <c r="H24" s="132"/>
      <c r="I24" s="132"/>
      <c r="J24" s="132"/>
      <c r="K24" s="132"/>
      <c r="L24" s="132"/>
      <c r="M24" s="132"/>
      <c r="N24" s="132"/>
      <c r="O24" s="132"/>
      <c r="P24" s="132"/>
      <c r="Q24" s="132"/>
      <c r="R24" s="132"/>
      <c r="S24" s="280"/>
      <c r="T24" s="587" t="s">
        <v>613</v>
      </c>
      <c r="U24" s="435"/>
      <c r="V24" s="435"/>
      <c r="W24" s="435"/>
      <c r="X24" s="435"/>
      <c r="Y24" s="435"/>
      <c r="Z24" s="435"/>
      <c r="AA24" s="435"/>
      <c r="AB24" s="435"/>
      <c r="AC24" s="435"/>
      <c r="AD24" s="435"/>
      <c r="AE24" s="435"/>
      <c r="AF24" s="435"/>
      <c r="AG24" s="435"/>
      <c r="AH24" s="435"/>
      <c r="AI24" s="435"/>
      <c r="AJ24" s="435"/>
      <c r="AK24" s="436"/>
      <c r="AL24" s="238"/>
      <c r="AM24" s="241"/>
      <c r="AN24" s="241"/>
      <c r="AO24" s="241"/>
      <c r="AP24" s="241"/>
      <c r="AQ24" s="241"/>
      <c r="AR24" s="241"/>
      <c r="AS24" s="241"/>
      <c r="AT24" s="241"/>
      <c r="AU24" s="241"/>
      <c r="AV24" s="241"/>
      <c r="AW24" s="241"/>
      <c r="AX24" s="238"/>
      <c r="AY24" s="238"/>
      <c r="AZ24" s="238"/>
      <c r="BA24" s="238"/>
      <c r="BB24" s="238"/>
      <c r="BC24" s="238"/>
      <c r="BD24" s="238"/>
      <c r="BE24" s="238"/>
      <c r="BF24" s="239"/>
      <c r="BG24" s="239"/>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row>
    <row r="25" spans="1:94" s="240" customFormat="1" ht="14.25" customHeight="1">
      <c r="A25" s="133" t="s">
        <v>614</v>
      </c>
      <c r="B25" s="30"/>
      <c r="C25" s="30"/>
      <c r="D25" s="30"/>
      <c r="E25" s="30"/>
      <c r="F25" s="30"/>
      <c r="G25" s="30"/>
      <c r="H25" s="588"/>
      <c r="I25" s="30" t="s">
        <v>590</v>
      </c>
      <c r="J25" s="30"/>
      <c r="K25" s="30"/>
      <c r="L25" s="30" t="s">
        <v>615</v>
      </c>
      <c r="M25" s="30"/>
      <c r="N25" s="30"/>
      <c r="O25" s="30"/>
      <c r="P25" s="30"/>
      <c r="Q25" s="30"/>
      <c r="R25" s="30"/>
      <c r="S25" s="253" t="s">
        <v>616</v>
      </c>
      <c r="T25" s="1294" t="s">
        <v>800</v>
      </c>
      <c r="U25" s="1295"/>
      <c r="V25" s="1295"/>
      <c r="W25" s="1295"/>
      <c r="X25" s="1296">
        <f>X45</f>
        <v>96500</v>
      </c>
      <c r="Y25" s="1296"/>
      <c r="Z25" s="1296"/>
      <c r="AA25" s="1295" t="s">
        <v>617</v>
      </c>
      <c r="AB25" s="1295"/>
      <c r="AC25" s="1297">
        <f>X25/H17</f>
        <v>5986.3523573200991</v>
      </c>
      <c r="AD25" s="1297"/>
      <c r="AE25" s="1295" t="s">
        <v>618</v>
      </c>
      <c r="AF25" s="1295"/>
      <c r="AG25" s="1295"/>
      <c r="AH25" s="1297">
        <f>X25*N17/3600</f>
        <v>1334.3805555555555</v>
      </c>
      <c r="AI25" s="1297"/>
      <c r="AJ25" s="479" t="s">
        <v>590</v>
      </c>
      <c r="AK25" s="480"/>
      <c r="AL25" s="238"/>
      <c r="AM25" s="254">
        <f>X25*W22</f>
        <v>0</v>
      </c>
      <c r="AN25" s="241"/>
      <c r="AO25" s="241"/>
      <c r="AP25" s="241"/>
      <c r="AQ25" s="241"/>
      <c r="AR25" s="241"/>
      <c r="AS25" s="241"/>
      <c r="AT25" s="241"/>
      <c r="AU25" s="241"/>
      <c r="AV25" s="241"/>
      <c r="AW25" s="241"/>
      <c r="AX25" s="238"/>
      <c r="AY25" s="238"/>
      <c r="AZ25" s="238"/>
      <c r="BA25" s="238"/>
      <c r="BB25" s="238"/>
      <c r="BC25" s="238"/>
      <c r="BD25" s="238"/>
      <c r="BE25" s="238"/>
      <c r="BF25" s="239"/>
      <c r="BG25" s="239"/>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row>
    <row r="26" spans="1:94" s="240" customFormat="1" ht="14.25" customHeight="1">
      <c r="A26" s="250" t="s">
        <v>619</v>
      </c>
      <c r="B26" s="251"/>
      <c r="C26" s="251"/>
      <c r="D26" s="251"/>
      <c r="E26" s="251"/>
      <c r="F26" s="251"/>
      <c r="G26" s="251"/>
      <c r="H26" s="252"/>
      <c r="I26" s="251" t="s">
        <v>590</v>
      </c>
      <c r="J26" s="251"/>
      <c r="K26" s="251"/>
      <c r="L26" s="251"/>
      <c r="M26" s="251"/>
      <c r="N26" s="251"/>
      <c r="O26" s="251"/>
      <c r="P26" s="251"/>
      <c r="Q26" s="251"/>
      <c r="R26" s="251"/>
      <c r="S26" s="450"/>
      <c r="T26" s="1292"/>
      <c r="U26" s="1286"/>
      <c r="V26" s="860"/>
      <c r="W26" s="860"/>
      <c r="X26" s="1630"/>
      <c r="Y26" s="1630"/>
      <c r="Z26" s="1630"/>
      <c r="AA26" s="860"/>
      <c r="AB26" s="860"/>
      <c r="AC26" s="1293"/>
      <c r="AD26" s="1293"/>
      <c r="AE26" s="860"/>
      <c r="AF26" s="860"/>
      <c r="AG26" s="860"/>
      <c r="AH26" s="1293"/>
      <c r="AI26" s="1293"/>
      <c r="AJ26" s="30"/>
      <c r="AK26" s="253"/>
      <c r="AL26" s="238"/>
      <c r="AM26" s="254">
        <f>W22*SUM(N33:O42)</f>
        <v>0</v>
      </c>
      <c r="AN26" s="241"/>
      <c r="AO26" s="241"/>
      <c r="AP26" s="241"/>
      <c r="AQ26" s="241"/>
      <c r="AR26" s="241"/>
      <c r="AS26" s="241"/>
      <c r="AT26" s="241"/>
      <c r="AU26" s="241"/>
      <c r="AV26" s="241"/>
      <c r="AW26" s="241"/>
      <c r="AX26" s="238"/>
      <c r="AY26" s="238"/>
      <c r="AZ26" s="238"/>
      <c r="BA26" s="238"/>
      <c r="BB26" s="238"/>
      <c r="BC26" s="238"/>
      <c r="BD26" s="238"/>
      <c r="BE26" s="238"/>
      <c r="BF26" s="239"/>
      <c r="BG26" s="239"/>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row>
    <row r="27" spans="1:94" s="240" customFormat="1" ht="14.25" customHeight="1">
      <c r="A27" s="1370" t="s">
        <v>718</v>
      </c>
      <c r="B27" s="1370"/>
      <c r="C27" s="1370"/>
      <c r="D27" s="1370"/>
      <c r="E27" s="1370"/>
      <c r="F27" s="1371" t="s">
        <v>801</v>
      </c>
      <c r="G27" s="1372"/>
      <c r="H27" s="1372"/>
      <c r="I27" s="1372"/>
      <c r="J27" s="1372"/>
      <c r="K27" s="1372"/>
      <c r="L27" s="1372"/>
      <c r="M27" s="1372"/>
      <c r="N27" s="1372"/>
      <c r="O27" s="1372"/>
      <c r="P27" s="1372"/>
      <c r="Q27" s="1372"/>
      <c r="R27" s="1372"/>
      <c r="S27" s="1372"/>
      <c r="T27" s="1372"/>
      <c r="U27" s="1373"/>
      <c r="V27" s="1575" t="s">
        <v>808</v>
      </c>
      <c r="W27" s="1576"/>
      <c r="X27" s="1576"/>
      <c r="Y27" s="1576"/>
      <c r="Z27" s="1576"/>
      <c r="AA27" s="1576"/>
      <c r="AB27" s="1576"/>
      <c r="AC27" s="1576"/>
      <c r="AD27" s="1576"/>
      <c r="AE27" s="1576"/>
      <c r="AF27" s="1576"/>
      <c r="AG27" s="1576"/>
      <c r="AH27" s="1576"/>
      <c r="AI27" s="1576"/>
      <c r="AJ27" s="1576"/>
      <c r="AK27" s="253"/>
      <c r="AL27" s="255"/>
      <c r="AM27" s="241"/>
      <c r="AN27" s="241"/>
      <c r="AO27" s="241"/>
      <c r="AP27" s="241"/>
      <c r="AQ27" s="241"/>
      <c r="AR27" s="241"/>
      <c r="AS27" s="241"/>
      <c r="AT27" s="241"/>
      <c r="AU27" s="241"/>
      <c r="AV27" s="241"/>
      <c r="AW27" s="241"/>
      <c r="AX27" s="241"/>
      <c r="AY27" s="241"/>
      <c r="AZ27" s="238"/>
      <c r="BA27" s="238"/>
      <c r="BB27" s="238"/>
      <c r="BC27" s="238"/>
      <c r="BD27" s="238"/>
      <c r="BE27" s="238"/>
      <c r="BF27" s="239"/>
      <c r="BG27" s="239"/>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row>
    <row r="28" spans="1:94" s="240" customFormat="1" ht="14.25" customHeight="1">
      <c r="A28" s="256" t="s">
        <v>620</v>
      </c>
      <c r="B28" s="30"/>
      <c r="C28" s="30"/>
      <c r="D28" s="30"/>
      <c r="E28" s="30"/>
      <c r="F28" s="1374"/>
      <c r="G28" s="1374"/>
      <c r="H28" s="1374"/>
      <c r="I28" s="1374"/>
      <c r="J28" s="1375" t="s">
        <v>120</v>
      </c>
      <c r="K28" s="1375"/>
      <c r="L28" s="1375"/>
      <c r="M28" s="1375"/>
      <c r="N28" s="1374" t="s">
        <v>621</v>
      </c>
      <c r="O28" s="1374"/>
      <c r="P28" s="1375" t="s">
        <v>622</v>
      </c>
      <c r="Q28" s="1375"/>
      <c r="R28" s="1375"/>
      <c r="S28" s="1375"/>
      <c r="T28" s="1375"/>
      <c r="U28" s="1375"/>
      <c r="V28" s="1577"/>
      <c r="W28" s="1576"/>
      <c r="X28" s="1576"/>
      <c r="Y28" s="1576"/>
      <c r="Z28" s="1576"/>
      <c r="AA28" s="1576"/>
      <c r="AB28" s="1576"/>
      <c r="AC28" s="1576"/>
      <c r="AD28" s="1576"/>
      <c r="AE28" s="1576"/>
      <c r="AF28" s="1576"/>
      <c r="AG28" s="1576"/>
      <c r="AH28" s="1576"/>
      <c r="AI28" s="1576"/>
      <c r="AJ28" s="1576"/>
      <c r="AK28" s="253"/>
      <c r="AL28" s="255"/>
      <c r="AM28" s="241"/>
      <c r="AN28" s="241"/>
      <c r="AO28" s="241"/>
      <c r="AP28" s="241"/>
      <c r="AQ28" s="241"/>
      <c r="AR28" s="241"/>
      <c r="AS28" s="241"/>
      <c r="AT28" s="241"/>
      <c r="AU28" s="241"/>
      <c r="AV28" s="241"/>
      <c r="AW28" s="241"/>
      <c r="AX28" s="241"/>
      <c r="AY28" s="241"/>
      <c r="AZ28" s="238"/>
      <c r="BA28" s="238"/>
      <c r="BB28" s="238"/>
      <c r="BC28" s="238"/>
      <c r="BD28" s="238"/>
      <c r="BE28" s="238"/>
      <c r="BF28" s="239"/>
      <c r="BG28" s="239"/>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38"/>
      <c r="CN28" s="238"/>
      <c r="CO28" s="238"/>
      <c r="CP28" s="238"/>
    </row>
    <row r="29" spans="1:94" s="240" customFormat="1" ht="14.25" customHeight="1">
      <c r="A29" s="133"/>
      <c r="B29" s="30"/>
      <c r="C29" s="30"/>
      <c r="D29" s="30"/>
      <c r="E29" s="30"/>
      <c r="F29" s="1374"/>
      <c r="G29" s="1374"/>
      <c r="H29" s="1374"/>
      <c r="I29" s="1374"/>
      <c r="J29" s="1375" t="s">
        <v>624</v>
      </c>
      <c r="K29" s="1375"/>
      <c r="L29" s="1375" t="s">
        <v>625</v>
      </c>
      <c r="M29" s="1375"/>
      <c r="N29" s="1374"/>
      <c r="O29" s="1374"/>
      <c r="P29" s="1375"/>
      <c r="Q29" s="1375"/>
      <c r="R29" s="1375"/>
      <c r="S29" s="1375"/>
      <c r="T29" s="1375"/>
      <c r="U29" s="1375"/>
      <c r="V29" s="1577"/>
      <c r="W29" s="1576"/>
      <c r="X29" s="1576"/>
      <c r="Y29" s="1576"/>
      <c r="Z29" s="1576"/>
      <c r="AA29" s="1576"/>
      <c r="AB29" s="1576"/>
      <c r="AC29" s="1576"/>
      <c r="AD29" s="1576"/>
      <c r="AE29" s="1576"/>
      <c r="AF29" s="1576"/>
      <c r="AG29" s="1576"/>
      <c r="AH29" s="1576"/>
      <c r="AI29" s="1576"/>
      <c r="AJ29" s="1576"/>
      <c r="AK29" s="253"/>
      <c r="AL29" s="258"/>
      <c r="AM29" s="259" t="s">
        <v>740</v>
      </c>
      <c r="AN29" s="259"/>
      <c r="AO29" s="259"/>
      <c r="AP29" s="259"/>
      <c r="AQ29" s="259"/>
      <c r="AR29" s="259"/>
      <c r="AS29" s="259" t="s">
        <v>741</v>
      </c>
      <c r="AT29" s="259"/>
      <c r="AU29" s="259" t="s">
        <v>742</v>
      </c>
      <c r="AV29" s="259"/>
      <c r="AW29" s="259"/>
      <c r="AX29" s="259"/>
      <c r="AY29" s="258"/>
      <c r="AZ29" s="238"/>
      <c r="BA29" s="238"/>
      <c r="BB29" s="238"/>
      <c r="BC29" s="238"/>
      <c r="BD29" s="238"/>
      <c r="BE29" s="238"/>
      <c r="BF29" s="239"/>
      <c r="BG29" s="239"/>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row>
    <row r="30" spans="1:94" s="240" customFormat="1" ht="14.25" customHeight="1">
      <c r="A30" s="1376" t="s">
        <v>630</v>
      </c>
      <c r="B30" s="1376"/>
      <c r="C30" s="1376"/>
      <c r="D30" s="1376"/>
      <c r="E30" s="1376"/>
      <c r="F30" s="1375" t="s">
        <v>631</v>
      </c>
      <c r="G30" s="1375"/>
      <c r="H30" s="1375" t="s">
        <v>618</v>
      </c>
      <c r="I30" s="1375"/>
      <c r="J30" s="1373" t="s">
        <v>618</v>
      </c>
      <c r="K30" s="1375"/>
      <c r="L30" s="1375" t="s">
        <v>618</v>
      </c>
      <c r="M30" s="1375"/>
      <c r="N30" s="1375" t="s">
        <v>617</v>
      </c>
      <c r="O30" s="1375"/>
      <c r="P30" s="1375" t="s">
        <v>631</v>
      </c>
      <c r="Q30" s="1375"/>
      <c r="R30" s="1371" t="s">
        <v>618</v>
      </c>
      <c r="S30" s="1373"/>
      <c r="T30" s="1371" t="s">
        <v>617</v>
      </c>
      <c r="U30" s="1373"/>
      <c r="V30" s="1577"/>
      <c r="W30" s="1576"/>
      <c r="X30" s="1576"/>
      <c r="Y30" s="1576"/>
      <c r="Z30" s="1576"/>
      <c r="AA30" s="1576"/>
      <c r="AB30" s="1576"/>
      <c r="AC30" s="1576"/>
      <c r="AD30" s="1576"/>
      <c r="AE30" s="1576"/>
      <c r="AF30" s="1576"/>
      <c r="AG30" s="1576"/>
      <c r="AH30" s="1576"/>
      <c r="AI30" s="1576"/>
      <c r="AJ30" s="1576"/>
      <c r="AK30" s="253"/>
      <c r="AL30" s="258"/>
      <c r="AM30" s="259" t="s">
        <v>633</v>
      </c>
      <c r="AN30" s="259" t="s">
        <v>634</v>
      </c>
      <c r="AO30" s="259" t="s">
        <v>635</v>
      </c>
      <c r="AP30" s="259" t="s">
        <v>636</v>
      </c>
      <c r="AQ30" s="259" t="s">
        <v>637</v>
      </c>
      <c r="AR30" s="259" t="s">
        <v>590</v>
      </c>
      <c r="AS30" s="259" t="s">
        <v>428</v>
      </c>
      <c r="AT30" s="259" t="s">
        <v>429</v>
      </c>
      <c r="AU30" s="259" t="s">
        <v>126</v>
      </c>
      <c r="AV30" s="259" t="s">
        <v>431</v>
      </c>
      <c r="AW30" s="259" t="s">
        <v>429</v>
      </c>
      <c r="AX30" s="259" t="s">
        <v>124</v>
      </c>
      <c r="AY30" s="258"/>
      <c r="AZ30" s="238"/>
      <c r="BA30" s="238"/>
      <c r="BB30" s="238"/>
      <c r="BC30" s="238"/>
      <c r="BD30" s="238"/>
      <c r="BE30" s="238"/>
      <c r="BF30" s="239" t="s">
        <v>128</v>
      </c>
      <c r="BG30" s="239" t="s">
        <v>743</v>
      </c>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row>
    <row r="31" spans="1:94" s="240" customFormat="1" ht="14.25" customHeight="1">
      <c r="A31" s="260" t="s">
        <v>638</v>
      </c>
      <c r="B31" s="261"/>
      <c r="C31" s="261"/>
      <c r="D31" s="261"/>
      <c r="E31" s="262"/>
      <c r="F31" s="1377">
        <v>0</v>
      </c>
      <c r="G31" s="1378"/>
      <c r="H31" s="1379">
        <v>0</v>
      </c>
      <c r="I31" s="1381"/>
      <c r="J31" s="1380"/>
      <c r="K31" s="1380"/>
      <c r="L31" s="1379"/>
      <c r="M31" s="1380"/>
      <c r="N31" s="1379">
        <f t="shared" ref="N31:N51" si="0">SUM(H31,J31,L31)*AR31</f>
        <v>0</v>
      </c>
      <c r="O31" s="1380"/>
      <c r="P31" s="1379"/>
      <c r="Q31" s="1381"/>
      <c r="R31" s="1379"/>
      <c r="S31" s="1380"/>
      <c r="T31" s="1379"/>
      <c r="U31" s="1381"/>
      <c r="V31" s="1577"/>
      <c r="W31" s="1576"/>
      <c r="X31" s="1576"/>
      <c r="Y31" s="1576"/>
      <c r="Z31" s="1576"/>
      <c r="AA31" s="1576"/>
      <c r="AB31" s="1576"/>
      <c r="AC31" s="1576"/>
      <c r="AD31" s="1576"/>
      <c r="AE31" s="1576"/>
      <c r="AF31" s="1576"/>
      <c r="AG31" s="1576"/>
      <c r="AH31" s="1576"/>
      <c r="AI31" s="1576"/>
      <c r="AJ31" s="1576"/>
      <c r="AK31" s="264"/>
      <c r="AL31" s="258"/>
      <c r="AM31" s="259"/>
      <c r="AN31" s="259">
        <v>2</v>
      </c>
      <c r="AO31" s="259"/>
      <c r="AP31" s="259"/>
      <c r="AQ31" s="259"/>
      <c r="AR31" s="265">
        <f>AM31*12.01+AN31*1.008+AO31*16+AP31*14+AQ31*32</f>
        <v>2.016</v>
      </c>
      <c r="AS31" s="259">
        <f>AM31*1+AN31*0.25+AQ31*1</f>
        <v>0.5</v>
      </c>
      <c r="AT31" s="266">
        <f>0.79/0.21*AS31</f>
        <v>1.8809523809523812</v>
      </c>
      <c r="AU31" s="259">
        <f>1*AM31</f>
        <v>0</v>
      </c>
      <c r="AV31" s="259">
        <f>AN31/2</f>
        <v>1</v>
      </c>
      <c r="AW31" s="266">
        <f>AP31*0.5+AT31</f>
        <v>1.8809523809523812</v>
      </c>
      <c r="AX31" s="259">
        <f>AQ31*1</f>
        <v>0</v>
      </c>
      <c r="AY31" s="258"/>
      <c r="AZ31" s="238"/>
      <c r="BA31" s="238"/>
      <c r="BB31" s="238"/>
      <c r="BC31" s="238"/>
      <c r="BD31" s="238"/>
      <c r="BE31" s="239" t="s">
        <v>639</v>
      </c>
      <c r="BF31" s="239">
        <v>1.4200000000000001E-2</v>
      </c>
      <c r="BG31" s="239">
        <v>2.9999999999999997E-4</v>
      </c>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row>
    <row r="32" spans="1:94" s="240" customFormat="1" ht="14.25" customHeight="1">
      <c r="A32" s="267" t="s">
        <v>122</v>
      </c>
      <c r="B32" s="268"/>
      <c r="C32" s="268"/>
      <c r="D32" s="268"/>
      <c r="E32" s="269"/>
      <c r="F32" s="1377">
        <f>CO2eEF!P26</f>
        <v>0.99629999999999996</v>
      </c>
      <c r="G32" s="1378"/>
      <c r="H32" s="1299">
        <f>F32*$AC$25</f>
        <v>5964.2028535980144</v>
      </c>
      <c r="I32" s="1301"/>
      <c r="J32" s="1300"/>
      <c r="K32" s="1300"/>
      <c r="L32" s="1299"/>
      <c r="M32" s="1300"/>
      <c r="N32" s="1299">
        <f t="shared" si="0"/>
        <v>95677.74217741935</v>
      </c>
      <c r="O32" s="1301"/>
      <c r="P32" s="1547">
        <f>R32/$R$52</f>
        <v>1.8964269577005921E-3</v>
      </c>
      <c r="Q32" s="1548"/>
      <c r="R32" s="1299">
        <f>T32/$AR32</f>
        <v>119.28405707196029</v>
      </c>
      <c r="S32" s="1300"/>
      <c r="T32" s="1299">
        <f>H32*0.02*AR32</f>
        <v>1913.5548435483872</v>
      </c>
      <c r="U32" s="1301"/>
      <c r="V32" s="1577"/>
      <c r="W32" s="1576"/>
      <c r="X32" s="1576"/>
      <c r="Y32" s="1576"/>
      <c r="Z32" s="1576"/>
      <c r="AA32" s="1576"/>
      <c r="AB32" s="1576"/>
      <c r="AC32" s="1576"/>
      <c r="AD32" s="1576"/>
      <c r="AE32" s="1576"/>
      <c r="AF32" s="1576"/>
      <c r="AG32" s="1576"/>
      <c r="AH32" s="1576"/>
      <c r="AI32" s="1576"/>
      <c r="AJ32" s="1576"/>
      <c r="AK32" s="264"/>
      <c r="AL32" s="258"/>
      <c r="AM32" s="259">
        <v>1</v>
      </c>
      <c r="AN32" s="259">
        <v>4</v>
      </c>
      <c r="AO32" s="259"/>
      <c r="AP32" s="259"/>
      <c r="AQ32" s="259"/>
      <c r="AR32" s="265">
        <f t="shared" ref="AR32:AR47" si="1">AM32*12.01+AN32*1.008+AO32*16+AP32*14+AQ32*32</f>
        <v>16.042000000000002</v>
      </c>
      <c r="AS32" s="259">
        <f t="shared" ref="AS32:AS46" si="2">AM32*1+AN32*0.25+AQ32*1</f>
        <v>2</v>
      </c>
      <c r="AT32" s="266">
        <f t="shared" ref="AT32:AT46" si="3">0.79/0.21*AS32</f>
        <v>7.5238095238095246</v>
      </c>
      <c r="AU32" s="259">
        <f t="shared" ref="AU32:AU46" si="4">1*AM32</f>
        <v>1</v>
      </c>
      <c r="AV32" s="259">
        <f t="shared" ref="AV32:AV46" si="5">AN32/2</f>
        <v>2</v>
      </c>
      <c r="AW32" s="266">
        <f t="shared" ref="AW32:AW46" si="6">AP32*0.5+AT32</f>
        <v>7.5238095238095246</v>
      </c>
      <c r="AX32" s="259">
        <f t="shared" ref="AX32:AX46" si="7">AQ32*1</f>
        <v>0</v>
      </c>
      <c r="AY32" s="258"/>
      <c r="AZ32" s="238"/>
      <c r="BA32" s="238"/>
      <c r="BB32" s="238"/>
      <c r="BC32" s="238"/>
      <c r="BD32" s="238"/>
      <c r="BE32" s="239" t="s">
        <v>126</v>
      </c>
      <c r="BF32" s="239">
        <v>9.5999999999999992E-3</v>
      </c>
      <c r="BG32" s="239">
        <v>0.77539999999999998</v>
      </c>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row>
    <row r="33" spans="1:94" s="240" customFormat="1" ht="14.25" customHeight="1">
      <c r="A33" s="267" t="s">
        <v>641</v>
      </c>
      <c r="B33" s="268"/>
      <c r="C33" s="268"/>
      <c r="D33" s="268"/>
      <c r="E33" s="269"/>
      <c r="F33" s="1377">
        <v>0</v>
      </c>
      <c r="G33" s="1378"/>
      <c r="H33" s="1299">
        <f t="shared" ref="H33:H51" si="8">F33*$AC$25</f>
        <v>0</v>
      </c>
      <c r="I33" s="1301"/>
      <c r="J33" s="1300"/>
      <c r="K33" s="1300"/>
      <c r="L33" s="1299"/>
      <c r="M33" s="1300"/>
      <c r="N33" s="1299">
        <f t="shared" si="0"/>
        <v>0</v>
      </c>
      <c r="O33" s="1301"/>
      <c r="P33" s="1299">
        <f t="shared" ref="P33:P51" si="9">R33/$R$52</f>
        <v>0</v>
      </c>
      <c r="Q33" s="1301"/>
      <c r="R33" s="1300"/>
      <c r="S33" s="1300"/>
      <c r="T33" s="1299"/>
      <c r="U33" s="1301"/>
      <c r="V33" s="263"/>
      <c r="W33" s="263"/>
      <c r="X33" s="270">
        <f>AH25</f>
        <v>1334.3805555555555</v>
      </c>
      <c r="Y33" s="31" t="s">
        <v>590</v>
      </c>
      <c r="Z33" s="270"/>
      <c r="AA33" s="263"/>
      <c r="AB33" s="263"/>
      <c r="AC33" s="263"/>
      <c r="AD33" s="263"/>
      <c r="AE33" s="263"/>
      <c r="AF33" s="263"/>
      <c r="AG33" s="263"/>
      <c r="AH33" s="263"/>
      <c r="AI33" s="263"/>
      <c r="AJ33" s="263"/>
      <c r="AK33" s="264"/>
      <c r="AL33" s="258"/>
      <c r="AM33" s="259">
        <v>2</v>
      </c>
      <c r="AN33" s="259">
        <v>4</v>
      </c>
      <c r="AO33" s="259"/>
      <c r="AP33" s="259"/>
      <c r="AQ33" s="259"/>
      <c r="AR33" s="265">
        <f t="shared" si="1"/>
        <v>28.052</v>
      </c>
      <c r="AS33" s="259">
        <f t="shared" si="2"/>
        <v>3</v>
      </c>
      <c r="AT33" s="266">
        <f t="shared" si="3"/>
        <v>11.285714285714286</v>
      </c>
      <c r="AU33" s="259">
        <f t="shared" si="4"/>
        <v>2</v>
      </c>
      <c r="AV33" s="259">
        <f t="shared" si="5"/>
        <v>2</v>
      </c>
      <c r="AW33" s="266">
        <f t="shared" si="6"/>
        <v>11.285714285714286</v>
      </c>
      <c r="AX33" s="259">
        <f t="shared" si="7"/>
        <v>0</v>
      </c>
      <c r="AY33" s="258"/>
      <c r="AZ33" s="238"/>
      <c r="BA33" s="238"/>
      <c r="BB33" s="238"/>
      <c r="BC33" s="238"/>
      <c r="BD33" s="238"/>
      <c r="BE33" s="239" t="s">
        <v>642</v>
      </c>
      <c r="BF33" s="239">
        <v>0.60499999999999998</v>
      </c>
      <c r="BG33" s="239">
        <v>1.43E-2</v>
      </c>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row>
    <row r="34" spans="1:94" s="240" customFormat="1" ht="14.25" customHeight="1">
      <c r="A34" s="267" t="s">
        <v>643</v>
      </c>
      <c r="B34" s="268"/>
      <c r="C34" s="268"/>
      <c r="D34" s="268"/>
      <c r="E34" s="269"/>
      <c r="F34" s="1377">
        <f>CO2eEF!P27</f>
        <v>7.000000000000001E-4</v>
      </c>
      <c r="G34" s="1378"/>
      <c r="H34" s="1299">
        <f t="shared" si="8"/>
        <v>4.1904466501240698</v>
      </c>
      <c r="I34" s="1301"/>
      <c r="J34" s="1300"/>
      <c r="K34" s="1300"/>
      <c r="L34" s="1299"/>
      <c r="M34" s="1300"/>
      <c r="N34" s="1299">
        <f t="shared" si="0"/>
        <v>125.99834987593051</v>
      </c>
      <c r="O34" s="1301"/>
      <c r="P34" s="1578">
        <f t="shared" si="9"/>
        <v>0</v>
      </c>
      <c r="Q34" s="1579"/>
      <c r="R34" s="1300">
        <f>T34/$AR34</f>
        <v>0</v>
      </c>
      <c r="S34" s="1300"/>
      <c r="T34" s="1299">
        <f>$Q$22*N34</f>
        <v>0</v>
      </c>
      <c r="U34" s="1301"/>
      <c r="V34" s="263"/>
      <c r="W34" s="263"/>
      <c r="X34" s="31"/>
      <c r="Y34" s="395" t="s">
        <v>623</v>
      </c>
      <c r="Z34" s="270"/>
      <c r="AA34" s="263"/>
      <c r="AB34" s="263"/>
      <c r="AC34" s="263"/>
      <c r="AD34" s="263"/>
      <c r="AE34" s="263"/>
      <c r="AF34" s="263"/>
      <c r="AG34" s="263"/>
      <c r="AH34" s="263"/>
      <c r="AI34" s="263"/>
      <c r="AJ34" s="263"/>
      <c r="AK34" s="264"/>
      <c r="AL34" s="258"/>
      <c r="AM34" s="259">
        <v>2</v>
      </c>
      <c r="AN34" s="259">
        <v>6</v>
      </c>
      <c r="AO34" s="259"/>
      <c r="AP34" s="259"/>
      <c r="AQ34" s="259"/>
      <c r="AR34" s="265">
        <f t="shared" si="1"/>
        <v>30.067999999999998</v>
      </c>
      <c r="AS34" s="259">
        <f t="shared" si="2"/>
        <v>3.5</v>
      </c>
      <c r="AT34" s="266">
        <f t="shared" si="3"/>
        <v>13.166666666666668</v>
      </c>
      <c r="AU34" s="259">
        <f t="shared" si="4"/>
        <v>2</v>
      </c>
      <c r="AV34" s="259">
        <f t="shared" si="5"/>
        <v>3</v>
      </c>
      <c r="AW34" s="266">
        <f t="shared" si="6"/>
        <v>13.166666666666668</v>
      </c>
      <c r="AX34" s="259">
        <f t="shared" si="7"/>
        <v>0</v>
      </c>
      <c r="AY34" s="258"/>
      <c r="AZ34" s="238"/>
      <c r="BA34" s="238"/>
      <c r="BB34" s="238"/>
      <c r="BC34" s="238"/>
      <c r="BD34" s="238"/>
      <c r="BE34" s="239" t="s">
        <v>644</v>
      </c>
      <c r="BF34" s="239">
        <v>0.17519999999999999</v>
      </c>
      <c r="BG34" s="239">
        <v>1.9E-3</v>
      </c>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38"/>
      <c r="CN34" s="238"/>
      <c r="CO34" s="238"/>
      <c r="CP34" s="238"/>
    </row>
    <row r="35" spans="1:94" s="240" customFormat="1" ht="14.25" customHeight="1">
      <c r="A35" s="267" t="s">
        <v>418</v>
      </c>
      <c r="B35" s="268"/>
      <c r="C35" s="268"/>
      <c r="D35" s="268"/>
      <c r="E35" s="269"/>
      <c r="F35" s="1377">
        <v>0</v>
      </c>
      <c r="G35" s="1378"/>
      <c r="H35" s="1299">
        <f t="shared" si="8"/>
        <v>0</v>
      </c>
      <c r="I35" s="1301"/>
      <c r="J35" s="1300"/>
      <c r="K35" s="1300"/>
      <c r="L35" s="1299"/>
      <c r="M35" s="1300"/>
      <c r="N35" s="1299">
        <f t="shared" si="0"/>
        <v>0</v>
      </c>
      <c r="O35" s="1301"/>
      <c r="P35" s="1299">
        <f t="shared" si="9"/>
        <v>0</v>
      </c>
      <c r="Q35" s="1301"/>
      <c r="R35" s="1300"/>
      <c r="S35" s="1300"/>
      <c r="T35" s="1299"/>
      <c r="U35" s="1301"/>
      <c r="V35" s="263"/>
      <c r="W35" s="263"/>
      <c r="X35" s="272">
        <f>X33*X34</f>
        <v>0</v>
      </c>
      <c r="Y35" s="31" t="s">
        <v>626</v>
      </c>
      <c r="Z35" s="270"/>
      <c r="AA35" s="263"/>
      <c r="AB35" s="263"/>
      <c r="AC35" s="263"/>
      <c r="AD35" s="263"/>
      <c r="AE35" s="263"/>
      <c r="AF35" s="263"/>
      <c r="AG35" s="263"/>
      <c r="AH35" s="263"/>
      <c r="AI35" s="263"/>
      <c r="AJ35" s="263"/>
      <c r="AK35" s="264"/>
      <c r="AL35" s="258"/>
      <c r="AM35" s="259">
        <v>3</v>
      </c>
      <c r="AN35" s="259">
        <v>6</v>
      </c>
      <c r="AO35" s="259"/>
      <c r="AP35" s="259"/>
      <c r="AQ35" s="259"/>
      <c r="AR35" s="265">
        <f t="shared" si="1"/>
        <v>42.078000000000003</v>
      </c>
      <c r="AS35" s="259">
        <f t="shared" si="2"/>
        <v>4.5</v>
      </c>
      <c r="AT35" s="266">
        <f t="shared" si="3"/>
        <v>16.928571428571431</v>
      </c>
      <c r="AU35" s="259">
        <f t="shared" si="4"/>
        <v>3</v>
      </c>
      <c r="AV35" s="259">
        <f t="shared" si="5"/>
        <v>3</v>
      </c>
      <c r="AW35" s="266">
        <f t="shared" si="6"/>
        <v>16.928571428571431</v>
      </c>
      <c r="AX35" s="259">
        <f t="shared" si="7"/>
        <v>0</v>
      </c>
      <c r="AY35" s="258"/>
      <c r="AZ35" s="238"/>
      <c r="BA35" s="238"/>
      <c r="BB35" s="238"/>
      <c r="BC35" s="238"/>
      <c r="BD35" s="238"/>
      <c r="BE35" s="239" t="s">
        <v>645</v>
      </c>
      <c r="BF35" s="239">
        <v>0.1139</v>
      </c>
      <c r="BG35" s="239">
        <v>3.5999999999999999E-3</v>
      </c>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row>
    <row r="36" spans="1:94" s="240" customFormat="1" ht="14.25" customHeight="1">
      <c r="A36" s="267" t="s">
        <v>419</v>
      </c>
      <c r="B36" s="268"/>
      <c r="C36" s="268"/>
      <c r="D36" s="268"/>
      <c r="E36" s="269"/>
      <c r="F36" s="1377">
        <f>CO2eEF!P28</f>
        <v>2.0000000000000001E-4</v>
      </c>
      <c r="G36" s="1378"/>
      <c r="H36" s="1299">
        <f t="shared" si="8"/>
        <v>1.1972704714640199</v>
      </c>
      <c r="I36" s="1301"/>
      <c r="J36" s="1300"/>
      <c r="K36" s="1300"/>
      <c r="L36" s="1299"/>
      <c r="M36" s="1300"/>
      <c r="N36" s="1299">
        <f t="shared" si="0"/>
        <v>52.792444168734491</v>
      </c>
      <c r="O36" s="1301"/>
      <c r="P36" s="1299">
        <f t="shared" si="9"/>
        <v>0</v>
      </c>
      <c r="Q36" s="1301"/>
      <c r="R36" s="1300">
        <f>T36/$AR36</f>
        <v>0</v>
      </c>
      <c r="S36" s="1300"/>
      <c r="T36" s="1299">
        <f>$Q$22*N36</f>
        <v>0</v>
      </c>
      <c r="U36" s="1301"/>
      <c r="V36" s="263"/>
      <c r="W36" s="263"/>
      <c r="X36" s="272">
        <f>X35*3600/1000</f>
        <v>0</v>
      </c>
      <c r="Y36" s="31" t="s">
        <v>632</v>
      </c>
      <c r="Z36" s="270"/>
      <c r="AA36" s="263"/>
      <c r="AB36" s="263"/>
      <c r="AC36" s="263"/>
      <c r="AD36" s="263"/>
      <c r="AE36" s="263"/>
      <c r="AF36" s="263"/>
      <c r="AG36" s="263"/>
      <c r="AH36" s="263"/>
      <c r="AI36" s="263"/>
      <c r="AJ36" s="263"/>
      <c r="AK36" s="264"/>
      <c r="AL36" s="258"/>
      <c r="AM36" s="259">
        <v>3</v>
      </c>
      <c r="AN36" s="259">
        <v>8</v>
      </c>
      <c r="AO36" s="259"/>
      <c r="AP36" s="259"/>
      <c r="AQ36" s="259"/>
      <c r="AR36" s="265">
        <f t="shared" si="1"/>
        <v>44.094000000000001</v>
      </c>
      <c r="AS36" s="259">
        <f t="shared" si="2"/>
        <v>5</v>
      </c>
      <c r="AT36" s="266">
        <f t="shared" si="3"/>
        <v>18.80952380952381</v>
      </c>
      <c r="AU36" s="259">
        <f t="shared" si="4"/>
        <v>3</v>
      </c>
      <c r="AV36" s="259">
        <f t="shared" si="5"/>
        <v>4</v>
      </c>
      <c r="AW36" s="266">
        <f t="shared" si="6"/>
        <v>18.80952380952381</v>
      </c>
      <c r="AX36" s="259">
        <f t="shared" si="7"/>
        <v>0</v>
      </c>
      <c r="AY36" s="258"/>
      <c r="AZ36" s="238"/>
      <c r="BA36" s="238"/>
      <c r="BB36" s="238"/>
      <c r="BC36" s="238"/>
      <c r="BD36" s="238"/>
      <c r="BE36" s="239" t="s">
        <v>646</v>
      </c>
      <c r="BF36" s="239">
        <v>1.7100000000000001E-2</v>
      </c>
      <c r="BG36" s="239">
        <v>1E-3</v>
      </c>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row>
    <row r="37" spans="1:94" s="240" customFormat="1" ht="14.25" customHeight="1">
      <c r="A37" s="267" t="s">
        <v>420</v>
      </c>
      <c r="B37" s="268"/>
      <c r="C37" s="268"/>
      <c r="D37" s="268"/>
      <c r="E37" s="269"/>
      <c r="F37" s="1377">
        <v>0</v>
      </c>
      <c r="G37" s="1378"/>
      <c r="H37" s="1299">
        <f t="shared" si="8"/>
        <v>0</v>
      </c>
      <c r="I37" s="1301"/>
      <c r="J37" s="1300"/>
      <c r="K37" s="1300"/>
      <c r="L37" s="1299"/>
      <c r="M37" s="1300"/>
      <c r="N37" s="1299">
        <f t="shared" si="0"/>
        <v>0</v>
      </c>
      <c r="O37" s="1301"/>
      <c r="P37" s="1299">
        <f t="shared" si="9"/>
        <v>0</v>
      </c>
      <c r="Q37" s="1301"/>
      <c r="R37" s="1300"/>
      <c r="S37" s="1300"/>
      <c r="T37" s="1299"/>
      <c r="U37" s="1301"/>
      <c r="V37" s="263"/>
      <c r="W37" s="263"/>
      <c r="X37" s="263"/>
      <c r="Y37" s="263"/>
      <c r="Z37" s="263"/>
      <c r="AA37" s="263"/>
      <c r="AB37" s="263"/>
      <c r="AC37" s="263"/>
      <c r="AD37" s="263"/>
      <c r="AE37" s="263"/>
      <c r="AF37" s="263"/>
      <c r="AG37" s="263"/>
      <c r="AH37" s="263"/>
      <c r="AI37" s="263"/>
      <c r="AJ37" s="263"/>
      <c r="AK37" s="264"/>
      <c r="AL37" s="258"/>
      <c r="AM37" s="259">
        <v>4</v>
      </c>
      <c r="AN37" s="259">
        <v>8</v>
      </c>
      <c r="AO37" s="259"/>
      <c r="AP37" s="259"/>
      <c r="AQ37" s="259"/>
      <c r="AR37" s="265">
        <f t="shared" si="1"/>
        <v>56.103999999999999</v>
      </c>
      <c r="AS37" s="259">
        <f t="shared" si="2"/>
        <v>6</v>
      </c>
      <c r="AT37" s="266">
        <f t="shared" si="3"/>
        <v>22.571428571428573</v>
      </c>
      <c r="AU37" s="259">
        <f t="shared" si="4"/>
        <v>4</v>
      </c>
      <c r="AV37" s="259">
        <f t="shared" si="5"/>
        <v>4</v>
      </c>
      <c r="AW37" s="266">
        <f t="shared" si="6"/>
        <v>22.571428571428573</v>
      </c>
      <c r="AX37" s="259">
        <f t="shared" si="7"/>
        <v>0</v>
      </c>
      <c r="AY37" s="258"/>
      <c r="AZ37" s="238"/>
      <c r="BA37" s="238"/>
      <c r="BB37" s="238"/>
      <c r="BC37" s="238"/>
      <c r="BD37" s="238"/>
      <c r="BE37" s="239" t="s">
        <v>647</v>
      </c>
      <c r="BF37" s="239">
        <v>4.5900000000000003E-2</v>
      </c>
      <c r="BG37" s="239">
        <v>2.3999999999999998E-3</v>
      </c>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row>
    <row r="38" spans="1:94" s="240" customFormat="1" ht="14.25" customHeight="1">
      <c r="A38" s="267" t="s">
        <v>421</v>
      </c>
      <c r="B38" s="268"/>
      <c r="C38" s="268"/>
      <c r="D38" s="268"/>
      <c r="E38" s="269"/>
      <c r="F38" s="1377">
        <f>CO2eEF!P29</f>
        <v>1E-4</v>
      </c>
      <c r="G38" s="1378"/>
      <c r="H38" s="1299">
        <f t="shared" si="8"/>
        <v>0.59863523573200994</v>
      </c>
      <c r="I38" s="1301"/>
      <c r="J38" s="1300"/>
      <c r="K38" s="1300"/>
      <c r="L38" s="1299"/>
      <c r="M38" s="1300"/>
      <c r="N38" s="1299">
        <f t="shared" si="0"/>
        <v>34.792679900744417</v>
      </c>
      <c r="O38" s="1301"/>
      <c r="P38" s="1299">
        <f t="shared" si="9"/>
        <v>0</v>
      </c>
      <c r="Q38" s="1301"/>
      <c r="R38" s="1300">
        <f>T38/$AR38</f>
        <v>0</v>
      </c>
      <c r="S38" s="1300"/>
      <c r="T38" s="1299">
        <f>$Q$22*N38</f>
        <v>0</v>
      </c>
      <c r="U38" s="1301"/>
      <c r="V38" s="263"/>
      <c r="W38" s="263"/>
      <c r="X38" s="263"/>
      <c r="Y38" s="263"/>
      <c r="Z38" s="263"/>
      <c r="AA38" s="263"/>
      <c r="AB38" s="263"/>
      <c r="AC38" s="263"/>
      <c r="AD38" s="263"/>
      <c r="AE38" s="263"/>
      <c r="AF38" s="263"/>
      <c r="AG38" s="263"/>
      <c r="AH38" s="263"/>
      <c r="AI38" s="263"/>
      <c r="AJ38" s="263"/>
      <c r="AK38" s="264"/>
      <c r="AL38" s="258"/>
      <c r="AM38" s="259">
        <v>4</v>
      </c>
      <c r="AN38" s="259">
        <v>10</v>
      </c>
      <c r="AO38" s="259"/>
      <c r="AP38" s="259"/>
      <c r="AQ38" s="259"/>
      <c r="AR38" s="265">
        <f>AM38*12.01+AN38*1.008+AO38*16+AP38*14+AQ38*32</f>
        <v>58.12</v>
      </c>
      <c r="AS38" s="259">
        <f t="shared" si="2"/>
        <v>6.5</v>
      </c>
      <c r="AT38" s="266">
        <f t="shared" si="3"/>
        <v>24.452380952380956</v>
      </c>
      <c r="AU38" s="259">
        <f t="shared" si="4"/>
        <v>4</v>
      </c>
      <c r="AV38" s="259">
        <f t="shared" si="5"/>
        <v>5</v>
      </c>
      <c r="AW38" s="266">
        <f t="shared" si="6"/>
        <v>24.452380952380956</v>
      </c>
      <c r="AX38" s="259">
        <f t="shared" si="7"/>
        <v>0</v>
      </c>
      <c r="AY38" s="258"/>
      <c r="AZ38" s="238"/>
      <c r="BA38" s="238"/>
      <c r="BB38" s="238"/>
      <c r="BC38" s="238"/>
      <c r="BD38" s="238"/>
      <c r="BE38" s="239" t="s">
        <v>648</v>
      </c>
      <c r="BF38" s="239">
        <v>8.2000000000000007E-3</v>
      </c>
      <c r="BG38" s="239">
        <v>1.6000000000000001E-3</v>
      </c>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row>
    <row r="39" spans="1:94" s="240" customFormat="1" ht="14.25" customHeight="1">
      <c r="A39" s="267" t="s">
        <v>422</v>
      </c>
      <c r="B39" s="268"/>
      <c r="C39" s="268"/>
      <c r="D39" s="268"/>
      <c r="E39" s="269"/>
      <c r="F39" s="1377">
        <f>CO2eEF!P30</f>
        <v>0</v>
      </c>
      <c r="G39" s="1378"/>
      <c r="H39" s="1299">
        <f t="shared" si="8"/>
        <v>0</v>
      </c>
      <c r="I39" s="1301"/>
      <c r="J39" s="1300"/>
      <c r="K39" s="1300"/>
      <c r="L39" s="1299"/>
      <c r="M39" s="1300"/>
      <c r="N39" s="1299">
        <f t="shared" si="0"/>
        <v>0</v>
      </c>
      <c r="O39" s="1301"/>
      <c r="P39" s="1299">
        <f t="shared" si="9"/>
        <v>0</v>
      </c>
      <c r="Q39" s="1301"/>
      <c r="R39" s="1300">
        <f>T39/$AR39</f>
        <v>0</v>
      </c>
      <c r="S39" s="1300"/>
      <c r="T39" s="1299">
        <f>$Q$22*N39</f>
        <v>0</v>
      </c>
      <c r="U39" s="1301"/>
      <c r="V39" s="263"/>
      <c r="W39" s="263"/>
      <c r="X39" s="263"/>
      <c r="Y39" s="263"/>
      <c r="Z39" s="263"/>
      <c r="AA39" s="263"/>
      <c r="AB39" s="263"/>
      <c r="AC39" s="263"/>
      <c r="AD39" s="263"/>
      <c r="AE39" s="263"/>
      <c r="AF39" s="263"/>
      <c r="AG39" s="263"/>
      <c r="AH39" s="263"/>
      <c r="AI39" s="263"/>
      <c r="AJ39" s="263"/>
      <c r="AK39" s="264"/>
      <c r="AL39" s="258"/>
      <c r="AM39" s="259">
        <v>4</v>
      </c>
      <c r="AN39" s="259">
        <v>10</v>
      </c>
      <c r="AO39" s="259"/>
      <c r="AP39" s="259"/>
      <c r="AQ39" s="259"/>
      <c r="AR39" s="265">
        <f t="shared" si="1"/>
        <v>58.12</v>
      </c>
      <c r="AS39" s="259">
        <f t="shared" si="2"/>
        <v>6.5</v>
      </c>
      <c r="AT39" s="266">
        <f t="shared" si="3"/>
        <v>24.452380952380956</v>
      </c>
      <c r="AU39" s="259">
        <f t="shared" si="4"/>
        <v>4</v>
      </c>
      <c r="AV39" s="259">
        <f t="shared" si="5"/>
        <v>5</v>
      </c>
      <c r="AW39" s="266">
        <f t="shared" si="6"/>
        <v>24.452380952380956</v>
      </c>
      <c r="AX39" s="259">
        <f t="shared" si="7"/>
        <v>0</v>
      </c>
      <c r="AY39" s="258"/>
      <c r="AZ39" s="238"/>
      <c r="BA39" s="238"/>
      <c r="BB39" s="238"/>
      <c r="BC39" s="238"/>
      <c r="BD39" s="238"/>
      <c r="BE39" s="239" t="s">
        <v>649</v>
      </c>
      <c r="BF39" s="239">
        <v>2.0000000000000001E-4</v>
      </c>
      <c r="BG39" s="239">
        <v>0</v>
      </c>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38"/>
      <c r="CN39" s="238"/>
      <c r="CO39" s="238"/>
      <c r="CP39" s="238"/>
    </row>
    <row r="40" spans="1:94" s="240" customFormat="1" ht="14.25" customHeight="1">
      <c r="A40" s="267" t="s">
        <v>423</v>
      </c>
      <c r="B40" s="268"/>
      <c r="C40" s="268"/>
      <c r="D40" s="268"/>
      <c r="E40" s="269"/>
      <c r="F40" s="1377">
        <f>CO2eEF!P31</f>
        <v>1E-4</v>
      </c>
      <c r="G40" s="1378"/>
      <c r="H40" s="1299">
        <f t="shared" si="8"/>
        <v>0.59863523573200994</v>
      </c>
      <c r="I40" s="1301"/>
      <c r="J40" s="1300"/>
      <c r="K40" s="1300"/>
      <c r="L40" s="1299"/>
      <c r="M40" s="1300"/>
      <c r="N40" s="1299">
        <f t="shared" si="0"/>
        <v>43.189137717121589</v>
      </c>
      <c r="O40" s="1301"/>
      <c r="P40" s="1299">
        <f t="shared" si="9"/>
        <v>0</v>
      </c>
      <c r="Q40" s="1301"/>
      <c r="R40" s="1300">
        <f>T40/$AR40</f>
        <v>0</v>
      </c>
      <c r="S40" s="1300"/>
      <c r="T40" s="1299">
        <f>$Q$22*N40</f>
        <v>0</v>
      </c>
      <c r="U40" s="1301"/>
      <c r="V40" s="263"/>
      <c r="W40" s="263"/>
      <c r="X40" s="263" t="s">
        <v>761</v>
      </c>
      <c r="Y40" s="263"/>
      <c r="Z40" s="263"/>
      <c r="AA40" s="263"/>
      <c r="AB40" s="263"/>
      <c r="AC40" s="263"/>
      <c r="AD40" s="263"/>
      <c r="AE40" s="263"/>
      <c r="AF40" s="263"/>
      <c r="AG40" s="263"/>
      <c r="AH40" s="263"/>
      <c r="AI40" s="263"/>
      <c r="AJ40" s="263"/>
      <c r="AK40" s="264"/>
      <c r="AL40" s="258"/>
      <c r="AM40" s="259">
        <v>5</v>
      </c>
      <c r="AN40" s="259">
        <v>12</v>
      </c>
      <c r="AO40" s="259"/>
      <c r="AP40" s="259"/>
      <c r="AQ40" s="259"/>
      <c r="AR40" s="265">
        <f t="shared" si="1"/>
        <v>72.146000000000001</v>
      </c>
      <c r="AS40" s="259">
        <f t="shared" si="2"/>
        <v>8</v>
      </c>
      <c r="AT40" s="266">
        <f t="shared" si="3"/>
        <v>30.095238095238098</v>
      </c>
      <c r="AU40" s="259">
        <f t="shared" si="4"/>
        <v>5</v>
      </c>
      <c r="AV40" s="259">
        <f t="shared" si="5"/>
        <v>6</v>
      </c>
      <c r="AW40" s="266">
        <f t="shared" si="6"/>
        <v>30.095238095238098</v>
      </c>
      <c r="AX40" s="259">
        <f t="shared" si="7"/>
        <v>0</v>
      </c>
      <c r="AY40" s="258"/>
      <c r="AZ40" s="238"/>
      <c r="BA40" s="238"/>
      <c r="BB40" s="238"/>
      <c r="BC40" s="238"/>
      <c r="BD40" s="238"/>
      <c r="BE40" s="239" t="s">
        <v>650</v>
      </c>
      <c r="BF40" s="239">
        <v>8.8999999999999999E-3</v>
      </c>
      <c r="BG40" s="239">
        <v>1.9E-3</v>
      </c>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row>
    <row r="41" spans="1:94" s="240" customFormat="1" ht="14.25" customHeight="1">
      <c r="A41" s="267" t="s">
        <v>424</v>
      </c>
      <c r="B41" s="268"/>
      <c r="C41" s="268"/>
      <c r="D41" s="268"/>
      <c r="E41" s="269"/>
      <c r="F41" s="1377">
        <f>CO2eEF!P33</f>
        <v>1E-4</v>
      </c>
      <c r="G41" s="1378"/>
      <c r="H41" s="1299">
        <f t="shared" si="8"/>
        <v>0.59863523573200994</v>
      </c>
      <c r="I41" s="1301"/>
      <c r="J41" s="1300"/>
      <c r="K41" s="1300"/>
      <c r="L41" s="1299"/>
      <c r="M41" s="1300"/>
      <c r="N41" s="1299">
        <f t="shared" si="0"/>
        <v>43.189137717121589</v>
      </c>
      <c r="O41" s="1301"/>
      <c r="P41" s="1299">
        <f t="shared" si="9"/>
        <v>0</v>
      </c>
      <c r="Q41" s="1301"/>
      <c r="R41" s="1300">
        <f>T41/$AR41</f>
        <v>0</v>
      </c>
      <c r="S41" s="1300"/>
      <c r="T41" s="1299">
        <f>$Q$22*N41</f>
        <v>0</v>
      </c>
      <c r="U41" s="1301"/>
      <c r="V41" s="263"/>
      <c r="W41" s="263"/>
      <c r="X41" s="263"/>
      <c r="Y41" s="263"/>
      <c r="Z41" s="263"/>
      <c r="AA41" s="263"/>
      <c r="AB41" s="263"/>
      <c r="AC41" s="263"/>
      <c r="AD41" s="263"/>
      <c r="AE41" s="263"/>
      <c r="AF41" s="263"/>
      <c r="AG41" s="263"/>
      <c r="AH41" s="263"/>
      <c r="AI41" s="263"/>
      <c r="AJ41" s="263"/>
      <c r="AK41" s="264"/>
      <c r="AL41" s="258"/>
      <c r="AM41" s="259">
        <v>5</v>
      </c>
      <c r="AN41" s="259">
        <v>12</v>
      </c>
      <c r="AO41" s="259"/>
      <c r="AP41" s="259"/>
      <c r="AQ41" s="259"/>
      <c r="AR41" s="265">
        <f t="shared" si="1"/>
        <v>72.146000000000001</v>
      </c>
      <c r="AS41" s="259">
        <f t="shared" si="2"/>
        <v>8</v>
      </c>
      <c r="AT41" s="266">
        <f t="shared" si="3"/>
        <v>30.095238095238098</v>
      </c>
      <c r="AU41" s="259">
        <f t="shared" si="4"/>
        <v>5</v>
      </c>
      <c r="AV41" s="259">
        <f t="shared" si="5"/>
        <v>6</v>
      </c>
      <c r="AW41" s="266">
        <f t="shared" si="6"/>
        <v>30.095238095238098</v>
      </c>
      <c r="AX41" s="259">
        <f t="shared" si="7"/>
        <v>0</v>
      </c>
      <c r="AY41" s="258"/>
      <c r="AZ41" s="238"/>
      <c r="BA41" s="238"/>
      <c r="BB41" s="238"/>
      <c r="BC41" s="238"/>
      <c r="BD41" s="238"/>
      <c r="BE41" s="239" t="s">
        <v>651</v>
      </c>
      <c r="BF41" s="239">
        <v>2.0000000000000001E-4</v>
      </c>
      <c r="BG41" s="239">
        <v>2.9999999999999997E-4</v>
      </c>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row>
    <row r="42" spans="1:94" s="240" customFormat="1" ht="14.25" customHeight="1">
      <c r="A42" s="267" t="s">
        <v>721</v>
      </c>
      <c r="B42" s="268"/>
      <c r="C42" s="268"/>
      <c r="D42" s="268"/>
      <c r="E42" s="269"/>
      <c r="F42" s="1377">
        <f>1-(SUM(F31:F41)+SUM(F43:G51))</f>
        <v>2.00000000000089E-4</v>
      </c>
      <c r="G42" s="1378"/>
      <c r="H42" s="1299">
        <f t="shared" si="8"/>
        <v>1.1972704714645526</v>
      </c>
      <c r="I42" s="1301"/>
      <c r="J42" s="1300"/>
      <c r="K42" s="1300"/>
      <c r="L42" s="1299"/>
      <c r="M42" s="1300"/>
      <c r="N42" s="1299">
        <f t="shared" si="0"/>
        <v>103.17119106704342</v>
      </c>
      <c r="O42" s="1301"/>
      <c r="P42" s="1299">
        <f t="shared" si="9"/>
        <v>0</v>
      </c>
      <c r="Q42" s="1301"/>
      <c r="R42" s="1300">
        <f>T42/$AR42</f>
        <v>0</v>
      </c>
      <c r="S42" s="1300"/>
      <c r="T42" s="1299">
        <f>$Q$22*N42</f>
        <v>0</v>
      </c>
      <c r="U42" s="1301"/>
      <c r="V42" s="263"/>
      <c r="W42" s="263"/>
      <c r="X42" s="589">
        <v>18</v>
      </c>
      <c r="Y42" s="589" t="s">
        <v>744</v>
      </c>
      <c r="Z42" s="263"/>
      <c r="AA42" s="263"/>
      <c r="AB42" s="263"/>
      <c r="AC42" s="263"/>
      <c r="AD42" s="263"/>
      <c r="AE42" s="263"/>
      <c r="AF42" s="263"/>
      <c r="AG42" s="263"/>
      <c r="AH42" s="263"/>
      <c r="AI42" s="263"/>
      <c r="AJ42" s="263"/>
      <c r="AK42" s="264"/>
      <c r="AL42" s="258"/>
      <c r="AM42" s="259">
        <v>6</v>
      </c>
      <c r="AN42" s="259">
        <v>14</v>
      </c>
      <c r="AO42" s="259"/>
      <c r="AP42" s="259"/>
      <c r="AQ42" s="259"/>
      <c r="AR42" s="265">
        <f t="shared" si="1"/>
        <v>86.171999999999997</v>
      </c>
      <c r="AS42" s="259">
        <f t="shared" si="2"/>
        <v>9.5</v>
      </c>
      <c r="AT42" s="266">
        <f t="shared" si="3"/>
        <v>35.738095238095241</v>
      </c>
      <c r="AU42" s="259">
        <f t="shared" si="4"/>
        <v>6</v>
      </c>
      <c r="AV42" s="259">
        <f t="shared" si="5"/>
        <v>7</v>
      </c>
      <c r="AW42" s="266">
        <f t="shared" si="6"/>
        <v>35.738095238095241</v>
      </c>
      <c r="AX42" s="259">
        <f t="shared" si="7"/>
        <v>0</v>
      </c>
      <c r="AY42" s="258"/>
      <c r="AZ42" s="238"/>
      <c r="BA42" s="238"/>
      <c r="BB42" s="238"/>
      <c r="BC42" s="238"/>
      <c r="BD42" s="238"/>
      <c r="BE42" s="239" t="s">
        <v>652</v>
      </c>
      <c r="BF42" s="239">
        <v>0</v>
      </c>
      <c r="BG42" s="239">
        <v>5.0000000000000001E-4</v>
      </c>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row>
    <row r="43" spans="1:94" s="240" customFormat="1" ht="14.25" customHeight="1">
      <c r="A43" s="267" t="s">
        <v>426</v>
      </c>
      <c r="B43" s="268"/>
      <c r="C43" s="268"/>
      <c r="D43" s="268"/>
      <c r="E43" s="269"/>
      <c r="F43" s="1377">
        <v>0</v>
      </c>
      <c r="G43" s="1378"/>
      <c r="H43" s="1299">
        <f t="shared" si="8"/>
        <v>0</v>
      </c>
      <c r="I43" s="1301"/>
      <c r="J43" s="1300"/>
      <c r="K43" s="1300"/>
      <c r="L43" s="1299"/>
      <c r="M43" s="1300"/>
      <c r="N43" s="1299">
        <f t="shared" si="0"/>
        <v>0</v>
      </c>
      <c r="O43" s="1301"/>
      <c r="P43" s="1299">
        <f t="shared" si="9"/>
        <v>0</v>
      </c>
      <c r="Q43" s="1301"/>
      <c r="R43" s="1300"/>
      <c r="S43" s="1300"/>
      <c r="T43" s="1299"/>
      <c r="U43" s="1301"/>
      <c r="V43" s="263"/>
      <c r="W43" s="263"/>
      <c r="X43" s="589">
        <f>11</f>
        <v>11</v>
      </c>
      <c r="Y43" s="589" t="s">
        <v>434</v>
      </c>
      <c r="Z43" s="263"/>
      <c r="AA43" s="263"/>
      <c r="AB43" s="263"/>
      <c r="AC43" s="263"/>
      <c r="AD43" s="263"/>
      <c r="AE43" s="263"/>
      <c r="AF43" s="263"/>
      <c r="AG43" s="263"/>
      <c r="AH43" s="263"/>
      <c r="AI43" s="263"/>
      <c r="AJ43" s="263"/>
      <c r="AK43" s="264"/>
      <c r="AL43" s="258"/>
      <c r="AM43" s="259"/>
      <c r="AN43" s="259"/>
      <c r="AO43" s="259"/>
      <c r="AP43" s="259"/>
      <c r="AQ43" s="259"/>
      <c r="AR43" s="265">
        <v>4.0030000000000001</v>
      </c>
      <c r="AS43" s="259"/>
      <c r="AT43" s="266"/>
      <c r="AU43" s="259"/>
      <c r="AV43" s="259"/>
      <c r="AW43" s="266"/>
      <c r="AX43" s="259"/>
      <c r="AY43" s="258"/>
      <c r="AZ43" s="238"/>
      <c r="BA43" s="238"/>
      <c r="BB43" s="238"/>
      <c r="BC43" s="238"/>
      <c r="BD43" s="238"/>
      <c r="BE43" s="239" t="s">
        <v>653</v>
      </c>
      <c r="BF43" s="239">
        <v>0</v>
      </c>
      <c r="BG43" s="239">
        <v>1E-4</v>
      </c>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38"/>
      <c r="CN43" s="238"/>
      <c r="CO43" s="238"/>
      <c r="CP43" s="238"/>
    </row>
    <row r="44" spans="1:94" s="240" customFormat="1" ht="14.25" customHeight="1">
      <c r="A44" s="267" t="s">
        <v>427</v>
      </c>
      <c r="B44" s="268"/>
      <c r="C44" s="268"/>
      <c r="D44" s="268"/>
      <c r="E44" s="269"/>
      <c r="F44" s="1377">
        <v>0</v>
      </c>
      <c r="G44" s="1378"/>
      <c r="H44" s="1299">
        <f t="shared" si="8"/>
        <v>0</v>
      </c>
      <c r="I44" s="1301"/>
      <c r="J44" s="1300"/>
      <c r="K44" s="1300"/>
      <c r="L44" s="1299"/>
      <c r="M44" s="1300"/>
      <c r="N44" s="1299">
        <f t="shared" si="0"/>
        <v>0</v>
      </c>
      <c r="O44" s="1301"/>
      <c r="P44" s="1299">
        <f t="shared" si="9"/>
        <v>0</v>
      </c>
      <c r="Q44" s="1301"/>
      <c r="R44" s="1299"/>
      <c r="S44" s="1301"/>
      <c r="T44" s="1299"/>
      <c r="U44" s="1301"/>
      <c r="V44" s="263"/>
      <c r="W44" s="263"/>
      <c r="X44" s="590">
        <f>X43/60</f>
        <v>0.18333333333333332</v>
      </c>
      <c r="Y44" s="589" t="s">
        <v>763</v>
      </c>
      <c r="Z44" s="263"/>
      <c r="AA44" s="263"/>
      <c r="AB44" s="263"/>
      <c r="AC44" s="263"/>
      <c r="AD44" s="263"/>
      <c r="AE44" s="263"/>
      <c r="AF44" s="263"/>
      <c r="AG44" s="263"/>
      <c r="AH44" s="263"/>
      <c r="AI44" s="263"/>
      <c r="AJ44" s="263"/>
      <c r="AK44" s="264"/>
      <c r="AL44" s="258"/>
      <c r="AM44" s="259"/>
      <c r="AN44" s="259">
        <v>2</v>
      </c>
      <c r="AO44" s="259"/>
      <c r="AP44" s="259"/>
      <c r="AQ44" s="259">
        <v>1</v>
      </c>
      <c r="AR44" s="265">
        <f t="shared" si="1"/>
        <v>34.015999999999998</v>
      </c>
      <c r="AS44" s="259">
        <f t="shared" si="2"/>
        <v>1.5</v>
      </c>
      <c r="AT44" s="266">
        <f t="shared" si="3"/>
        <v>5.6428571428571432</v>
      </c>
      <c r="AU44" s="259">
        <f t="shared" si="4"/>
        <v>0</v>
      </c>
      <c r="AV44" s="259">
        <f t="shared" si="5"/>
        <v>1</v>
      </c>
      <c r="AW44" s="266">
        <f t="shared" si="6"/>
        <v>5.6428571428571432</v>
      </c>
      <c r="AX44" s="259">
        <f t="shared" si="7"/>
        <v>1</v>
      </c>
      <c r="AY44" s="258"/>
      <c r="AZ44" s="238"/>
      <c r="BA44" s="238"/>
      <c r="BB44" s="238"/>
      <c r="BC44" s="238"/>
      <c r="BD44" s="238"/>
      <c r="BE44" s="239" t="s">
        <v>654</v>
      </c>
      <c r="BF44" s="239">
        <v>0</v>
      </c>
      <c r="BG44" s="239">
        <v>4.0000000000000002E-4</v>
      </c>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row>
    <row r="45" spans="1:94" s="240" customFormat="1" ht="14.25" customHeight="1">
      <c r="A45" s="267" t="s">
        <v>428</v>
      </c>
      <c r="B45" s="268"/>
      <c r="C45" s="268"/>
      <c r="D45" s="268"/>
      <c r="E45" s="269"/>
      <c r="F45" s="1377">
        <v>0</v>
      </c>
      <c r="G45" s="1378"/>
      <c r="H45" s="1299">
        <f t="shared" si="8"/>
        <v>0</v>
      </c>
      <c r="I45" s="1301"/>
      <c r="J45" s="1300">
        <f>SUMPRODUCT(H31:H51,AS31:AS51)-H45</f>
        <v>11973.901985111666</v>
      </c>
      <c r="K45" s="1300"/>
      <c r="L45" s="1299">
        <v>0</v>
      </c>
      <c r="M45" s="1300"/>
      <c r="N45" s="1299">
        <f t="shared" si="0"/>
        <v>383164.86352357332</v>
      </c>
      <c r="O45" s="1301"/>
      <c r="P45" s="1299">
        <f t="shared" si="9"/>
        <v>3.7928539154011842E-3</v>
      </c>
      <c r="Q45" s="1301"/>
      <c r="R45" s="1300">
        <f>L45+SUMPRODUCT(R32:R44,$AS32:$AS44)</f>
        <v>238.56811414392058</v>
      </c>
      <c r="S45" s="1300"/>
      <c r="T45" s="1299">
        <f>R45*$AR45</f>
        <v>7634.1796526054586</v>
      </c>
      <c r="U45" s="1301"/>
      <c r="V45" s="263"/>
      <c r="W45" s="263"/>
      <c r="X45" s="589">
        <v>96500</v>
      </c>
      <c r="Y45" s="589" t="s">
        <v>617</v>
      </c>
      <c r="Z45" s="263" t="s">
        <v>764</v>
      </c>
      <c r="AA45" s="263"/>
      <c r="AB45" s="263"/>
      <c r="AC45" s="263"/>
      <c r="AD45" s="263"/>
      <c r="AE45" s="263"/>
      <c r="AF45" s="263"/>
      <c r="AG45" s="263"/>
      <c r="AH45" s="263"/>
      <c r="AI45" s="263"/>
      <c r="AJ45" s="263"/>
      <c r="AK45" s="264"/>
      <c r="AL45" s="258"/>
      <c r="AM45" s="259"/>
      <c r="AN45" s="259"/>
      <c r="AO45" s="259">
        <v>2</v>
      </c>
      <c r="AP45" s="259"/>
      <c r="AQ45" s="259"/>
      <c r="AR45" s="265">
        <f t="shared" si="1"/>
        <v>32</v>
      </c>
      <c r="AS45" s="259">
        <f t="shared" si="2"/>
        <v>0</v>
      </c>
      <c r="AT45" s="266">
        <f t="shared" si="3"/>
        <v>0</v>
      </c>
      <c r="AU45" s="259">
        <f t="shared" si="4"/>
        <v>0</v>
      </c>
      <c r="AV45" s="259">
        <f t="shared" si="5"/>
        <v>0</v>
      </c>
      <c r="AW45" s="266">
        <f t="shared" si="6"/>
        <v>0</v>
      </c>
      <c r="AX45" s="259">
        <f t="shared" si="7"/>
        <v>0</v>
      </c>
      <c r="AY45" s="258"/>
      <c r="AZ45" s="238"/>
      <c r="BA45" s="238"/>
      <c r="BB45" s="238"/>
      <c r="BC45" s="238"/>
      <c r="BD45" s="238"/>
      <c r="BE45" s="239" t="s">
        <v>655</v>
      </c>
      <c r="BF45" s="239">
        <v>0</v>
      </c>
      <c r="BG45" s="239">
        <v>2.0000000000000001E-4</v>
      </c>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row>
    <row r="46" spans="1:94" s="240" customFormat="1" ht="14.25" customHeight="1">
      <c r="A46" s="267" t="s">
        <v>429</v>
      </c>
      <c r="B46" s="268"/>
      <c r="C46" s="268"/>
      <c r="D46" s="268"/>
      <c r="E46" s="269"/>
      <c r="F46" s="1377">
        <f>CO2eEF!P24</f>
        <v>1.5E-3</v>
      </c>
      <c r="G46" s="1378"/>
      <c r="H46" s="1299">
        <f t="shared" si="8"/>
        <v>8.9795285359801493</v>
      </c>
      <c r="I46" s="1301"/>
      <c r="J46" s="1300">
        <f>0.79/0.21*J45</f>
        <v>45044.678896372461</v>
      </c>
      <c r="K46" s="1301"/>
      <c r="L46" s="1299">
        <v>0</v>
      </c>
      <c r="M46" s="1300"/>
      <c r="N46" s="1299">
        <f t="shared" si="0"/>
        <v>1261502.4358974365</v>
      </c>
      <c r="O46" s="1301"/>
      <c r="P46" s="1299">
        <f t="shared" si="9"/>
        <v>0.71625344947713421</v>
      </c>
      <c r="Q46" s="1301"/>
      <c r="R46" s="1299">
        <f>$H46+J46+L46-R49/2</f>
        <v>45051.889290274368</v>
      </c>
      <c r="S46" s="1301"/>
      <c r="T46" s="1580">
        <f>R46*$AR46</f>
        <v>1261452.9001276824</v>
      </c>
      <c r="U46" s="1581"/>
      <c r="V46" s="263"/>
      <c r="W46" s="263"/>
      <c r="X46" s="263"/>
      <c r="Y46" s="263"/>
      <c r="Z46" s="263"/>
      <c r="AA46" s="263"/>
      <c r="AB46" s="263"/>
      <c r="AC46" s="263"/>
      <c r="AD46" s="263"/>
      <c r="AE46" s="263"/>
      <c r="AF46" s="263"/>
      <c r="AG46" s="263"/>
      <c r="AH46" s="263"/>
      <c r="AI46" s="263"/>
      <c r="AJ46" s="263"/>
      <c r="AK46" s="264"/>
      <c r="AL46" s="258"/>
      <c r="AM46" s="259"/>
      <c r="AN46" s="259"/>
      <c r="AO46" s="259"/>
      <c r="AP46" s="259">
        <v>2</v>
      </c>
      <c r="AQ46" s="259"/>
      <c r="AR46" s="265">
        <f t="shared" si="1"/>
        <v>28</v>
      </c>
      <c r="AS46" s="259">
        <f t="shared" si="2"/>
        <v>0</v>
      </c>
      <c r="AT46" s="266">
        <f t="shared" si="3"/>
        <v>0</v>
      </c>
      <c r="AU46" s="259">
        <f t="shared" si="4"/>
        <v>0</v>
      </c>
      <c r="AV46" s="259">
        <f t="shared" si="5"/>
        <v>0</v>
      </c>
      <c r="AW46" s="266">
        <f t="shared" si="6"/>
        <v>1</v>
      </c>
      <c r="AX46" s="259">
        <f t="shared" si="7"/>
        <v>0</v>
      </c>
      <c r="AY46" s="258"/>
      <c r="AZ46" s="238"/>
      <c r="BA46" s="238"/>
      <c r="BB46" s="238"/>
      <c r="BC46" s="238"/>
      <c r="BD46" s="238"/>
      <c r="BE46" s="239" t="s">
        <v>656</v>
      </c>
      <c r="BF46" s="239">
        <v>1.5E-3</v>
      </c>
      <c r="BG46" s="239">
        <v>0</v>
      </c>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row>
    <row r="47" spans="1:94" s="240" customFormat="1" ht="14.25" customHeight="1">
      <c r="A47" s="267" t="s">
        <v>115</v>
      </c>
      <c r="B47" s="268"/>
      <c r="C47" s="268"/>
      <c r="D47" s="268"/>
      <c r="E47" s="269"/>
      <c r="F47" s="1377">
        <v>0</v>
      </c>
      <c r="G47" s="1378"/>
      <c r="H47" s="1299">
        <f t="shared" si="8"/>
        <v>0</v>
      </c>
      <c r="I47" s="1301"/>
      <c r="J47" s="1300"/>
      <c r="K47" s="1300"/>
      <c r="L47" s="1299"/>
      <c r="M47" s="1300"/>
      <c r="N47" s="1299">
        <f t="shared" si="0"/>
        <v>0</v>
      </c>
      <c r="O47" s="1301"/>
      <c r="P47" s="1299">
        <f t="shared" si="9"/>
        <v>5.0266903488736445E-4</v>
      </c>
      <c r="Q47" s="1301"/>
      <c r="R47" s="1300">
        <f>T47/$AR$47</f>
        <v>31.617564600807651</v>
      </c>
      <c r="S47" s="1300"/>
      <c r="T47" s="1299">
        <f>$AC17*$X25</f>
        <v>885.60798446862225</v>
      </c>
      <c r="U47" s="1301"/>
      <c r="V47" s="263"/>
      <c r="W47" s="263"/>
      <c r="X47" s="263"/>
      <c r="Y47" s="263"/>
      <c r="Z47" s="263"/>
      <c r="AA47" s="263"/>
      <c r="AB47" s="263"/>
      <c r="AC47" s="263"/>
      <c r="AD47" s="263"/>
      <c r="AE47" s="263"/>
      <c r="AF47" s="263"/>
      <c r="AG47" s="263"/>
      <c r="AH47" s="263"/>
      <c r="AI47" s="263"/>
      <c r="AJ47" s="263"/>
      <c r="AK47" s="264"/>
      <c r="AL47" s="258"/>
      <c r="AM47" s="258">
        <v>1</v>
      </c>
      <c r="AN47" s="258"/>
      <c r="AO47" s="258">
        <v>1</v>
      </c>
      <c r="AP47" s="258"/>
      <c r="AQ47" s="258"/>
      <c r="AR47" s="265">
        <f t="shared" si="1"/>
        <v>28.009999999999998</v>
      </c>
      <c r="AS47" s="259"/>
      <c r="AT47" s="258"/>
      <c r="AU47" s="258"/>
      <c r="AV47" s="258"/>
      <c r="AW47" s="258"/>
      <c r="AX47" s="258"/>
      <c r="AY47" s="258"/>
      <c r="AZ47" s="238"/>
      <c r="BA47" s="238"/>
      <c r="BB47" s="238"/>
      <c r="BC47" s="238"/>
      <c r="BD47" s="238"/>
      <c r="BE47" s="239" t="s">
        <v>657</v>
      </c>
      <c r="BF47" s="239">
        <v>1E-4</v>
      </c>
      <c r="BG47" s="239">
        <v>0</v>
      </c>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row>
    <row r="48" spans="1:94" s="240" customFormat="1" ht="14.25" customHeight="1">
      <c r="A48" s="267" t="s">
        <v>126</v>
      </c>
      <c r="B48" s="268"/>
      <c r="C48" s="268"/>
      <c r="D48" s="268"/>
      <c r="E48" s="269"/>
      <c r="F48" s="1377">
        <f>CO2eEF!P25</f>
        <v>8.0000000000000004E-4</v>
      </c>
      <c r="G48" s="1378"/>
      <c r="H48" s="1299">
        <f t="shared" si="8"/>
        <v>4.7890818858560795</v>
      </c>
      <c r="I48" s="1301"/>
      <c r="J48" s="1300"/>
      <c r="K48" s="1300"/>
      <c r="L48" s="1299"/>
      <c r="M48" s="1300"/>
      <c r="N48" s="1299">
        <f t="shared" si="0"/>
        <v>210.76749379652605</v>
      </c>
      <c r="O48" s="1301"/>
      <c r="P48" s="1299">
        <f t="shared" si="9"/>
        <v>9.1077464962600066E-2</v>
      </c>
      <c r="Q48" s="1301"/>
      <c r="R48" s="1300">
        <f>(SUMPRODUCT($H31:$H51,$AU31:$AU51)+$H48-R47-SUMPRODUCT(R32:R42,$AU32:$AU42))*0.98</f>
        <v>5728.7149839616832</v>
      </c>
      <c r="S48" s="1300"/>
      <c r="T48" s="1340">
        <f>R48*$AR48</f>
        <v>252120.74644415366</v>
      </c>
      <c r="U48" s="1342"/>
      <c r="V48" s="263"/>
      <c r="W48" s="263"/>
      <c r="X48" s="263"/>
      <c r="Y48" s="263"/>
      <c r="Z48" s="263"/>
      <c r="AA48" s="263"/>
      <c r="AB48" s="263"/>
      <c r="AC48" s="263"/>
      <c r="AD48" s="263"/>
      <c r="AE48" s="263"/>
      <c r="AF48" s="263"/>
      <c r="AG48" s="263"/>
      <c r="AH48" s="263"/>
      <c r="AI48" s="263"/>
      <c r="AJ48" s="263"/>
      <c r="AK48" s="264"/>
      <c r="AL48" s="258"/>
      <c r="AM48" s="259">
        <v>1</v>
      </c>
      <c r="AN48" s="259"/>
      <c r="AO48" s="259">
        <v>2</v>
      </c>
      <c r="AP48" s="259"/>
      <c r="AQ48" s="259"/>
      <c r="AR48" s="265">
        <f>AM48*12.01+AN48*1.008+AO48*16+AP48*14+AQ48*32</f>
        <v>44.01</v>
      </c>
      <c r="AS48" s="259"/>
      <c r="AT48" s="259"/>
      <c r="AU48" s="259"/>
      <c r="AV48" s="259"/>
      <c r="AW48" s="259"/>
      <c r="AX48" s="259"/>
      <c r="AY48" s="258"/>
      <c r="AZ48" s="238"/>
      <c r="BA48" s="238"/>
      <c r="BB48" s="238"/>
      <c r="BC48" s="238"/>
      <c r="BD48" s="238"/>
      <c r="BE48" s="239" t="s">
        <v>658</v>
      </c>
      <c r="BF48" s="239">
        <v>0</v>
      </c>
      <c r="BG48" s="239">
        <v>0</v>
      </c>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38"/>
      <c r="CN48" s="238"/>
      <c r="CO48" s="238"/>
      <c r="CP48" s="238"/>
    </row>
    <row r="49" spans="1:94" s="240" customFormat="1" ht="14.25" customHeight="1">
      <c r="A49" s="267" t="s">
        <v>430</v>
      </c>
      <c r="B49" s="268"/>
      <c r="C49" s="268"/>
      <c r="D49" s="268"/>
      <c r="E49" s="269"/>
      <c r="F49" s="1377">
        <v>0</v>
      </c>
      <c r="G49" s="1378"/>
      <c r="H49" s="1299">
        <f t="shared" si="8"/>
        <v>0</v>
      </c>
      <c r="I49" s="1301"/>
      <c r="J49" s="1300"/>
      <c r="K49" s="1300"/>
      <c r="L49" s="1299"/>
      <c r="M49" s="1300"/>
      <c r="N49" s="1299">
        <f t="shared" si="0"/>
        <v>0</v>
      </c>
      <c r="O49" s="1301"/>
      <c r="P49" s="1299">
        <f t="shared" si="9"/>
        <v>5.6252858834856954E-5</v>
      </c>
      <c r="Q49" s="1301"/>
      <c r="R49" s="1300">
        <f>T49/$AR49</f>
        <v>3.538269268147257</v>
      </c>
      <c r="S49" s="1300"/>
      <c r="T49" s="1299">
        <f>$W17*$X25</f>
        <v>162.76038633477381</v>
      </c>
      <c r="U49" s="1301"/>
      <c r="V49" s="263"/>
      <c r="W49" s="263"/>
      <c r="X49" s="263"/>
      <c r="Y49" s="263"/>
      <c r="Z49" s="263"/>
      <c r="AA49" s="263"/>
      <c r="AB49" s="263"/>
      <c r="AC49" s="263"/>
      <c r="AD49" s="263"/>
      <c r="AE49" s="263"/>
      <c r="AF49" s="263"/>
      <c r="AG49" s="263"/>
      <c r="AH49" s="263"/>
      <c r="AI49" s="263"/>
      <c r="AJ49" s="263"/>
      <c r="AK49" s="264"/>
      <c r="AL49" s="258"/>
      <c r="AM49" s="258"/>
      <c r="AN49" s="258"/>
      <c r="AO49" s="258">
        <v>2</v>
      </c>
      <c r="AP49" s="258">
        <v>1</v>
      </c>
      <c r="AQ49" s="258"/>
      <c r="AR49" s="265">
        <f>AM49*12.01+AN49*1.008+AO49*16+AP49*14+AQ49*32</f>
        <v>46</v>
      </c>
      <c r="AS49" s="259"/>
      <c r="AT49" s="258"/>
      <c r="AU49" s="258"/>
      <c r="AV49" s="258"/>
      <c r="AW49" s="258"/>
      <c r="AX49" s="258"/>
      <c r="AY49" s="258"/>
      <c r="AZ49" s="238"/>
      <c r="BA49" s="238"/>
      <c r="BB49" s="238"/>
      <c r="BC49" s="238"/>
      <c r="BD49" s="238"/>
      <c r="BE49" s="239" t="s">
        <v>659</v>
      </c>
      <c r="BF49" s="239">
        <v>0</v>
      </c>
      <c r="BG49" s="239">
        <v>0</v>
      </c>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row>
    <row r="50" spans="1:94" s="240" customFormat="1" ht="14.25" customHeight="1">
      <c r="A50" s="267" t="s">
        <v>124</v>
      </c>
      <c r="B50" s="268"/>
      <c r="C50" s="268"/>
      <c r="D50" s="268"/>
      <c r="E50" s="269"/>
      <c r="F50" s="1377">
        <v>0</v>
      </c>
      <c r="G50" s="1378"/>
      <c r="H50" s="1299">
        <f t="shared" si="8"/>
        <v>0</v>
      </c>
      <c r="I50" s="1301"/>
      <c r="J50" s="1300"/>
      <c r="K50" s="1300"/>
      <c r="L50" s="1299"/>
      <c r="M50" s="1300"/>
      <c r="N50" s="1299">
        <f t="shared" si="0"/>
        <v>0</v>
      </c>
      <c r="O50" s="1301"/>
      <c r="P50" s="1299">
        <f t="shared" si="9"/>
        <v>0</v>
      </c>
      <c r="Q50" s="1301"/>
      <c r="R50" s="1299">
        <f>SUMPRODUCT(H31:H51,$AX31:$AX51)+H50</f>
        <v>0</v>
      </c>
      <c r="S50" s="1300"/>
      <c r="T50" s="1299">
        <f>R50*$AR50</f>
        <v>0</v>
      </c>
      <c r="U50" s="1301"/>
      <c r="V50" s="263"/>
      <c r="W50" s="263"/>
      <c r="X50" s="263"/>
      <c r="Y50" s="263"/>
      <c r="Z50" s="263"/>
      <c r="AA50" s="263"/>
      <c r="AB50" s="263"/>
      <c r="AC50" s="263"/>
      <c r="AD50" s="263"/>
      <c r="AE50" s="263"/>
      <c r="AF50" s="263"/>
      <c r="AG50" s="263"/>
      <c r="AH50" s="263"/>
      <c r="AI50" s="263"/>
      <c r="AJ50" s="263"/>
      <c r="AK50" s="264"/>
      <c r="AL50" s="258"/>
      <c r="AM50" s="258"/>
      <c r="AN50" s="258"/>
      <c r="AO50" s="258">
        <v>2</v>
      </c>
      <c r="AP50" s="258"/>
      <c r="AQ50" s="258">
        <v>1</v>
      </c>
      <c r="AR50" s="265">
        <f>AM50*12.01+AN50*1.008+AO50*16+AP50*14+AQ50*32</f>
        <v>64</v>
      </c>
      <c r="AS50" s="259"/>
      <c r="AT50" s="258"/>
      <c r="AU50" s="258"/>
      <c r="AV50" s="258"/>
      <c r="AW50" s="258"/>
      <c r="AX50" s="258"/>
      <c r="AY50" s="258"/>
      <c r="AZ50" s="238"/>
      <c r="BA50" s="238"/>
      <c r="BB50" s="238"/>
      <c r="BC50" s="238"/>
      <c r="BD50" s="238"/>
      <c r="BE50" s="239" t="s">
        <v>660</v>
      </c>
      <c r="BF50" s="239">
        <v>0</v>
      </c>
      <c r="BG50" s="239">
        <v>0</v>
      </c>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38"/>
      <c r="CN50" s="238"/>
      <c r="CO50" s="238"/>
      <c r="CP50" s="238"/>
    </row>
    <row r="51" spans="1:94" s="240" customFormat="1" ht="14.25" customHeight="1">
      <c r="A51" s="273" t="s">
        <v>431</v>
      </c>
      <c r="B51" s="274"/>
      <c r="C51" s="274"/>
      <c r="D51" s="274"/>
      <c r="E51" s="274"/>
      <c r="F51" s="1377">
        <f>CO2eEF!P47</f>
        <v>0</v>
      </c>
      <c r="G51" s="1378"/>
      <c r="H51" s="1299">
        <f t="shared" si="8"/>
        <v>0</v>
      </c>
      <c r="I51" s="1301"/>
      <c r="J51" s="1384"/>
      <c r="K51" s="1384"/>
      <c r="L51" s="1382"/>
      <c r="M51" s="1384"/>
      <c r="N51" s="1299">
        <f t="shared" si="0"/>
        <v>0</v>
      </c>
      <c r="O51" s="1301"/>
      <c r="P51" s="1299">
        <f t="shared" si="9"/>
        <v>0.18642088279344171</v>
      </c>
      <c r="Q51" s="1301"/>
      <c r="R51" s="1300">
        <f>SUMPRODUCT(H31:H51,$AV31:$AV51)+H51-SUMPRODUCT(R32:R42,$AV32:$AV42)</f>
        <v>11725.755707196031</v>
      </c>
      <c r="S51" s="1300"/>
      <c r="T51" s="1352">
        <f>R51*$AR51</f>
        <v>211251.21482084368</v>
      </c>
      <c r="U51" s="1354"/>
      <c r="V51" s="263"/>
      <c r="W51" s="263"/>
      <c r="X51" s="263"/>
      <c r="Y51" s="263"/>
      <c r="Z51" s="263"/>
      <c r="AA51" s="263"/>
      <c r="AB51" s="263"/>
      <c r="AC51" s="263"/>
      <c r="AD51" s="263"/>
      <c r="AE51" s="263"/>
      <c r="AF51" s="263"/>
      <c r="AG51" s="263"/>
      <c r="AH51" s="263"/>
      <c r="AI51" s="263"/>
      <c r="AJ51" s="263"/>
      <c r="AK51" s="264"/>
      <c r="AL51" s="258"/>
      <c r="AM51" s="258"/>
      <c r="AN51" s="258">
        <v>2</v>
      </c>
      <c r="AO51" s="258">
        <v>1</v>
      </c>
      <c r="AP51" s="258"/>
      <c r="AQ51" s="258"/>
      <c r="AR51" s="265">
        <f>AM51*12.01+AN51*1.008+AO51*16+AP51*14+AQ51*32</f>
        <v>18.015999999999998</v>
      </c>
      <c r="AS51" s="259"/>
      <c r="AT51" s="258"/>
      <c r="AU51" s="258"/>
      <c r="AV51" s="258"/>
      <c r="AW51" s="258"/>
      <c r="AX51" s="258"/>
      <c r="AY51" s="258"/>
      <c r="AZ51" s="238"/>
      <c r="BA51" s="238"/>
      <c r="BB51" s="238"/>
      <c r="BC51" s="238"/>
      <c r="BD51" s="238"/>
      <c r="BE51" s="239" t="s">
        <v>661</v>
      </c>
      <c r="BF51" s="239">
        <v>0</v>
      </c>
      <c r="BG51" s="239">
        <v>0</v>
      </c>
      <c r="BH51" s="238"/>
      <c r="BI51" s="238"/>
      <c r="BJ51" s="238"/>
      <c r="BK51" s="238"/>
      <c r="BL51" s="238"/>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38"/>
      <c r="CN51" s="238"/>
      <c r="CO51" s="238"/>
      <c r="CP51" s="238"/>
    </row>
    <row r="52" spans="1:94" s="240" customFormat="1" ht="14.25" customHeight="1">
      <c r="A52" s="1391" t="s">
        <v>663</v>
      </c>
      <c r="B52" s="1392"/>
      <c r="C52" s="1392"/>
      <c r="D52" s="1392"/>
      <c r="E52" s="1393"/>
      <c r="F52" s="1394">
        <f>SUM(F31:F51)</f>
        <v>1</v>
      </c>
      <c r="G52" s="1395"/>
      <c r="H52" s="1371">
        <v>6106.1389961389959</v>
      </c>
      <c r="I52" s="1373"/>
      <c r="J52" s="1396">
        <f>SUM(J45:J51)</f>
        <v>57018.580881484129</v>
      </c>
      <c r="K52" s="1396"/>
      <c r="L52" s="1371">
        <v>0</v>
      </c>
      <c r="M52" s="1372"/>
      <c r="N52" s="1385">
        <f>SUM(N31:N51)</f>
        <v>1740958.9420326725</v>
      </c>
      <c r="O52" s="1386"/>
      <c r="P52" s="1385">
        <f>SUM(P32:Q51)</f>
        <v>0.99999999999999989</v>
      </c>
      <c r="Q52" s="1386"/>
      <c r="R52" s="1385">
        <f>SUM(R32:S51)</f>
        <v>62899.367986516918</v>
      </c>
      <c r="S52" s="1386"/>
      <c r="T52" s="1582">
        <f>SUM(T32:U51)</f>
        <v>1735420.9642596368</v>
      </c>
      <c r="U52" s="1583"/>
      <c r="V52" s="275"/>
      <c r="W52" s="275"/>
      <c r="X52" s="30"/>
      <c r="Y52" s="30"/>
      <c r="Z52" s="276"/>
      <c r="AA52" s="276"/>
      <c r="AB52" s="30"/>
      <c r="AC52" s="30"/>
      <c r="AD52" s="277"/>
      <c r="AE52" s="277"/>
      <c r="AF52" s="263"/>
      <c r="AG52" s="263"/>
      <c r="AH52" s="30"/>
      <c r="AI52" s="30"/>
      <c r="AJ52" s="277"/>
      <c r="AK52" s="278"/>
      <c r="AL52" s="238"/>
      <c r="AM52" s="238"/>
      <c r="AN52" s="238"/>
      <c r="AO52" s="238"/>
      <c r="AP52" s="238"/>
      <c r="AQ52" s="238"/>
      <c r="AR52" s="238"/>
      <c r="AS52" s="238"/>
      <c r="AT52" s="238"/>
      <c r="AU52" s="238"/>
      <c r="AV52" s="238"/>
      <c r="AW52" s="238"/>
      <c r="AX52" s="238"/>
      <c r="AY52" s="238"/>
      <c r="AZ52" s="238"/>
      <c r="BA52" s="238"/>
      <c r="BB52" s="238"/>
      <c r="BC52" s="238"/>
      <c r="BD52" s="238"/>
      <c r="BE52" s="239" t="s">
        <v>662</v>
      </c>
      <c r="BF52" s="239">
        <v>0</v>
      </c>
      <c r="BG52" s="239">
        <v>0</v>
      </c>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row>
    <row r="53" spans="1:94" s="240" customFormat="1" ht="14.25" customHeight="1">
      <c r="A53" s="475" t="s">
        <v>665</v>
      </c>
      <c r="B53" s="476"/>
      <c r="C53" s="476"/>
      <c r="D53" s="476"/>
      <c r="E53" s="435"/>
      <c r="F53" s="435"/>
      <c r="G53" s="435"/>
      <c r="H53" s="435"/>
      <c r="I53" s="435"/>
      <c r="J53" s="435"/>
      <c r="K53" s="435"/>
      <c r="L53" s="1189" t="s">
        <v>666</v>
      </c>
      <c r="M53" s="1190"/>
      <c r="N53" s="477"/>
      <c r="O53" s="477"/>
      <c r="P53" s="477"/>
      <c r="Q53" s="477"/>
      <c r="R53" s="477"/>
      <c r="S53" s="477" t="s">
        <v>332</v>
      </c>
      <c r="T53" s="477"/>
      <c r="U53" s="477"/>
      <c r="V53" s="479"/>
      <c r="W53" s="479"/>
      <c r="X53" s="1482"/>
      <c r="Y53" s="1482"/>
      <c r="Z53" s="1482"/>
      <c r="AA53" s="1482"/>
      <c r="AB53" s="1482"/>
      <c r="AC53" s="1482"/>
      <c r="AD53" s="1482"/>
      <c r="AE53" s="1482"/>
      <c r="AF53" s="1482"/>
      <c r="AG53" s="479"/>
      <c r="AH53" s="479"/>
      <c r="AI53" s="479"/>
      <c r="AJ53" s="479"/>
      <c r="AK53" s="480"/>
      <c r="AL53" s="481"/>
      <c r="AM53" s="238"/>
      <c r="AN53" s="238"/>
      <c r="AO53" s="238"/>
      <c r="AP53" s="238"/>
      <c r="AQ53" s="238"/>
      <c r="AR53" s="238"/>
      <c r="AS53" s="238"/>
      <c r="AT53" s="238"/>
      <c r="AU53" s="238"/>
      <c r="AV53" s="238"/>
      <c r="AW53" s="238"/>
      <c r="AX53" s="238"/>
      <c r="AY53" s="238"/>
      <c r="AZ53" s="238"/>
      <c r="BA53" s="238"/>
      <c r="BB53" s="238"/>
      <c r="BC53" s="238"/>
      <c r="BD53" s="238"/>
      <c r="BE53" s="239" t="s">
        <v>664</v>
      </c>
      <c r="BF53" s="239">
        <v>0</v>
      </c>
      <c r="BG53" s="239">
        <v>0</v>
      </c>
      <c r="BH53" s="238"/>
      <c r="BI53" s="238"/>
      <c r="BJ53" s="238"/>
      <c r="BK53" s="238"/>
      <c r="BL53" s="238"/>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38"/>
      <c r="CN53" s="238"/>
      <c r="CO53" s="238"/>
      <c r="CP53" s="238"/>
    </row>
    <row r="54" spans="1:94" s="240" customFormat="1" ht="14.25" customHeight="1">
      <c r="A54" s="483" t="s">
        <v>748</v>
      </c>
      <c r="B54" s="484"/>
      <c r="C54" s="484"/>
      <c r="D54" s="484"/>
      <c r="E54" s="484"/>
      <c r="F54" s="484"/>
      <c r="G54" s="484"/>
      <c r="H54" s="484"/>
      <c r="I54" s="484"/>
      <c r="J54" s="484"/>
      <c r="K54" s="484"/>
      <c r="L54" s="1185">
        <f>N54*1000/3600</f>
        <v>1.5416537621753059</v>
      </c>
      <c r="M54" s="1186"/>
      <c r="N54" s="1586">
        <f>AI17*X25</f>
        <v>5.5499535438311014</v>
      </c>
      <c r="O54" s="1586"/>
      <c r="P54" s="484" t="s">
        <v>617</v>
      </c>
      <c r="Q54" s="591"/>
      <c r="R54" s="1585">
        <f>N54*$X$44/1000</f>
        <v>1.0174914830357019E-3</v>
      </c>
      <c r="S54" s="1585"/>
      <c r="T54" s="1390"/>
      <c r="U54" s="1390"/>
      <c r="V54" s="1584"/>
      <c r="W54" s="1584"/>
      <c r="X54" s="484"/>
      <c r="Y54" s="1483"/>
      <c r="Z54" s="1483"/>
      <c r="AA54" s="484"/>
      <c r="AB54" s="484"/>
      <c r="AC54" s="1484"/>
      <c r="AD54" s="1484"/>
      <c r="AE54" s="1390"/>
      <c r="AF54" s="1390"/>
      <c r="AG54" s="484"/>
      <c r="AH54" s="484"/>
      <c r="AI54" s="484"/>
      <c r="AJ54" s="485"/>
      <c r="AK54" s="486"/>
      <c r="AL54" s="238"/>
      <c r="AM54" s="238"/>
      <c r="AN54" s="281"/>
      <c r="AO54" s="238"/>
      <c r="AP54" s="238"/>
      <c r="AQ54" s="238"/>
      <c r="AR54" s="238"/>
      <c r="AS54" s="238"/>
      <c r="AT54" s="238"/>
      <c r="AU54" s="238"/>
      <c r="AV54" s="238"/>
      <c r="AW54" s="238"/>
      <c r="AX54" s="238"/>
      <c r="AY54" s="238"/>
      <c r="AZ54" s="238"/>
      <c r="BA54" s="238"/>
      <c r="BB54" s="238"/>
      <c r="BC54" s="238"/>
      <c r="BD54" s="238"/>
      <c r="BE54" s="239" t="s">
        <v>667</v>
      </c>
      <c r="BF54" s="239">
        <v>0</v>
      </c>
      <c r="BG54" s="239">
        <v>4.4999999999999997E-3</v>
      </c>
      <c r="BH54" s="238"/>
      <c r="BI54" s="238"/>
      <c r="BJ54" s="238"/>
      <c r="BK54" s="238"/>
      <c r="BL54" s="238"/>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38"/>
      <c r="CN54" s="238"/>
      <c r="CO54" s="238"/>
      <c r="CP54" s="238"/>
    </row>
    <row r="55" spans="1:94" s="240" customFormat="1" ht="14.25" customHeight="1">
      <c r="A55" s="273" t="s">
        <v>668</v>
      </c>
      <c r="B55" s="30"/>
      <c r="C55" s="30"/>
      <c r="D55" s="30"/>
      <c r="E55" s="30"/>
      <c r="F55" s="30"/>
      <c r="G55" s="30"/>
      <c r="H55" s="30"/>
      <c r="I55" s="30"/>
      <c r="J55" s="30"/>
      <c r="K55" s="30"/>
      <c r="L55" s="1436">
        <f t="shared" ref="L55:L60" si="10">N55*1000/3600</f>
        <v>45.211218426326063</v>
      </c>
      <c r="M55" s="1437"/>
      <c r="N55" s="1560">
        <f>W17*X25</f>
        <v>162.76038633477381</v>
      </c>
      <c r="O55" s="1560"/>
      <c r="P55" s="30" t="s">
        <v>617</v>
      </c>
      <c r="Q55" s="591"/>
      <c r="R55" s="1585">
        <f t="shared" ref="R55:R61" si="11">N55*$X$44/1000</f>
        <v>2.9839404161375194E-2</v>
      </c>
      <c r="S55" s="1585"/>
      <c r="T55" s="1390"/>
      <c r="U55" s="1390"/>
      <c r="V55" s="1584"/>
      <c r="W55" s="1584"/>
      <c r="X55" s="30"/>
      <c r="Y55" s="1485"/>
      <c r="Z55" s="1485"/>
      <c r="AA55" s="30"/>
      <c r="AB55" s="30"/>
      <c r="AC55" s="1486"/>
      <c r="AD55" s="1486"/>
      <c r="AE55" s="860"/>
      <c r="AF55" s="860"/>
      <c r="AG55" s="30"/>
      <c r="AH55" s="30"/>
      <c r="AI55" s="30"/>
      <c r="AJ55" s="30"/>
      <c r="AK55" s="253"/>
      <c r="AL55" s="238"/>
      <c r="AM55" s="238"/>
      <c r="AN55" s="238"/>
      <c r="AO55" s="482"/>
      <c r="AP55" s="238"/>
      <c r="AQ55" s="238"/>
      <c r="AR55" s="238"/>
      <c r="AS55" s="238"/>
      <c r="AT55" s="238"/>
      <c r="AU55" s="238"/>
      <c r="AV55" s="238"/>
      <c r="AW55" s="238"/>
      <c r="AX55" s="238"/>
      <c r="AY55" s="238"/>
      <c r="AZ55" s="238"/>
      <c r="BA55" s="238"/>
      <c r="BB55" s="238"/>
      <c r="BC55" s="238"/>
      <c r="BD55" s="238"/>
      <c r="BE55" s="239" t="s">
        <v>669</v>
      </c>
      <c r="BF55" s="239">
        <v>0</v>
      </c>
      <c r="BG55" s="239">
        <v>1.5800000000000002E-2</v>
      </c>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38"/>
      <c r="CN55" s="238"/>
      <c r="CO55" s="238"/>
      <c r="CP55" s="238"/>
    </row>
    <row r="56" spans="1:94" s="240" customFormat="1" ht="14.25" customHeight="1">
      <c r="A56" s="273" t="s">
        <v>670</v>
      </c>
      <c r="B56" s="30"/>
      <c r="C56" s="30"/>
      <c r="D56" s="30"/>
      <c r="E56" s="30"/>
      <c r="F56" s="30"/>
      <c r="G56" s="30"/>
      <c r="H56" s="30"/>
      <c r="I56" s="30"/>
      <c r="J56" s="30"/>
      <c r="K56" s="30"/>
      <c r="L56" s="1436">
        <f t="shared" si="10"/>
        <v>246.00221790795064</v>
      </c>
      <c r="M56" s="1437"/>
      <c r="N56" s="1560">
        <f>AC17*X25</f>
        <v>885.60798446862225</v>
      </c>
      <c r="O56" s="1560"/>
      <c r="P56" s="30" t="s">
        <v>617</v>
      </c>
      <c r="Q56" s="591"/>
      <c r="R56" s="1585">
        <f t="shared" si="11"/>
        <v>0.1623614638192474</v>
      </c>
      <c r="S56" s="1585"/>
      <c r="T56" s="1390"/>
      <c r="U56" s="1390"/>
      <c r="V56" s="1584"/>
      <c r="W56" s="1584"/>
      <c r="X56" s="30"/>
      <c r="Y56" s="1485"/>
      <c r="Z56" s="1485"/>
      <c r="AA56" s="30"/>
      <c r="AB56" s="30"/>
      <c r="AC56" s="1486"/>
      <c r="AD56" s="1486"/>
      <c r="AE56" s="473"/>
      <c r="AF56" s="473"/>
      <c r="AG56" s="30"/>
      <c r="AH56" s="30"/>
      <c r="AI56" s="30"/>
      <c r="AJ56" s="30"/>
      <c r="AK56" s="253"/>
      <c r="AL56" s="238"/>
      <c r="AM56" s="238"/>
      <c r="AN56" s="238"/>
      <c r="AO56" s="482"/>
      <c r="AP56" s="238"/>
      <c r="AQ56" s="238"/>
      <c r="AR56" s="238"/>
      <c r="AS56" s="238"/>
      <c r="AT56" s="238"/>
      <c r="AU56" s="238"/>
      <c r="AV56" s="238"/>
      <c r="AW56" s="238"/>
      <c r="AX56" s="238"/>
      <c r="AY56" s="238"/>
      <c r="AZ56" s="238"/>
      <c r="BA56" s="238"/>
      <c r="BB56" s="238"/>
      <c r="BC56" s="238"/>
      <c r="BD56" s="238"/>
      <c r="BE56" s="239"/>
      <c r="BF56" s="239"/>
      <c r="BG56" s="239"/>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38"/>
      <c r="CN56" s="238"/>
      <c r="CO56" s="238"/>
      <c r="CP56" s="238"/>
    </row>
    <row r="57" spans="1:94" s="240" customFormat="1" ht="14.25" customHeight="1">
      <c r="A57" s="273" t="s">
        <v>673</v>
      </c>
      <c r="B57" s="30"/>
      <c r="C57" s="30"/>
      <c r="D57" s="30"/>
      <c r="E57" s="30"/>
      <c r="F57" s="30"/>
      <c r="G57" s="30"/>
      <c r="H57" s="30"/>
      <c r="I57" s="30"/>
      <c r="J57" s="30"/>
      <c r="K57" s="30"/>
      <c r="L57" s="1436">
        <f t="shared" si="10"/>
        <v>0</v>
      </c>
      <c r="M57" s="1437"/>
      <c r="N57" s="1560">
        <f>Q22*X25</f>
        <v>0</v>
      </c>
      <c r="O57" s="1560"/>
      <c r="P57" s="30" t="s">
        <v>617</v>
      </c>
      <c r="Q57" s="591"/>
      <c r="R57" s="1585">
        <f t="shared" si="11"/>
        <v>0</v>
      </c>
      <c r="S57" s="1585"/>
      <c r="T57" s="1390"/>
      <c r="U57" s="1390"/>
      <c r="V57" s="1584"/>
      <c r="W57" s="1584"/>
      <c r="X57" s="30"/>
      <c r="Y57" s="1485"/>
      <c r="Z57" s="1485"/>
      <c r="AA57" s="30"/>
      <c r="AB57" s="30"/>
      <c r="AC57" s="1486"/>
      <c r="AD57" s="1486"/>
      <c r="AE57" s="860"/>
      <c r="AF57" s="860"/>
      <c r="AG57" s="30"/>
      <c r="AH57" s="30"/>
      <c r="AI57" s="30"/>
      <c r="AJ57" s="30"/>
      <c r="AK57" s="253"/>
      <c r="AL57" s="238"/>
      <c r="AM57" s="238"/>
      <c r="AN57" s="238"/>
      <c r="AO57" s="482"/>
      <c r="AP57" s="238"/>
      <c r="AQ57" s="238"/>
      <c r="AR57" s="238"/>
      <c r="AS57" s="238"/>
      <c r="AT57" s="238"/>
      <c r="AU57" s="238"/>
      <c r="AV57" s="238"/>
      <c r="AW57" s="238"/>
      <c r="AX57" s="238"/>
      <c r="AY57" s="238"/>
      <c r="AZ57" s="238"/>
      <c r="BA57" s="238"/>
      <c r="BB57" s="238"/>
      <c r="BC57" s="238"/>
      <c r="BD57" s="238"/>
      <c r="BE57" s="239"/>
      <c r="BF57" s="239"/>
      <c r="BG57" s="239"/>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38"/>
      <c r="CN57" s="238"/>
      <c r="CO57" s="238"/>
      <c r="CP57" s="238"/>
    </row>
    <row r="58" spans="1:94" s="240" customFormat="1" ht="14.25" customHeight="1">
      <c r="A58" s="273" t="s">
        <v>672</v>
      </c>
      <c r="B58" s="30"/>
      <c r="C58" s="30"/>
      <c r="D58" s="30"/>
      <c r="E58" s="30"/>
      <c r="F58" s="30"/>
      <c r="G58" s="30"/>
      <c r="H58" s="30"/>
      <c r="I58" s="30"/>
      <c r="J58" s="30"/>
      <c r="K58" s="30"/>
      <c r="L58" s="1587">
        <f t="shared" si="10"/>
        <v>531.54301209677419</v>
      </c>
      <c r="M58" s="1588"/>
      <c r="N58" s="1590">
        <f>T32</f>
        <v>1913.5548435483872</v>
      </c>
      <c r="O58" s="1590"/>
      <c r="P58" s="30" t="s">
        <v>617</v>
      </c>
      <c r="Q58" s="591"/>
      <c r="R58" s="1585">
        <f t="shared" si="11"/>
        <v>0.35081838798387099</v>
      </c>
      <c r="S58" s="1585"/>
      <c r="T58" s="1390"/>
      <c r="U58" s="1390"/>
      <c r="V58" s="1584"/>
      <c r="W58" s="1584"/>
      <c r="X58" s="30"/>
      <c r="Y58" s="1485"/>
      <c r="Z58" s="1485"/>
      <c r="AA58" s="30"/>
      <c r="AB58" s="30"/>
      <c r="AC58" s="1486"/>
      <c r="AD58" s="1486"/>
      <c r="AE58" s="473"/>
      <c r="AF58" s="473"/>
      <c r="AG58" s="30"/>
      <c r="AH58" s="30"/>
      <c r="AI58" s="30"/>
      <c r="AJ58" s="30"/>
      <c r="AK58" s="253"/>
      <c r="AL58" s="238"/>
      <c r="AM58" s="238"/>
      <c r="AN58" s="238"/>
      <c r="AO58" s="482"/>
      <c r="AP58" s="238"/>
      <c r="AQ58" s="238"/>
      <c r="AR58" s="238"/>
      <c r="AS58" s="238"/>
      <c r="AT58" s="238"/>
      <c r="AU58" s="238"/>
      <c r="AV58" s="238"/>
      <c r="AW58" s="238"/>
      <c r="AX58" s="238"/>
      <c r="AY58" s="238"/>
      <c r="AZ58" s="238"/>
      <c r="BA58" s="238"/>
      <c r="BB58" s="238"/>
      <c r="BC58" s="238"/>
      <c r="BD58" s="238"/>
      <c r="BE58" s="239"/>
      <c r="BF58" s="239"/>
      <c r="BG58" s="239"/>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row>
    <row r="59" spans="1:94" s="240" customFormat="1" ht="14.25" customHeight="1">
      <c r="A59" s="273" t="s">
        <v>675</v>
      </c>
      <c r="B59" s="30"/>
      <c r="C59" s="30"/>
      <c r="D59" s="30"/>
      <c r="E59" s="30"/>
      <c r="F59" s="30"/>
      <c r="G59" s="30"/>
      <c r="H59" s="30"/>
      <c r="I59" s="30"/>
      <c r="J59" s="30"/>
      <c r="K59" s="30"/>
      <c r="L59" s="1587">
        <f t="shared" si="10"/>
        <v>0</v>
      </c>
      <c r="M59" s="1588"/>
      <c r="N59" s="1589"/>
      <c r="O59" s="1589"/>
      <c r="P59" s="30" t="s">
        <v>617</v>
      </c>
      <c r="Q59" s="591"/>
      <c r="R59" s="1585">
        <f t="shared" si="11"/>
        <v>0</v>
      </c>
      <c r="S59" s="1585"/>
      <c r="T59" s="1390"/>
      <c r="U59" s="1390"/>
      <c r="V59" s="1584"/>
      <c r="W59" s="1584"/>
      <c r="X59" s="30"/>
      <c r="Y59" s="1485"/>
      <c r="Z59" s="1485"/>
      <c r="AA59" s="30"/>
      <c r="AB59" s="30"/>
      <c r="AC59" s="1486"/>
      <c r="AD59" s="1486"/>
      <c r="AE59" s="473"/>
      <c r="AF59" s="473"/>
      <c r="AG59" s="30"/>
      <c r="AH59" s="30"/>
      <c r="AI59" s="30"/>
      <c r="AJ59" s="30"/>
      <c r="AK59" s="253"/>
      <c r="AL59" s="238"/>
      <c r="AM59" s="238"/>
      <c r="AN59" s="238"/>
      <c r="AO59" s="482"/>
      <c r="AP59" s="238"/>
      <c r="AQ59" s="238"/>
      <c r="AR59" s="238"/>
      <c r="AS59" s="238"/>
      <c r="AT59" s="238"/>
      <c r="AU59" s="238"/>
      <c r="AV59" s="238"/>
      <c r="AW59" s="238"/>
      <c r="AX59" s="238"/>
      <c r="AY59" s="238"/>
      <c r="AZ59" s="238"/>
      <c r="BA59" s="238"/>
      <c r="BB59" s="238"/>
      <c r="BC59" s="238"/>
      <c r="BD59" s="238"/>
      <c r="BE59" s="239"/>
      <c r="BF59" s="239"/>
      <c r="BG59" s="239"/>
      <c r="BH59" s="238"/>
      <c r="BI59" s="238"/>
      <c r="BJ59" s="238"/>
      <c r="BK59" s="238"/>
      <c r="BL59" s="238"/>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38"/>
      <c r="CN59" s="238"/>
      <c r="CO59" s="238"/>
      <c r="CP59" s="238"/>
    </row>
    <row r="60" spans="1:94" s="240" customFormat="1" ht="14.25" customHeight="1">
      <c r="A60" s="273" t="s">
        <v>676</v>
      </c>
      <c r="B60" s="30"/>
      <c r="C60" s="30"/>
      <c r="D60" s="30"/>
      <c r="E60" s="30"/>
      <c r="F60" s="30"/>
      <c r="G60" s="30"/>
      <c r="H60" s="30"/>
      <c r="I60" s="30"/>
      <c r="J60" s="30"/>
      <c r="K60" s="30"/>
      <c r="L60" s="1587">
        <f t="shared" si="10"/>
        <v>0</v>
      </c>
      <c r="M60" s="1588"/>
      <c r="N60" s="1589"/>
      <c r="O60" s="1589"/>
      <c r="P60" s="30" t="s">
        <v>617</v>
      </c>
      <c r="Q60" s="591"/>
      <c r="R60" s="1585">
        <f t="shared" si="11"/>
        <v>0</v>
      </c>
      <c r="S60" s="1585"/>
      <c r="T60" s="1390"/>
      <c r="U60" s="1390"/>
      <c r="V60" s="1584"/>
      <c r="W60" s="1584"/>
      <c r="X60" s="30"/>
      <c r="Y60" s="1485"/>
      <c r="Z60" s="1485"/>
      <c r="AA60" s="30"/>
      <c r="AB60" s="30"/>
      <c r="AC60" s="1486"/>
      <c r="AD60" s="1486"/>
      <c r="AE60" s="30"/>
      <c r="AF60" s="30"/>
      <c r="AG60" s="30"/>
      <c r="AH60" s="30"/>
      <c r="AI60" s="30"/>
      <c r="AJ60" s="30"/>
      <c r="AK60" s="253"/>
      <c r="AL60" s="238"/>
      <c r="AM60" s="238"/>
      <c r="AN60" s="238"/>
      <c r="AO60" s="281"/>
      <c r="AP60" s="238"/>
      <c r="AQ60" s="238"/>
      <c r="AR60" s="238"/>
      <c r="AS60" s="238"/>
      <c r="AT60" s="238"/>
      <c r="AU60" s="238"/>
      <c r="AV60" s="238"/>
      <c r="AW60" s="238"/>
      <c r="AX60" s="238"/>
      <c r="AY60" s="238"/>
      <c r="AZ60" s="238"/>
      <c r="BA60" s="238"/>
      <c r="BB60" s="238"/>
      <c r="BC60" s="238"/>
      <c r="BD60" s="238"/>
      <c r="BE60" s="239"/>
      <c r="BF60" s="239"/>
      <c r="BG60" s="239"/>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row>
    <row r="61" spans="1:94" s="240" customFormat="1" ht="14.25" customHeight="1">
      <c r="A61" s="273" t="s">
        <v>677</v>
      </c>
      <c r="B61" s="30"/>
      <c r="C61" s="30"/>
      <c r="D61" s="30"/>
      <c r="E61" s="30"/>
      <c r="F61" s="30"/>
      <c r="G61" s="30"/>
      <c r="H61" s="30"/>
      <c r="I61" s="30"/>
      <c r="J61" s="30"/>
      <c r="K61" s="30"/>
      <c r="L61" s="1587">
        <f>N61*1000/3600</f>
        <v>73253.580758937052</v>
      </c>
      <c r="M61" s="1588"/>
      <c r="N61" s="1564">
        <f>X25*CO2eEF!I57</f>
        <v>263712.8907321734</v>
      </c>
      <c r="O61" s="1564"/>
      <c r="P61" s="284" t="s">
        <v>617</v>
      </c>
      <c r="Q61" s="592"/>
      <c r="R61" s="1585">
        <f t="shared" si="11"/>
        <v>48.347363300898458</v>
      </c>
      <c r="S61" s="1585"/>
      <c r="T61" s="1390"/>
      <c r="U61" s="1390"/>
      <c r="V61" s="1584"/>
      <c r="W61" s="1584"/>
      <c r="X61" s="284"/>
      <c r="Y61" s="1487"/>
      <c r="Z61" s="1487"/>
      <c r="AA61" s="593"/>
      <c r="AB61" s="594"/>
      <c r="AC61" s="1488"/>
      <c r="AD61" s="1488"/>
      <c r="AE61" s="30"/>
      <c r="AF61" s="30"/>
      <c r="AG61" s="30"/>
      <c r="AH61" s="30"/>
      <c r="AI61" s="30"/>
      <c r="AJ61" s="30"/>
      <c r="AK61" s="253"/>
      <c r="AL61" s="238"/>
      <c r="AM61" s="238"/>
      <c r="AN61" s="238"/>
      <c r="AO61" s="281"/>
      <c r="AP61" s="238"/>
      <c r="AQ61" s="238"/>
      <c r="AR61" s="238"/>
      <c r="AS61" s="238"/>
      <c r="AT61" s="238"/>
      <c r="AU61" s="238"/>
      <c r="AV61" s="238"/>
      <c r="AW61" s="238"/>
      <c r="AX61" s="238"/>
      <c r="AY61" s="238"/>
      <c r="AZ61" s="238"/>
      <c r="BA61" s="238"/>
      <c r="BB61" s="238"/>
      <c r="BC61" s="238"/>
      <c r="BD61" s="238"/>
      <c r="BE61" s="239"/>
      <c r="BF61" s="239"/>
      <c r="BG61" s="239"/>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row>
    <row r="62" spans="1:94" s="240" customFormat="1" ht="14.25" customHeight="1">
      <c r="A62" s="279" t="s">
        <v>749</v>
      </c>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2"/>
      <c r="AF62" s="132"/>
      <c r="AG62" s="132"/>
      <c r="AH62" s="132"/>
      <c r="AI62" s="132"/>
      <c r="AJ62" s="132"/>
      <c r="AK62" s="280"/>
      <c r="AL62" s="238"/>
      <c r="AM62" s="238"/>
      <c r="AN62" s="238"/>
      <c r="AO62" s="281"/>
      <c r="AP62" s="238"/>
      <c r="AQ62" s="238"/>
      <c r="AR62" s="238"/>
      <c r="AS62" s="238"/>
      <c r="AT62" s="238"/>
      <c r="AU62" s="238"/>
      <c r="AV62" s="238"/>
      <c r="AW62" s="238"/>
      <c r="AX62" s="238"/>
      <c r="AY62" s="238"/>
      <c r="AZ62" s="238"/>
      <c r="BA62" s="238"/>
      <c r="BB62" s="238"/>
      <c r="BC62" s="238"/>
      <c r="BD62" s="238"/>
      <c r="BE62" s="239"/>
      <c r="BF62" s="239"/>
      <c r="BG62" s="239"/>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row>
    <row r="63" spans="1:94" s="240" customFormat="1" ht="14.25" customHeight="1">
      <c r="A63" s="282" t="s">
        <v>31</v>
      </c>
      <c r="B63" s="30" t="s">
        <v>804</v>
      </c>
      <c r="C63" s="30"/>
      <c r="D63" s="30"/>
      <c r="E63" s="30"/>
      <c r="F63" s="30"/>
      <c r="G63" s="30"/>
      <c r="H63" s="30"/>
      <c r="I63" s="30"/>
      <c r="J63" s="30"/>
      <c r="K63" s="30"/>
      <c r="L63" s="30"/>
      <c r="M63" s="30"/>
      <c r="N63" s="283"/>
      <c r="O63" s="283"/>
      <c r="P63" s="283"/>
      <c r="Q63" s="30"/>
      <c r="R63" s="30"/>
      <c r="S63" s="30"/>
      <c r="T63" s="30"/>
      <c r="U63" s="30"/>
      <c r="V63" s="30"/>
      <c r="W63" s="30"/>
      <c r="X63" s="30"/>
      <c r="Y63" s="30"/>
      <c r="Z63" s="30"/>
      <c r="AA63" s="30"/>
      <c r="AB63" s="30"/>
      <c r="AC63" s="30"/>
      <c r="AD63" s="30"/>
      <c r="AE63" s="30"/>
      <c r="AF63" s="30"/>
      <c r="AG63" s="30"/>
      <c r="AH63" s="30"/>
      <c r="AI63" s="30"/>
      <c r="AJ63" s="30"/>
      <c r="AK63" s="253"/>
      <c r="AL63" s="238"/>
      <c r="AM63" s="238"/>
      <c r="AN63" s="238"/>
      <c r="AO63" s="238"/>
      <c r="AP63" s="238"/>
      <c r="AQ63" s="238"/>
      <c r="AR63" s="238"/>
      <c r="AS63" s="238"/>
      <c r="AT63" s="238"/>
      <c r="AU63" s="238"/>
      <c r="AV63" s="238"/>
      <c r="AW63" s="238"/>
      <c r="AX63" s="238"/>
      <c r="AY63" s="238"/>
      <c r="AZ63" s="238"/>
      <c r="BA63" s="238"/>
      <c r="BB63" s="238"/>
      <c r="BC63" s="238"/>
      <c r="BD63" s="238"/>
      <c r="BE63" s="239" t="s">
        <v>679</v>
      </c>
      <c r="BF63" s="239">
        <v>0</v>
      </c>
      <c r="BG63" s="239">
        <v>0</v>
      </c>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row>
    <row r="64" spans="1:94" ht="14.25" customHeight="1">
      <c r="A64" s="282" t="s">
        <v>33</v>
      </c>
      <c r="B64" s="31" t="s">
        <v>751</v>
      </c>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5"/>
      <c r="AK64" s="286"/>
      <c r="AL64" s="243"/>
      <c r="AM64" s="243"/>
      <c r="AN64" s="243"/>
      <c r="AO64" s="243"/>
      <c r="AP64" s="243"/>
      <c r="AQ64" s="243"/>
      <c r="AR64" s="243"/>
      <c r="AS64" s="243"/>
      <c r="AT64" s="243"/>
      <c r="AU64" s="243"/>
      <c r="AV64" s="243"/>
      <c r="AW64" s="243"/>
      <c r="AX64" s="243"/>
      <c r="AY64" s="243"/>
      <c r="AZ64" s="243"/>
      <c r="BA64" s="243"/>
      <c r="BB64" s="243"/>
      <c r="BC64" s="243"/>
      <c r="BD64" s="243"/>
      <c r="BE64" s="246" t="s">
        <v>681</v>
      </c>
      <c r="BF64" s="246">
        <v>0</v>
      </c>
      <c r="BG64" s="246">
        <v>0</v>
      </c>
      <c r="BH64" s="243"/>
      <c r="BI64" s="243"/>
      <c r="BJ64" s="243"/>
      <c r="BK64" s="243"/>
      <c r="BL64" s="243"/>
      <c r="BM64" s="243"/>
      <c r="BN64" s="243"/>
      <c r="BO64" s="243"/>
      <c r="BP64" s="243"/>
      <c r="BQ64" s="243"/>
      <c r="BR64" s="243"/>
      <c r="BS64" s="243"/>
      <c r="BT64" s="243"/>
      <c r="BU64" s="243"/>
      <c r="BV64" s="243"/>
      <c r="BW64" s="243"/>
      <c r="BX64" s="243"/>
      <c r="BY64" s="243"/>
      <c r="BZ64" s="243"/>
      <c r="CA64" s="243"/>
      <c r="CB64" s="243"/>
      <c r="CC64" s="243"/>
      <c r="CD64" s="243"/>
      <c r="CE64" s="243"/>
      <c r="CF64" s="243"/>
      <c r="CG64" s="243"/>
      <c r="CH64" s="243"/>
      <c r="CI64" s="243"/>
      <c r="CJ64" s="243"/>
      <c r="CK64" s="243"/>
      <c r="CL64" s="243"/>
      <c r="CM64" s="243"/>
      <c r="CN64" s="243"/>
      <c r="CO64" s="243"/>
      <c r="CP64" s="243"/>
    </row>
    <row r="65" spans="1:94" ht="14.25" customHeight="1">
      <c r="A65" s="282" t="s">
        <v>752</v>
      </c>
      <c r="B65" s="284" t="s">
        <v>805</v>
      </c>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5"/>
      <c r="AE65" s="285"/>
      <c r="AF65" s="285"/>
      <c r="AG65" s="285"/>
      <c r="AH65" s="285"/>
      <c r="AI65" s="285"/>
      <c r="AJ65" s="285"/>
      <c r="AK65" s="286"/>
      <c r="AL65" s="243"/>
      <c r="AM65" s="243"/>
      <c r="AN65" s="243"/>
      <c r="AO65" s="243"/>
      <c r="AP65" s="243"/>
      <c r="AQ65" s="243"/>
      <c r="AR65" s="243"/>
      <c r="AS65" s="243"/>
      <c r="AT65" s="243"/>
      <c r="AU65" s="243"/>
      <c r="AV65" s="243"/>
      <c r="AW65" s="243"/>
      <c r="AX65" s="243"/>
      <c r="AY65" s="243"/>
      <c r="AZ65" s="243"/>
      <c r="BA65" s="243"/>
      <c r="BB65" s="243"/>
      <c r="BC65" s="243"/>
      <c r="BD65" s="243"/>
      <c r="BE65" s="246" t="s">
        <v>684</v>
      </c>
      <c r="BF65" s="246">
        <v>0</v>
      </c>
      <c r="BG65" s="246">
        <v>0</v>
      </c>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c r="CM65" s="243"/>
      <c r="CN65" s="243"/>
      <c r="CO65" s="243"/>
      <c r="CP65" s="243"/>
    </row>
    <row r="66" spans="1:94" ht="14.25">
      <c r="A66" s="282" t="s">
        <v>38</v>
      </c>
      <c r="B66" s="284" t="s">
        <v>725</v>
      </c>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6"/>
      <c r="AL66" s="243"/>
      <c r="AM66" s="243"/>
      <c r="AN66" s="243"/>
      <c r="AO66" s="243"/>
      <c r="AP66" s="243"/>
      <c r="AQ66" s="243"/>
      <c r="AR66" s="243"/>
      <c r="AS66" s="243"/>
      <c r="AT66" s="243"/>
      <c r="AU66" s="243"/>
      <c r="AV66" s="243"/>
      <c r="AW66" s="243"/>
      <c r="AX66" s="243"/>
      <c r="AY66" s="243"/>
      <c r="AZ66" s="243"/>
      <c r="BA66" s="243"/>
      <c r="BB66" s="243"/>
      <c r="BC66" s="243"/>
      <c r="BD66" s="243"/>
      <c r="BE66" s="246"/>
      <c r="BF66" s="246"/>
      <c r="BG66" s="246"/>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row>
    <row r="67" spans="1:94" ht="14.25">
      <c r="A67" s="282" t="s">
        <v>41</v>
      </c>
      <c r="B67" s="284" t="s">
        <v>726</v>
      </c>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6"/>
      <c r="AL67" s="243"/>
      <c r="AM67" s="243"/>
      <c r="AN67" s="243"/>
      <c r="AO67" s="243"/>
      <c r="AP67" s="243"/>
      <c r="AQ67" s="243"/>
      <c r="AR67" s="243"/>
      <c r="AS67" s="243"/>
      <c r="AT67" s="243"/>
      <c r="AU67" s="243"/>
      <c r="AV67" s="243"/>
      <c r="AW67" s="243"/>
      <c r="AX67" s="243"/>
      <c r="AY67" s="243"/>
      <c r="AZ67" s="243"/>
      <c r="BA67" s="243"/>
      <c r="BB67" s="243"/>
      <c r="BC67" s="243"/>
      <c r="BD67" s="243"/>
      <c r="BE67" s="246" t="s">
        <v>688</v>
      </c>
      <c r="BF67" s="246">
        <v>0</v>
      </c>
      <c r="BG67" s="246">
        <v>0</v>
      </c>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c r="CM67" s="243"/>
      <c r="CN67" s="243"/>
      <c r="CO67" s="243"/>
      <c r="CP67" s="243"/>
    </row>
    <row r="68" spans="1:94">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9"/>
      <c r="AL68" s="289"/>
      <c r="AM68" s="289"/>
      <c r="AN68" s="289"/>
      <c r="AO68" s="289"/>
      <c r="AP68" s="289"/>
      <c r="AQ68" s="289"/>
      <c r="AR68" s="243"/>
      <c r="AS68" s="243"/>
      <c r="AT68" s="243"/>
      <c r="AU68" s="243"/>
      <c r="AV68" s="243"/>
      <c r="AW68" s="243"/>
      <c r="AX68" s="243"/>
      <c r="AY68" s="243"/>
      <c r="AZ68" s="243"/>
      <c r="BA68" s="243"/>
      <c r="BB68" s="243"/>
      <c r="BC68" s="243"/>
      <c r="BD68" s="243"/>
      <c r="BE68" s="246" t="s">
        <v>690</v>
      </c>
      <c r="BF68" s="246">
        <v>2.9999999999999997E-4</v>
      </c>
      <c r="BG68" s="246">
        <v>0</v>
      </c>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c r="CM68" s="243"/>
      <c r="CN68" s="243"/>
      <c r="CO68" s="243"/>
      <c r="CP68" s="243"/>
    </row>
    <row r="69" spans="1:94">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9"/>
      <c r="AL69" s="289"/>
      <c r="AM69" s="289"/>
      <c r="AN69" s="289"/>
      <c r="AO69" s="289"/>
      <c r="AP69" s="289"/>
      <c r="AQ69" s="289"/>
      <c r="AR69" s="243"/>
      <c r="AS69" s="243"/>
      <c r="AT69" s="243"/>
      <c r="AU69" s="243"/>
      <c r="AV69" s="243"/>
      <c r="AW69" s="243"/>
      <c r="AX69" s="243"/>
      <c r="AY69" s="243"/>
      <c r="AZ69" s="243"/>
      <c r="BA69" s="243"/>
      <c r="BB69" s="243"/>
      <c r="BC69" s="243"/>
      <c r="BD69" s="243"/>
      <c r="BE69" s="246" t="s">
        <v>691</v>
      </c>
      <c r="BF69" s="246">
        <v>0</v>
      </c>
      <c r="BG69" s="246">
        <v>0</v>
      </c>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row>
    <row r="70" spans="1:94">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9"/>
      <c r="AL70" s="289"/>
      <c r="AM70" s="289"/>
      <c r="AN70" s="289"/>
      <c r="AO70" s="289"/>
      <c r="AP70" s="289"/>
      <c r="AQ70" s="289"/>
      <c r="AR70" s="243"/>
      <c r="AS70" s="243"/>
      <c r="AT70" s="243"/>
      <c r="AU70" s="243"/>
      <c r="AV70" s="243"/>
      <c r="AW70" s="243"/>
      <c r="AX70" s="243"/>
      <c r="AY70" s="243"/>
      <c r="AZ70" s="243"/>
      <c r="BA70" s="243"/>
      <c r="BB70" s="243"/>
      <c r="BC70" s="243"/>
      <c r="BD70" s="243"/>
      <c r="BE70" s="246" t="s">
        <v>692</v>
      </c>
      <c r="BF70" s="246">
        <v>0</v>
      </c>
      <c r="BG70" s="246">
        <v>0</v>
      </c>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row>
    <row r="71" spans="1:94">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9"/>
      <c r="AL71" s="289"/>
      <c r="AM71" s="289"/>
      <c r="AN71" s="289"/>
      <c r="AO71" s="289"/>
      <c r="AP71" s="289"/>
      <c r="AQ71" s="289"/>
      <c r="AR71" s="243"/>
      <c r="AS71" s="243"/>
      <c r="AT71" s="243"/>
      <c r="AU71" s="243"/>
      <c r="AV71" s="243"/>
      <c r="AW71" s="243"/>
      <c r="AX71" s="243"/>
      <c r="AY71" s="243"/>
      <c r="AZ71" s="243"/>
      <c r="BA71" s="243"/>
      <c r="BB71" s="243"/>
      <c r="BC71" s="243"/>
      <c r="BD71" s="243"/>
      <c r="BE71" s="246" t="s">
        <v>693</v>
      </c>
      <c r="BF71" s="246">
        <v>0</v>
      </c>
      <c r="BG71" s="246">
        <v>0</v>
      </c>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row>
    <row r="72" spans="1:94">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9"/>
      <c r="AL72" s="289"/>
      <c r="AM72" s="289"/>
      <c r="AN72" s="289"/>
      <c r="AO72" s="289"/>
      <c r="AP72" s="289"/>
      <c r="AQ72" s="289"/>
      <c r="AR72" s="243"/>
      <c r="AS72" s="243"/>
      <c r="AT72" s="243"/>
      <c r="AU72" s="243"/>
      <c r="AV72" s="243"/>
      <c r="AW72" s="243"/>
      <c r="AX72" s="243"/>
      <c r="AY72" s="243"/>
      <c r="AZ72" s="243"/>
      <c r="BA72" s="243"/>
      <c r="BB72" s="243"/>
      <c r="BC72" s="243"/>
      <c r="BD72" s="243"/>
      <c r="BE72" s="246" t="s">
        <v>694</v>
      </c>
      <c r="BF72" s="246">
        <v>0</v>
      </c>
      <c r="BG72" s="246">
        <v>0</v>
      </c>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row>
    <row r="73" spans="1:94">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9"/>
      <c r="AL73" s="289"/>
      <c r="AM73" s="289"/>
      <c r="AN73" s="289"/>
      <c r="AO73" s="289"/>
      <c r="AP73" s="289"/>
      <c r="AQ73" s="289"/>
      <c r="AR73" s="243"/>
      <c r="AS73" s="243"/>
      <c r="AT73" s="243"/>
      <c r="AU73" s="243"/>
      <c r="AV73" s="243"/>
      <c r="AW73" s="243"/>
      <c r="AX73" s="243"/>
      <c r="AY73" s="243"/>
      <c r="AZ73" s="243"/>
      <c r="BA73" s="243"/>
      <c r="BB73" s="243"/>
      <c r="BC73" s="243"/>
      <c r="BD73" s="243"/>
      <c r="BE73" s="246" t="s">
        <v>695</v>
      </c>
      <c r="BF73" s="246">
        <v>0</v>
      </c>
      <c r="BG73" s="246">
        <v>0</v>
      </c>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243"/>
      <c r="CO73" s="243"/>
      <c r="CP73" s="243"/>
    </row>
    <row r="74" spans="1:94">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9"/>
      <c r="AL74" s="289"/>
      <c r="AM74" s="289"/>
      <c r="AN74" s="289"/>
      <c r="AO74" s="289"/>
      <c r="AP74" s="289"/>
      <c r="AQ74" s="289"/>
      <c r="AR74" s="243"/>
      <c r="AS74" s="243"/>
      <c r="AT74" s="243"/>
      <c r="AU74" s="243"/>
      <c r="AV74" s="243"/>
      <c r="AW74" s="243"/>
      <c r="AX74" s="243"/>
      <c r="AY74" s="243"/>
      <c r="AZ74" s="243"/>
      <c r="BA74" s="243"/>
      <c r="BB74" s="243"/>
      <c r="BC74" s="243"/>
      <c r="BD74" s="243"/>
      <c r="BE74" s="246" t="s">
        <v>696</v>
      </c>
      <c r="BF74" s="246">
        <v>0</v>
      </c>
      <c r="BG74" s="246">
        <v>0</v>
      </c>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row>
    <row r="75" spans="1:94" s="290" customFormat="1">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9"/>
      <c r="AL75" s="289"/>
      <c r="AM75" s="289"/>
      <c r="AN75" s="289"/>
      <c r="AO75" s="289"/>
      <c r="AP75" s="289"/>
      <c r="AQ75" s="289"/>
      <c r="AR75" s="243"/>
      <c r="AS75" s="243"/>
      <c r="AT75" s="243"/>
      <c r="AU75" s="243"/>
      <c r="AV75" s="243"/>
      <c r="AW75" s="243"/>
      <c r="AX75" s="243"/>
      <c r="AY75" s="243"/>
      <c r="AZ75" s="243"/>
      <c r="BA75" s="243"/>
      <c r="BB75" s="243"/>
      <c r="BC75" s="243"/>
      <c r="BD75" s="243"/>
      <c r="BE75" s="246" t="s">
        <v>697</v>
      </c>
      <c r="BF75" s="246">
        <v>0</v>
      </c>
      <c r="BG75" s="246">
        <v>0</v>
      </c>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row>
    <row r="76" spans="1:94" s="290" customFormat="1">
      <c r="A76" s="288"/>
      <c r="B76" s="288"/>
      <c r="C76" s="288"/>
      <c r="D76" s="288"/>
      <c r="E76" s="288"/>
      <c r="F76" s="288"/>
      <c r="G76" s="288"/>
      <c r="H76" s="288"/>
      <c r="I76" s="288"/>
      <c r="J76" s="288"/>
      <c r="K76" s="288"/>
      <c r="L76" s="288"/>
      <c r="M76" s="288"/>
      <c r="N76" s="288"/>
      <c r="O76" s="263"/>
      <c r="P76" s="288"/>
      <c r="Q76" s="288"/>
      <c r="R76" s="288"/>
      <c r="S76" s="288"/>
      <c r="T76" s="288"/>
      <c r="U76" s="288"/>
      <c r="V76" s="288"/>
      <c r="W76" s="288"/>
      <c r="X76" s="288"/>
      <c r="Y76" s="288"/>
      <c r="Z76" s="288"/>
      <c r="AA76" s="288"/>
      <c r="AB76" s="288"/>
      <c r="AC76" s="288"/>
      <c r="AD76" s="288"/>
      <c r="AE76" s="288"/>
      <c r="AF76" s="288"/>
      <c r="AG76" s="288"/>
      <c r="AH76" s="288"/>
      <c r="AI76" s="288"/>
      <c r="AJ76" s="288"/>
      <c r="AK76" s="289"/>
      <c r="AL76" s="289"/>
      <c r="AM76" s="289"/>
      <c r="AN76" s="289"/>
      <c r="AO76" s="289"/>
      <c r="AP76" s="289"/>
      <c r="AQ76" s="289"/>
      <c r="AR76" s="243"/>
      <c r="AS76" s="243"/>
      <c r="AT76" s="243"/>
      <c r="AU76" s="243"/>
      <c r="AV76" s="243"/>
      <c r="AW76" s="243"/>
      <c r="AX76" s="243"/>
      <c r="AY76" s="243"/>
      <c r="AZ76" s="243"/>
      <c r="BA76" s="243"/>
      <c r="BB76" s="243"/>
      <c r="BC76" s="243"/>
      <c r="BD76" s="243"/>
      <c r="BE76" s="246" t="s">
        <v>431</v>
      </c>
      <c r="BF76" s="246">
        <v>1E-4</v>
      </c>
      <c r="BG76" s="246">
        <v>0.17530000000000001</v>
      </c>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c r="CM76" s="243"/>
      <c r="CN76" s="243"/>
      <c r="CO76" s="243"/>
      <c r="CP76" s="243"/>
    </row>
    <row r="77" spans="1:94" s="290" customForma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9"/>
      <c r="AL77" s="289"/>
      <c r="AM77" s="289"/>
      <c r="AN77" s="289"/>
      <c r="AO77" s="289"/>
      <c r="AP77" s="289"/>
      <c r="AQ77" s="289"/>
      <c r="AR77" s="243"/>
      <c r="AS77" s="243"/>
      <c r="AT77" s="243"/>
      <c r="AU77" s="243"/>
      <c r="AV77" s="243"/>
      <c r="AW77" s="243"/>
      <c r="AX77" s="243"/>
      <c r="AY77" s="243"/>
      <c r="AZ77" s="243"/>
      <c r="BA77" s="243"/>
      <c r="BB77" s="243"/>
      <c r="BC77" s="243"/>
      <c r="BD77" s="243"/>
      <c r="BE77" s="243"/>
      <c r="BF77" s="246"/>
      <c r="BG77" s="246"/>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c r="CM77" s="243"/>
      <c r="CN77" s="243"/>
      <c r="CO77" s="243"/>
      <c r="CP77" s="243"/>
    </row>
    <row r="78" spans="1:94" s="290" customForma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9"/>
      <c r="AL78" s="289"/>
      <c r="AM78" s="289"/>
      <c r="AN78" s="289"/>
      <c r="AO78" s="289"/>
      <c r="AP78" s="289"/>
      <c r="AQ78" s="289"/>
      <c r="AR78" s="243"/>
      <c r="AS78" s="243"/>
      <c r="AT78" s="243"/>
      <c r="AU78" s="243"/>
      <c r="AV78" s="243"/>
      <c r="AW78" s="243"/>
      <c r="AX78" s="243"/>
      <c r="AY78" s="243"/>
      <c r="AZ78" s="243"/>
      <c r="BA78" s="243"/>
      <c r="BB78" s="243"/>
      <c r="BC78" s="243"/>
      <c r="BD78" s="243"/>
      <c r="BE78" s="243"/>
      <c r="BF78" s="246"/>
      <c r="BG78" s="246"/>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c r="CM78" s="243"/>
      <c r="CN78" s="243"/>
      <c r="CO78" s="243"/>
      <c r="CP78" s="243"/>
    </row>
    <row r="79" spans="1:94" s="290" customForma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9"/>
      <c r="AL79" s="289"/>
      <c r="AM79" s="289"/>
      <c r="AN79" s="289"/>
      <c r="AO79" s="289"/>
      <c r="AP79" s="289"/>
      <c r="AQ79" s="289"/>
      <c r="AR79" s="243"/>
      <c r="AS79" s="243"/>
      <c r="AT79" s="243"/>
      <c r="AU79" s="243"/>
      <c r="AV79" s="243"/>
      <c r="AW79" s="243"/>
      <c r="AX79" s="243"/>
      <c r="AY79" s="243"/>
      <c r="AZ79" s="243"/>
      <c r="BA79" s="243"/>
      <c r="BB79" s="243"/>
      <c r="BC79" s="243"/>
      <c r="BD79" s="243"/>
      <c r="BE79" s="243"/>
      <c r="BF79" s="246"/>
      <c r="BG79" s="246"/>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c r="CM79" s="243"/>
      <c r="CN79" s="243"/>
      <c r="CO79" s="243"/>
      <c r="CP79" s="243"/>
    </row>
    <row r="80" spans="1:94" s="290" customForma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9"/>
      <c r="AL80" s="289"/>
      <c r="AM80" s="289"/>
      <c r="AN80" s="289"/>
      <c r="AO80" s="289"/>
      <c r="AP80" s="289"/>
      <c r="AQ80" s="289"/>
      <c r="AR80" s="243"/>
      <c r="AS80" s="243"/>
      <c r="AT80" s="243"/>
      <c r="AU80" s="243"/>
      <c r="AV80" s="243"/>
      <c r="AW80" s="243"/>
      <c r="AX80" s="243"/>
      <c r="AY80" s="243"/>
      <c r="AZ80" s="243"/>
      <c r="BA80" s="243"/>
      <c r="BB80" s="243"/>
      <c r="BC80" s="243"/>
      <c r="BD80" s="243"/>
      <c r="BE80" s="243"/>
      <c r="BF80" s="246"/>
      <c r="BG80" s="246"/>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c r="CM80" s="243"/>
      <c r="CN80" s="243"/>
      <c r="CO80" s="243"/>
      <c r="CP80" s="243"/>
    </row>
    <row r="81" spans="1:94" s="290" customForma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9"/>
      <c r="AL81" s="289"/>
      <c r="AM81" s="289"/>
      <c r="AN81" s="289"/>
      <c r="AO81" s="289"/>
      <c r="AP81" s="289"/>
      <c r="AQ81" s="289"/>
      <c r="AR81" s="243"/>
      <c r="AS81" s="243"/>
      <c r="AT81" s="243"/>
      <c r="AU81" s="243"/>
      <c r="AV81" s="243"/>
      <c r="AW81" s="243"/>
      <c r="AX81" s="243"/>
      <c r="AY81" s="243"/>
      <c r="AZ81" s="243"/>
      <c r="BA81" s="243"/>
      <c r="BB81" s="243"/>
      <c r="BC81" s="243"/>
      <c r="BD81" s="243"/>
      <c r="BE81" s="243"/>
      <c r="BF81" s="246"/>
      <c r="BG81" s="246"/>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c r="CM81" s="243"/>
      <c r="CN81" s="243"/>
      <c r="CO81" s="243"/>
      <c r="CP81" s="243"/>
    </row>
    <row r="82" spans="1:94" s="290" customForma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9"/>
      <c r="AL82" s="289"/>
      <c r="AM82" s="289"/>
      <c r="AN82" s="289"/>
      <c r="AO82" s="289"/>
      <c r="AP82" s="289"/>
      <c r="AQ82" s="289"/>
      <c r="AR82" s="243"/>
      <c r="AS82" s="243"/>
      <c r="AT82" s="243"/>
      <c r="AU82" s="243"/>
      <c r="AV82" s="243"/>
      <c r="AW82" s="243"/>
      <c r="AX82" s="243"/>
      <c r="AY82" s="243"/>
      <c r="AZ82" s="243"/>
      <c r="BA82" s="243"/>
      <c r="BB82" s="243"/>
      <c r="BC82" s="243"/>
      <c r="BD82" s="243"/>
      <c r="BE82" s="243"/>
      <c r="BF82" s="246"/>
      <c r="BG82" s="246"/>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c r="CM82" s="243"/>
      <c r="CN82" s="243"/>
      <c r="CO82" s="243"/>
      <c r="CP82" s="243"/>
    </row>
    <row r="83" spans="1:94" s="290" customForma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9"/>
      <c r="AL83" s="289"/>
      <c r="AM83" s="289"/>
      <c r="AN83" s="289"/>
      <c r="AO83" s="289"/>
      <c r="AP83" s="289"/>
      <c r="AQ83" s="289"/>
      <c r="AR83" s="243"/>
      <c r="AS83" s="243"/>
      <c r="AT83" s="243"/>
      <c r="AU83" s="243"/>
      <c r="AV83" s="243"/>
      <c r="AW83" s="243"/>
      <c r="AX83" s="243"/>
      <c r="AY83" s="243"/>
      <c r="AZ83" s="243"/>
      <c r="BA83" s="243"/>
      <c r="BB83" s="243"/>
      <c r="BC83" s="243"/>
      <c r="BD83" s="243"/>
      <c r="BE83" s="243"/>
      <c r="BF83" s="246"/>
      <c r="BG83" s="246"/>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c r="CM83" s="243"/>
      <c r="CN83" s="243"/>
      <c r="CO83" s="243"/>
      <c r="CP83" s="243"/>
    </row>
    <row r="84" spans="1:94" s="290" customForma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9"/>
      <c r="AL84" s="289"/>
      <c r="AM84" s="289"/>
      <c r="AN84" s="289"/>
      <c r="AO84" s="289"/>
      <c r="AP84" s="289"/>
      <c r="AQ84" s="289"/>
      <c r="AR84" s="243"/>
      <c r="AS84" s="243"/>
      <c r="AT84" s="243"/>
      <c r="AU84" s="243"/>
      <c r="AV84" s="243"/>
      <c r="AW84" s="243"/>
      <c r="AX84" s="243"/>
      <c r="AY84" s="243"/>
      <c r="AZ84" s="243"/>
      <c r="BA84" s="243"/>
      <c r="BB84" s="243"/>
      <c r="BC84" s="243"/>
      <c r="BD84" s="243"/>
      <c r="BE84" s="243"/>
      <c r="BF84" s="246"/>
      <c r="BG84" s="246"/>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c r="CM84" s="243"/>
      <c r="CN84" s="243"/>
      <c r="CO84" s="243"/>
      <c r="CP84" s="243"/>
    </row>
    <row r="85" spans="1:94" s="290" customForma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9"/>
      <c r="AL85" s="289"/>
      <c r="AM85" s="289"/>
      <c r="AN85" s="289"/>
      <c r="AO85" s="289"/>
      <c r="AP85" s="289"/>
      <c r="AQ85" s="289"/>
      <c r="AR85" s="243"/>
      <c r="AS85" s="243"/>
      <c r="AT85" s="243"/>
      <c r="AU85" s="243"/>
      <c r="AV85" s="243"/>
      <c r="AW85" s="243"/>
      <c r="AX85" s="243"/>
      <c r="AY85" s="243"/>
      <c r="AZ85" s="243"/>
      <c r="BA85" s="243"/>
      <c r="BB85" s="243"/>
      <c r="BC85" s="243"/>
      <c r="BD85" s="243"/>
      <c r="BE85" s="243"/>
      <c r="BF85" s="246"/>
      <c r="BG85" s="246"/>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c r="CM85" s="243"/>
      <c r="CN85" s="243"/>
      <c r="CO85" s="243"/>
      <c r="CP85" s="243"/>
    </row>
    <row r="86" spans="1:94" s="290" customForma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9"/>
      <c r="AL86" s="289"/>
      <c r="AM86" s="289"/>
      <c r="AN86" s="289"/>
      <c r="AO86" s="289"/>
      <c r="AP86" s="289"/>
      <c r="AQ86" s="289"/>
      <c r="AR86" s="243"/>
      <c r="AS86" s="243"/>
      <c r="AT86" s="243"/>
      <c r="AU86" s="243"/>
      <c r="AV86" s="243"/>
      <c r="AW86" s="243"/>
      <c r="AX86" s="243"/>
      <c r="AY86" s="243"/>
      <c r="AZ86" s="243"/>
      <c r="BA86" s="243"/>
      <c r="BB86" s="243"/>
      <c r="BC86" s="243"/>
      <c r="BD86" s="243"/>
      <c r="BE86" s="243"/>
      <c r="BF86" s="246"/>
      <c r="BG86" s="246"/>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row>
    <row r="87" spans="1:94" s="290" customForma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9"/>
      <c r="AL87" s="289"/>
      <c r="AM87" s="289"/>
      <c r="AN87" s="289"/>
      <c r="AO87" s="289"/>
      <c r="AP87" s="289"/>
      <c r="AQ87" s="289"/>
      <c r="AR87" s="243"/>
      <c r="AS87" s="243"/>
      <c r="AT87" s="243"/>
      <c r="AU87" s="243"/>
      <c r="AV87" s="243"/>
      <c r="AW87" s="243"/>
      <c r="AX87" s="243"/>
      <c r="AY87" s="243"/>
      <c r="AZ87" s="243"/>
      <c r="BA87" s="243"/>
      <c r="BB87" s="243"/>
      <c r="BC87" s="243"/>
      <c r="BD87" s="243"/>
      <c r="BE87" s="243"/>
      <c r="BF87" s="246"/>
      <c r="BG87" s="246"/>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c r="CM87" s="243"/>
      <c r="CN87" s="243"/>
      <c r="CO87" s="243"/>
      <c r="CP87" s="243"/>
    </row>
    <row r="88" spans="1:94" s="290" customForma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9"/>
      <c r="AL88" s="289"/>
      <c r="AM88" s="289"/>
      <c r="AN88" s="289"/>
      <c r="AO88" s="289"/>
      <c r="AP88" s="289"/>
      <c r="AQ88" s="289"/>
      <c r="AR88" s="243"/>
      <c r="AS88" s="243"/>
      <c r="AT88" s="243"/>
      <c r="AU88" s="243"/>
      <c r="AV88" s="243"/>
      <c r="AW88" s="243"/>
      <c r="AX88" s="243"/>
      <c r="AY88" s="243"/>
      <c r="AZ88" s="243"/>
      <c r="BA88" s="243"/>
      <c r="BB88" s="243"/>
      <c r="BC88" s="243"/>
      <c r="BD88" s="243"/>
      <c r="BE88" s="243"/>
      <c r="BF88" s="246"/>
      <c r="BG88" s="246"/>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c r="CM88" s="243"/>
      <c r="CN88" s="243"/>
      <c r="CO88" s="243"/>
      <c r="CP88" s="243"/>
    </row>
    <row r="89" spans="1:94" s="290" customForma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9"/>
      <c r="AL89" s="289"/>
      <c r="AM89" s="289"/>
      <c r="AN89" s="289"/>
      <c r="AO89" s="289"/>
      <c r="AP89" s="289"/>
      <c r="AQ89" s="289"/>
      <c r="AR89" s="243"/>
      <c r="AS89" s="243"/>
      <c r="AT89" s="243"/>
      <c r="AU89" s="243"/>
      <c r="AV89" s="243"/>
      <c r="AW89" s="243"/>
      <c r="AX89" s="243"/>
      <c r="AY89" s="243"/>
      <c r="AZ89" s="243"/>
      <c r="BA89" s="243"/>
      <c r="BB89" s="243"/>
      <c r="BC89" s="243"/>
      <c r="BD89" s="243"/>
      <c r="BE89" s="243"/>
      <c r="BF89" s="246"/>
      <c r="BG89" s="246"/>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row>
    <row r="90" spans="1:94" s="290" customForma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9"/>
      <c r="AL90" s="289"/>
      <c r="AM90" s="289"/>
      <c r="AN90" s="289"/>
      <c r="AO90" s="289"/>
      <c r="AP90" s="289"/>
      <c r="AQ90" s="289"/>
      <c r="AR90" s="243"/>
      <c r="AS90" s="243"/>
      <c r="AT90" s="243"/>
      <c r="AU90" s="243"/>
      <c r="AV90" s="243"/>
      <c r="AW90" s="243"/>
      <c r="AX90" s="243"/>
      <c r="AY90" s="243"/>
      <c r="AZ90" s="243"/>
      <c r="BA90" s="243"/>
      <c r="BB90" s="243"/>
      <c r="BC90" s="243"/>
      <c r="BD90" s="243"/>
      <c r="BE90" s="243"/>
      <c r="BF90" s="246"/>
      <c r="BG90" s="246"/>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row>
    <row r="91" spans="1:94">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9"/>
      <c r="AL91" s="289"/>
      <c r="AM91" s="289"/>
      <c r="AN91" s="289"/>
      <c r="AO91" s="289"/>
      <c r="AP91" s="289"/>
      <c r="AQ91" s="289"/>
      <c r="AR91" s="243"/>
      <c r="AS91" s="243"/>
      <c r="AT91" s="243"/>
      <c r="AU91" s="243"/>
      <c r="AV91" s="243"/>
      <c r="AW91" s="243"/>
      <c r="AX91" s="243"/>
      <c r="AY91" s="243"/>
      <c r="AZ91" s="243"/>
      <c r="BA91" s="243"/>
      <c r="BB91" s="243"/>
      <c r="BC91" s="243"/>
      <c r="BD91" s="243"/>
      <c r="BE91" s="243"/>
      <c r="BF91" s="246"/>
      <c r="BG91" s="246"/>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row>
    <row r="92" spans="1:94">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9"/>
      <c r="AL92" s="289"/>
      <c r="AM92" s="289"/>
      <c r="AN92" s="289"/>
      <c r="AO92" s="289"/>
      <c r="AP92" s="289"/>
      <c r="AQ92" s="289"/>
      <c r="AR92" s="243"/>
      <c r="AS92" s="243"/>
      <c r="AT92" s="243"/>
      <c r="AU92" s="243"/>
      <c r="AV92" s="243"/>
      <c r="AW92" s="243"/>
      <c r="AX92" s="243"/>
      <c r="AY92" s="243"/>
      <c r="AZ92" s="243"/>
      <c r="BA92" s="243"/>
      <c r="BB92" s="243"/>
      <c r="BC92" s="243"/>
      <c r="BD92" s="243"/>
      <c r="BE92" s="243"/>
      <c r="BF92" s="246"/>
      <c r="BG92" s="246"/>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row>
    <row r="93" spans="1:94">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9"/>
      <c r="AL93" s="289"/>
      <c r="AM93" s="289"/>
      <c r="AN93" s="289"/>
      <c r="AO93" s="289"/>
      <c r="AP93" s="289"/>
      <c r="AQ93" s="289"/>
      <c r="AR93" s="243"/>
      <c r="AS93" s="243"/>
      <c r="AT93" s="243"/>
      <c r="AU93" s="243"/>
      <c r="AV93" s="243"/>
      <c r="AW93" s="243"/>
      <c r="AX93" s="243"/>
      <c r="AY93" s="243"/>
      <c r="AZ93" s="243"/>
      <c r="BA93" s="243"/>
      <c r="BB93" s="243"/>
      <c r="BC93" s="243"/>
      <c r="BD93" s="243"/>
      <c r="BE93" s="243"/>
      <c r="BF93" s="246"/>
      <c r="BG93" s="246"/>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row>
    <row r="94" spans="1:94">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9"/>
      <c r="AL94" s="289"/>
      <c r="AM94" s="289"/>
      <c r="AN94" s="289"/>
      <c r="AO94" s="289"/>
      <c r="AP94" s="289"/>
      <c r="AQ94" s="289"/>
      <c r="AR94" s="243"/>
      <c r="AS94" s="243"/>
      <c r="AT94" s="243"/>
      <c r="AU94" s="243"/>
      <c r="AV94" s="243"/>
      <c r="AW94" s="243"/>
      <c r="AX94" s="243"/>
      <c r="AY94" s="243"/>
      <c r="AZ94" s="243"/>
      <c r="BA94" s="243"/>
      <c r="BB94" s="243"/>
      <c r="BC94" s="243"/>
      <c r="BD94" s="243"/>
      <c r="BE94" s="243"/>
      <c r="BF94" s="246"/>
      <c r="BG94" s="246"/>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row>
    <row r="95" spans="1:94">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9"/>
      <c r="AL95" s="289"/>
      <c r="AM95" s="289"/>
      <c r="AN95" s="289"/>
      <c r="AO95" s="289"/>
      <c r="AP95" s="289"/>
      <c r="AQ95" s="289"/>
      <c r="AR95" s="243"/>
      <c r="AS95" s="243"/>
      <c r="AT95" s="243"/>
      <c r="AU95" s="243"/>
      <c r="AV95" s="243"/>
      <c r="AW95" s="243"/>
      <c r="AX95" s="243"/>
      <c r="AY95" s="243"/>
      <c r="AZ95" s="243"/>
      <c r="BA95" s="243"/>
      <c r="BB95" s="243"/>
      <c r="BC95" s="243"/>
      <c r="BD95" s="243"/>
      <c r="BE95" s="243"/>
      <c r="BF95" s="246"/>
      <c r="BG95" s="246"/>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row>
    <row r="96" spans="1:94">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9"/>
      <c r="AL96" s="289"/>
      <c r="AM96" s="289"/>
      <c r="AN96" s="289"/>
      <c r="AO96" s="289"/>
      <c r="AP96" s="289"/>
      <c r="AQ96" s="289"/>
      <c r="AR96" s="243"/>
      <c r="AS96" s="243"/>
      <c r="AT96" s="243"/>
      <c r="AU96" s="243"/>
      <c r="AV96" s="243"/>
      <c r="AW96" s="243"/>
      <c r="AX96" s="243"/>
      <c r="AY96" s="243"/>
      <c r="AZ96" s="243"/>
      <c r="BA96" s="243"/>
      <c r="BB96" s="243"/>
      <c r="BC96" s="243"/>
      <c r="BD96" s="243"/>
      <c r="BE96" s="243"/>
      <c r="BF96" s="246"/>
      <c r="BG96" s="246"/>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row>
    <row r="97" spans="1:94">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9"/>
      <c r="AL97" s="289"/>
      <c r="AM97" s="289"/>
      <c r="AN97" s="289"/>
      <c r="AO97" s="289"/>
      <c r="AP97" s="289"/>
      <c r="AQ97" s="289"/>
      <c r="AR97" s="243"/>
      <c r="AS97" s="243"/>
      <c r="AT97" s="243"/>
      <c r="AU97" s="243"/>
      <c r="AV97" s="243"/>
      <c r="AW97" s="243"/>
      <c r="AX97" s="243"/>
      <c r="AY97" s="243"/>
      <c r="AZ97" s="243"/>
      <c r="BA97" s="243"/>
      <c r="BB97" s="243"/>
      <c r="BC97" s="243"/>
      <c r="BD97" s="243"/>
      <c r="BE97" s="243"/>
      <c r="BF97" s="246"/>
      <c r="BG97" s="246"/>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c r="CM97" s="243"/>
      <c r="CN97" s="243"/>
      <c r="CO97" s="243"/>
      <c r="CP97" s="243"/>
    </row>
    <row r="98" spans="1:94">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9"/>
      <c r="AL98" s="289"/>
      <c r="AM98" s="289"/>
      <c r="AN98" s="289"/>
      <c r="AO98" s="289"/>
      <c r="AP98" s="289"/>
      <c r="AQ98" s="289"/>
      <c r="AR98" s="243"/>
      <c r="AS98" s="243"/>
      <c r="AT98" s="243"/>
      <c r="AU98" s="243"/>
      <c r="AV98" s="243"/>
      <c r="AW98" s="243"/>
      <c r="AX98" s="243"/>
      <c r="AY98" s="243"/>
      <c r="AZ98" s="243"/>
      <c r="BA98" s="243"/>
      <c r="BB98" s="243"/>
      <c r="BC98" s="243"/>
      <c r="BD98" s="243"/>
      <c r="BE98" s="243"/>
      <c r="BF98" s="246"/>
      <c r="BG98" s="246"/>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c r="CM98" s="243"/>
      <c r="CN98" s="243"/>
      <c r="CO98" s="243"/>
      <c r="CP98" s="243"/>
    </row>
    <row r="99" spans="1:94">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9"/>
      <c r="AL99" s="289"/>
      <c r="AM99" s="289"/>
      <c r="AN99" s="289"/>
      <c r="AO99" s="289"/>
      <c r="AP99" s="289"/>
      <c r="AQ99" s="289"/>
      <c r="AR99" s="243"/>
      <c r="AS99" s="243"/>
      <c r="AT99" s="243"/>
      <c r="AU99" s="243"/>
      <c r="AV99" s="243"/>
      <c r="AW99" s="243"/>
      <c r="AX99" s="243"/>
      <c r="AY99" s="243"/>
      <c r="AZ99" s="243"/>
      <c r="BA99" s="243"/>
      <c r="BB99" s="243"/>
      <c r="BC99" s="243"/>
      <c r="BD99" s="243"/>
      <c r="BE99" s="243"/>
      <c r="BF99" s="246"/>
      <c r="BG99" s="246"/>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c r="CM99" s="243"/>
      <c r="CN99" s="243"/>
      <c r="CO99" s="243"/>
      <c r="CP99" s="243"/>
    </row>
    <row r="100" spans="1:94">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9"/>
      <c r="AL100" s="289"/>
      <c r="AM100" s="289"/>
      <c r="AN100" s="289"/>
      <c r="AO100" s="289"/>
      <c r="AP100" s="289"/>
      <c r="AQ100" s="289"/>
      <c r="AR100" s="243"/>
      <c r="AS100" s="243"/>
      <c r="AT100" s="243"/>
      <c r="AU100" s="243"/>
      <c r="AV100" s="243"/>
      <c r="AW100" s="243"/>
      <c r="AX100" s="243"/>
      <c r="AY100" s="243"/>
      <c r="AZ100" s="243"/>
      <c r="BA100" s="243"/>
      <c r="BB100" s="243"/>
      <c r="BC100" s="243"/>
      <c r="BD100" s="243"/>
      <c r="BE100" s="243"/>
      <c r="BF100" s="246"/>
      <c r="BG100" s="246"/>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c r="CM100" s="243"/>
      <c r="CN100" s="243"/>
      <c r="CO100" s="243"/>
      <c r="CP100" s="243"/>
    </row>
    <row r="101" spans="1:94">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9"/>
      <c r="AL101" s="289"/>
      <c r="AM101" s="289"/>
      <c r="AN101" s="289"/>
      <c r="AO101" s="289"/>
      <c r="AP101" s="289"/>
      <c r="AQ101" s="289"/>
      <c r="AR101" s="243"/>
      <c r="AS101" s="243"/>
      <c r="AT101" s="243"/>
      <c r="AU101" s="243"/>
      <c r="AV101" s="243"/>
      <c r="AW101" s="243"/>
      <c r="AX101" s="243"/>
      <c r="AY101" s="243"/>
      <c r="AZ101" s="243"/>
      <c r="BA101" s="243"/>
      <c r="BB101" s="243"/>
      <c r="BC101" s="243"/>
      <c r="BD101" s="243"/>
      <c r="BE101" s="243"/>
      <c r="BF101" s="246"/>
      <c r="BG101" s="246"/>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c r="CM101" s="243"/>
      <c r="CN101" s="243"/>
      <c r="CO101" s="243"/>
      <c r="CP101" s="243"/>
    </row>
    <row r="102" spans="1:94">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9"/>
      <c r="AL102" s="289"/>
      <c r="AM102" s="289"/>
      <c r="AN102" s="289"/>
      <c r="AO102" s="289"/>
      <c r="AP102" s="289"/>
      <c r="AQ102" s="289"/>
      <c r="AR102" s="243"/>
      <c r="AS102" s="243"/>
      <c r="AT102" s="243"/>
      <c r="AU102" s="243"/>
      <c r="AV102" s="243"/>
      <c r="AW102" s="243"/>
      <c r="AX102" s="243"/>
      <c r="AY102" s="243"/>
      <c r="AZ102" s="243"/>
      <c r="BA102" s="243"/>
      <c r="BB102" s="243"/>
      <c r="BC102" s="243"/>
      <c r="BD102" s="243"/>
      <c r="BE102" s="243"/>
      <c r="BF102" s="246"/>
      <c r="BG102" s="246"/>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row>
    <row r="103" spans="1:94">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9"/>
      <c r="AL103" s="289"/>
      <c r="AM103" s="289"/>
      <c r="AN103" s="289"/>
      <c r="AO103" s="289"/>
      <c r="AP103" s="289"/>
      <c r="AQ103" s="289"/>
      <c r="AR103" s="243"/>
      <c r="AS103" s="243"/>
      <c r="AT103" s="243"/>
      <c r="AU103" s="243"/>
      <c r="AV103" s="243"/>
      <c r="AW103" s="243"/>
      <c r="AX103" s="243"/>
      <c r="AY103" s="243"/>
      <c r="AZ103" s="243"/>
      <c r="BA103" s="243"/>
      <c r="BB103" s="243"/>
      <c r="BC103" s="243"/>
      <c r="BD103" s="243"/>
      <c r="BE103" s="243"/>
      <c r="BF103" s="246"/>
      <c r="BG103" s="246"/>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row>
    <row r="104" spans="1:94">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9"/>
      <c r="AL104" s="289"/>
      <c r="AM104" s="289"/>
      <c r="AN104" s="289"/>
      <c r="AO104" s="289"/>
      <c r="AP104" s="289"/>
      <c r="AQ104" s="289"/>
      <c r="AR104" s="243"/>
      <c r="AS104" s="243"/>
      <c r="AT104" s="243"/>
      <c r="AU104" s="243"/>
      <c r="AV104" s="243"/>
      <c r="AW104" s="243"/>
      <c r="AX104" s="243"/>
      <c r="AY104" s="243"/>
      <c r="AZ104" s="243"/>
      <c r="BA104" s="243"/>
      <c r="BB104" s="243"/>
      <c r="BC104" s="243"/>
      <c r="BD104" s="243"/>
      <c r="BE104" s="243"/>
      <c r="BF104" s="246"/>
      <c r="BG104" s="246"/>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row>
    <row r="105" spans="1:94">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9"/>
      <c r="AL105" s="289"/>
      <c r="AM105" s="289"/>
      <c r="AN105" s="289"/>
      <c r="AO105" s="289"/>
      <c r="AP105" s="289"/>
      <c r="AQ105" s="289"/>
      <c r="AR105" s="243"/>
      <c r="AS105" s="243"/>
      <c r="AT105" s="243"/>
      <c r="AU105" s="243"/>
      <c r="AV105" s="243"/>
      <c r="AW105" s="243"/>
      <c r="AX105" s="243"/>
      <c r="AY105" s="243"/>
      <c r="AZ105" s="243"/>
      <c r="BA105" s="243"/>
      <c r="BB105" s="243"/>
      <c r="BC105" s="243"/>
      <c r="BD105" s="243"/>
      <c r="BE105" s="243"/>
      <c r="BF105" s="246"/>
      <c r="BG105" s="246"/>
      <c r="BH105" s="243"/>
      <c r="BI105" s="243"/>
      <c r="BJ105" s="243"/>
      <c r="BK105" s="243"/>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row>
    <row r="106" spans="1:94">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9"/>
      <c r="AL106" s="289"/>
      <c r="AM106" s="289"/>
      <c r="AN106" s="289"/>
      <c r="AO106" s="289"/>
      <c r="AP106" s="289"/>
      <c r="AQ106" s="289"/>
      <c r="AR106" s="243"/>
      <c r="AS106" s="243"/>
      <c r="AT106" s="243"/>
      <c r="AU106" s="243"/>
      <c r="AV106" s="243"/>
      <c r="AW106" s="243"/>
      <c r="AX106" s="243"/>
      <c r="AY106" s="243"/>
      <c r="AZ106" s="243"/>
      <c r="BA106" s="243"/>
      <c r="BB106" s="243"/>
      <c r="BC106" s="243"/>
      <c r="BD106" s="243"/>
      <c r="BE106" s="243"/>
      <c r="BF106" s="246"/>
      <c r="BG106" s="246"/>
      <c r="BH106" s="243"/>
      <c r="BI106" s="243"/>
      <c r="BJ106" s="243"/>
      <c r="BK106" s="243"/>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row>
    <row r="107" spans="1:94">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9"/>
      <c r="AL107" s="289"/>
      <c r="AM107" s="289"/>
      <c r="AN107" s="289"/>
      <c r="AO107" s="289"/>
      <c r="AP107" s="289"/>
      <c r="AQ107" s="289"/>
      <c r="AR107" s="243"/>
      <c r="AS107" s="243"/>
      <c r="AT107" s="243"/>
      <c r="AU107" s="243"/>
      <c r="AV107" s="243"/>
      <c r="AW107" s="243"/>
      <c r="AX107" s="243"/>
      <c r="AY107" s="243"/>
      <c r="AZ107" s="243"/>
      <c r="BA107" s="243"/>
      <c r="BB107" s="243"/>
      <c r="BC107" s="243"/>
      <c r="BD107" s="243"/>
      <c r="BE107" s="243"/>
      <c r="BF107" s="246"/>
      <c r="BG107" s="246"/>
      <c r="BH107" s="243"/>
      <c r="BI107" s="243"/>
      <c r="BJ107" s="243"/>
      <c r="BK107" s="243"/>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row>
    <row r="108" spans="1:94">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9"/>
      <c r="AL108" s="289"/>
      <c r="AM108" s="289"/>
      <c r="AN108" s="289"/>
      <c r="AO108" s="289"/>
      <c r="AP108" s="289"/>
      <c r="AQ108" s="289"/>
      <c r="AR108" s="243"/>
      <c r="AS108" s="243"/>
      <c r="AT108" s="243"/>
      <c r="AU108" s="243"/>
      <c r="AV108" s="243"/>
      <c r="AW108" s="243"/>
      <c r="AX108" s="243"/>
      <c r="AY108" s="243"/>
      <c r="AZ108" s="243"/>
      <c r="BA108" s="243"/>
      <c r="BB108" s="243"/>
      <c r="BC108" s="243"/>
      <c r="BD108" s="243"/>
      <c r="BE108" s="243"/>
      <c r="BF108" s="246"/>
      <c r="BG108" s="246"/>
      <c r="BH108" s="243"/>
      <c r="BI108" s="243"/>
      <c r="BJ108" s="243"/>
      <c r="BK108" s="243"/>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row>
    <row r="109" spans="1:94">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9"/>
      <c r="AL109" s="289"/>
      <c r="AM109" s="289"/>
      <c r="AN109" s="289"/>
      <c r="AO109" s="289"/>
      <c r="AP109" s="289"/>
      <c r="AQ109" s="289"/>
      <c r="AR109" s="243"/>
      <c r="AS109" s="243"/>
      <c r="AT109" s="243"/>
      <c r="AU109" s="243"/>
      <c r="AV109" s="243"/>
      <c r="AW109" s="243"/>
      <c r="AX109" s="243"/>
      <c r="AY109" s="243"/>
      <c r="AZ109" s="243"/>
      <c r="BA109" s="243"/>
      <c r="BB109" s="243"/>
      <c r="BC109" s="243"/>
      <c r="BD109" s="243"/>
      <c r="BE109" s="243"/>
      <c r="BF109" s="246"/>
      <c r="BG109" s="246"/>
      <c r="BH109" s="243"/>
      <c r="BI109" s="243"/>
      <c r="BJ109" s="243"/>
      <c r="BK109" s="243"/>
      <c r="BL109" s="243"/>
      <c r="BM109" s="243"/>
      <c r="BN109" s="243"/>
      <c r="BO109" s="243"/>
      <c r="BP109" s="243"/>
      <c r="BQ109" s="243"/>
      <c r="BR109" s="243"/>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c r="CM109" s="243"/>
      <c r="CN109" s="243"/>
      <c r="CO109" s="243"/>
      <c r="CP109" s="243"/>
    </row>
    <row r="110" spans="1:94">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9"/>
      <c r="AL110" s="289"/>
      <c r="AM110" s="289"/>
      <c r="AN110" s="289"/>
      <c r="AO110" s="289"/>
      <c r="AP110" s="289"/>
      <c r="AQ110" s="289"/>
      <c r="AR110" s="243"/>
      <c r="AS110" s="243"/>
      <c r="AT110" s="243"/>
      <c r="AU110" s="243"/>
      <c r="AV110" s="243"/>
      <c r="AW110" s="243"/>
      <c r="AX110" s="243"/>
      <c r="AY110" s="243"/>
      <c r="AZ110" s="243"/>
      <c r="BA110" s="243"/>
      <c r="BB110" s="243"/>
      <c r="BC110" s="243"/>
      <c r="BD110" s="243"/>
      <c r="BE110" s="243"/>
      <c r="BF110" s="246"/>
      <c r="BG110" s="246"/>
      <c r="BH110" s="243"/>
      <c r="BI110" s="243"/>
      <c r="BJ110" s="243"/>
      <c r="BK110" s="243"/>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row>
    <row r="111" spans="1:94">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9"/>
      <c r="AL111" s="289"/>
      <c r="AM111" s="289"/>
      <c r="AN111" s="289"/>
      <c r="AO111" s="289"/>
      <c r="AP111" s="289"/>
      <c r="AQ111" s="289"/>
      <c r="AR111" s="243"/>
      <c r="AS111" s="243"/>
      <c r="AT111" s="243"/>
      <c r="AU111" s="243"/>
      <c r="AV111" s="243"/>
      <c r="AW111" s="243"/>
      <c r="AX111" s="243"/>
      <c r="AY111" s="243"/>
      <c r="AZ111" s="243"/>
      <c r="BA111" s="243"/>
      <c r="BB111" s="243"/>
      <c r="BC111" s="243"/>
      <c r="BD111" s="243"/>
      <c r="BE111" s="243"/>
      <c r="BF111" s="246"/>
      <c r="BG111" s="246"/>
      <c r="BH111" s="243"/>
      <c r="BI111" s="243"/>
      <c r="BJ111" s="243"/>
      <c r="BK111" s="243"/>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row>
    <row r="112" spans="1:94">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9"/>
      <c r="AL112" s="289"/>
      <c r="AM112" s="289"/>
      <c r="AN112" s="289"/>
      <c r="AO112" s="289"/>
      <c r="AP112" s="289"/>
      <c r="AQ112" s="289"/>
      <c r="AR112" s="243"/>
      <c r="AS112" s="243"/>
      <c r="AT112" s="243"/>
      <c r="AU112" s="243"/>
      <c r="AV112" s="243"/>
      <c r="AW112" s="243"/>
      <c r="AX112" s="243"/>
      <c r="AY112" s="243"/>
      <c r="AZ112" s="243"/>
      <c r="BA112" s="243"/>
      <c r="BB112" s="243"/>
      <c r="BC112" s="243"/>
      <c r="BD112" s="243"/>
      <c r="BE112" s="243"/>
      <c r="BF112" s="246"/>
      <c r="BG112" s="246"/>
      <c r="BH112" s="243"/>
      <c r="BI112" s="243"/>
      <c r="BJ112" s="243"/>
      <c r="BK112" s="243"/>
      <c r="BL112" s="243"/>
      <c r="BM112" s="243"/>
      <c r="BN112" s="243"/>
      <c r="BO112" s="243"/>
      <c r="BP112" s="243"/>
      <c r="BQ112" s="243"/>
      <c r="BR112" s="243"/>
      <c r="BS112" s="243"/>
      <c r="BT112" s="243"/>
      <c r="BU112" s="243"/>
      <c r="BV112" s="243"/>
      <c r="BW112" s="243"/>
      <c r="BX112" s="243"/>
      <c r="BY112" s="243"/>
      <c r="BZ112" s="243"/>
      <c r="CA112" s="243"/>
      <c r="CB112" s="243"/>
      <c r="CC112" s="243"/>
      <c r="CD112" s="243"/>
      <c r="CE112" s="243"/>
      <c r="CF112" s="243"/>
      <c r="CG112" s="243"/>
      <c r="CH112" s="243"/>
      <c r="CI112" s="243"/>
      <c r="CJ112" s="243"/>
      <c r="CK112" s="243"/>
      <c r="CL112" s="243"/>
      <c r="CM112" s="243"/>
      <c r="CN112" s="243"/>
      <c r="CO112" s="243"/>
      <c r="CP112" s="243"/>
    </row>
    <row r="113" spans="1:94">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9"/>
      <c r="AL113" s="289"/>
      <c r="AM113" s="289"/>
      <c r="AN113" s="289"/>
      <c r="AO113" s="289"/>
      <c r="AP113" s="289"/>
      <c r="AQ113" s="289"/>
      <c r="AR113" s="243"/>
      <c r="AS113" s="243"/>
      <c r="AT113" s="243"/>
      <c r="AU113" s="243"/>
      <c r="AV113" s="243"/>
      <c r="AW113" s="243"/>
      <c r="AX113" s="243"/>
      <c r="AY113" s="243"/>
      <c r="AZ113" s="243"/>
      <c r="BA113" s="243"/>
      <c r="BB113" s="243"/>
      <c r="BC113" s="243"/>
      <c r="BD113" s="243"/>
      <c r="BE113" s="243"/>
      <c r="BF113" s="246"/>
      <c r="BG113" s="246"/>
      <c r="BH113" s="243"/>
      <c r="BI113" s="243"/>
      <c r="BJ113" s="243"/>
      <c r="BK113" s="243"/>
      <c r="BL113" s="243"/>
      <c r="BM113" s="243"/>
      <c r="BN113" s="243"/>
      <c r="BO113" s="243"/>
      <c r="BP113" s="243"/>
      <c r="BQ113" s="243"/>
      <c r="BR113" s="243"/>
      <c r="BS113" s="243"/>
      <c r="BT113" s="243"/>
      <c r="BU113" s="243"/>
      <c r="BV113" s="243"/>
      <c r="BW113" s="243"/>
      <c r="BX113" s="243"/>
      <c r="BY113" s="243"/>
      <c r="BZ113" s="243"/>
      <c r="CA113" s="243"/>
      <c r="CB113" s="243"/>
      <c r="CC113" s="243"/>
      <c r="CD113" s="243"/>
      <c r="CE113" s="243"/>
      <c r="CF113" s="243"/>
      <c r="CG113" s="243"/>
      <c r="CH113" s="243"/>
      <c r="CI113" s="243"/>
      <c r="CJ113" s="243"/>
      <c r="CK113" s="243"/>
      <c r="CL113" s="243"/>
      <c r="CM113" s="243"/>
      <c r="CN113" s="243"/>
      <c r="CO113" s="243"/>
      <c r="CP113" s="243"/>
    </row>
    <row r="114" spans="1:94">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9"/>
      <c r="AL114" s="289"/>
      <c r="AM114" s="289"/>
      <c r="AN114" s="289"/>
      <c r="AO114" s="289"/>
      <c r="AP114" s="289"/>
      <c r="AQ114" s="289"/>
      <c r="AR114" s="243"/>
      <c r="AS114" s="243"/>
      <c r="AT114" s="243"/>
      <c r="AU114" s="243"/>
      <c r="AV114" s="243"/>
      <c r="AW114" s="243"/>
      <c r="AX114" s="243"/>
      <c r="AY114" s="243"/>
      <c r="AZ114" s="243"/>
      <c r="BA114" s="243"/>
      <c r="BB114" s="243"/>
      <c r="BC114" s="243"/>
      <c r="BD114" s="243"/>
      <c r="BE114" s="243"/>
      <c r="BF114" s="246"/>
      <c r="BG114" s="246"/>
      <c r="BH114" s="243"/>
      <c r="BI114" s="243"/>
      <c r="BJ114" s="243"/>
      <c r="BK114" s="243"/>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row>
    <row r="115" spans="1:94">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9"/>
      <c r="AL115" s="289"/>
      <c r="AM115" s="289"/>
      <c r="AN115" s="289"/>
      <c r="AO115" s="289"/>
      <c r="AP115" s="289"/>
      <c r="AQ115" s="289"/>
      <c r="AR115" s="243"/>
      <c r="AS115" s="243"/>
      <c r="AT115" s="243"/>
      <c r="AU115" s="243"/>
      <c r="AV115" s="243"/>
      <c r="AW115" s="243"/>
      <c r="AX115" s="243"/>
      <c r="AY115" s="243"/>
      <c r="AZ115" s="243"/>
      <c r="BA115" s="243"/>
      <c r="BB115" s="243"/>
      <c r="BC115" s="243"/>
      <c r="BD115" s="243"/>
      <c r="BE115" s="243"/>
      <c r="BF115" s="246"/>
      <c r="BG115" s="246"/>
      <c r="BH115" s="243"/>
      <c r="BI115" s="243"/>
      <c r="BJ115" s="243"/>
      <c r="BK115" s="243"/>
      <c r="BL115" s="243"/>
      <c r="BM115" s="243"/>
      <c r="BN115" s="243"/>
      <c r="BO115" s="243"/>
      <c r="BP115" s="243"/>
      <c r="BQ115" s="243"/>
      <c r="BR115" s="243"/>
      <c r="BS115" s="243"/>
      <c r="BT115" s="243"/>
      <c r="BU115" s="243"/>
      <c r="BV115" s="243"/>
      <c r="BW115" s="243"/>
      <c r="BX115" s="243"/>
      <c r="BY115" s="243"/>
      <c r="BZ115" s="243"/>
      <c r="CA115" s="243"/>
      <c r="CB115" s="243"/>
      <c r="CC115" s="243"/>
      <c r="CD115" s="243"/>
      <c r="CE115" s="243"/>
      <c r="CF115" s="243"/>
      <c r="CG115" s="243"/>
      <c r="CH115" s="243"/>
      <c r="CI115" s="243"/>
      <c r="CJ115" s="243"/>
      <c r="CK115" s="243"/>
      <c r="CL115" s="243"/>
      <c r="CM115" s="243"/>
      <c r="CN115" s="243"/>
      <c r="CO115" s="243"/>
      <c r="CP115" s="243"/>
    </row>
    <row r="116" spans="1:94">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9"/>
      <c r="AL116" s="289"/>
      <c r="AM116" s="289"/>
      <c r="AN116" s="289"/>
      <c r="AO116" s="289"/>
      <c r="AP116" s="289"/>
      <c r="AQ116" s="289"/>
      <c r="AR116" s="243"/>
      <c r="AS116" s="243"/>
      <c r="AT116" s="243"/>
      <c r="AU116" s="243"/>
      <c r="AV116" s="243"/>
      <c r="AW116" s="243"/>
      <c r="AX116" s="243"/>
      <c r="AY116" s="243"/>
      <c r="AZ116" s="243"/>
      <c r="BA116" s="243"/>
      <c r="BB116" s="243"/>
      <c r="BC116" s="243"/>
      <c r="BD116" s="243"/>
      <c r="BE116" s="243"/>
      <c r="BF116" s="246"/>
      <c r="BG116" s="246"/>
      <c r="BH116" s="243"/>
      <c r="BI116" s="243"/>
      <c r="BJ116" s="243"/>
      <c r="BK116" s="243"/>
      <c r="BL116" s="243"/>
      <c r="BM116" s="243"/>
      <c r="BN116" s="243"/>
      <c r="BO116" s="243"/>
      <c r="BP116" s="243"/>
      <c r="BQ116" s="243"/>
      <c r="BR116" s="243"/>
      <c r="BS116" s="243"/>
      <c r="BT116" s="243"/>
      <c r="BU116" s="243"/>
      <c r="BV116" s="243"/>
      <c r="BW116" s="243"/>
      <c r="BX116" s="243"/>
      <c r="BY116" s="243"/>
      <c r="BZ116" s="243"/>
      <c r="CA116" s="243"/>
      <c r="CB116" s="243"/>
      <c r="CC116" s="243"/>
      <c r="CD116" s="243"/>
      <c r="CE116" s="243"/>
      <c r="CF116" s="243"/>
      <c r="CG116" s="243"/>
      <c r="CH116" s="243"/>
      <c r="CI116" s="243"/>
      <c r="CJ116" s="243"/>
      <c r="CK116" s="243"/>
      <c r="CL116" s="243"/>
      <c r="CM116" s="243"/>
      <c r="CN116" s="243"/>
      <c r="CO116" s="243"/>
      <c r="CP116" s="243"/>
    </row>
    <row r="117" spans="1:94">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9"/>
      <c r="AL117" s="289"/>
      <c r="AM117" s="289"/>
      <c r="AN117" s="289"/>
      <c r="AO117" s="289"/>
      <c r="AP117" s="289"/>
      <c r="AQ117" s="289"/>
      <c r="AR117" s="243"/>
      <c r="AS117" s="243"/>
      <c r="AT117" s="243"/>
      <c r="AU117" s="243"/>
      <c r="AV117" s="243"/>
      <c r="AW117" s="243"/>
      <c r="AX117" s="243"/>
      <c r="AY117" s="243"/>
      <c r="AZ117" s="243"/>
      <c r="BA117" s="243"/>
      <c r="BB117" s="243"/>
      <c r="BC117" s="243"/>
      <c r="BD117" s="243"/>
      <c r="BE117" s="243"/>
      <c r="BF117" s="246"/>
      <c r="BG117" s="246"/>
      <c r="BH117" s="243"/>
      <c r="BI117" s="243"/>
      <c r="BJ117" s="243"/>
      <c r="BK117" s="243"/>
      <c r="BL117" s="243"/>
      <c r="BM117" s="243"/>
      <c r="BN117" s="243"/>
      <c r="BO117" s="243"/>
      <c r="BP117" s="243"/>
      <c r="BQ117" s="243"/>
      <c r="BR117" s="243"/>
      <c r="BS117" s="243"/>
      <c r="BT117" s="243"/>
      <c r="BU117" s="243"/>
      <c r="BV117" s="243"/>
      <c r="BW117" s="243"/>
      <c r="BX117" s="243"/>
      <c r="BY117" s="243"/>
      <c r="BZ117" s="243"/>
      <c r="CA117" s="243"/>
      <c r="CB117" s="243"/>
      <c r="CC117" s="243"/>
      <c r="CD117" s="243"/>
      <c r="CE117" s="243"/>
      <c r="CF117" s="243"/>
      <c r="CG117" s="243"/>
      <c r="CH117" s="243"/>
      <c r="CI117" s="243"/>
      <c r="CJ117" s="243"/>
      <c r="CK117" s="243"/>
      <c r="CL117" s="243"/>
      <c r="CM117" s="243"/>
      <c r="CN117" s="243"/>
      <c r="CO117" s="243"/>
      <c r="CP117" s="243"/>
    </row>
    <row r="118" spans="1:94">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9"/>
      <c r="AL118" s="289"/>
      <c r="AM118" s="289"/>
      <c r="AN118" s="289"/>
      <c r="AO118" s="289"/>
      <c r="AP118" s="289"/>
      <c r="AQ118" s="289"/>
      <c r="AR118" s="243"/>
      <c r="AS118" s="243"/>
      <c r="AT118" s="243"/>
      <c r="AU118" s="243"/>
      <c r="AV118" s="243"/>
      <c r="AW118" s="243"/>
      <c r="AX118" s="243"/>
      <c r="AY118" s="243"/>
      <c r="AZ118" s="243"/>
      <c r="BA118" s="243"/>
      <c r="BB118" s="243"/>
      <c r="BC118" s="243"/>
      <c r="BD118" s="243"/>
      <c r="BE118" s="243"/>
      <c r="BF118" s="246"/>
      <c r="BG118" s="246"/>
      <c r="BH118" s="243"/>
      <c r="BI118" s="243"/>
      <c r="BJ118" s="243"/>
      <c r="BK118" s="243"/>
      <c r="BL118" s="243"/>
      <c r="BM118" s="243"/>
      <c r="BN118" s="243"/>
      <c r="BO118" s="243"/>
      <c r="BP118" s="243"/>
      <c r="BQ118" s="243"/>
      <c r="BR118" s="243"/>
      <c r="BS118" s="243"/>
      <c r="BT118" s="243"/>
      <c r="BU118" s="243"/>
      <c r="BV118" s="243"/>
      <c r="BW118" s="243"/>
      <c r="BX118" s="243"/>
      <c r="BY118" s="243"/>
      <c r="BZ118" s="243"/>
      <c r="CA118" s="243"/>
      <c r="CB118" s="243"/>
      <c r="CC118" s="243"/>
      <c r="CD118" s="243"/>
      <c r="CE118" s="243"/>
      <c r="CF118" s="243"/>
      <c r="CG118" s="243"/>
      <c r="CH118" s="243"/>
      <c r="CI118" s="243"/>
      <c r="CJ118" s="243"/>
      <c r="CK118" s="243"/>
      <c r="CL118" s="243"/>
      <c r="CM118" s="243"/>
      <c r="CN118" s="243"/>
      <c r="CO118" s="243"/>
      <c r="CP118" s="243"/>
    </row>
    <row r="119" spans="1:94">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9"/>
      <c r="AL119" s="289"/>
      <c r="AM119" s="289"/>
      <c r="AN119" s="289"/>
      <c r="AO119" s="289"/>
      <c r="AP119" s="289"/>
      <c r="AQ119" s="289"/>
      <c r="AR119" s="243"/>
      <c r="AS119" s="243"/>
      <c r="AT119" s="243"/>
      <c r="AU119" s="243"/>
      <c r="AV119" s="243"/>
      <c r="AW119" s="243"/>
      <c r="AX119" s="243"/>
      <c r="AY119" s="243"/>
      <c r="AZ119" s="243"/>
      <c r="BA119" s="243"/>
      <c r="BB119" s="243"/>
      <c r="BC119" s="243"/>
      <c r="BD119" s="243"/>
      <c r="BE119" s="243"/>
      <c r="BF119" s="246"/>
      <c r="BG119" s="246"/>
      <c r="BH119" s="243"/>
      <c r="BI119" s="243"/>
      <c r="BJ119" s="243"/>
      <c r="BK119" s="243"/>
      <c r="BL119" s="243"/>
      <c r="BM119" s="243"/>
      <c r="BN119" s="243"/>
      <c r="BO119" s="243"/>
      <c r="BP119" s="243"/>
      <c r="BQ119" s="243"/>
      <c r="BR119" s="243"/>
      <c r="BS119" s="243"/>
      <c r="BT119" s="243"/>
      <c r="BU119" s="243"/>
      <c r="BV119" s="243"/>
      <c r="BW119" s="243"/>
      <c r="BX119" s="243"/>
      <c r="BY119" s="243"/>
      <c r="BZ119" s="243"/>
      <c r="CA119" s="243"/>
      <c r="CB119" s="243"/>
      <c r="CC119" s="243"/>
      <c r="CD119" s="243"/>
      <c r="CE119" s="243"/>
      <c r="CF119" s="243"/>
      <c r="CG119" s="243"/>
      <c r="CH119" s="243"/>
      <c r="CI119" s="243"/>
      <c r="CJ119" s="243"/>
      <c r="CK119" s="243"/>
      <c r="CL119" s="243"/>
      <c r="CM119" s="243"/>
      <c r="CN119" s="243"/>
      <c r="CO119" s="243"/>
      <c r="CP119" s="243"/>
    </row>
    <row r="120" spans="1:94">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9"/>
      <c r="AL120" s="289"/>
      <c r="AM120" s="289"/>
      <c r="AN120" s="289"/>
      <c r="AO120" s="289"/>
      <c r="AP120" s="289"/>
      <c r="AQ120" s="289"/>
      <c r="AR120" s="243"/>
      <c r="AS120" s="243"/>
      <c r="AT120" s="243"/>
      <c r="AU120" s="243"/>
      <c r="AV120" s="243"/>
      <c r="AW120" s="243"/>
      <c r="AX120" s="243"/>
      <c r="AY120" s="243"/>
      <c r="AZ120" s="243"/>
      <c r="BA120" s="243"/>
      <c r="BB120" s="243"/>
      <c r="BC120" s="243"/>
      <c r="BD120" s="243"/>
      <c r="BE120" s="243"/>
      <c r="BF120" s="246"/>
      <c r="BG120" s="246"/>
      <c r="BH120" s="243"/>
      <c r="BI120" s="243"/>
      <c r="BJ120" s="243"/>
      <c r="BK120" s="243"/>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row>
    <row r="121" spans="1:94">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9"/>
      <c r="AL121" s="289"/>
      <c r="AM121" s="289"/>
      <c r="AN121" s="289"/>
      <c r="AO121" s="289"/>
      <c r="AP121" s="289"/>
      <c r="AQ121" s="289"/>
      <c r="AR121" s="243"/>
      <c r="AS121" s="243"/>
      <c r="AT121" s="243"/>
      <c r="AU121" s="243"/>
      <c r="AV121" s="243"/>
      <c r="AW121" s="243"/>
      <c r="AX121" s="243"/>
      <c r="AY121" s="243"/>
      <c r="AZ121" s="243"/>
      <c r="BA121" s="243"/>
      <c r="BB121" s="243"/>
      <c r="BC121" s="243"/>
      <c r="BD121" s="243"/>
      <c r="BE121" s="243"/>
      <c r="BF121" s="246"/>
      <c r="BG121" s="246"/>
      <c r="BH121" s="243"/>
      <c r="BI121" s="243"/>
      <c r="BJ121" s="243"/>
      <c r="BK121" s="243"/>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row>
    <row r="122" spans="1:94">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9"/>
      <c r="AL122" s="289"/>
      <c r="AM122" s="289"/>
      <c r="AN122" s="289"/>
      <c r="AO122" s="289"/>
      <c r="AP122" s="289"/>
      <c r="AQ122" s="289"/>
      <c r="AR122" s="243"/>
      <c r="AS122" s="243"/>
      <c r="AT122" s="243"/>
      <c r="AU122" s="243"/>
      <c r="AV122" s="243"/>
      <c r="AW122" s="243"/>
      <c r="AX122" s="243"/>
      <c r="AY122" s="243"/>
      <c r="AZ122" s="243"/>
      <c r="BA122" s="243"/>
      <c r="BB122" s="243"/>
      <c r="BC122" s="243"/>
      <c r="BD122" s="243"/>
      <c r="BE122" s="243"/>
      <c r="BF122" s="246"/>
      <c r="BG122" s="246"/>
      <c r="BH122" s="243"/>
      <c r="BI122" s="243"/>
      <c r="BJ122" s="243"/>
      <c r="BK122" s="243"/>
      <c r="BL122" s="243"/>
      <c r="BM122" s="243"/>
      <c r="BN122" s="243"/>
      <c r="BO122" s="243"/>
      <c r="BP122" s="243"/>
      <c r="BQ122" s="243"/>
      <c r="BR122" s="243"/>
      <c r="BS122" s="243"/>
      <c r="BT122" s="243"/>
      <c r="BU122" s="243"/>
      <c r="BV122" s="243"/>
      <c r="BW122" s="243"/>
      <c r="BX122" s="243"/>
      <c r="BY122" s="243"/>
      <c r="BZ122" s="243"/>
      <c r="CA122" s="243"/>
      <c r="CB122" s="243"/>
      <c r="CC122" s="243"/>
      <c r="CD122" s="243"/>
      <c r="CE122" s="243"/>
      <c r="CF122" s="243"/>
      <c r="CG122" s="243"/>
      <c r="CH122" s="243"/>
      <c r="CI122" s="243"/>
      <c r="CJ122" s="243"/>
      <c r="CK122" s="243"/>
      <c r="CL122" s="243"/>
      <c r="CM122" s="243"/>
      <c r="CN122" s="243"/>
      <c r="CO122" s="243"/>
      <c r="CP122" s="243"/>
    </row>
    <row r="123" spans="1:94">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9"/>
      <c r="AL123" s="289"/>
      <c r="AM123" s="289"/>
      <c r="AN123" s="289"/>
      <c r="AO123" s="289"/>
      <c r="AP123" s="289"/>
      <c r="AQ123" s="289"/>
      <c r="AR123" s="243"/>
      <c r="AS123" s="243"/>
      <c r="AT123" s="243"/>
      <c r="AU123" s="243"/>
      <c r="AV123" s="243"/>
      <c r="AW123" s="243"/>
      <c r="AX123" s="243"/>
      <c r="AY123" s="243"/>
      <c r="AZ123" s="243"/>
      <c r="BA123" s="243"/>
      <c r="BB123" s="243"/>
      <c r="BC123" s="243"/>
      <c r="BD123" s="243"/>
      <c r="BE123" s="243"/>
      <c r="BF123" s="246"/>
      <c r="BG123" s="246"/>
      <c r="BH123" s="243"/>
      <c r="BI123" s="243"/>
      <c r="BJ123" s="243"/>
      <c r="BK123" s="243"/>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row>
    <row r="124" spans="1:94">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9"/>
      <c r="AL124" s="289"/>
      <c r="AM124" s="289"/>
      <c r="AN124" s="289"/>
      <c r="AO124" s="289"/>
      <c r="AP124" s="289"/>
      <c r="AQ124" s="289"/>
      <c r="AR124" s="243"/>
      <c r="AS124" s="243"/>
      <c r="AT124" s="243"/>
      <c r="AU124" s="243"/>
      <c r="AV124" s="243"/>
      <c r="AW124" s="243"/>
      <c r="AX124" s="243"/>
      <c r="AY124" s="243"/>
      <c r="AZ124" s="243"/>
      <c r="BA124" s="243"/>
      <c r="BB124" s="243"/>
      <c r="BC124" s="243"/>
      <c r="BD124" s="243"/>
      <c r="BE124" s="243"/>
      <c r="BF124" s="246"/>
      <c r="BG124" s="246"/>
      <c r="BH124" s="243"/>
      <c r="BI124" s="243"/>
      <c r="BJ124" s="243"/>
      <c r="BK124" s="243"/>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row>
  </sheetData>
  <sheetProtection algorithmName="SHA-512" hashValue="xr8aVdSdtydC1wl0V70HVcrjmNbgU9etsKA+qZfUubBqSKGGbAJ0klU4mOPVccjSKeXWwPmpc6aOcSnCmItatw==" saltValue="vvPlqmKjltVOrdLI/hHaPA==" spinCount="100000" sheet="1" objects="1" scenarios="1" selectLockedCells="1" selectUnlockedCells="1"/>
  <mergeCells count="370">
    <mergeCell ref="T58:W58"/>
    <mergeCell ref="T59:W59"/>
    <mergeCell ref="T60:W60"/>
    <mergeCell ref="T61:W61"/>
    <mergeCell ref="L61:M61"/>
    <mergeCell ref="N61:O61"/>
    <mergeCell ref="R61:S61"/>
    <mergeCell ref="Y61:Z61"/>
    <mergeCell ref="AC61:AD61"/>
    <mergeCell ref="V27:AJ32"/>
    <mergeCell ref="L59:M59"/>
    <mergeCell ref="N59:O59"/>
    <mergeCell ref="R59:S59"/>
    <mergeCell ref="Y59:Z59"/>
    <mergeCell ref="AC59:AD59"/>
    <mergeCell ref="L60:M60"/>
    <mergeCell ref="N60:O60"/>
    <mergeCell ref="R60:S60"/>
    <mergeCell ref="Y60:Z60"/>
    <mergeCell ref="AC60:AD60"/>
    <mergeCell ref="AE57:AF57"/>
    <mergeCell ref="L58:M58"/>
    <mergeCell ref="N58:O58"/>
    <mergeCell ref="R58:S58"/>
    <mergeCell ref="Y58:Z58"/>
    <mergeCell ref="AC58:AD58"/>
    <mergeCell ref="L57:M57"/>
    <mergeCell ref="N57:O57"/>
    <mergeCell ref="R57:S57"/>
    <mergeCell ref="Y57:Z57"/>
    <mergeCell ref="AC57:AD57"/>
    <mergeCell ref="AE55:AF55"/>
    <mergeCell ref="L56:M56"/>
    <mergeCell ref="T57:W57"/>
    <mergeCell ref="L53:M53"/>
    <mergeCell ref="X53:AF53"/>
    <mergeCell ref="L54:M54"/>
    <mergeCell ref="N54:O54"/>
    <mergeCell ref="R54:S54"/>
    <mergeCell ref="Y54:Z54"/>
    <mergeCell ref="AC54:AD54"/>
    <mergeCell ref="AE54:AF54"/>
    <mergeCell ref="T54:W54"/>
    <mergeCell ref="N56:O56"/>
    <mergeCell ref="R56:S56"/>
    <mergeCell ref="Y56:Z56"/>
    <mergeCell ref="AC56:AD56"/>
    <mergeCell ref="L55:M55"/>
    <mergeCell ref="N55:O55"/>
    <mergeCell ref="R55:S55"/>
    <mergeCell ref="Y55:Z55"/>
    <mergeCell ref="AC55:AD55"/>
    <mergeCell ref="T55:W55"/>
    <mergeCell ref="T56:W56"/>
    <mergeCell ref="R51:S51"/>
    <mergeCell ref="T51:U51"/>
    <mergeCell ref="A52:E52"/>
    <mergeCell ref="F52:G52"/>
    <mergeCell ref="H52:I52"/>
    <mergeCell ref="J52:K52"/>
    <mergeCell ref="L52:M52"/>
    <mergeCell ref="N52:O52"/>
    <mergeCell ref="P52:Q52"/>
    <mergeCell ref="R52:S52"/>
    <mergeCell ref="F51:G51"/>
    <mergeCell ref="H51:I51"/>
    <mergeCell ref="J51:K51"/>
    <mergeCell ref="L51:M51"/>
    <mergeCell ref="N51:O51"/>
    <mergeCell ref="P51:Q51"/>
    <mergeCell ref="T52:U52"/>
    <mergeCell ref="R49:S49"/>
    <mergeCell ref="T49:U49"/>
    <mergeCell ref="F50:G50"/>
    <mergeCell ref="H50:I50"/>
    <mergeCell ref="J50:K50"/>
    <mergeCell ref="L50:M50"/>
    <mergeCell ref="N50:O50"/>
    <mergeCell ref="P50:Q50"/>
    <mergeCell ref="R50:S50"/>
    <mergeCell ref="T50:U50"/>
    <mergeCell ref="F49:G49"/>
    <mergeCell ref="H49:I49"/>
    <mergeCell ref="J49:K49"/>
    <mergeCell ref="L49:M49"/>
    <mergeCell ref="N49:O49"/>
    <mergeCell ref="P49:Q49"/>
    <mergeCell ref="R47:S47"/>
    <mergeCell ref="T47:U47"/>
    <mergeCell ref="F48:G48"/>
    <mergeCell ref="H48:I48"/>
    <mergeCell ref="J48:K48"/>
    <mergeCell ref="L48:M48"/>
    <mergeCell ref="N48:O48"/>
    <mergeCell ref="P48:Q48"/>
    <mergeCell ref="R48:S48"/>
    <mergeCell ref="T48:U48"/>
    <mergeCell ref="F47:G47"/>
    <mergeCell ref="H47:I47"/>
    <mergeCell ref="J47:K47"/>
    <mergeCell ref="L47:M47"/>
    <mergeCell ref="N47:O47"/>
    <mergeCell ref="P47:Q47"/>
    <mergeCell ref="R45:S45"/>
    <mergeCell ref="T45:U45"/>
    <mergeCell ref="F46:G46"/>
    <mergeCell ref="H46:I46"/>
    <mergeCell ref="J46:K46"/>
    <mergeCell ref="L46:M46"/>
    <mergeCell ref="N46:O46"/>
    <mergeCell ref="P46:Q46"/>
    <mergeCell ref="R46:S46"/>
    <mergeCell ref="T46:U46"/>
    <mergeCell ref="F45:G45"/>
    <mergeCell ref="H45:I45"/>
    <mergeCell ref="J45:K45"/>
    <mergeCell ref="L45:M45"/>
    <mergeCell ref="N45:O45"/>
    <mergeCell ref="P45:Q45"/>
    <mergeCell ref="R43:S43"/>
    <mergeCell ref="T43:U43"/>
    <mergeCell ref="F44:G44"/>
    <mergeCell ref="H44:I44"/>
    <mergeCell ref="J44:K44"/>
    <mergeCell ref="L44:M44"/>
    <mergeCell ref="N44:O44"/>
    <mergeCell ref="P44:Q44"/>
    <mergeCell ref="R44:S44"/>
    <mergeCell ref="T44:U44"/>
    <mergeCell ref="F43:G43"/>
    <mergeCell ref="H43:I43"/>
    <mergeCell ref="J43:K43"/>
    <mergeCell ref="L43:M43"/>
    <mergeCell ref="N43:O43"/>
    <mergeCell ref="P43:Q43"/>
    <mergeCell ref="R41:S41"/>
    <mergeCell ref="T41:U41"/>
    <mergeCell ref="F42:G42"/>
    <mergeCell ref="H42:I42"/>
    <mergeCell ref="J42:K42"/>
    <mergeCell ref="L42:M42"/>
    <mergeCell ref="N42:O42"/>
    <mergeCell ref="P42:Q42"/>
    <mergeCell ref="R42:S42"/>
    <mergeCell ref="T42:U42"/>
    <mergeCell ref="F41:G41"/>
    <mergeCell ref="H41:I41"/>
    <mergeCell ref="J41:K41"/>
    <mergeCell ref="L41:M41"/>
    <mergeCell ref="N41:O41"/>
    <mergeCell ref="P41:Q41"/>
    <mergeCell ref="R39:S39"/>
    <mergeCell ref="T39:U39"/>
    <mergeCell ref="F40:G40"/>
    <mergeCell ref="H40:I40"/>
    <mergeCell ref="J40:K40"/>
    <mergeCell ref="L40:M40"/>
    <mergeCell ref="N40:O40"/>
    <mergeCell ref="P40:Q40"/>
    <mergeCell ref="R40:S40"/>
    <mergeCell ref="T40:U40"/>
    <mergeCell ref="F39:G39"/>
    <mergeCell ref="H39:I39"/>
    <mergeCell ref="J39:K39"/>
    <mergeCell ref="L39:M39"/>
    <mergeCell ref="N39:O39"/>
    <mergeCell ref="P39:Q39"/>
    <mergeCell ref="R37:S37"/>
    <mergeCell ref="T37:U37"/>
    <mergeCell ref="F38:G38"/>
    <mergeCell ref="H38:I38"/>
    <mergeCell ref="J38:K38"/>
    <mergeCell ref="L38:M38"/>
    <mergeCell ref="N38:O38"/>
    <mergeCell ref="P38:Q38"/>
    <mergeCell ref="R38:S38"/>
    <mergeCell ref="T38:U38"/>
    <mergeCell ref="F37:G37"/>
    <mergeCell ref="H37:I37"/>
    <mergeCell ref="J37:K37"/>
    <mergeCell ref="L37:M37"/>
    <mergeCell ref="N37:O37"/>
    <mergeCell ref="P37:Q37"/>
    <mergeCell ref="F36:G36"/>
    <mergeCell ref="H36:I36"/>
    <mergeCell ref="J36:K36"/>
    <mergeCell ref="L36:M36"/>
    <mergeCell ref="N36:O36"/>
    <mergeCell ref="P36:Q36"/>
    <mergeCell ref="R36:S36"/>
    <mergeCell ref="T36:U36"/>
    <mergeCell ref="F35:G35"/>
    <mergeCell ref="H35:I35"/>
    <mergeCell ref="J35:K35"/>
    <mergeCell ref="L35:M35"/>
    <mergeCell ref="N35:O35"/>
    <mergeCell ref="P35:Q35"/>
    <mergeCell ref="F34:G34"/>
    <mergeCell ref="H34:I34"/>
    <mergeCell ref="J34:K34"/>
    <mergeCell ref="L34:M34"/>
    <mergeCell ref="N34:O34"/>
    <mergeCell ref="P34:Q34"/>
    <mergeCell ref="R34:S34"/>
    <mergeCell ref="T34:U34"/>
    <mergeCell ref="R35:S35"/>
    <mergeCell ref="T35:U35"/>
    <mergeCell ref="R32:S32"/>
    <mergeCell ref="T32:U32"/>
    <mergeCell ref="F33:G33"/>
    <mergeCell ref="H33:I33"/>
    <mergeCell ref="J33:K33"/>
    <mergeCell ref="L33:M33"/>
    <mergeCell ref="N33:O33"/>
    <mergeCell ref="P33:Q33"/>
    <mergeCell ref="R33:S33"/>
    <mergeCell ref="F32:G32"/>
    <mergeCell ref="H32:I32"/>
    <mergeCell ref="J32:K32"/>
    <mergeCell ref="L32:M32"/>
    <mergeCell ref="N32:O32"/>
    <mergeCell ref="P32:Q32"/>
    <mergeCell ref="T33:U33"/>
    <mergeCell ref="F31:G31"/>
    <mergeCell ref="H31:I31"/>
    <mergeCell ref="J31:K31"/>
    <mergeCell ref="L31:M31"/>
    <mergeCell ref="N31:O31"/>
    <mergeCell ref="P31:Q31"/>
    <mergeCell ref="R31:S31"/>
    <mergeCell ref="T31:U31"/>
    <mergeCell ref="F30:G30"/>
    <mergeCell ref="H30:I30"/>
    <mergeCell ref="J30:K30"/>
    <mergeCell ref="L30:M30"/>
    <mergeCell ref="N30:O30"/>
    <mergeCell ref="P30:Q30"/>
    <mergeCell ref="A27:E27"/>
    <mergeCell ref="F27:U27"/>
    <mergeCell ref="F28:I29"/>
    <mergeCell ref="J28:M28"/>
    <mergeCell ref="N28:O29"/>
    <mergeCell ref="P28:U29"/>
    <mergeCell ref="J29:K29"/>
    <mergeCell ref="L29:M29"/>
    <mergeCell ref="A30:E30"/>
    <mergeCell ref="R30:S30"/>
    <mergeCell ref="T30:U30"/>
    <mergeCell ref="T26:W26"/>
    <mergeCell ref="X26:Z26"/>
    <mergeCell ref="AA26:AB26"/>
    <mergeCell ref="AC26:AD26"/>
    <mergeCell ref="AE26:AG26"/>
    <mergeCell ref="AH26:AI26"/>
    <mergeCell ref="T25:W25"/>
    <mergeCell ref="X25:Z25"/>
    <mergeCell ref="AA25:AB25"/>
    <mergeCell ref="AC25:AD25"/>
    <mergeCell ref="AE25:AG25"/>
    <mergeCell ref="AH25:AI25"/>
    <mergeCell ref="H22:J22"/>
    <mergeCell ref="K22:M22"/>
    <mergeCell ref="N22:P22"/>
    <mergeCell ref="Q22:S22"/>
    <mergeCell ref="H23:J23"/>
    <mergeCell ref="K23:M23"/>
    <mergeCell ref="N23:P23"/>
    <mergeCell ref="Q23:S23"/>
    <mergeCell ref="H20:J20"/>
    <mergeCell ref="K20:M20"/>
    <mergeCell ref="N20:P20"/>
    <mergeCell ref="Q20:S20"/>
    <mergeCell ref="H21:J21"/>
    <mergeCell ref="K21:M21"/>
    <mergeCell ref="N21:P21"/>
    <mergeCell ref="Q21:S21"/>
    <mergeCell ref="AI18:AK18"/>
    <mergeCell ref="H19:J19"/>
    <mergeCell ref="K19:M19"/>
    <mergeCell ref="N19:P19"/>
    <mergeCell ref="Q19:S19"/>
    <mergeCell ref="AC17:AE17"/>
    <mergeCell ref="AF17:AH17"/>
    <mergeCell ref="AI17:AK17"/>
    <mergeCell ref="H18:J18"/>
    <mergeCell ref="K18:M18"/>
    <mergeCell ref="N18:P18"/>
    <mergeCell ref="Q18:S18"/>
    <mergeCell ref="T18:V18"/>
    <mergeCell ref="W18:Y18"/>
    <mergeCell ref="Z18:AB18"/>
    <mergeCell ref="H17:J17"/>
    <mergeCell ref="K17:M17"/>
    <mergeCell ref="N17:P17"/>
    <mergeCell ref="Q17:S17"/>
    <mergeCell ref="T17:V17"/>
    <mergeCell ref="W17:Y17"/>
    <mergeCell ref="Z17:AB17"/>
    <mergeCell ref="AC18:AE18"/>
    <mergeCell ref="AF18:AH18"/>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 ref="T22:V22"/>
    <mergeCell ref="W22:Y22"/>
    <mergeCell ref="Z22:AB22"/>
    <mergeCell ref="AC22:AE22"/>
    <mergeCell ref="T23:V23"/>
    <mergeCell ref="W23:Y23"/>
    <mergeCell ref="Z23:AB23"/>
    <mergeCell ref="AC23:AE23"/>
    <mergeCell ref="T19:V19"/>
    <mergeCell ref="W19:Y19"/>
    <mergeCell ref="Z19:AB19"/>
    <mergeCell ref="AC19:AE19"/>
    <mergeCell ref="T20:V20"/>
    <mergeCell ref="W20:Y20"/>
    <mergeCell ref="Z20:AB20"/>
    <mergeCell ref="AC20:AE20"/>
    <mergeCell ref="T21:V21"/>
    <mergeCell ref="W21:Y21"/>
    <mergeCell ref="Z21:AB21"/>
    <mergeCell ref="AC21:AE21"/>
  </mergeCells>
  <conditionalFormatting sqref="F52:M52 P52:AC52">
    <cfRule type="expression" dxfId="198" priority="13" stopIfTrue="1">
      <formula>F52=0</formula>
    </cfRule>
  </conditionalFormatting>
  <conditionalFormatting sqref="H31:U51">
    <cfRule type="expression" dxfId="197" priority="8">
      <formula>H31=0</formula>
    </cfRule>
  </conditionalFormatting>
  <conditionalFormatting sqref="O76">
    <cfRule type="expression" dxfId="196" priority="7">
      <formula>O76=0</formula>
    </cfRule>
  </conditionalFormatting>
  <conditionalFormatting sqref="R54:S61">
    <cfRule type="expression" dxfId="195" priority="11" stopIfTrue="1">
      <formula>R54=0</formula>
    </cfRule>
  </conditionalFormatting>
  <conditionalFormatting sqref="V37:AK51">
    <cfRule type="expression" dxfId="194" priority="1">
      <formula>V37=0</formula>
    </cfRule>
  </conditionalFormatting>
  <conditionalFormatting sqref="Z33:Z36">
    <cfRule type="expression" dxfId="193" priority="5">
      <formula>(Z33&lt;&gt;0)</formula>
    </cfRule>
    <cfRule type="expression" dxfId="192" priority="6">
      <formula>(Z33=0)</formula>
    </cfRule>
  </conditionalFormatting>
  <conditionalFormatting sqref="AF52:AI52 N54 AC54:AD54 AC56 N57 AC57:AD57 AC58:AC59">
    <cfRule type="expression" dxfId="191" priority="15" stopIfTrue="1">
      <formula>N52=0</formula>
    </cfRule>
  </conditionalFormatting>
  <conditionalFormatting sqref="AK31:AK32 V33:W36 AA33:AK36">
    <cfRule type="expression" dxfId="190" priority="12">
      <formula>V31=0</formula>
    </cfRule>
  </conditionalFormatting>
  <pageMargins left="0.7" right="0.7" top="0.75" bottom="0.75" header="0.3" footer="0.3"/>
  <pageSetup paperSize="9" scale="59" orientation="portrait" r:id="rId1"/>
  <headerFooter>
    <oddFooter>&amp;C_x000D_&amp;1#&amp;"Calibri"&amp;10&amp;K000000 Internal</oddFooter>
  </headerFooter>
  <colBreaks count="1" manualBreakCount="1">
    <brk id="3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D347-10DA-4994-9FE8-F611B6C0E788}">
  <sheetPr>
    <tabColor rgb="FFFFC000"/>
  </sheetPr>
  <dimension ref="B1:N202"/>
  <sheetViews>
    <sheetView tabSelected="1" zoomScale="80" zoomScaleNormal="80" workbookViewId="0">
      <selection activeCell="P40" sqref="P40"/>
    </sheetView>
  </sheetViews>
  <sheetFormatPr defaultColWidth="8.7109375" defaultRowHeight="12.75"/>
  <cols>
    <col min="1" max="1" width="8.7109375" style="624"/>
    <col min="2" max="2" width="28.7109375" style="624" customWidth="1"/>
    <col min="3" max="3" width="11.28515625" style="624" customWidth="1"/>
    <col min="4" max="4" width="10.5703125" style="624" customWidth="1"/>
    <col min="5" max="5" width="13.28515625" style="624" customWidth="1"/>
    <col min="6" max="6" width="17.5703125" style="635" customWidth="1"/>
    <col min="7" max="7" width="22.5703125" style="624" customWidth="1"/>
    <col min="8" max="8" width="13.7109375" style="624" customWidth="1"/>
    <col min="9" max="9" width="43.7109375" style="624" customWidth="1"/>
    <col min="10" max="11" width="8.7109375" style="624"/>
    <col min="12" max="12" width="10.42578125" style="624" customWidth="1"/>
    <col min="13" max="13" width="13.5703125" style="624" customWidth="1"/>
    <col min="14" max="14" width="14.7109375" style="624" customWidth="1"/>
    <col min="15" max="16384" width="8.7109375" style="624"/>
  </cols>
  <sheetData>
    <row r="1" spans="2:14">
      <c r="F1" s="625"/>
      <c r="G1" s="626"/>
    </row>
    <row r="2" spans="2:14">
      <c r="B2" s="627" t="s">
        <v>22</v>
      </c>
      <c r="C2" s="628" t="s">
        <v>1</v>
      </c>
      <c r="D2" s="628"/>
      <c r="E2" s="628"/>
      <c r="F2" s="629"/>
      <c r="G2" s="630"/>
      <c r="H2" s="631" t="s">
        <v>23</v>
      </c>
      <c r="I2" s="632" t="s">
        <v>95</v>
      </c>
    </row>
    <row r="3" spans="2:14">
      <c r="B3" s="633" t="s">
        <v>24</v>
      </c>
      <c r="C3" s="628" t="s">
        <v>5</v>
      </c>
      <c r="D3" s="634"/>
      <c r="E3" s="634"/>
      <c r="H3" s="636" t="s">
        <v>25</v>
      </c>
      <c r="I3" s="637"/>
    </row>
    <row r="4" spans="2:14" ht="12.6" customHeight="1">
      <c r="B4" s="633" t="s">
        <v>26</v>
      </c>
      <c r="C4" s="634" t="s">
        <v>96</v>
      </c>
      <c r="D4" s="634"/>
      <c r="E4" s="634"/>
      <c r="H4" s="636" t="s">
        <v>27</v>
      </c>
      <c r="I4" s="638" t="s">
        <v>97</v>
      </c>
    </row>
    <row r="5" spans="2:14">
      <c r="B5" s="639" t="s">
        <v>98</v>
      </c>
      <c r="C5" s="640"/>
      <c r="D5" s="640"/>
      <c r="E5" s="640"/>
      <c r="H5" s="641"/>
      <c r="I5" s="642"/>
    </row>
    <row r="6" spans="2:14">
      <c r="B6" s="639"/>
      <c r="C6" s="640"/>
      <c r="D6" s="640"/>
      <c r="E6" s="640"/>
      <c r="H6" s="641"/>
      <c r="I6" s="642"/>
    </row>
    <row r="7" spans="2:14">
      <c r="B7" s="643" t="s">
        <v>99</v>
      </c>
      <c r="C7" s="626"/>
      <c r="D7" s="644"/>
      <c r="E7" s="644"/>
      <c r="F7" s="625"/>
      <c r="G7" s="626"/>
      <c r="H7" s="645" t="s">
        <v>28</v>
      </c>
      <c r="I7" s="646"/>
    </row>
    <row r="8" spans="2:14">
      <c r="B8" s="633"/>
      <c r="C8" s="702"/>
      <c r="D8" s="702"/>
      <c r="E8" s="702"/>
      <c r="F8" s="636"/>
      <c r="G8" s="634"/>
      <c r="H8" s="634"/>
      <c r="I8" s="638"/>
      <c r="L8" s="879" t="s">
        <v>100</v>
      </c>
      <c r="M8" s="882" t="s">
        <v>101</v>
      </c>
      <c r="N8" s="882" t="s">
        <v>101</v>
      </c>
    </row>
    <row r="9" spans="2:14" ht="15.75">
      <c r="B9" s="703" t="s">
        <v>102</v>
      </c>
      <c r="D9" s="704"/>
      <c r="E9" s="704"/>
      <c r="F9" s="705"/>
      <c r="G9" s="704"/>
      <c r="H9" s="704"/>
      <c r="I9" s="706"/>
      <c r="L9" s="880"/>
      <c r="M9" s="882"/>
      <c r="N9" s="882"/>
    </row>
    <row r="10" spans="2:14" ht="15.75" thickBot="1">
      <c r="B10" s="707" t="s">
        <v>103</v>
      </c>
      <c r="C10" s="704"/>
      <c r="D10" s="704"/>
      <c r="E10" s="704"/>
      <c r="F10" s="705"/>
      <c r="G10" s="704"/>
      <c r="H10" s="704"/>
      <c r="I10" s="706"/>
      <c r="L10" s="881"/>
      <c r="M10" s="711" t="s">
        <v>104</v>
      </c>
      <c r="N10" s="711" t="s">
        <v>105</v>
      </c>
    </row>
    <row r="11" spans="2:14">
      <c r="B11" s="888" t="s">
        <v>106</v>
      </c>
      <c r="C11" s="888" t="s">
        <v>107</v>
      </c>
      <c r="D11" s="888" t="s">
        <v>108</v>
      </c>
      <c r="E11" s="888" t="s">
        <v>109</v>
      </c>
      <c r="F11" s="898" t="s">
        <v>110</v>
      </c>
      <c r="G11" s="888" t="s">
        <v>111</v>
      </c>
      <c r="H11" s="888" t="s">
        <v>112</v>
      </c>
      <c r="I11" s="888" t="s">
        <v>113</v>
      </c>
      <c r="L11" s="710" t="s">
        <v>114</v>
      </c>
      <c r="M11" s="712">
        <f t="shared" ref="M11:M18" si="0">F14+F22</f>
        <v>3.0124862577588725</v>
      </c>
      <c r="N11" s="782">
        <f>F30+F38+F46+F54+F62+F70+F78+F86+F94+F102+F114+F122+F130+F138+F146+F155+F163+F171+F179+F187+F195</f>
        <v>3056.3990883712995</v>
      </c>
    </row>
    <row r="12" spans="2:14">
      <c r="B12" s="889"/>
      <c r="C12" s="889"/>
      <c r="D12" s="889"/>
      <c r="E12" s="889"/>
      <c r="F12" s="882"/>
      <c r="G12" s="889"/>
      <c r="H12" s="889"/>
      <c r="I12" s="889"/>
      <c r="L12" s="710" t="s">
        <v>115</v>
      </c>
      <c r="M12" s="712">
        <f t="shared" si="0"/>
        <v>0.77232793136034805</v>
      </c>
      <c r="N12" s="712">
        <f>F31+F39+F47+F55+F63+F71+F79+F87+F95+F103+F115+F123+F131+F139+F147+F156+F164+F172+F188+F196</f>
        <v>361.92165550707966</v>
      </c>
    </row>
    <row r="13" spans="2:14" ht="13.5" thickBot="1">
      <c r="B13" s="890"/>
      <c r="C13" s="890"/>
      <c r="D13" s="890"/>
      <c r="E13" s="890"/>
      <c r="F13" s="899"/>
      <c r="G13" s="890"/>
      <c r="H13" s="890"/>
      <c r="I13" s="890"/>
      <c r="L13" s="710" t="s">
        <v>116</v>
      </c>
      <c r="M13" s="713">
        <f t="shared" si="0"/>
        <v>6.2561300583865498E-2</v>
      </c>
      <c r="N13" s="783">
        <f>F32+F40+F48+F56+F64+F72+F80+F88+F96+F104+F116+F124+F132+F140+F148+F157+F165+F173</f>
        <v>1395.4744739934176</v>
      </c>
    </row>
    <row r="14" spans="2:14">
      <c r="B14" s="891" t="s">
        <v>117</v>
      </c>
      <c r="C14" s="720" t="s">
        <v>114</v>
      </c>
      <c r="D14" s="894" t="s">
        <v>118</v>
      </c>
      <c r="E14" s="894" t="s">
        <v>119</v>
      </c>
      <c r="F14" s="784">
        <f>'SWP HU'!R55</f>
        <v>4.0354966361294285E-2</v>
      </c>
      <c r="G14" s="894" t="s">
        <v>104</v>
      </c>
      <c r="H14" s="894" t="s">
        <v>120</v>
      </c>
      <c r="I14" s="895" t="s">
        <v>121</v>
      </c>
      <c r="L14" s="710" t="s">
        <v>122</v>
      </c>
      <c r="M14" s="713">
        <f t="shared" si="0"/>
        <v>7.9876028456309894E-2</v>
      </c>
      <c r="N14" s="713">
        <f>F117+F125+F133+F141+F182</f>
        <v>134.17452333861058</v>
      </c>
    </row>
    <row r="15" spans="2:14">
      <c r="B15" s="892"/>
      <c r="C15" s="710" t="s">
        <v>115</v>
      </c>
      <c r="D15" s="886"/>
      <c r="E15" s="886"/>
      <c r="F15" s="709">
        <f>'SWP HU'!R56</f>
        <v>1.0719287939718797E-2</v>
      </c>
      <c r="G15" s="886"/>
      <c r="H15" s="886"/>
      <c r="I15" s="896"/>
      <c r="L15" s="710" t="s">
        <v>123</v>
      </c>
      <c r="M15" s="713">
        <f t="shared" si="0"/>
        <v>1.9504611599796599E-2</v>
      </c>
      <c r="N15" s="713">
        <f>F118+F126+F183+F191+F199</f>
        <v>73.984857460474061</v>
      </c>
    </row>
    <row r="16" spans="2:14">
      <c r="B16" s="892"/>
      <c r="C16" s="710" t="s">
        <v>116</v>
      </c>
      <c r="D16" s="886"/>
      <c r="E16" s="886"/>
      <c r="F16" s="709">
        <f>'SWP HU'!R57</f>
        <v>1.2610926987904464E-3</v>
      </c>
      <c r="G16" s="886"/>
      <c r="H16" s="886"/>
      <c r="I16" s="896"/>
      <c r="L16" s="710" t="s">
        <v>124</v>
      </c>
      <c r="M16" s="713">
        <f t="shared" si="0"/>
        <v>1.2737036257783508E-2</v>
      </c>
      <c r="N16" s="713">
        <f>F35+F43+F51+F59+F67+F75+F83+F91+F99+F107+F151+F160+F168+F176+F192+F200</f>
        <v>76.279618274280196</v>
      </c>
    </row>
    <row r="17" spans="2:14">
      <c r="B17" s="892"/>
      <c r="C17" s="710" t="s">
        <v>122</v>
      </c>
      <c r="D17" s="886"/>
      <c r="E17" s="886"/>
      <c r="F17" s="709">
        <f>'SWP HU'!R58</f>
        <v>0</v>
      </c>
      <c r="G17" s="886"/>
      <c r="H17" s="886"/>
      <c r="I17" s="896"/>
      <c r="L17" s="710" t="s">
        <v>125</v>
      </c>
      <c r="M17" s="713">
        <f t="shared" si="0"/>
        <v>0</v>
      </c>
      <c r="N17" s="713">
        <f>F120+F128</f>
        <v>3.0268582783617763E-5</v>
      </c>
    </row>
    <row r="18" spans="2:14">
      <c r="B18" s="892"/>
      <c r="C18" s="710" t="s">
        <v>123</v>
      </c>
      <c r="D18" s="886"/>
      <c r="E18" s="886"/>
      <c r="F18" s="709">
        <f>'SWP HU'!R59</f>
        <v>0</v>
      </c>
      <c r="G18" s="886"/>
      <c r="H18" s="886"/>
      <c r="I18" s="896"/>
      <c r="L18" s="710" t="s">
        <v>126</v>
      </c>
      <c r="M18" s="713">
        <f t="shared" si="0"/>
        <v>2824.645050483447</v>
      </c>
      <c r="N18" s="713">
        <f>F37+F45+F53+F61+F69+F77+F85+F93+F101+F109+F121+F129+F137+F145+F153+F162+F170+F178+F186+F194+F202</f>
        <v>238173.41737443206</v>
      </c>
    </row>
    <row r="19" spans="2:14">
      <c r="B19" s="892"/>
      <c r="C19" s="710" t="s">
        <v>124</v>
      </c>
      <c r="D19" s="886"/>
      <c r="E19" s="886"/>
      <c r="F19" s="709">
        <f>'SWP HU'!R60</f>
        <v>1.2737036257783508E-2</v>
      </c>
      <c r="G19" s="886"/>
      <c r="H19" s="886"/>
      <c r="I19" s="896"/>
    </row>
    <row r="20" spans="2:14">
      <c r="B20" s="892"/>
      <c r="C20" s="710" t="s">
        <v>125</v>
      </c>
      <c r="D20" s="886"/>
      <c r="E20" s="886"/>
      <c r="F20" s="709">
        <f>'SWP HU'!R61</f>
        <v>0</v>
      </c>
      <c r="G20" s="886"/>
      <c r="H20" s="886"/>
      <c r="I20" s="896"/>
    </row>
    <row r="21" spans="2:14" ht="13.5" thickBot="1">
      <c r="B21" s="893"/>
      <c r="C21" s="715" t="s">
        <v>126</v>
      </c>
      <c r="D21" s="887"/>
      <c r="E21" s="887"/>
      <c r="F21" s="742">
        <f>'SWP HU'!R62</f>
        <v>1814.5851072240575</v>
      </c>
      <c r="G21" s="887"/>
      <c r="H21" s="887"/>
      <c r="I21" s="897"/>
    </row>
    <row r="22" spans="2:14" ht="13.15" customHeight="1">
      <c r="B22" s="883" t="s">
        <v>127</v>
      </c>
      <c r="C22" s="708" t="s">
        <v>114</v>
      </c>
      <c r="D22" s="886" t="s">
        <v>128</v>
      </c>
      <c r="E22" s="886" t="s">
        <v>119</v>
      </c>
      <c r="F22" s="785">
        <f>'M P'!R55</f>
        <v>2.9721312913975781</v>
      </c>
      <c r="G22" s="886" t="s">
        <v>104</v>
      </c>
      <c r="H22" s="886" t="s">
        <v>120</v>
      </c>
      <c r="I22" s="900" t="s">
        <v>129</v>
      </c>
    </row>
    <row r="23" spans="2:14">
      <c r="B23" s="884"/>
      <c r="C23" s="710" t="s">
        <v>115</v>
      </c>
      <c r="D23" s="886"/>
      <c r="E23" s="886"/>
      <c r="F23" s="785">
        <f>'M P'!R56</f>
        <v>0.76160864342062928</v>
      </c>
      <c r="G23" s="886"/>
      <c r="H23" s="886"/>
      <c r="I23" s="901"/>
    </row>
    <row r="24" spans="2:14">
      <c r="B24" s="884"/>
      <c r="C24" s="710" t="s">
        <v>116</v>
      </c>
      <c r="D24" s="886"/>
      <c r="E24" s="886"/>
      <c r="F24" s="785">
        <f>'M P'!R57</f>
        <v>6.130020788507505E-2</v>
      </c>
      <c r="G24" s="886"/>
      <c r="H24" s="886"/>
      <c r="I24" s="901"/>
    </row>
    <row r="25" spans="2:14">
      <c r="B25" s="884"/>
      <c r="C25" s="710" t="s">
        <v>122</v>
      </c>
      <c r="D25" s="886"/>
      <c r="E25" s="886"/>
      <c r="F25" s="785">
        <f>'M P'!R58</f>
        <v>7.9876028456309894E-2</v>
      </c>
      <c r="G25" s="886"/>
      <c r="H25" s="886"/>
      <c r="I25" s="901"/>
    </row>
    <row r="26" spans="2:14">
      <c r="B26" s="884"/>
      <c r="C26" s="710" t="s">
        <v>123</v>
      </c>
      <c r="D26" s="886"/>
      <c r="E26" s="886"/>
      <c r="F26" s="785">
        <f>'M P'!R59</f>
        <v>1.9504611599796599E-2</v>
      </c>
      <c r="G26" s="886"/>
      <c r="H26" s="886"/>
      <c r="I26" s="901"/>
    </row>
    <row r="27" spans="2:14">
      <c r="B27" s="884"/>
      <c r="C27" s="710" t="s">
        <v>124</v>
      </c>
      <c r="D27" s="886"/>
      <c r="E27" s="886"/>
      <c r="F27" s="785">
        <v>0</v>
      </c>
      <c r="G27" s="886"/>
      <c r="H27" s="886"/>
      <c r="I27" s="901"/>
    </row>
    <row r="28" spans="2:14">
      <c r="B28" s="884"/>
      <c r="C28" s="710" t="s">
        <v>125</v>
      </c>
      <c r="D28" s="886"/>
      <c r="E28" s="886"/>
      <c r="F28" s="785">
        <v>0</v>
      </c>
      <c r="G28" s="886"/>
      <c r="H28" s="886"/>
      <c r="I28" s="901"/>
    </row>
    <row r="29" spans="2:14" ht="13.5" thickBot="1">
      <c r="B29" s="885"/>
      <c r="C29" s="715" t="s">
        <v>126</v>
      </c>
      <c r="D29" s="887"/>
      <c r="E29" s="887"/>
      <c r="F29" s="786">
        <f>'M P'!R62</f>
        <v>1010.0599432593895</v>
      </c>
      <c r="G29" s="887"/>
      <c r="H29" s="887"/>
      <c r="I29" s="902"/>
    </row>
    <row r="30" spans="2:14" ht="12.75" customHeight="1">
      <c r="B30" s="904" t="s">
        <v>130</v>
      </c>
      <c r="C30" s="708" t="s">
        <v>114</v>
      </c>
      <c r="D30" s="894" t="s">
        <v>118</v>
      </c>
      <c r="E30" s="894" t="s">
        <v>119</v>
      </c>
      <c r="F30" s="717">
        <f>'BSG - C'!R55</f>
        <v>5.6553506412224228E-4</v>
      </c>
      <c r="G30" s="894" t="s">
        <v>105</v>
      </c>
      <c r="H30" s="894" t="s">
        <v>120</v>
      </c>
      <c r="I30" s="900" t="s">
        <v>131</v>
      </c>
    </row>
    <row r="31" spans="2:14">
      <c r="B31" s="904"/>
      <c r="C31" s="710" t="s">
        <v>115</v>
      </c>
      <c r="D31" s="886"/>
      <c r="E31" s="886"/>
      <c r="F31" s="717">
        <f>'BSG - C'!R56</f>
        <v>1.5022025140747064E-4</v>
      </c>
      <c r="G31" s="886"/>
      <c r="H31" s="886"/>
      <c r="I31" s="901"/>
    </row>
    <row r="32" spans="2:14">
      <c r="B32" s="904"/>
      <c r="C32" s="710" t="s">
        <v>116</v>
      </c>
      <c r="D32" s="886"/>
      <c r="E32" s="886"/>
      <c r="F32" s="717">
        <f>'BSG - C'!R57</f>
        <v>1.7672970753820071E-5</v>
      </c>
      <c r="G32" s="886"/>
      <c r="H32" s="886"/>
      <c r="I32" s="901"/>
    </row>
    <row r="33" spans="2:9">
      <c r="B33" s="904"/>
      <c r="C33" s="710" t="s">
        <v>122</v>
      </c>
      <c r="D33" s="886"/>
      <c r="E33" s="886"/>
      <c r="F33" s="717" t="s">
        <v>132</v>
      </c>
      <c r="G33" s="886"/>
      <c r="H33" s="886"/>
      <c r="I33" s="901"/>
    </row>
    <row r="34" spans="2:9">
      <c r="B34" s="904"/>
      <c r="C34" s="710" t="s">
        <v>123</v>
      </c>
      <c r="D34" s="886"/>
      <c r="E34" s="886"/>
      <c r="F34" s="717">
        <f>'BSG - C'!R59</f>
        <v>0</v>
      </c>
      <c r="G34" s="886"/>
      <c r="H34" s="886"/>
      <c r="I34" s="901"/>
    </row>
    <row r="35" spans="2:9">
      <c r="B35" s="904"/>
      <c r="C35" s="710" t="s">
        <v>124</v>
      </c>
      <c r="D35" s="886"/>
      <c r="E35" s="886"/>
      <c r="F35" s="717">
        <f>'BSG - C'!R60</f>
        <v>1.7849700461358269E-4</v>
      </c>
      <c r="G35" s="886"/>
      <c r="H35" s="886"/>
      <c r="I35" s="901"/>
    </row>
    <row r="36" spans="2:9">
      <c r="B36" s="904"/>
      <c r="C36" s="710" t="s">
        <v>125</v>
      </c>
      <c r="D36" s="886"/>
      <c r="E36" s="886"/>
      <c r="F36" s="717">
        <f>'BSG - C'!R61</f>
        <v>0</v>
      </c>
      <c r="G36" s="886"/>
      <c r="H36" s="886"/>
      <c r="I36" s="901"/>
    </row>
    <row r="37" spans="2:9" ht="13.5" thickBot="1">
      <c r="B37" s="905"/>
      <c r="C37" s="715" t="s">
        <v>126</v>
      </c>
      <c r="D37" s="887"/>
      <c r="E37" s="887"/>
      <c r="F37" s="719">
        <f>'BSG - C'!R62</f>
        <v>25.429621122259057</v>
      </c>
      <c r="G37" s="887"/>
      <c r="H37" s="887"/>
      <c r="I37" s="902"/>
    </row>
    <row r="38" spans="2:9" ht="14.65" customHeight="1">
      <c r="B38" s="903" t="s">
        <v>133</v>
      </c>
      <c r="C38" s="720" t="s">
        <v>114</v>
      </c>
      <c r="D38" s="894" t="s">
        <v>118</v>
      </c>
      <c r="E38" s="894" t="s">
        <v>119</v>
      </c>
      <c r="F38" s="721">
        <f>'ESG -C'!R55</f>
        <v>3.6081137090999056E-3</v>
      </c>
      <c r="G38" s="894" t="s">
        <v>105</v>
      </c>
      <c r="H38" s="894" t="s">
        <v>120</v>
      </c>
      <c r="I38" s="900" t="s">
        <v>134</v>
      </c>
    </row>
    <row r="39" spans="2:9">
      <c r="B39" s="904"/>
      <c r="C39" s="710" t="s">
        <v>115</v>
      </c>
      <c r="D39" s="886"/>
      <c r="E39" s="886"/>
      <c r="F39" s="722">
        <f>'ESG -C'!R56</f>
        <v>1.7492596955035276E-2</v>
      </c>
      <c r="G39" s="886"/>
      <c r="H39" s="886"/>
      <c r="I39" s="901"/>
    </row>
    <row r="40" spans="2:9">
      <c r="B40" s="904"/>
      <c r="C40" s="710" t="s">
        <v>116</v>
      </c>
      <c r="D40" s="886"/>
      <c r="E40" s="886"/>
      <c r="F40" s="722">
        <f>'ESG -C'!R57</f>
        <v>1394.2293749999999</v>
      </c>
      <c r="G40" s="886"/>
      <c r="H40" s="886"/>
      <c r="I40" s="901"/>
    </row>
    <row r="41" spans="2:9">
      <c r="B41" s="904"/>
      <c r="C41" s="710" t="s">
        <v>122</v>
      </c>
      <c r="D41" s="886"/>
      <c r="E41" s="886"/>
      <c r="F41" s="722">
        <f>'ESG -C'!R58</f>
        <v>0</v>
      </c>
      <c r="G41" s="886"/>
      <c r="H41" s="886"/>
      <c r="I41" s="901"/>
    </row>
    <row r="42" spans="2:9">
      <c r="B42" s="904"/>
      <c r="C42" s="710" t="s">
        <v>123</v>
      </c>
      <c r="D42" s="886"/>
      <c r="E42" s="886"/>
      <c r="F42" s="722">
        <f>'ESG -C'!R59</f>
        <v>0</v>
      </c>
      <c r="G42" s="886"/>
      <c r="H42" s="886"/>
      <c r="I42" s="901"/>
    </row>
    <row r="43" spans="2:9">
      <c r="B43" s="904"/>
      <c r="C43" s="710" t="s">
        <v>124</v>
      </c>
      <c r="D43" s="886"/>
      <c r="E43" s="886"/>
      <c r="F43" s="722">
        <f>'ESG -C'!R60</f>
        <v>1.1388108894346575E-3</v>
      </c>
      <c r="G43" s="886"/>
      <c r="H43" s="886"/>
      <c r="I43" s="901"/>
    </row>
    <row r="44" spans="2:9">
      <c r="B44" s="904"/>
      <c r="C44" s="710" t="s">
        <v>125</v>
      </c>
      <c r="D44" s="886"/>
      <c r="E44" s="886"/>
      <c r="F44" s="722">
        <f>'ESG -C'!R61</f>
        <v>0</v>
      </c>
      <c r="G44" s="886"/>
      <c r="H44" s="886"/>
      <c r="I44" s="901"/>
    </row>
    <row r="45" spans="2:9" ht="12" customHeight="1" thickBot="1">
      <c r="B45" s="905"/>
      <c r="C45" s="715" t="s">
        <v>126</v>
      </c>
      <c r="D45" s="887"/>
      <c r="E45" s="887"/>
      <c r="F45" s="780">
        <f>'ESG -C'!R62</f>
        <v>162.24098276001283</v>
      </c>
      <c r="G45" s="887"/>
      <c r="H45" s="887"/>
      <c r="I45" s="902"/>
    </row>
    <row r="46" spans="2:9" ht="13.15" customHeight="1">
      <c r="B46" s="906" t="s">
        <v>135</v>
      </c>
      <c r="C46" s="720" t="s">
        <v>114</v>
      </c>
      <c r="D46" s="894" t="s">
        <v>118</v>
      </c>
      <c r="E46" s="894" t="s">
        <v>119</v>
      </c>
      <c r="F46" s="726">
        <f>'Precom F P'!R55</f>
        <v>3.8001362117071497E-4</v>
      </c>
      <c r="G46" s="894" t="s">
        <v>105</v>
      </c>
      <c r="H46" s="894" t="s">
        <v>120</v>
      </c>
      <c r="I46" s="900" t="s">
        <v>136</v>
      </c>
    </row>
    <row r="47" spans="2:9">
      <c r="B47" s="907"/>
      <c r="C47" s="710" t="s">
        <v>115</v>
      </c>
      <c r="D47" s="886"/>
      <c r="E47" s="886"/>
      <c r="F47" s="727">
        <f>'Precom F P'!R56</f>
        <v>8.1862344696639284E-5</v>
      </c>
      <c r="G47" s="886"/>
      <c r="H47" s="886"/>
      <c r="I47" s="901"/>
    </row>
    <row r="48" spans="2:9">
      <c r="B48" s="907"/>
      <c r="C48" s="710" t="s">
        <v>116</v>
      </c>
      <c r="D48" s="886"/>
      <c r="E48" s="886"/>
      <c r="F48" s="727">
        <f>'Precom F P'!R57</f>
        <v>2.6712975637850715E-5</v>
      </c>
      <c r="G48" s="886"/>
      <c r="H48" s="886"/>
      <c r="I48" s="901"/>
    </row>
    <row r="49" spans="2:9">
      <c r="B49" s="907"/>
      <c r="C49" s="710" t="s">
        <v>122</v>
      </c>
      <c r="D49" s="886"/>
      <c r="E49" s="886"/>
      <c r="F49" s="727">
        <f>'Precom F P'!R58</f>
        <v>0</v>
      </c>
      <c r="G49" s="886"/>
      <c r="H49" s="886"/>
      <c r="I49" s="901"/>
    </row>
    <row r="50" spans="2:9">
      <c r="B50" s="907"/>
      <c r="C50" s="710" t="s">
        <v>123</v>
      </c>
      <c r="D50" s="886"/>
      <c r="E50" s="886"/>
      <c r="F50" s="727">
        <f>'Precom F P'!R59</f>
        <v>0</v>
      </c>
      <c r="G50" s="886"/>
      <c r="H50" s="886"/>
      <c r="I50" s="901"/>
    </row>
    <row r="51" spans="2:9">
      <c r="B51" s="907"/>
      <c r="C51" s="710" t="s">
        <v>124</v>
      </c>
      <c r="D51" s="886"/>
      <c r="E51" s="886"/>
      <c r="F51" s="727">
        <f>'Precom F P'!R60</f>
        <v>2.4989557854763567E-5</v>
      </c>
      <c r="G51" s="886"/>
      <c r="H51" s="886"/>
      <c r="I51" s="901"/>
    </row>
    <row r="52" spans="2:9">
      <c r="B52" s="907"/>
      <c r="C52" s="710" t="s">
        <v>125</v>
      </c>
      <c r="D52" s="886"/>
      <c r="E52" s="886"/>
      <c r="F52" s="781">
        <f>'Precom F P'!R61</f>
        <v>0</v>
      </c>
      <c r="G52" s="886"/>
      <c r="H52" s="886"/>
      <c r="I52" s="901"/>
    </row>
    <row r="53" spans="2:9" ht="13.5" thickBot="1">
      <c r="B53" s="908"/>
      <c r="C53" s="715" t="s">
        <v>126</v>
      </c>
      <c r="D53" s="887"/>
      <c r="E53" s="887"/>
      <c r="F53" s="728">
        <f>'Precom F P'!R62</f>
        <v>12.399664899364391</v>
      </c>
      <c r="G53" s="887"/>
      <c r="H53" s="887"/>
      <c r="I53" s="902"/>
    </row>
    <row r="54" spans="2:9" ht="13.15" customHeight="1">
      <c r="B54" s="906" t="s">
        <v>137</v>
      </c>
      <c r="C54" s="720" t="s">
        <v>114</v>
      </c>
      <c r="D54" s="894" t="s">
        <v>118</v>
      </c>
      <c r="E54" s="894" t="s">
        <v>119</v>
      </c>
      <c r="F54" s="787">
        <f>'Precom H P'!R55</f>
        <v>5.1904299476975707E-4</v>
      </c>
      <c r="G54" s="894" t="s">
        <v>105</v>
      </c>
      <c r="H54" s="894" t="s">
        <v>120</v>
      </c>
      <c r="I54" s="900" t="s">
        <v>138</v>
      </c>
    </row>
    <row r="55" spans="2:9">
      <c r="B55" s="907"/>
      <c r="C55" s="710" t="s">
        <v>115</v>
      </c>
      <c r="D55" s="886"/>
      <c r="E55" s="886"/>
      <c r="F55" s="727">
        <f>'Precom H P'!R56</f>
        <v>1.1181198300028781E-4</v>
      </c>
      <c r="G55" s="886"/>
      <c r="H55" s="886"/>
      <c r="I55" s="901"/>
    </row>
    <row r="56" spans="2:9">
      <c r="B56" s="907"/>
      <c r="C56" s="710" t="s">
        <v>116</v>
      </c>
      <c r="D56" s="886"/>
      <c r="E56" s="886"/>
      <c r="F56" s="727">
        <f>'Precom H P'!R57</f>
        <v>3.6486015505357079E-5</v>
      </c>
      <c r="G56" s="886"/>
      <c r="H56" s="886"/>
      <c r="I56" s="901"/>
    </row>
    <row r="57" spans="2:9">
      <c r="B57" s="907"/>
      <c r="C57" s="710" t="s">
        <v>122</v>
      </c>
      <c r="D57" s="886"/>
      <c r="E57" s="886"/>
      <c r="F57" s="727">
        <f>'Precom H P'!R58</f>
        <v>0</v>
      </c>
      <c r="G57" s="886"/>
      <c r="H57" s="886"/>
      <c r="I57" s="901"/>
    </row>
    <row r="58" spans="2:9">
      <c r="B58" s="907"/>
      <c r="C58" s="710" t="s">
        <v>123</v>
      </c>
      <c r="D58" s="886"/>
      <c r="E58" s="886"/>
      <c r="F58" s="727">
        <f>'Precom H P'!R59</f>
        <v>0</v>
      </c>
      <c r="G58" s="886"/>
      <c r="H58" s="886"/>
      <c r="I58" s="901"/>
    </row>
    <row r="59" spans="2:9">
      <c r="B59" s="907"/>
      <c r="C59" s="710" t="s">
        <v>124</v>
      </c>
      <c r="D59" s="886"/>
      <c r="E59" s="886"/>
      <c r="F59" s="727">
        <f>'Precom H P'!R60</f>
        <v>3.4132079021140486E-5</v>
      </c>
      <c r="G59" s="886"/>
      <c r="H59" s="886"/>
      <c r="I59" s="901"/>
    </row>
    <row r="60" spans="2:9">
      <c r="B60" s="907"/>
      <c r="C60" s="710" t="s">
        <v>125</v>
      </c>
      <c r="D60" s="886"/>
      <c r="E60" s="886"/>
      <c r="F60" s="781">
        <f>'Precom H P'!R61</f>
        <v>0</v>
      </c>
      <c r="G60" s="886"/>
      <c r="H60" s="886"/>
      <c r="I60" s="901"/>
    </row>
    <row r="61" spans="2:9" ht="13.5" thickBot="1">
      <c r="B61" s="908"/>
      <c r="C61" s="715" t="s">
        <v>126</v>
      </c>
      <c r="D61" s="887"/>
      <c r="E61" s="887"/>
      <c r="F61" s="788">
        <f>'Precom H P'!R62</f>
        <v>16.936127667424532</v>
      </c>
      <c r="G61" s="887"/>
      <c r="H61" s="887"/>
      <c r="I61" s="902"/>
    </row>
    <row r="62" spans="2:9" ht="13.15" customHeight="1">
      <c r="B62" s="906" t="s">
        <v>139</v>
      </c>
      <c r="C62" s="720" t="s">
        <v>114</v>
      </c>
      <c r="D62" s="894" t="s">
        <v>118</v>
      </c>
      <c r="E62" s="894" t="s">
        <v>119</v>
      </c>
      <c r="F62" s="789">
        <f>'Precom DP P'!R55</f>
        <v>9.157401407723571E-3</v>
      </c>
      <c r="G62" s="894" t="s">
        <v>105</v>
      </c>
      <c r="H62" s="894" t="s">
        <v>120</v>
      </c>
      <c r="I62" s="900" t="s">
        <v>140</v>
      </c>
    </row>
    <row r="63" spans="2:9">
      <c r="B63" s="907"/>
      <c r="C63" s="710" t="s">
        <v>115</v>
      </c>
      <c r="D63" s="886"/>
      <c r="E63" s="886"/>
      <c r="F63" s="727">
        <f>'Precom DP P'!R56</f>
        <v>1.9726828429336494E-3</v>
      </c>
      <c r="G63" s="886"/>
      <c r="H63" s="886"/>
      <c r="I63" s="901"/>
    </row>
    <row r="64" spans="2:9">
      <c r="B64" s="907"/>
      <c r="C64" s="710" t="s">
        <v>116</v>
      </c>
      <c r="D64" s="886"/>
      <c r="E64" s="886"/>
      <c r="F64" s="727">
        <f>'Precom DP P'!R57</f>
        <v>6.4371755927308556E-4</v>
      </c>
      <c r="G64" s="886"/>
      <c r="H64" s="886"/>
      <c r="I64" s="901"/>
    </row>
    <row r="65" spans="2:9">
      <c r="B65" s="907"/>
      <c r="C65" s="710" t="s">
        <v>122</v>
      </c>
      <c r="D65" s="886"/>
      <c r="E65" s="886"/>
      <c r="F65" s="727">
        <f>'Precom DP P'!R58</f>
        <v>0</v>
      </c>
      <c r="G65" s="886"/>
      <c r="H65" s="886"/>
      <c r="I65" s="901"/>
    </row>
    <row r="66" spans="2:9">
      <c r="B66" s="907"/>
      <c r="C66" s="710" t="s">
        <v>123</v>
      </c>
      <c r="D66" s="886"/>
      <c r="E66" s="886"/>
      <c r="F66" s="727">
        <f>'Precom DP P'!R59</f>
        <v>0</v>
      </c>
      <c r="G66" s="886"/>
      <c r="H66" s="886"/>
      <c r="I66" s="901"/>
    </row>
    <row r="67" spans="2:9">
      <c r="B67" s="907"/>
      <c r="C67" s="710" t="s">
        <v>124</v>
      </c>
      <c r="D67" s="886"/>
      <c r="E67" s="886"/>
      <c r="F67" s="727">
        <f>'Precom DP P'!R60</f>
        <v>6.0218739415869289E-4</v>
      </c>
      <c r="G67" s="886"/>
      <c r="H67" s="886"/>
      <c r="I67" s="901"/>
    </row>
    <row r="68" spans="2:9">
      <c r="B68" s="907"/>
      <c r="C68" s="710" t="s">
        <v>125</v>
      </c>
      <c r="D68" s="886"/>
      <c r="E68" s="886"/>
      <c r="F68" s="727">
        <f>'Precom DP P'!R61</f>
        <v>0</v>
      </c>
      <c r="G68" s="886"/>
      <c r="H68" s="886"/>
      <c r="I68" s="901"/>
    </row>
    <row r="69" spans="2:9" ht="13.5" thickBot="1">
      <c r="B69" s="908"/>
      <c r="C69" s="715" t="s">
        <v>126</v>
      </c>
      <c r="D69" s="887"/>
      <c r="E69" s="887"/>
      <c r="F69" s="788">
        <f>'Precom DP P'!R62</f>
        <v>298.80168098956142</v>
      </c>
      <c r="G69" s="887"/>
      <c r="H69" s="887"/>
      <c r="I69" s="902"/>
    </row>
    <row r="70" spans="2:9" ht="13.15" customHeight="1">
      <c r="B70" s="906" t="s">
        <v>141</v>
      </c>
      <c r="C70" s="720" t="s">
        <v>114</v>
      </c>
      <c r="D70" s="894" t="s">
        <v>118</v>
      </c>
      <c r="E70" s="894" t="s">
        <v>119</v>
      </c>
      <c r="F70" s="726">
        <f>'Precom F D'!R55</f>
        <v>2.7064162057612761E-4</v>
      </c>
      <c r="G70" s="894" t="s">
        <v>105</v>
      </c>
      <c r="H70" s="894" t="s">
        <v>120</v>
      </c>
      <c r="I70" s="900" t="s">
        <v>142</v>
      </c>
    </row>
    <row r="71" spans="2:9">
      <c r="B71" s="907"/>
      <c r="C71" s="710" t="s">
        <v>115</v>
      </c>
      <c r="D71" s="886"/>
      <c r="E71" s="886"/>
      <c r="F71" s="727">
        <f>'Precom F D'!R56</f>
        <v>5.8301482890549036E-5</v>
      </c>
      <c r="G71" s="886"/>
      <c r="H71" s="886"/>
      <c r="I71" s="901"/>
    </row>
    <row r="72" spans="2:9">
      <c r="B72" s="907"/>
      <c r="C72" s="710" t="s">
        <v>116</v>
      </c>
      <c r="D72" s="886"/>
      <c r="E72" s="886"/>
      <c r="F72" s="727">
        <f>'Precom F D'!R57</f>
        <v>1.9024694416916005E-5</v>
      </c>
      <c r="G72" s="886"/>
      <c r="H72" s="886"/>
      <c r="I72" s="901"/>
    </row>
    <row r="73" spans="2:9">
      <c r="B73" s="907"/>
      <c r="C73" s="710" t="s">
        <v>122</v>
      </c>
      <c r="D73" s="886"/>
      <c r="E73" s="886"/>
      <c r="F73" s="727">
        <f>'Precom F D'!R58</f>
        <v>0</v>
      </c>
      <c r="G73" s="886"/>
      <c r="H73" s="886"/>
      <c r="I73" s="901"/>
    </row>
    <row r="74" spans="2:9">
      <c r="B74" s="907"/>
      <c r="C74" s="710" t="s">
        <v>123</v>
      </c>
      <c r="D74" s="886"/>
      <c r="E74" s="886"/>
      <c r="F74" s="781">
        <f>'Precom F D'!R59</f>
        <v>0</v>
      </c>
      <c r="G74" s="886"/>
      <c r="H74" s="886"/>
      <c r="I74" s="901"/>
    </row>
    <row r="75" spans="2:9">
      <c r="B75" s="907"/>
      <c r="C75" s="710" t="s">
        <v>124</v>
      </c>
      <c r="D75" s="886"/>
      <c r="E75" s="886"/>
      <c r="F75" s="727">
        <f>'Precom F D'!R60</f>
        <v>1.7797294777114968E-5</v>
      </c>
      <c r="G75" s="886"/>
      <c r="H75" s="886"/>
      <c r="I75" s="901"/>
    </row>
    <row r="76" spans="2:9">
      <c r="B76" s="907"/>
      <c r="C76" s="710" t="s">
        <v>125</v>
      </c>
      <c r="D76" s="886"/>
      <c r="E76" s="886"/>
      <c r="F76" s="781">
        <f>'Precom F D'!R61</f>
        <v>0</v>
      </c>
      <c r="G76" s="886"/>
      <c r="H76" s="886"/>
      <c r="I76" s="901"/>
    </row>
    <row r="77" spans="2:9" ht="13.5" thickBot="1">
      <c r="B77" s="908"/>
      <c r="C77" s="715" t="s">
        <v>126</v>
      </c>
      <c r="D77" s="887"/>
      <c r="E77" s="887"/>
      <c r="F77" s="728">
        <f>'Precom F D'!R62</f>
        <v>8.8309081990967293</v>
      </c>
      <c r="G77" s="887"/>
      <c r="H77" s="887"/>
      <c r="I77" s="902"/>
    </row>
    <row r="78" spans="2:9" ht="13.15" customHeight="1">
      <c r="B78" s="906" t="s">
        <v>143</v>
      </c>
      <c r="C78" s="720" t="s">
        <v>114</v>
      </c>
      <c r="D78" s="894" t="s">
        <v>118</v>
      </c>
      <c r="E78" s="894" t="s">
        <v>119</v>
      </c>
      <c r="F78" s="717">
        <f>'Precom H D'!R55</f>
        <v>2.6601231819034331E-4</v>
      </c>
      <c r="G78" s="894" t="s">
        <v>105</v>
      </c>
      <c r="H78" s="894" t="s">
        <v>120</v>
      </c>
      <c r="I78" s="900" t="s">
        <v>144</v>
      </c>
    </row>
    <row r="79" spans="2:9">
      <c r="B79" s="907"/>
      <c r="C79" s="710" t="s">
        <v>115</v>
      </c>
      <c r="D79" s="886"/>
      <c r="E79" s="886"/>
      <c r="F79" s="727">
        <f>'Precom H D'!R56</f>
        <v>5.7304240880005936E-5</v>
      </c>
      <c r="G79" s="886"/>
      <c r="H79" s="886"/>
      <c r="I79" s="901"/>
    </row>
    <row r="80" spans="2:9">
      <c r="B80" s="907"/>
      <c r="C80" s="710" t="s">
        <v>116</v>
      </c>
      <c r="D80" s="886"/>
      <c r="E80" s="886"/>
      <c r="F80" s="727">
        <f>'Precom H D'!R57</f>
        <v>1.869927860294931E-5</v>
      </c>
      <c r="G80" s="886"/>
      <c r="H80" s="886"/>
      <c r="I80" s="901"/>
    </row>
    <row r="81" spans="2:9">
      <c r="B81" s="907"/>
      <c r="C81" s="710" t="s">
        <v>122</v>
      </c>
      <c r="D81" s="886"/>
      <c r="E81" s="886"/>
      <c r="F81" s="727">
        <f>'Precom H D'!R58</f>
        <v>0</v>
      </c>
      <c r="G81" s="886"/>
      <c r="H81" s="886"/>
      <c r="I81" s="901"/>
    </row>
    <row r="82" spans="2:9">
      <c r="B82" s="907"/>
      <c r="C82" s="710" t="s">
        <v>123</v>
      </c>
      <c r="D82" s="886"/>
      <c r="E82" s="886"/>
      <c r="F82" s="781">
        <f>'Precom H D'!R59</f>
        <v>0</v>
      </c>
      <c r="G82" s="886"/>
      <c r="H82" s="886"/>
      <c r="I82" s="901"/>
    </row>
    <row r="83" spans="2:9">
      <c r="B83" s="907"/>
      <c r="C83" s="710" t="s">
        <v>124</v>
      </c>
      <c r="D83" s="886"/>
      <c r="E83" s="886"/>
      <c r="F83" s="727">
        <f>'Precom H D'!R60</f>
        <v>1.7492873531791285E-5</v>
      </c>
      <c r="G83" s="886"/>
      <c r="H83" s="886"/>
      <c r="I83" s="901"/>
    </row>
    <row r="84" spans="2:9">
      <c r="B84" s="909"/>
      <c r="C84" s="710" t="s">
        <v>125</v>
      </c>
      <c r="D84" s="886"/>
      <c r="E84" s="886"/>
      <c r="F84" s="781">
        <f>'Precom H D'!R61</f>
        <v>0</v>
      </c>
      <c r="G84" s="886"/>
      <c r="H84" s="886"/>
      <c r="I84" s="901"/>
    </row>
    <row r="85" spans="2:9" ht="13.5" thickBot="1">
      <c r="B85" s="908"/>
      <c r="C85" s="715" t="s">
        <v>126</v>
      </c>
      <c r="D85" s="887"/>
      <c r="E85" s="887"/>
      <c r="F85" s="728">
        <f>'Precom H D'!R62</f>
        <v>8.6798562496305092</v>
      </c>
      <c r="G85" s="887"/>
      <c r="H85" s="887"/>
      <c r="I85" s="902"/>
    </row>
    <row r="86" spans="2:9" ht="12.75" customHeight="1">
      <c r="B86" s="906" t="s">
        <v>145</v>
      </c>
      <c r="C86" s="720" t="s">
        <v>114</v>
      </c>
      <c r="D86" s="894" t="s">
        <v>118</v>
      </c>
      <c r="E86" s="894" t="s">
        <v>119</v>
      </c>
      <c r="F86" s="717">
        <f>'Precom DP D'!R55</f>
        <v>2.7338736024515631E-2</v>
      </c>
      <c r="G86" s="894" t="s">
        <v>105</v>
      </c>
      <c r="H86" s="894" t="s">
        <v>120</v>
      </c>
      <c r="I86" s="900" t="s">
        <v>146</v>
      </c>
    </row>
    <row r="87" spans="2:9">
      <c r="B87" s="907"/>
      <c r="C87" s="710" t="s">
        <v>115</v>
      </c>
      <c r="D87" s="886"/>
      <c r="E87" s="886"/>
      <c r="F87" s="727">
        <f>'Precom DP D'!R56</f>
        <v>5.8892968760294456E-3</v>
      </c>
      <c r="G87" s="886"/>
      <c r="H87" s="886"/>
      <c r="I87" s="901"/>
    </row>
    <row r="88" spans="2:9">
      <c r="B88" s="907"/>
      <c r="C88" s="710" t="s">
        <v>116</v>
      </c>
      <c r="D88" s="886"/>
      <c r="E88" s="886"/>
      <c r="F88" s="727">
        <f>'Precom DP D'!R57</f>
        <v>1.9217705595464506E-3</v>
      </c>
      <c r="G88" s="886"/>
      <c r="H88" s="886"/>
      <c r="I88" s="901"/>
    </row>
    <row r="89" spans="2:9">
      <c r="B89" s="907"/>
      <c r="C89" s="710" t="s">
        <v>122</v>
      </c>
      <c r="D89" s="886"/>
      <c r="E89" s="886"/>
      <c r="F89" s="727">
        <f>'Precom DP D'!R58</f>
        <v>0</v>
      </c>
      <c r="G89" s="886"/>
      <c r="H89" s="886"/>
      <c r="I89" s="901"/>
    </row>
    <row r="90" spans="2:9">
      <c r="B90" s="907"/>
      <c r="C90" s="710" t="s">
        <v>123</v>
      </c>
      <c r="D90" s="886"/>
      <c r="E90" s="886"/>
      <c r="F90" s="727">
        <f>'Precom DP D'!R59</f>
        <v>0</v>
      </c>
      <c r="G90" s="886"/>
      <c r="H90" s="886"/>
      <c r="I90" s="901"/>
    </row>
    <row r="91" spans="2:9">
      <c r="B91" s="907"/>
      <c r="C91" s="710" t="s">
        <v>124</v>
      </c>
      <c r="D91" s="886"/>
      <c r="E91" s="886"/>
      <c r="F91" s="727">
        <f>'Precom DP D'!R60</f>
        <v>1.7977853621563566E-3</v>
      </c>
      <c r="G91" s="886"/>
      <c r="H91" s="886"/>
      <c r="I91" s="901"/>
    </row>
    <row r="92" spans="2:9">
      <c r="B92" s="909"/>
      <c r="C92" s="710" t="s">
        <v>125</v>
      </c>
      <c r="D92" s="886"/>
      <c r="E92" s="886"/>
      <c r="F92" s="727">
        <f>'Precom DP D'!R61</f>
        <v>0</v>
      </c>
      <c r="G92" s="886"/>
      <c r="H92" s="886"/>
      <c r="I92" s="901"/>
    </row>
    <row r="93" spans="2:9" ht="13.5" thickBot="1">
      <c r="B93" s="908"/>
      <c r="C93" s="715" t="s">
        <v>126</v>
      </c>
      <c r="D93" s="887"/>
      <c r="E93" s="887"/>
      <c r="F93" s="728">
        <f>'Precom DP D'!R62</f>
        <v>892.05003871134659</v>
      </c>
      <c r="G93" s="887"/>
      <c r="H93" s="887"/>
      <c r="I93" s="902"/>
    </row>
    <row r="94" spans="2:9" ht="12.75" customHeight="1">
      <c r="B94" s="906" t="s">
        <v>147</v>
      </c>
      <c r="C94" s="720" t="s">
        <v>114</v>
      </c>
      <c r="D94" s="894" t="s">
        <v>118</v>
      </c>
      <c r="E94" s="894" t="s">
        <v>119</v>
      </c>
      <c r="F94" s="790">
        <f>'Precom F GPP'!R55</f>
        <v>8.5085642638112614E-4</v>
      </c>
      <c r="G94" s="894" t="s">
        <v>105</v>
      </c>
      <c r="H94" s="894" t="s">
        <v>120</v>
      </c>
      <c r="I94" s="900" t="s">
        <v>148</v>
      </c>
    </row>
    <row r="95" spans="2:9">
      <c r="B95" s="907"/>
      <c r="C95" s="710" t="s">
        <v>115</v>
      </c>
      <c r="D95" s="886"/>
      <c r="E95" s="886"/>
      <c r="F95" s="790">
        <f>'Precom F GPP'!R56</f>
        <v>1.8329106690749883E-4</v>
      </c>
      <c r="G95" s="886"/>
      <c r="H95" s="886"/>
      <c r="I95" s="901"/>
    </row>
    <row r="96" spans="2:9">
      <c r="B96" s="907"/>
      <c r="C96" s="710" t="s">
        <v>116</v>
      </c>
      <c r="D96" s="886"/>
      <c r="E96" s="886"/>
      <c r="F96" s="791">
        <f>'Precom F GPP'!R57</f>
        <v>5.9810769201394364E-5</v>
      </c>
      <c r="G96" s="886"/>
      <c r="H96" s="886"/>
      <c r="I96" s="901"/>
    </row>
    <row r="97" spans="2:9">
      <c r="B97" s="907"/>
      <c r="C97" s="710" t="s">
        <v>122</v>
      </c>
      <c r="D97" s="886"/>
      <c r="E97" s="886"/>
      <c r="F97" s="790">
        <f>'Precom F GPP'!R58</f>
        <v>0</v>
      </c>
      <c r="G97" s="886"/>
      <c r="H97" s="886"/>
      <c r="I97" s="901"/>
    </row>
    <row r="98" spans="2:9">
      <c r="B98" s="907"/>
      <c r="C98" s="710" t="s">
        <v>123</v>
      </c>
      <c r="D98" s="886"/>
      <c r="E98" s="886"/>
      <c r="F98" s="790">
        <f>'Precom F GPP'!R59</f>
        <v>0</v>
      </c>
      <c r="G98" s="886"/>
      <c r="H98" s="886"/>
      <c r="I98" s="901"/>
    </row>
    <row r="99" spans="2:9">
      <c r="B99" s="907"/>
      <c r="C99" s="710" t="s">
        <v>124</v>
      </c>
      <c r="D99" s="886"/>
      <c r="E99" s="886"/>
      <c r="F99" s="790">
        <f>'Precom F GPP'!R60</f>
        <v>5.5952009898078582E-5</v>
      </c>
      <c r="G99" s="886"/>
      <c r="H99" s="886"/>
      <c r="I99" s="901"/>
    </row>
    <row r="100" spans="2:9">
      <c r="B100" s="909"/>
      <c r="C100" s="710" t="s">
        <v>125</v>
      </c>
      <c r="D100" s="886"/>
      <c r="E100" s="886"/>
      <c r="F100" s="790">
        <f>'Precom F GPP'!R61</f>
        <v>0</v>
      </c>
      <c r="G100" s="886"/>
      <c r="H100" s="886"/>
      <c r="I100" s="901"/>
    </row>
    <row r="101" spans="2:9" ht="13.5" thickBot="1">
      <c r="B101" s="908"/>
      <c r="C101" s="715" t="s">
        <v>126</v>
      </c>
      <c r="D101" s="887"/>
      <c r="E101" s="887"/>
      <c r="F101" s="792">
        <f>'Precom F GPP'!R62</f>
        <v>27.763043156437554</v>
      </c>
      <c r="G101" s="887"/>
      <c r="H101" s="887"/>
      <c r="I101" s="902"/>
    </row>
    <row r="102" spans="2:9" ht="12.75" customHeight="1">
      <c r="B102" s="906" t="s">
        <v>149</v>
      </c>
      <c r="C102" s="720" t="s">
        <v>114</v>
      </c>
      <c r="D102" s="894" t="s">
        <v>118</v>
      </c>
      <c r="E102" s="894" t="s">
        <v>119</v>
      </c>
      <c r="F102" s="790">
        <f>'Precom L GPP'!R55</f>
        <v>1.9464112303865889E-4</v>
      </c>
      <c r="G102" s="894" t="s">
        <v>105</v>
      </c>
      <c r="H102" s="894" t="s">
        <v>120</v>
      </c>
      <c r="I102" s="900" t="s">
        <v>150</v>
      </c>
    </row>
    <row r="103" spans="2:9">
      <c r="B103" s="907"/>
      <c r="C103" s="710" t="s">
        <v>115</v>
      </c>
      <c r="D103" s="886"/>
      <c r="E103" s="886"/>
      <c r="F103" s="790">
        <f>'Precom L GPP'!R56</f>
        <v>4.1929493625107923E-5</v>
      </c>
      <c r="G103" s="886"/>
      <c r="H103" s="886"/>
      <c r="I103" s="901"/>
    </row>
    <row r="104" spans="2:9">
      <c r="B104" s="907"/>
      <c r="C104" s="710" t="s">
        <v>116</v>
      </c>
      <c r="D104" s="886"/>
      <c r="E104" s="886"/>
      <c r="F104" s="790">
        <f>'Precom L GPP'!R57</f>
        <v>1.3682255814508906E-5</v>
      </c>
      <c r="G104" s="886"/>
      <c r="H104" s="886"/>
      <c r="I104" s="901"/>
    </row>
    <row r="105" spans="2:9">
      <c r="B105" s="907"/>
      <c r="C105" s="710" t="s">
        <v>122</v>
      </c>
      <c r="D105" s="886"/>
      <c r="E105" s="886"/>
      <c r="F105" s="790">
        <f>'Precom L GPP'!R58</f>
        <v>0</v>
      </c>
      <c r="G105" s="886"/>
      <c r="H105" s="886"/>
      <c r="I105" s="901"/>
    </row>
    <row r="106" spans="2:9">
      <c r="B106" s="907"/>
      <c r="C106" s="710" t="s">
        <v>123</v>
      </c>
      <c r="D106" s="886"/>
      <c r="E106" s="886"/>
      <c r="F106" s="793">
        <f>'Precom L GPP'!R59</f>
        <v>0</v>
      </c>
      <c r="G106" s="886"/>
      <c r="H106" s="886"/>
      <c r="I106" s="901"/>
    </row>
    <row r="107" spans="2:9">
      <c r="B107" s="907"/>
      <c r="C107" s="710" t="s">
        <v>124</v>
      </c>
      <c r="D107" s="886"/>
      <c r="E107" s="886"/>
      <c r="F107" s="793">
        <f>'Precom L GPP'!R60</f>
        <v>1.2799529632927683E-5</v>
      </c>
      <c r="G107" s="886"/>
      <c r="H107" s="886"/>
      <c r="I107" s="901"/>
    </row>
    <row r="108" spans="2:9">
      <c r="B108" s="909"/>
      <c r="C108" s="710" t="s">
        <v>125</v>
      </c>
      <c r="D108" s="886"/>
      <c r="E108" s="886"/>
      <c r="F108" s="793">
        <f>'Precom L GPP'!R61</f>
        <v>0</v>
      </c>
      <c r="G108" s="886"/>
      <c r="H108" s="886"/>
      <c r="I108" s="901"/>
    </row>
    <row r="109" spans="2:9" ht="13.5" thickBot="1">
      <c r="B109" s="908"/>
      <c r="C109" s="715" t="s">
        <v>126</v>
      </c>
      <c r="D109" s="887"/>
      <c r="E109" s="887"/>
      <c r="F109" s="792">
        <f>'Precom L GPP'!R62</f>
        <v>6.3510478752841992</v>
      </c>
      <c r="G109" s="887"/>
      <c r="H109" s="887"/>
      <c r="I109" s="902"/>
    </row>
    <row r="110" spans="2:9" ht="18.75" hidden="1" customHeight="1">
      <c r="B110" s="916" t="s">
        <v>151</v>
      </c>
      <c r="C110" s="708" t="s">
        <v>122</v>
      </c>
      <c r="D110" s="894" t="s">
        <v>152</v>
      </c>
      <c r="E110" s="894" t="s">
        <v>152</v>
      </c>
      <c r="F110" s="794" t="s">
        <v>152</v>
      </c>
      <c r="G110" s="894" t="s">
        <v>152</v>
      </c>
      <c r="H110" s="894" t="s">
        <v>152</v>
      </c>
      <c r="I110" s="919" t="s">
        <v>153</v>
      </c>
    </row>
    <row r="111" spans="2:9" ht="18.75" hidden="1" customHeight="1">
      <c r="B111" s="917"/>
      <c r="C111" s="795" t="s">
        <v>123</v>
      </c>
      <c r="D111" s="886"/>
      <c r="E111" s="886"/>
      <c r="F111" s="796" t="s">
        <v>152</v>
      </c>
      <c r="G111" s="886"/>
      <c r="H111" s="886"/>
      <c r="I111" s="920"/>
    </row>
    <row r="112" spans="2:9" ht="18.75" hidden="1" customHeight="1" thickBot="1">
      <c r="B112" s="918"/>
      <c r="C112" s="724" t="s">
        <v>126</v>
      </c>
      <c r="D112" s="886"/>
      <c r="E112" s="886"/>
      <c r="F112" s="725" t="s">
        <v>152</v>
      </c>
      <c r="G112" s="886"/>
      <c r="H112" s="886"/>
      <c r="I112" s="921"/>
    </row>
    <row r="113" spans="2:11" ht="26.1" hidden="1" customHeight="1">
      <c r="B113" s="797" t="s">
        <v>154</v>
      </c>
      <c r="C113" s="798" t="s">
        <v>155</v>
      </c>
      <c r="D113" s="798" t="s">
        <v>156</v>
      </c>
      <c r="E113" s="798" t="s">
        <v>119</v>
      </c>
      <c r="F113" s="799">
        <v>0</v>
      </c>
      <c r="G113" s="798" t="s">
        <v>157</v>
      </c>
      <c r="H113" s="798" t="s">
        <v>120</v>
      </c>
      <c r="I113" s="800" t="s">
        <v>158</v>
      </c>
    </row>
    <row r="114" spans="2:11" ht="12.75" customHeight="1">
      <c r="B114" s="910" t="s">
        <v>159</v>
      </c>
      <c r="C114" s="720" t="s">
        <v>114</v>
      </c>
      <c r="D114" s="913" t="s">
        <v>128</v>
      </c>
      <c r="E114" s="913" t="s">
        <v>119</v>
      </c>
      <c r="F114" s="801">
        <f>'LP FP'!R55</f>
        <v>5.711053355399575E-4</v>
      </c>
      <c r="G114" s="894" t="s">
        <v>105</v>
      </c>
      <c r="H114" s="894" t="s">
        <v>120</v>
      </c>
      <c r="I114" s="895" t="s">
        <v>160</v>
      </c>
      <c r="K114" s="624" t="s">
        <v>161</v>
      </c>
    </row>
    <row r="115" spans="2:11" ht="12.75" customHeight="1">
      <c r="B115" s="911"/>
      <c r="C115" s="710" t="s">
        <v>115</v>
      </c>
      <c r="D115" s="914"/>
      <c r="E115" s="914"/>
      <c r="F115" s="802">
        <f>'LP FP'!R56</f>
        <v>1.4277633388498938E-4</v>
      </c>
      <c r="G115" s="886"/>
      <c r="H115" s="886"/>
      <c r="I115" s="896"/>
      <c r="K115" s="624" t="s">
        <v>162</v>
      </c>
    </row>
    <row r="116" spans="2:11" ht="12.75" customHeight="1">
      <c r="B116" s="911"/>
      <c r="C116" s="710" t="s">
        <v>116</v>
      </c>
      <c r="D116" s="914"/>
      <c r="E116" s="914"/>
      <c r="F116" s="802">
        <f>'LP FP'!R57</f>
        <v>1.9988686743898515E-4</v>
      </c>
      <c r="G116" s="886"/>
      <c r="H116" s="886"/>
      <c r="I116" s="896"/>
      <c r="K116" s="624" t="s">
        <v>163</v>
      </c>
    </row>
    <row r="117" spans="2:11" ht="12.75" customHeight="1">
      <c r="B117" s="911"/>
      <c r="C117" s="710" t="s">
        <v>122</v>
      </c>
      <c r="D117" s="914"/>
      <c r="E117" s="914"/>
      <c r="F117" s="803">
        <f>'LP FP'!R58</f>
        <v>1.6039207795971943E-3</v>
      </c>
      <c r="G117" s="886"/>
      <c r="H117" s="886"/>
      <c r="I117" s="896"/>
    </row>
    <row r="118" spans="2:11" ht="12.75" customHeight="1">
      <c r="B118" s="911"/>
      <c r="C118" s="710" t="s">
        <v>123</v>
      </c>
      <c r="D118" s="914"/>
      <c r="E118" s="914"/>
      <c r="F118" s="804">
        <f>'LP FP'!R59</f>
        <v>2.9697477448077805E-5</v>
      </c>
      <c r="G118" s="886"/>
      <c r="H118" s="886"/>
      <c r="I118" s="896"/>
      <c r="K118" s="624" t="s">
        <v>164</v>
      </c>
    </row>
    <row r="119" spans="2:11" ht="12.75" customHeight="1">
      <c r="B119" s="911"/>
      <c r="C119" s="710" t="s">
        <v>124</v>
      </c>
      <c r="D119" s="914"/>
      <c r="E119" s="914"/>
      <c r="F119" s="804">
        <f>'LP FP'!R60</f>
        <v>0</v>
      </c>
      <c r="G119" s="886"/>
      <c r="H119" s="886"/>
      <c r="I119" s="896"/>
      <c r="K119" s="624" t="s">
        <v>165</v>
      </c>
    </row>
    <row r="120" spans="2:11" ht="12.75" customHeight="1">
      <c r="B120" s="911"/>
      <c r="C120" s="710" t="s">
        <v>125</v>
      </c>
      <c r="D120" s="914"/>
      <c r="E120" s="914"/>
      <c r="F120" s="804">
        <f>'LP FP'!R61</f>
        <v>1.5134291391808882E-5</v>
      </c>
      <c r="G120" s="886"/>
      <c r="H120" s="886"/>
      <c r="I120" s="896"/>
      <c r="K120" s="624" t="s">
        <v>163</v>
      </c>
    </row>
    <row r="121" spans="2:11" ht="12.75" customHeight="1" thickBot="1">
      <c r="B121" s="912"/>
      <c r="C121" s="715" t="s">
        <v>126</v>
      </c>
      <c r="D121" s="915"/>
      <c r="E121" s="915"/>
      <c r="F121" s="805">
        <f>'LP FP'!R62</f>
        <v>0.49191231002892349</v>
      </c>
      <c r="G121" s="887"/>
      <c r="H121" s="887"/>
      <c r="I121" s="897"/>
    </row>
    <row r="122" spans="2:11" ht="12.75" customHeight="1">
      <c r="B122" s="928" t="s">
        <v>166</v>
      </c>
      <c r="C122" s="708" t="s">
        <v>114</v>
      </c>
      <c r="D122" s="931" t="s">
        <v>128</v>
      </c>
      <c r="E122" s="931" t="s">
        <v>119</v>
      </c>
      <c r="F122" s="803">
        <f>'HP FP'!R55</f>
        <v>5.711053355399575E-4</v>
      </c>
      <c r="G122" s="886" t="s">
        <v>105</v>
      </c>
      <c r="H122" s="886" t="s">
        <v>120</v>
      </c>
      <c r="I122" s="933" t="s">
        <v>167</v>
      </c>
    </row>
    <row r="123" spans="2:11" ht="12.75" customHeight="1">
      <c r="B123" s="929"/>
      <c r="C123" s="710" t="s">
        <v>115</v>
      </c>
      <c r="D123" s="914"/>
      <c r="E123" s="914"/>
      <c r="F123" s="802">
        <f>'HP FP'!R56</f>
        <v>1.4277633388498938E-4</v>
      </c>
      <c r="G123" s="886"/>
      <c r="H123" s="886"/>
      <c r="I123" s="901"/>
    </row>
    <row r="124" spans="2:11" ht="12.75" customHeight="1">
      <c r="B124" s="929"/>
      <c r="C124" s="710" t="s">
        <v>116</v>
      </c>
      <c r="D124" s="914"/>
      <c r="E124" s="914"/>
      <c r="F124" s="802">
        <f>'HP FP'!R57</f>
        <v>1.9988686743898515E-4</v>
      </c>
      <c r="G124" s="886"/>
      <c r="H124" s="886"/>
      <c r="I124" s="901"/>
    </row>
    <row r="125" spans="2:11" ht="12.75" customHeight="1">
      <c r="B125" s="929"/>
      <c r="C125" s="710" t="s">
        <v>122</v>
      </c>
      <c r="D125" s="914"/>
      <c r="E125" s="914"/>
      <c r="F125" s="803">
        <f>'HP FP'!R58</f>
        <v>1.6039207795971943E-3</v>
      </c>
      <c r="G125" s="886"/>
      <c r="H125" s="886"/>
      <c r="I125" s="901"/>
    </row>
    <row r="126" spans="2:11" ht="12.75" customHeight="1">
      <c r="B126" s="929"/>
      <c r="C126" s="710" t="s">
        <v>123</v>
      </c>
      <c r="D126" s="914"/>
      <c r="E126" s="914"/>
      <c r="F126" s="804">
        <f>'HP FP'!R59</f>
        <v>2.9697477448077805E-5</v>
      </c>
      <c r="G126" s="886"/>
      <c r="H126" s="886"/>
      <c r="I126" s="901"/>
    </row>
    <row r="127" spans="2:11" ht="12.75" customHeight="1">
      <c r="B127" s="929"/>
      <c r="C127" s="710" t="s">
        <v>124</v>
      </c>
      <c r="D127" s="914"/>
      <c r="E127" s="914"/>
      <c r="F127" s="804">
        <f>'HP FP'!R60</f>
        <v>0</v>
      </c>
      <c r="G127" s="886"/>
      <c r="H127" s="886"/>
      <c r="I127" s="901"/>
    </row>
    <row r="128" spans="2:11" ht="12.75" customHeight="1">
      <c r="B128" s="929"/>
      <c r="C128" s="710" t="s">
        <v>125</v>
      </c>
      <c r="D128" s="914"/>
      <c r="E128" s="914"/>
      <c r="F128" s="804">
        <f>'HP FP'!R61</f>
        <v>1.5134291391808882E-5</v>
      </c>
      <c r="G128" s="886"/>
      <c r="H128" s="886"/>
      <c r="I128" s="901"/>
    </row>
    <row r="129" spans="2:9" ht="12.75" customHeight="1" thickBot="1">
      <c r="B129" s="930"/>
      <c r="C129" s="724" t="s">
        <v>126</v>
      </c>
      <c r="D129" s="932"/>
      <c r="E129" s="932"/>
      <c r="F129" s="806">
        <f>'HP FP'!R62</f>
        <v>0.49191231002892349</v>
      </c>
      <c r="G129" s="886"/>
      <c r="H129" s="886"/>
      <c r="I129" s="901"/>
    </row>
    <row r="130" spans="2:9" ht="13.15" customHeight="1">
      <c r="B130" s="910" t="s">
        <v>168</v>
      </c>
      <c r="C130" s="807" t="s">
        <v>114</v>
      </c>
      <c r="D130" s="922" t="s">
        <v>156</v>
      </c>
      <c r="E130" s="922" t="s">
        <v>119</v>
      </c>
      <c r="F130" s="808">
        <f>'HP ICS'!P55</f>
        <v>25.049358064285762</v>
      </c>
      <c r="G130" s="922" t="s">
        <v>105</v>
      </c>
      <c r="H130" s="922" t="s">
        <v>120</v>
      </c>
      <c r="I130" s="925" t="s">
        <v>169</v>
      </c>
    </row>
    <row r="131" spans="2:9">
      <c r="B131" s="911"/>
      <c r="C131" s="809" t="s">
        <v>115</v>
      </c>
      <c r="D131" s="923"/>
      <c r="E131" s="923"/>
      <c r="F131" s="802">
        <f>'HP ICS'!P56</f>
        <v>136.29797770273132</v>
      </c>
      <c r="G131" s="923"/>
      <c r="H131" s="923"/>
      <c r="I131" s="926"/>
    </row>
    <row r="132" spans="2:9">
      <c r="B132" s="911"/>
      <c r="C132" s="809" t="s">
        <v>116</v>
      </c>
      <c r="D132" s="923"/>
      <c r="E132" s="923"/>
      <c r="F132" s="802">
        <f>'HP ICS'!P57</f>
        <v>0.85415607992984155</v>
      </c>
      <c r="G132" s="923"/>
      <c r="H132" s="923"/>
      <c r="I132" s="926"/>
    </row>
    <row r="133" spans="2:9">
      <c r="B133" s="911"/>
      <c r="C133" s="809" t="s">
        <v>122</v>
      </c>
      <c r="D133" s="923"/>
      <c r="E133" s="923"/>
      <c r="F133" s="803">
        <f>'HP ICS'!P58</f>
        <v>51.572207779411876</v>
      </c>
      <c r="G133" s="923"/>
      <c r="H133" s="923"/>
      <c r="I133" s="926"/>
    </row>
    <row r="134" spans="2:9">
      <c r="B134" s="911"/>
      <c r="C134" s="809" t="s">
        <v>123</v>
      </c>
      <c r="D134" s="923"/>
      <c r="E134" s="923"/>
      <c r="F134" s="804">
        <f>'HP ICS'!P59</f>
        <v>0</v>
      </c>
      <c r="G134" s="923"/>
      <c r="H134" s="923"/>
      <c r="I134" s="926"/>
    </row>
    <row r="135" spans="2:9">
      <c r="B135" s="911"/>
      <c r="C135" s="809" t="s">
        <v>124</v>
      </c>
      <c r="D135" s="923"/>
      <c r="E135" s="923"/>
      <c r="F135" s="804">
        <f>'HP ICS'!P60</f>
        <v>0</v>
      </c>
      <c r="G135" s="923"/>
      <c r="H135" s="923"/>
      <c r="I135" s="926"/>
    </row>
    <row r="136" spans="2:9" ht="13.15" customHeight="1">
      <c r="B136" s="911"/>
      <c r="C136" s="809" t="s">
        <v>125</v>
      </c>
      <c r="D136" s="923"/>
      <c r="E136" s="923"/>
      <c r="F136" s="804">
        <f>'HP ICS'!P61</f>
        <v>0</v>
      </c>
      <c r="G136" s="923"/>
      <c r="H136" s="923"/>
      <c r="I136" s="926"/>
    </row>
    <row r="137" spans="2:9" ht="13.5" thickBot="1">
      <c r="B137" s="912"/>
      <c r="C137" s="810" t="s">
        <v>126</v>
      </c>
      <c r="D137" s="924"/>
      <c r="E137" s="924"/>
      <c r="F137" s="811">
        <f>'HP ICS'!P62</f>
        <v>40992.692502410289</v>
      </c>
      <c r="G137" s="924"/>
      <c r="H137" s="924"/>
      <c r="I137" s="927"/>
    </row>
    <row r="138" spans="2:9" ht="13.15" customHeight="1">
      <c r="B138" s="937" t="s">
        <v>170</v>
      </c>
      <c r="C138" s="812" t="s">
        <v>114</v>
      </c>
      <c r="D138" s="935" t="s">
        <v>156</v>
      </c>
      <c r="E138" s="935" t="s">
        <v>119</v>
      </c>
      <c r="F138" s="803">
        <f>DFP!P55</f>
        <v>8.3497860214285868</v>
      </c>
      <c r="G138" s="923" t="s">
        <v>105</v>
      </c>
      <c r="H138" s="923" t="s">
        <v>120</v>
      </c>
      <c r="I138" s="933" t="s">
        <v>171</v>
      </c>
    </row>
    <row r="139" spans="2:9" ht="13.15" customHeight="1">
      <c r="B139" s="937"/>
      <c r="C139" s="809" t="s">
        <v>115</v>
      </c>
      <c r="D139" s="935"/>
      <c r="E139" s="935"/>
      <c r="F139" s="803">
        <f>DFP!P56</f>
        <v>45.432659234243779</v>
      </c>
      <c r="G139" s="923"/>
      <c r="H139" s="923"/>
      <c r="I139" s="901"/>
    </row>
    <row r="140" spans="2:9" ht="13.15" customHeight="1">
      <c r="B140" s="937"/>
      <c r="C140" s="809" t="s">
        <v>116</v>
      </c>
      <c r="D140" s="935"/>
      <c r="E140" s="935"/>
      <c r="F140" s="803">
        <f>DFP!P57</f>
        <v>0.2847186933099472</v>
      </c>
      <c r="G140" s="923"/>
      <c r="H140" s="923"/>
      <c r="I140" s="901"/>
    </row>
    <row r="141" spans="2:9" ht="13.15" customHeight="1">
      <c r="B141" s="937"/>
      <c r="C141" s="809" t="s">
        <v>122</v>
      </c>
      <c r="D141" s="935"/>
      <c r="E141" s="935"/>
      <c r="F141" s="803">
        <f>DFP!P58</f>
        <v>17.190735926470623</v>
      </c>
      <c r="G141" s="923"/>
      <c r="H141" s="923"/>
      <c r="I141" s="901"/>
    </row>
    <row r="142" spans="2:9" ht="13.15" customHeight="1">
      <c r="B142" s="937"/>
      <c r="C142" s="809" t="s">
        <v>123</v>
      </c>
      <c r="D142" s="935"/>
      <c r="E142" s="935"/>
      <c r="F142" s="803">
        <f>DFP!P59</f>
        <v>0</v>
      </c>
      <c r="G142" s="923"/>
      <c r="H142" s="923"/>
      <c r="I142" s="901"/>
    </row>
    <row r="143" spans="2:9" ht="13.15" customHeight="1">
      <c r="B143" s="937"/>
      <c r="C143" s="809" t="s">
        <v>124</v>
      </c>
      <c r="D143" s="935"/>
      <c r="E143" s="935"/>
      <c r="F143" s="803">
        <f>DFP!P60</f>
        <v>0</v>
      </c>
      <c r="G143" s="923"/>
      <c r="H143" s="923"/>
      <c r="I143" s="901"/>
    </row>
    <row r="144" spans="2:9" ht="13.15" customHeight="1">
      <c r="B144" s="937"/>
      <c r="C144" s="809" t="s">
        <v>125</v>
      </c>
      <c r="D144" s="935"/>
      <c r="E144" s="935"/>
      <c r="F144" s="803">
        <f>DFP!P61</f>
        <v>0</v>
      </c>
      <c r="G144" s="923"/>
      <c r="H144" s="923"/>
      <c r="I144" s="901"/>
    </row>
    <row r="145" spans="2:9" ht="13.15" customHeight="1" thickBot="1">
      <c r="B145" s="938"/>
      <c r="C145" s="810" t="s">
        <v>126</v>
      </c>
      <c r="D145" s="936"/>
      <c r="E145" s="936"/>
      <c r="F145" s="813">
        <f>DFP!P62</f>
        <v>13664.230834136764</v>
      </c>
      <c r="G145" s="924"/>
      <c r="H145" s="924"/>
      <c r="I145" s="902"/>
    </row>
    <row r="146" spans="2:9" ht="12.75" customHeight="1">
      <c r="B146" s="903" t="s">
        <v>172</v>
      </c>
      <c r="C146" s="807" t="s">
        <v>114</v>
      </c>
      <c r="D146" s="934" t="s">
        <v>118</v>
      </c>
      <c r="E146" s="934" t="s">
        <v>119</v>
      </c>
      <c r="F146" s="790">
        <f>'Precom F O'!R55</f>
        <v>3.8928224607731777E-4</v>
      </c>
      <c r="G146" s="922" t="s">
        <v>105</v>
      </c>
      <c r="H146" s="922" t="s">
        <v>120</v>
      </c>
      <c r="I146" s="900" t="s">
        <v>173</v>
      </c>
    </row>
    <row r="147" spans="2:9">
      <c r="B147" s="904"/>
      <c r="C147" s="809" t="s">
        <v>115</v>
      </c>
      <c r="D147" s="935"/>
      <c r="E147" s="935"/>
      <c r="F147" s="790">
        <f>'Precom F O'!R56</f>
        <v>8.3858987250215846E-5</v>
      </c>
      <c r="G147" s="923"/>
      <c r="H147" s="923"/>
      <c r="I147" s="901"/>
    </row>
    <row r="148" spans="2:9">
      <c r="B148" s="904"/>
      <c r="C148" s="809" t="s">
        <v>116</v>
      </c>
      <c r="D148" s="935"/>
      <c r="E148" s="935"/>
      <c r="F148" s="790">
        <f>'Precom F O'!R57</f>
        <v>2.7364511629017812E-5</v>
      </c>
      <c r="G148" s="923"/>
      <c r="H148" s="923"/>
      <c r="I148" s="901"/>
    </row>
    <row r="149" spans="2:9">
      <c r="B149" s="904"/>
      <c r="C149" s="809" t="s">
        <v>122</v>
      </c>
      <c r="D149" s="935"/>
      <c r="E149" s="935"/>
      <c r="F149" s="790">
        <f>'Precom F O'!R58</f>
        <v>0</v>
      </c>
      <c r="G149" s="923"/>
      <c r="H149" s="923"/>
      <c r="I149" s="901"/>
    </row>
    <row r="150" spans="2:9">
      <c r="B150" s="904"/>
      <c r="C150" s="809" t="s">
        <v>123</v>
      </c>
      <c r="D150" s="935"/>
      <c r="E150" s="935"/>
      <c r="F150" s="790">
        <f>'Precom F O'!R59</f>
        <v>0</v>
      </c>
      <c r="G150" s="923"/>
      <c r="H150" s="923"/>
      <c r="I150" s="901"/>
    </row>
    <row r="151" spans="2:9">
      <c r="B151" s="904"/>
      <c r="C151" s="809" t="s">
        <v>124</v>
      </c>
      <c r="D151" s="935"/>
      <c r="E151" s="935"/>
      <c r="F151" s="790">
        <f>'Precom F O'!R60</f>
        <v>2.5599059265855366E-5</v>
      </c>
      <c r="G151" s="923"/>
      <c r="H151" s="923"/>
      <c r="I151" s="901"/>
    </row>
    <row r="152" spans="2:9">
      <c r="B152" s="904"/>
      <c r="C152" s="809" t="s">
        <v>125</v>
      </c>
      <c r="D152" s="935"/>
      <c r="E152" s="935"/>
      <c r="F152" s="793">
        <f>'Precom F O'!R61</f>
        <v>0</v>
      </c>
      <c r="G152" s="923"/>
      <c r="H152" s="923"/>
      <c r="I152" s="901"/>
    </row>
    <row r="153" spans="2:9" ht="13.5" thickBot="1">
      <c r="B153" s="905"/>
      <c r="C153" s="810" t="s">
        <v>126</v>
      </c>
      <c r="D153" s="936"/>
      <c r="E153" s="936"/>
      <c r="F153" s="788">
        <f>'Precom F O'!R62</f>
        <v>12.702095750568398</v>
      </c>
      <c r="G153" s="924"/>
      <c r="H153" s="924"/>
      <c r="I153" s="902"/>
    </row>
    <row r="154" spans="2:9" ht="37.15" hidden="1" customHeight="1" thickBot="1">
      <c r="B154" s="814" t="s">
        <v>174</v>
      </c>
      <c r="C154" s="735" t="s">
        <v>175</v>
      </c>
      <c r="D154" s="735" t="s">
        <v>156</v>
      </c>
      <c r="E154" s="735" t="s">
        <v>119</v>
      </c>
      <c r="F154" s="736" t="e">
        <f>#REF!*1000</f>
        <v>#REF!</v>
      </c>
      <c r="G154" s="735" t="s">
        <v>104</v>
      </c>
      <c r="H154" s="735" t="s">
        <v>120</v>
      </c>
      <c r="I154" s="737" t="s">
        <v>176</v>
      </c>
    </row>
    <row r="155" spans="2:9" ht="13.15" customHeight="1">
      <c r="B155" s="903" t="s">
        <v>177</v>
      </c>
      <c r="C155" s="807" t="s">
        <v>114</v>
      </c>
      <c r="D155" s="934" t="s">
        <v>118</v>
      </c>
      <c r="E155" s="934" t="s">
        <v>119</v>
      </c>
      <c r="F155" s="790">
        <f>'Precom H O'!R55</f>
        <v>2.9196168455798829E-3</v>
      </c>
      <c r="G155" s="922" t="s">
        <v>105</v>
      </c>
      <c r="H155" s="922" t="s">
        <v>120</v>
      </c>
      <c r="I155" s="900" t="s">
        <v>178</v>
      </c>
    </row>
    <row r="156" spans="2:9">
      <c r="B156" s="904"/>
      <c r="C156" s="809" t="s">
        <v>115</v>
      </c>
      <c r="D156" s="935"/>
      <c r="E156" s="935"/>
      <c r="F156" s="790">
        <f>'Precom H O'!R56</f>
        <v>6.2894240437661895E-4</v>
      </c>
      <c r="G156" s="923"/>
      <c r="H156" s="923"/>
      <c r="I156" s="901"/>
    </row>
    <row r="157" spans="2:9">
      <c r="B157" s="904"/>
      <c r="C157" s="809" t="s">
        <v>116</v>
      </c>
      <c r="D157" s="935"/>
      <c r="E157" s="935"/>
      <c r="F157" s="790">
        <f>'Precom H O'!R57</f>
        <v>2.052338372176336E-4</v>
      </c>
      <c r="G157" s="923"/>
      <c r="H157" s="923"/>
      <c r="I157" s="901"/>
    </row>
    <row r="158" spans="2:9">
      <c r="B158" s="904"/>
      <c r="C158" s="809" t="s">
        <v>122</v>
      </c>
      <c r="D158" s="935"/>
      <c r="E158" s="935"/>
      <c r="F158" s="790">
        <f>'Precom H O'!R58</f>
        <v>0</v>
      </c>
      <c r="G158" s="923"/>
      <c r="H158" s="923"/>
      <c r="I158" s="901"/>
    </row>
    <row r="159" spans="2:9">
      <c r="B159" s="904"/>
      <c r="C159" s="809" t="s">
        <v>123</v>
      </c>
      <c r="D159" s="935"/>
      <c r="E159" s="935"/>
      <c r="F159" s="790">
        <f>'Precom H O'!R59</f>
        <v>0</v>
      </c>
      <c r="G159" s="923"/>
      <c r="H159" s="923"/>
      <c r="I159" s="901"/>
    </row>
    <row r="160" spans="2:9">
      <c r="B160" s="904"/>
      <c r="C160" s="809" t="s">
        <v>124</v>
      </c>
      <c r="D160" s="935"/>
      <c r="E160" s="935"/>
      <c r="F160" s="790">
        <f>'Precom H O'!R60</f>
        <v>1.9199294449391525E-4</v>
      </c>
      <c r="G160" s="923"/>
      <c r="H160" s="923"/>
      <c r="I160" s="901"/>
    </row>
    <row r="161" spans="2:9">
      <c r="B161" s="904"/>
      <c r="C161" s="809" t="s">
        <v>125</v>
      </c>
      <c r="D161" s="935"/>
      <c r="E161" s="935"/>
      <c r="F161" s="793">
        <f>'Precom H O'!R61</f>
        <v>0</v>
      </c>
      <c r="G161" s="923"/>
      <c r="H161" s="923"/>
      <c r="I161" s="901"/>
    </row>
    <row r="162" spans="2:9" ht="13.5" thickBot="1">
      <c r="B162" s="905"/>
      <c r="C162" s="810" t="s">
        <v>126</v>
      </c>
      <c r="D162" s="936"/>
      <c r="E162" s="936"/>
      <c r="F162" s="779">
        <f>'Precom H O'!R62</f>
        <v>95.265718129262993</v>
      </c>
      <c r="G162" s="924"/>
      <c r="H162" s="924"/>
      <c r="I162" s="902"/>
    </row>
    <row r="163" spans="2:9" ht="13.15" customHeight="1">
      <c r="B163" s="903" t="s">
        <v>179</v>
      </c>
      <c r="C163" s="807" t="s">
        <v>114</v>
      </c>
      <c r="D163" s="934" t="s">
        <v>118</v>
      </c>
      <c r="E163" s="934" t="s">
        <v>119</v>
      </c>
      <c r="F163" s="790">
        <f>'Precom D O'!R55</f>
        <v>6.1484350180440357E-2</v>
      </c>
      <c r="G163" s="922" t="s">
        <v>105</v>
      </c>
      <c r="H163" s="922" t="s">
        <v>120</v>
      </c>
      <c r="I163" s="900" t="s">
        <v>180</v>
      </c>
    </row>
    <row r="164" spans="2:9">
      <c r="B164" s="904"/>
      <c r="C164" s="809" t="s">
        <v>115</v>
      </c>
      <c r="D164" s="935"/>
      <c r="E164" s="935"/>
      <c r="F164" s="790">
        <f>'Precom D O'!R56</f>
        <v>1.3244928043405522E-2</v>
      </c>
      <c r="G164" s="923"/>
      <c r="H164" s="923"/>
      <c r="I164" s="901"/>
    </row>
    <row r="165" spans="2:9">
      <c r="B165" s="904"/>
      <c r="C165" s="809" t="s">
        <v>116</v>
      </c>
      <c r="D165" s="935"/>
      <c r="E165" s="935"/>
      <c r="F165" s="790">
        <f>'Precom D O'!R57</f>
        <v>4.3220291510060131E-3</v>
      </c>
      <c r="G165" s="923"/>
      <c r="H165" s="923"/>
      <c r="I165" s="901"/>
    </row>
    <row r="166" spans="2:9">
      <c r="B166" s="904"/>
      <c r="C166" s="809" t="s">
        <v>122</v>
      </c>
      <c r="D166" s="935"/>
      <c r="E166" s="935"/>
      <c r="F166" s="790">
        <f>'Precom D O'!R58</f>
        <v>0</v>
      </c>
      <c r="G166" s="923"/>
      <c r="H166" s="923"/>
      <c r="I166" s="901"/>
    </row>
    <row r="167" spans="2:9">
      <c r="B167" s="904"/>
      <c r="C167" s="809" t="s">
        <v>123</v>
      </c>
      <c r="D167" s="935"/>
      <c r="E167" s="935"/>
      <c r="F167" s="790">
        <f>'Precom D O'!R59</f>
        <v>0</v>
      </c>
      <c r="G167" s="923"/>
      <c r="H167" s="923"/>
      <c r="I167" s="901"/>
    </row>
    <row r="168" spans="2:9">
      <c r="B168" s="904"/>
      <c r="C168" s="809" t="s">
        <v>124</v>
      </c>
      <c r="D168" s="935"/>
      <c r="E168" s="935"/>
      <c r="F168" s="790">
        <f>'Precom D O'!R60</f>
        <v>4.0431885606185261E-3</v>
      </c>
      <c r="G168" s="923"/>
      <c r="H168" s="923"/>
      <c r="I168" s="901"/>
    </row>
    <row r="169" spans="2:9">
      <c r="B169" s="904"/>
      <c r="C169" s="809" t="s">
        <v>125</v>
      </c>
      <c r="D169" s="935"/>
      <c r="E169" s="935"/>
      <c r="F169" s="793">
        <f>'Precom D O'!R61</f>
        <v>0</v>
      </c>
      <c r="G169" s="923"/>
      <c r="H169" s="923"/>
      <c r="I169" s="901"/>
    </row>
    <row r="170" spans="2:9" ht="13.5" thickBot="1">
      <c r="B170" s="905"/>
      <c r="C170" s="810" t="s">
        <v>126</v>
      </c>
      <c r="D170" s="936"/>
      <c r="E170" s="936"/>
      <c r="F170" s="779">
        <f>'Precom D O'!R62</f>
        <v>2006.2052945469177</v>
      </c>
      <c r="G170" s="924"/>
      <c r="H170" s="924"/>
      <c r="I170" s="902"/>
    </row>
    <row r="171" spans="2:9" ht="13.15" customHeight="1">
      <c r="B171" s="903" t="s">
        <v>181</v>
      </c>
      <c r="C171" s="807" t="s">
        <v>114</v>
      </c>
      <c r="D171" s="934" t="s">
        <v>118</v>
      </c>
      <c r="E171" s="934" t="s">
        <v>119</v>
      </c>
      <c r="F171" s="790">
        <f>OPE!R55</f>
        <v>1.401416085878344</v>
      </c>
      <c r="G171" s="922" t="s">
        <v>105</v>
      </c>
      <c r="H171" s="922" t="s">
        <v>120</v>
      </c>
      <c r="I171" s="900" t="s">
        <v>182</v>
      </c>
    </row>
    <row r="172" spans="2:9">
      <c r="B172" s="904"/>
      <c r="C172" s="809" t="s">
        <v>115</v>
      </c>
      <c r="D172" s="935"/>
      <c r="E172" s="935"/>
      <c r="F172" s="790">
        <f>OPE!R56</f>
        <v>0.30189235410077708</v>
      </c>
      <c r="G172" s="923"/>
      <c r="H172" s="923"/>
      <c r="I172" s="901"/>
    </row>
    <row r="173" spans="2:9">
      <c r="B173" s="904"/>
      <c r="C173" s="809" t="s">
        <v>116</v>
      </c>
      <c r="D173" s="935"/>
      <c r="E173" s="935"/>
      <c r="F173" s="790">
        <f>OPE!R57</f>
        <v>9.8512241864464112E-2</v>
      </c>
      <c r="G173" s="923"/>
      <c r="H173" s="923"/>
      <c r="I173" s="901"/>
    </row>
    <row r="174" spans="2:9">
      <c r="B174" s="904"/>
      <c r="C174" s="809" t="s">
        <v>122</v>
      </c>
      <c r="D174" s="935"/>
      <c r="E174" s="935"/>
      <c r="F174" s="790">
        <f>OPE!R58</f>
        <v>0</v>
      </c>
      <c r="G174" s="923"/>
      <c r="H174" s="923"/>
      <c r="I174" s="901"/>
    </row>
    <row r="175" spans="2:9">
      <c r="B175" s="904"/>
      <c r="C175" s="809" t="s">
        <v>123</v>
      </c>
      <c r="D175" s="935"/>
      <c r="E175" s="935"/>
      <c r="F175" s="790">
        <f>OPE!R59</f>
        <v>0</v>
      </c>
      <c r="G175" s="923"/>
      <c r="H175" s="923"/>
      <c r="I175" s="901"/>
    </row>
    <row r="176" spans="2:9">
      <c r="B176" s="904"/>
      <c r="C176" s="809" t="s">
        <v>124</v>
      </c>
      <c r="D176" s="935"/>
      <c r="E176" s="935"/>
      <c r="F176" s="790">
        <f>OPE!R60</f>
        <v>9.2156613357079309E-2</v>
      </c>
      <c r="G176" s="923"/>
      <c r="H176" s="923"/>
      <c r="I176" s="901"/>
    </row>
    <row r="177" spans="2:9">
      <c r="B177" s="904"/>
      <c r="C177" s="809" t="s">
        <v>125</v>
      </c>
      <c r="D177" s="935"/>
      <c r="E177" s="935"/>
      <c r="F177" s="793">
        <f>OPE!R61</f>
        <v>0</v>
      </c>
      <c r="G177" s="923"/>
      <c r="H177" s="923"/>
      <c r="I177" s="901"/>
    </row>
    <row r="178" spans="2:9" ht="13.5" thickBot="1">
      <c r="B178" s="905"/>
      <c r="C178" s="810" t="s">
        <v>126</v>
      </c>
      <c r="D178" s="936"/>
      <c r="E178" s="936"/>
      <c r="F178" s="733">
        <f>OPE!R62</f>
        <v>45727.544702046245</v>
      </c>
      <c r="G178" s="924"/>
      <c r="H178" s="924"/>
      <c r="I178" s="902"/>
    </row>
    <row r="179" spans="2:9" ht="13.15" customHeight="1">
      <c r="B179" s="939" t="s">
        <v>183</v>
      </c>
      <c r="C179" s="807" t="s">
        <v>114</v>
      </c>
      <c r="D179" s="934" t="s">
        <v>156</v>
      </c>
      <c r="E179" s="934" t="s">
        <v>119</v>
      </c>
      <c r="F179" s="815">
        <v>0</v>
      </c>
      <c r="G179" s="922" t="s">
        <v>105</v>
      </c>
      <c r="H179" s="922" t="s">
        <v>120</v>
      </c>
      <c r="I179" s="895" t="s">
        <v>184</v>
      </c>
    </row>
    <row r="180" spans="2:9">
      <c r="B180" s="940"/>
      <c r="C180" s="809" t="s">
        <v>115</v>
      </c>
      <c r="D180" s="935"/>
      <c r="E180" s="935"/>
      <c r="F180" s="790">
        <v>0</v>
      </c>
      <c r="G180" s="923"/>
      <c r="H180" s="923"/>
      <c r="I180" s="896"/>
    </row>
    <row r="181" spans="2:9">
      <c r="B181" s="940"/>
      <c r="C181" s="809" t="s">
        <v>116</v>
      </c>
      <c r="D181" s="935"/>
      <c r="E181" s="935"/>
      <c r="F181" s="790">
        <v>0</v>
      </c>
      <c r="G181" s="923"/>
      <c r="H181" s="923"/>
      <c r="I181" s="896"/>
    </row>
    <row r="182" spans="2:9">
      <c r="B182" s="940"/>
      <c r="C182" s="809" t="s">
        <v>122</v>
      </c>
      <c r="D182" s="935"/>
      <c r="E182" s="935"/>
      <c r="F182" s="790">
        <f>'V SUG'!P19</f>
        <v>65.408371791168875</v>
      </c>
      <c r="G182" s="923"/>
      <c r="H182" s="923"/>
      <c r="I182" s="896"/>
    </row>
    <row r="183" spans="2:9">
      <c r="B183" s="940"/>
      <c r="C183" s="809" t="s">
        <v>123</v>
      </c>
      <c r="D183" s="935"/>
      <c r="E183" s="935"/>
      <c r="F183" s="790">
        <f>SUM('V SUG'!P21:Q33)</f>
        <v>0.44754977461008927</v>
      </c>
      <c r="G183" s="923"/>
      <c r="H183" s="923"/>
      <c r="I183" s="896"/>
    </row>
    <row r="184" spans="2:9">
      <c r="B184" s="940"/>
      <c r="C184" s="809" t="s">
        <v>124</v>
      </c>
      <c r="D184" s="935"/>
      <c r="E184" s="935"/>
      <c r="F184" s="790">
        <v>0</v>
      </c>
      <c r="G184" s="923"/>
      <c r="H184" s="923"/>
      <c r="I184" s="896"/>
    </row>
    <row r="185" spans="2:9">
      <c r="B185" s="940"/>
      <c r="C185" s="809" t="s">
        <v>125</v>
      </c>
      <c r="D185" s="935"/>
      <c r="E185" s="935"/>
      <c r="F185" s="790">
        <v>0</v>
      </c>
      <c r="G185" s="923"/>
      <c r="H185" s="923"/>
      <c r="I185" s="896"/>
    </row>
    <row r="186" spans="2:9" ht="13.5" thickBot="1">
      <c r="B186" s="941"/>
      <c r="C186" s="810" t="s">
        <v>126</v>
      </c>
      <c r="D186" s="936"/>
      <c r="E186" s="936"/>
      <c r="F186" s="816">
        <f>'V SUG'!P35</f>
        <v>0.14407843422104621</v>
      </c>
      <c r="G186" s="924"/>
      <c r="H186" s="924"/>
      <c r="I186" s="897"/>
    </row>
    <row r="187" spans="2:9" ht="13.15" customHeight="1">
      <c r="B187" s="904" t="s">
        <v>185</v>
      </c>
      <c r="C187" s="812" t="s">
        <v>114</v>
      </c>
      <c r="D187" s="935" t="s">
        <v>186</v>
      </c>
      <c r="E187" s="935" t="s">
        <v>119</v>
      </c>
      <c r="F187" s="790">
        <f>'T H'!I23</f>
        <v>6.3841745454545448E-2</v>
      </c>
      <c r="G187" s="923" t="s">
        <v>105</v>
      </c>
      <c r="H187" s="923" t="s">
        <v>120</v>
      </c>
      <c r="I187" s="933" t="s">
        <v>187</v>
      </c>
    </row>
    <row r="188" spans="2:9">
      <c r="B188" s="904"/>
      <c r="C188" s="809" t="s">
        <v>115</v>
      </c>
      <c r="D188" s="935"/>
      <c r="E188" s="935"/>
      <c r="F188" s="790">
        <f>'T H'!I24</f>
        <v>19.152523636363636</v>
      </c>
      <c r="G188" s="923"/>
      <c r="H188" s="923"/>
      <c r="I188" s="901"/>
    </row>
    <row r="189" spans="2:9">
      <c r="B189" s="904"/>
      <c r="C189" s="809" t="s">
        <v>116</v>
      </c>
      <c r="D189" s="935"/>
      <c r="E189" s="935"/>
      <c r="F189" s="790" t="s">
        <v>132</v>
      </c>
      <c r="G189" s="923"/>
      <c r="H189" s="923"/>
      <c r="I189" s="901"/>
    </row>
    <row r="190" spans="2:9">
      <c r="B190" s="904"/>
      <c r="C190" s="809" t="s">
        <v>122</v>
      </c>
      <c r="D190" s="935"/>
      <c r="E190" s="935"/>
      <c r="F190" s="790" t="s">
        <v>132</v>
      </c>
      <c r="G190" s="923"/>
      <c r="H190" s="923"/>
      <c r="I190" s="901"/>
    </row>
    <row r="191" spans="2:9">
      <c r="B191" s="904"/>
      <c r="C191" s="809" t="s">
        <v>123</v>
      </c>
      <c r="D191" s="935"/>
      <c r="E191" s="935"/>
      <c r="F191" s="790">
        <f>'T H'!I25</f>
        <v>0.30324829090909089</v>
      </c>
      <c r="G191" s="923"/>
      <c r="H191" s="923"/>
      <c r="I191" s="901"/>
    </row>
    <row r="192" spans="2:9">
      <c r="B192" s="904"/>
      <c r="C192" s="809" t="s">
        <v>124</v>
      </c>
      <c r="D192" s="935"/>
      <c r="E192" s="935"/>
      <c r="F192" s="791">
        <f>'T H'!I26</f>
        <v>1.5960436363636362E-2</v>
      </c>
      <c r="G192" s="923"/>
      <c r="H192" s="923"/>
      <c r="I192" s="901"/>
    </row>
    <row r="193" spans="2:9">
      <c r="B193" s="904"/>
      <c r="C193" s="809" t="s">
        <v>125</v>
      </c>
      <c r="D193" s="935"/>
      <c r="E193" s="935"/>
      <c r="F193" s="793" t="s">
        <v>132</v>
      </c>
      <c r="G193" s="923"/>
      <c r="H193" s="923"/>
      <c r="I193" s="901"/>
    </row>
    <row r="194" spans="2:9" ht="13.5" thickBot="1">
      <c r="B194" s="905"/>
      <c r="C194" s="810" t="s">
        <v>126</v>
      </c>
      <c r="D194" s="936"/>
      <c r="E194" s="936"/>
      <c r="F194" s="733">
        <f>'T H'!I27</f>
        <v>49.477352727272731</v>
      </c>
      <c r="G194" s="924"/>
      <c r="H194" s="924"/>
      <c r="I194" s="902"/>
    </row>
    <row r="195" spans="2:9" ht="13.15" customHeight="1">
      <c r="B195" s="903" t="s">
        <v>188</v>
      </c>
      <c r="C195" s="807" t="s">
        <v>114</v>
      </c>
      <c r="D195" s="934" t="s">
        <v>189</v>
      </c>
      <c r="E195" s="934" t="s">
        <v>119</v>
      </c>
      <c r="F195" s="790">
        <f>'T Vs'!V26</f>
        <v>3021.4255999999996</v>
      </c>
      <c r="G195" s="922" t="s">
        <v>105</v>
      </c>
      <c r="H195" s="922" t="s">
        <v>120</v>
      </c>
      <c r="I195" s="900" t="s">
        <v>190</v>
      </c>
    </row>
    <row r="196" spans="2:9">
      <c r="B196" s="904"/>
      <c r="C196" s="809" t="s">
        <v>115</v>
      </c>
      <c r="D196" s="935"/>
      <c r="E196" s="935"/>
      <c r="F196" s="790">
        <f>'T Vs'!V27</f>
        <v>160.69631999999999</v>
      </c>
      <c r="G196" s="923"/>
      <c r="H196" s="923"/>
      <c r="I196" s="901"/>
    </row>
    <row r="197" spans="2:9">
      <c r="B197" s="904"/>
      <c r="C197" s="809" t="s">
        <v>116</v>
      </c>
      <c r="D197" s="935"/>
      <c r="E197" s="935"/>
      <c r="F197" s="790" t="s">
        <v>132</v>
      </c>
      <c r="G197" s="923"/>
      <c r="H197" s="923"/>
      <c r="I197" s="901"/>
    </row>
    <row r="198" spans="2:9">
      <c r="B198" s="904"/>
      <c r="C198" s="809" t="s">
        <v>122</v>
      </c>
      <c r="D198" s="935"/>
      <c r="E198" s="935"/>
      <c r="F198" s="790" t="s">
        <v>132</v>
      </c>
      <c r="G198" s="923"/>
      <c r="H198" s="923"/>
      <c r="I198" s="901"/>
    </row>
    <row r="199" spans="2:9">
      <c r="B199" s="904"/>
      <c r="C199" s="809" t="s">
        <v>123</v>
      </c>
      <c r="D199" s="935"/>
      <c r="E199" s="935"/>
      <c r="F199" s="790">
        <f>'T Vs'!V28</f>
        <v>73.23399999999998</v>
      </c>
      <c r="G199" s="923"/>
      <c r="H199" s="923"/>
      <c r="I199" s="901"/>
    </row>
    <row r="200" spans="2:9">
      <c r="B200" s="904"/>
      <c r="C200" s="809" t="s">
        <v>124</v>
      </c>
      <c r="D200" s="935"/>
      <c r="E200" s="935"/>
      <c r="F200" s="791">
        <f>'T Vs'!V29</f>
        <v>76.163360000000026</v>
      </c>
      <c r="G200" s="923"/>
      <c r="H200" s="923"/>
      <c r="I200" s="901"/>
    </row>
    <row r="201" spans="2:9">
      <c r="B201" s="904"/>
      <c r="C201" s="809" t="s">
        <v>125</v>
      </c>
      <c r="D201" s="935"/>
      <c r="E201" s="935"/>
      <c r="F201" s="793" t="s">
        <v>132</v>
      </c>
      <c r="G201" s="923"/>
      <c r="H201" s="923"/>
      <c r="I201" s="901"/>
    </row>
    <row r="202" spans="2:9" ht="13.5" thickBot="1">
      <c r="B202" s="905"/>
      <c r="C202" s="810" t="s">
        <v>126</v>
      </c>
      <c r="D202" s="936"/>
      <c r="E202" s="936"/>
      <c r="F202" s="733">
        <f>'T Vs'!V30</f>
        <v>134164.68800000002</v>
      </c>
      <c r="G202" s="924"/>
      <c r="H202" s="924"/>
      <c r="I202" s="902"/>
    </row>
  </sheetData>
  <sheetProtection algorithmName="SHA-512" hashValue="RR48AzjZDKTwPScjlKQKMYkJWzmqb55UhfYIAuPw6vErxala3PeVOmLWzIyOW3GNcftlCMYg3m4aicPU2pWZnA==" saltValue="PhETlfE6AMPWevnHBWzqtA==" spinCount="100000" sheet="1" objects="1" scenarios="1" selectLockedCells="1" selectUnlockedCells="1"/>
  <mergeCells count="155">
    <mergeCell ref="B195:B202"/>
    <mergeCell ref="D195:D202"/>
    <mergeCell ref="E195:E202"/>
    <mergeCell ref="G195:G202"/>
    <mergeCell ref="H195:H202"/>
    <mergeCell ref="I195:I202"/>
    <mergeCell ref="B179:B186"/>
    <mergeCell ref="D179:D186"/>
    <mergeCell ref="E179:E186"/>
    <mergeCell ref="G179:G186"/>
    <mergeCell ref="H179:H186"/>
    <mergeCell ref="I179:I186"/>
    <mergeCell ref="B171:B178"/>
    <mergeCell ref="D171:D178"/>
    <mergeCell ref="E171:E178"/>
    <mergeCell ref="G171:G178"/>
    <mergeCell ref="H171:H178"/>
    <mergeCell ref="I171:I178"/>
    <mergeCell ref="B187:B194"/>
    <mergeCell ref="D187:D194"/>
    <mergeCell ref="E187:E194"/>
    <mergeCell ref="G187:G194"/>
    <mergeCell ref="H187:H194"/>
    <mergeCell ref="I187:I194"/>
    <mergeCell ref="B146:B153"/>
    <mergeCell ref="D146:D153"/>
    <mergeCell ref="E146:E153"/>
    <mergeCell ref="G146:G153"/>
    <mergeCell ref="H146:H153"/>
    <mergeCell ref="I146:I153"/>
    <mergeCell ref="B138:B145"/>
    <mergeCell ref="D138:D145"/>
    <mergeCell ref="E138:E145"/>
    <mergeCell ref="G138:G145"/>
    <mergeCell ref="H138:H145"/>
    <mergeCell ref="I138:I145"/>
    <mergeCell ref="B155:B162"/>
    <mergeCell ref="D155:D162"/>
    <mergeCell ref="E155:E162"/>
    <mergeCell ref="G155:G162"/>
    <mergeCell ref="H155:H162"/>
    <mergeCell ref="I155:I162"/>
    <mergeCell ref="B163:B170"/>
    <mergeCell ref="D163:D170"/>
    <mergeCell ref="E163:E170"/>
    <mergeCell ref="G163:G170"/>
    <mergeCell ref="H163:H170"/>
    <mergeCell ref="I163:I170"/>
    <mergeCell ref="B130:B137"/>
    <mergeCell ref="D130:D137"/>
    <mergeCell ref="E130:E137"/>
    <mergeCell ref="G130:G137"/>
    <mergeCell ref="H130:H137"/>
    <mergeCell ref="I130:I137"/>
    <mergeCell ref="B122:B129"/>
    <mergeCell ref="D122:D129"/>
    <mergeCell ref="E122:E129"/>
    <mergeCell ref="G122:G129"/>
    <mergeCell ref="H122:H129"/>
    <mergeCell ref="I122:I129"/>
    <mergeCell ref="B114:B121"/>
    <mergeCell ref="D114:D121"/>
    <mergeCell ref="E114:E121"/>
    <mergeCell ref="G114:G121"/>
    <mergeCell ref="H114:H121"/>
    <mergeCell ref="I114:I121"/>
    <mergeCell ref="B110:B112"/>
    <mergeCell ref="D110:D112"/>
    <mergeCell ref="E110:E112"/>
    <mergeCell ref="G110:G112"/>
    <mergeCell ref="H110:H112"/>
    <mergeCell ref="I110:I112"/>
    <mergeCell ref="B102:B109"/>
    <mergeCell ref="D102:D109"/>
    <mergeCell ref="E102:E109"/>
    <mergeCell ref="G102:G109"/>
    <mergeCell ref="H102:H109"/>
    <mergeCell ref="I102:I109"/>
    <mergeCell ref="B94:B101"/>
    <mergeCell ref="D94:D101"/>
    <mergeCell ref="E94:E101"/>
    <mergeCell ref="G94:G101"/>
    <mergeCell ref="H94:H101"/>
    <mergeCell ref="I94:I101"/>
    <mergeCell ref="B86:B93"/>
    <mergeCell ref="D86:D93"/>
    <mergeCell ref="E86:E93"/>
    <mergeCell ref="G86:G93"/>
    <mergeCell ref="H86:H93"/>
    <mergeCell ref="I86:I93"/>
    <mergeCell ref="B78:B85"/>
    <mergeCell ref="D78:D85"/>
    <mergeCell ref="E78:E85"/>
    <mergeCell ref="G78:G85"/>
    <mergeCell ref="H78:H85"/>
    <mergeCell ref="I78:I85"/>
    <mergeCell ref="B70:B77"/>
    <mergeCell ref="D70:D77"/>
    <mergeCell ref="E70:E77"/>
    <mergeCell ref="G70:G77"/>
    <mergeCell ref="H70:H77"/>
    <mergeCell ref="I70:I77"/>
    <mergeCell ref="B62:B69"/>
    <mergeCell ref="D62:D69"/>
    <mergeCell ref="E62:E69"/>
    <mergeCell ref="G62:G69"/>
    <mergeCell ref="H62:H69"/>
    <mergeCell ref="I62:I69"/>
    <mergeCell ref="B54:B61"/>
    <mergeCell ref="D54:D61"/>
    <mergeCell ref="E54:E61"/>
    <mergeCell ref="G54:G61"/>
    <mergeCell ref="H54:H61"/>
    <mergeCell ref="I54:I61"/>
    <mergeCell ref="B46:B53"/>
    <mergeCell ref="D46:D53"/>
    <mergeCell ref="E46:E53"/>
    <mergeCell ref="G46:G53"/>
    <mergeCell ref="H46:H53"/>
    <mergeCell ref="I46:I53"/>
    <mergeCell ref="B38:B45"/>
    <mergeCell ref="D38:D45"/>
    <mergeCell ref="E38:E45"/>
    <mergeCell ref="G38:G45"/>
    <mergeCell ref="H38:H45"/>
    <mergeCell ref="I38:I45"/>
    <mergeCell ref="B30:B37"/>
    <mergeCell ref="D30:D37"/>
    <mergeCell ref="E30:E37"/>
    <mergeCell ref="G30:G37"/>
    <mergeCell ref="H30:H37"/>
    <mergeCell ref="I30:I37"/>
    <mergeCell ref="L8:L10"/>
    <mergeCell ref="M8:M9"/>
    <mergeCell ref="N8:N9"/>
    <mergeCell ref="B22:B29"/>
    <mergeCell ref="D22:D29"/>
    <mergeCell ref="E22:E29"/>
    <mergeCell ref="G22:G29"/>
    <mergeCell ref="H11:H13"/>
    <mergeCell ref="I11:I13"/>
    <mergeCell ref="B14:B21"/>
    <mergeCell ref="D14:D21"/>
    <mergeCell ref="E14:E21"/>
    <mergeCell ref="G14:G21"/>
    <mergeCell ref="H14:H21"/>
    <mergeCell ref="I14:I21"/>
    <mergeCell ref="B11:B13"/>
    <mergeCell ref="C11:C13"/>
    <mergeCell ref="D11:D13"/>
    <mergeCell ref="E11:E13"/>
    <mergeCell ref="F11:F13"/>
    <mergeCell ref="G11:G13"/>
    <mergeCell ref="H22:H29"/>
    <mergeCell ref="I22:I29"/>
  </mergeCells>
  <pageMargins left="0.7" right="0.7" top="0.75" bottom="0.75" header="0.3" footer="0.3"/>
  <pageSetup paperSize="9" orientation="portrait" r:id="rId1"/>
  <headerFooter>
    <oddFooter>&amp;C_x000D_&amp;1#&amp;"Calibri"&amp;10&amp;K000000 Internal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C8235-1FBD-4287-99FA-6AFA4F333603}">
  <sheetPr>
    <tabColor rgb="FFFF0000"/>
    <pageSetUpPr fitToPage="1"/>
  </sheetPr>
  <dimension ref="A1:CP124"/>
  <sheetViews>
    <sheetView showGridLines="0" view="pageBreakPreview" topLeftCell="A32" zoomScaleNormal="100" zoomScaleSheetLayoutView="100" workbookViewId="0">
      <selection activeCell="E37" sqref="E37"/>
    </sheetView>
  </sheetViews>
  <sheetFormatPr defaultColWidth="9.28515625" defaultRowHeight="15"/>
  <cols>
    <col min="1" max="13" width="3.7109375" style="290" customWidth="1"/>
    <col min="14" max="14" width="4.7109375" style="290" customWidth="1"/>
    <col min="15" max="15" width="6.42578125" style="290" customWidth="1"/>
    <col min="16" max="17" width="3.7109375" style="290" customWidth="1"/>
    <col min="18" max="19" width="4.7109375" style="290" customWidth="1"/>
    <col min="20" max="23" width="3.7109375" style="290" customWidth="1"/>
    <col min="24" max="24" width="9" style="290" bestFit="1" customWidth="1"/>
    <col min="25" max="37" width="3.7109375" style="290" customWidth="1"/>
    <col min="38" max="38" width="9.28515625" style="247"/>
    <col min="39" max="50" width="8.7109375" style="247" customWidth="1"/>
    <col min="51" max="57" width="9.28515625" style="247"/>
    <col min="58" max="59" width="9.28515625" style="285"/>
    <col min="60" max="16384" width="9.28515625" style="247"/>
  </cols>
  <sheetData>
    <row r="1" spans="1:94"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8"/>
      <c r="AL1" s="238"/>
      <c r="AM1" s="238"/>
      <c r="AN1" s="238"/>
      <c r="AO1" s="238"/>
      <c r="AP1" s="238"/>
      <c r="AQ1" s="238"/>
      <c r="AR1" s="238"/>
      <c r="AS1" s="238"/>
      <c r="AT1" s="238"/>
      <c r="AU1" s="238"/>
      <c r="AV1" s="238"/>
      <c r="AW1" s="238"/>
      <c r="AX1" s="238"/>
      <c r="AY1" s="238"/>
      <c r="AZ1" s="238"/>
      <c r="BA1" s="238"/>
      <c r="BB1" s="238"/>
      <c r="BC1" s="238"/>
      <c r="BD1" s="238"/>
      <c r="BE1" s="238"/>
      <c r="BF1" s="239"/>
      <c r="BG1" s="239"/>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c r="CM1" s="238"/>
      <c r="CN1" s="238"/>
      <c r="CO1" s="238"/>
      <c r="CP1" s="238"/>
    </row>
    <row r="2" spans="1:94"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1"/>
      <c r="AL2" s="238"/>
      <c r="AM2" s="238"/>
      <c r="AN2" s="238"/>
      <c r="AO2" s="238"/>
      <c r="AP2" s="238"/>
      <c r="AQ2" s="238"/>
      <c r="AR2" s="238"/>
      <c r="AS2" s="238"/>
      <c r="AT2" s="238"/>
      <c r="AU2" s="238"/>
      <c r="AV2" s="238"/>
      <c r="AW2" s="238"/>
      <c r="AX2" s="238"/>
      <c r="AY2" s="238"/>
      <c r="AZ2" s="238"/>
      <c r="BA2" s="238"/>
      <c r="BB2" s="238"/>
      <c r="BC2" s="238"/>
      <c r="BD2" s="238"/>
      <c r="BE2" s="238"/>
      <c r="BF2" s="239"/>
      <c r="BG2" s="239"/>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row>
    <row r="3" spans="1:94"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1"/>
      <c r="AL3" s="238"/>
      <c r="AM3" s="238"/>
      <c r="AN3" s="238"/>
      <c r="AO3" s="238"/>
      <c r="AP3" s="238"/>
      <c r="AQ3" s="238"/>
      <c r="AR3" s="238"/>
      <c r="AS3" s="238"/>
      <c r="AT3" s="238"/>
      <c r="AU3" s="238"/>
      <c r="AV3" s="238"/>
      <c r="AW3" s="238"/>
      <c r="AX3" s="238"/>
      <c r="AY3" s="238"/>
      <c r="AZ3" s="238"/>
      <c r="BA3" s="238"/>
      <c r="BB3" s="238"/>
      <c r="BC3" s="238"/>
      <c r="BD3" s="238"/>
      <c r="BE3" s="238"/>
      <c r="BF3" s="239"/>
      <c r="BG3" s="239"/>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row>
    <row r="4" spans="1:94"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4"/>
      <c r="AL4" s="238"/>
      <c r="AM4" s="241"/>
      <c r="AN4" s="241"/>
      <c r="AO4" s="241"/>
      <c r="AP4" s="242" t="s">
        <v>576</v>
      </c>
      <c r="AQ4" s="242" t="s">
        <v>577</v>
      </c>
      <c r="AR4" s="242" t="s">
        <v>578</v>
      </c>
      <c r="AS4" s="586"/>
      <c r="AT4" s="241"/>
      <c r="AU4" s="241"/>
      <c r="AV4" s="241"/>
      <c r="AW4" s="241"/>
      <c r="AX4" s="238"/>
      <c r="AY4" s="238"/>
      <c r="AZ4" s="238"/>
      <c r="BA4" s="238"/>
      <c r="BB4" s="238"/>
      <c r="BC4" s="238"/>
      <c r="BD4" s="238"/>
      <c r="BE4" s="238"/>
      <c r="BF4" s="239"/>
      <c r="BG4" s="239"/>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row>
    <row r="5" spans="1:94" ht="15" customHeight="1">
      <c r="A5" s="875" t="s">
        <v>22</v>
      </c>
      <c r="B5" s="876"/>
      <c r="C5" s="876"/>
      <c r="D5" s="876"/>
      <c r="E5" s="876"/>
      <c r="F5" s="876"/>
      <c r="G5" s="876"/>
      <c r="H5" s="27" t="str">
        <f>'Emiss. Ops'!$C$2</f>
        <v>OMVP</v>
      </c>
      <c r="I5" s="27"/>
      <c r="J5" s="27"/>
      <c r="K5" s="27"/>
      <c r="L5" s="27"/>
      <c r="M5" s="27"/>
      <c r="N5" s="27"/>
      <c r="O5" s="27"/>
      <c r="P5" s="27"/>
      <c r="Q5" s="27"/>
      <c r="R5" s="27"/>
      <c r="S5" s="27"/>
      <c r="T5" s="27"/>
      <c r="U5" s="27"/>
      <c r="V5" s="27"/>
      <c r="W5" s="27"/>
      <c r="X5" s="27"/>
      <c r="Y5" s="876" t="s">
        <v>23</v>
      </c>
      <c r="Z5" s="876"/>
      <c r="AA5" s="876"/>
      <c r="AB5" s="876"/>
      <c r="AC5" s="877" t="str">
        <f>'ESD CR'!$AC$5</f>
        <v>PRJ-001030</v>
      </c>
      <c r="AD5" s="877"/>
      <c r="AE5" s="877"/>
      <c r="AF5" s="877"/>
      <c r="AG5" s="877"/>
      <c r="AH5" s="877"/>
      <c r="AI5" s="877"/>
      <c r="AJ5" s="877"/>
      <c r="AK5" s="878"/>
      <c r="AL5" s="243"/>
      <c r="AM5" s="244"/>
      <c r="AN5" s="244"/>
      <c r="AO5" s="244"/>
      <c r="AP5" s="245" t="s">
        <v>386</v>
      </c>
      <c r="AQ5" s="245" t="s">
        <v>729</v>
      </c>
      <c r="AR5" s="242">
        <v>1020</v>
      </c>
      <c r="AS5" s="244"/>
      <c r="AT5" s="244"/>
      <c r="AU5" s="244"/>
      <c r="AV5" s="244"/>
      <c r="AW5" s="244"/>
      <c r="AX5" s="238"/>
      <c r="AY5" s="238"/>
      <c r="AZ5" s="238"/>
      <c r="BA5" s="243"/>
      <c r="BB5" s="243"/>
      <c r="BC5" s="243"/>
      <c r="BD5" s="243"/>
      <c r="BE5" s="243"/>
      <c r="BF5" s="246"/>
      <c r="BG5" s="246"/>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row>
    <row r="6" spans="1:94" ht="15" customHeight="1">
      <c r="A6" s="862" t="s">
        <v>24</v>
      </c>
      <c r="B6" s="863"/>
      <c r="C6" s="863"/>
      <c r="D6" s="863"/>
      <c r="E6" s="863"/>
      <c r="F6" s="863"/>
      <c r="G6" s="863"/>
      <c r="H6" s="30" t="str">
        <f>'Emiss. Ops'!$C$3</f>
        <v>OMV Neptun BAT Study &amp; ESIA</v>
      </c>
      <c r="I6" s="30"/>
      <c r="J6" s="30"/>
      <c r="K6" s="30"/>
      <c r="L6" s="30"/>
      <c r="M6" s="30"/>
      <c r="N6" s="30"/>
      <c r="O6" s="30"/>
      <c r="P6" s="30"/>
      <c r="Q6" s="30"/>
      <c r="R6" s="30"/>
      <c r="S6" s="30"/>
      <c r="T6" s="30"/>
      <c r="U6" s="30"/>
      <c r="V6" s="30"/>
      <c r="W6" s="30"/>
      <c r="X6" s="30"/>
      <c r="Y6" s="863" t="s">
        <v>25</v>
      </c>
      <c r="Z6" s="863"/>
      <c r="AA6" s="863"/>
      <c r="AB6" s="863"/>
      <c r="AC6" s="860"/>
      <c r="AD6" s="860"/>
      <c r="AE6" s="860"/>
      <c r="AF6" s="860"/>
      <c r="AG6" s="860"/>
      <c r="AH6" s="860"/>
      <c r="AI6" s="860"/>
      <c r="AJ6" s="860"/>
      <c r="AK6" s="861"/>
      <c r="AL6" s="243"/>
      <c r="AM6" s="244"/>
      <c r="AN6" s="244"/>
      <c r="AO6" s="242"/>
      <c r="AP6" s="245" t="s">
        <v>406</v>
      </c>
      <c r="AQ6" s="245" t="s">
        <v>339</v>
      </c>
      <c r="AR6" s="245">
        <v>0.45400000000000001</v>
      </c>
      <c r="AS6" s="242"/>
      <c r="AT6" s="244"/>
      <c r="AU6" s="244"/>
      <c r="AV6" s="244"/>
      <c r="AW6" s="244"/>
      <c r="AX6" s="238"/>
      <c r="AY6" s="238"/>
      <c r="AZ6" s="238"/>
      <c r="BA6" s="243"/>
      <c r="BB6" s="243"/>
      <c r="BC6" s="243"/>
      <c r="BD6" s="243"/>
      <c r="BE6" s="243"/>
      <c r="BF6" s="246"/>
      <c r="BG6" s="246"/>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row>
    <row r="7" spans="1:94" ht="15" customHeight="1">
      <c r="A7" s="862" t="s">
        <v>26</v>
      </c>
      <c r="B7" s="863"/>
      <c r="C7" s="863"/>
      <c r="D7" s="863"/>
      <c r="E7" s="863"/>
      <c r="F7" s="863"/>
      <c r="G7" s="863"/>
      <c r="H7" s="30" t="str">
        <f>'Emiss. Ops'!$C$4</f>
        <v>Emissions Inventory</v>
      </c>
      <c r="I7" s="30"/>
      <c r="J7" s="30"/>
      <c r="K7" s="30"/>
      <c r="L7" s="30"/>
      <c r="M7" s="30"/>
      <c r="N7" s="30"/>
      <c r="O7" s="30"/>
      <c r="P7" s="30"/>
      <c r="Q7" s="30"/>
      <c r="R7" s="30"/>
      <c r="S7" s="30"/>
      <c r="T7" s="30"/>
      <c r="U7" s="30"/>
      <c r="V7" s="30"/>
      <c r="W7" s="30"/>
      <c r="X7" s="30"/>
      <c r="Y7" s="863" t="s">
        <v>27</v>
      </c>
      <c r="Z7" s="863"/>
      <c r="AA7" s="863"/>
      <c r="AB7" s="863"/>
      <c r="AC7" s="30" t="str">
        <f>'Emiss. Ops'!$I$4</f>
        <v>Normal Operations</v>
      </c>
      <c r="AD7" s="31"/>
      <c r="AE7" s="31"/>
      <c r="AF7" s="31"/>
      <c r="AG7" s="31"/>
      <c r="AH7" s="31"/>
      <c r="AI7" s="31"/>
      <c r="AJ7" s="31"/>
      <c r="AK7" s="32"/>
      <c r="AL7" s="243"/>
      <c r="AM7" s="244"/>
      <c r="AN7" s="244"/>
      <c r="AO7" s="242"/>
      <c r="AP7" s="245" t="s">
        <v>407</v>
      </c>
      <c r="AQ7" s="245" t="s">
        <v>730</v>
      </c>
      <c r="AR7" s="248">
        <f>0.305^3</f>
        <v>2.8372624999999999E-2</v>
      </c>
      <c r="AS7" s="242"/>
      <c r="AT7" s="244"/>
      <c r="AU7" s="244"/>
      <c r="AV7" s="244"/>
      <c r="AW7" s="244"/>
      <c r="AX7" s="238"/>
      <c r="AY7" s="238"/>
      <c r="AZ7" s="238"/>
      <c r="BA7" s="243"/>
      <c r="BB7" s="243"/>
      <c r="BC7" s="243"/>
      <c r="BD7" s="243"/>
      <c r="BE7" s="243"/>
      <c r="BF7" s="246"/>
      <c r="BG7" s="246"/>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row>
    <row r="8" spans="1:94"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8"/>
      <c r="AH8" s="1288"/>
      <c r="AI8" s="1288"/>
      <c r="AJ8" s="1288"/>
      <c r="AK8" s="1289"/>
      <c r="AL8" s="243"/>
      <c r="AM8" s="244"/>
      <c r="AN8" s="244"/>
      <c r="AO8" s="242"/>
      <c r="AP8" s="245" t="s">
        <v>729</v>
      </c>
      <c r="AQ8" s="245" t="s">
        <v>731</v>
      </c>
      <c r="AR8" s="249">
        <f>AR6/AR7 * ((AN18+273.15)/(AN20+273.15))</f>
        <v>16.912595854908194</v>
      </c>
      <c r="AS8" s="242"/>
      <c r="AT8" s="244"/>
      <c r="AU8" s="244"/>
      <c r="AV8" s="244"/>
      <c r="AW8" s="244"/>
      <c r="AX8" s="238"/>
      <c r="AY8" s="238"/>
      <c r="AZ8" s="238"/>
      <c r="BA8" s="243"/>
      <c r="BB8" s="243"/>
      <c r="BC8" s="243"/>
      <c r="BD8" s="243"/>
      <c r="BE8" s="243"/>
      <c r="BF8" s="246"/>
      <c r="BG8" s="246"/>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row>
    <row r="9" spans="1:94"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8"/>
      <c r="AH9" s="1288"/>
      <c r="AI9" s="1288"/>
      <c r="AJ9" s="1288"/>
      <c r="AK9" s="1289"/>
      <c r="AL9" s="243"/>
      <c r="AM9" s="244"/>
      <c r="AN9" s="244"/>
      <c r="AO9" s="242"/>
      <c r="AP9" s="242" t="s">
        <v>409</v>
      </c>
      <c r="AQ9" s="242" t="s">
        <v>410</v>
      </c>
      <c r="AR9" s="242">
        <v>947</v>
      </c>
      <c r="AS9" s="242"/>
      <c r="AT9" s="244"/>
      <c r="AU9" s="244"/>
      <c r="AV9" s="244"/>
      <c r="AW9" s="244"/>
      <c r="AX9" s="238"/>
      <c r="AY9" s="238"/>
      <c r="AZ9" s="238"/>
      <c r="BA9" s="243"/>
      <c r="BB9" s="243"/>
      <c r="BC9" s="243"/>
      <c r="BD9" s="243"/>
      <c r="BE9" s="243"/>
      <c r="BF9" s="246"/>
      <c r="BG9" s="246"/>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row>
    <row r="10" spans="1:94"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1283"/>
      <c r="V10" s="1283"/>
      <c r="W10" s="1283"/>
      <c r="X10" s="1283"/>
      <c r="Y10" s="859" t="s">
        <v>28</v>
      </c>
      <c r="Z10" s="859"/>
      <c r="AA10" s="859"/>
      <c r="AB10" s="859"/>
      <c r="AC10" s="1284"/>
      <c r="AD10" s="1284"/>
      <c r="AE10" s="1284"/>
      <c r="AF10" s="1285"/>
      <c r="AG10" s="1285"/>
      <c r="AH10" s="1285"/>
      <c r="AI10" s="1286"/>
      <c r="AJ10" s="1286"/>
      <c r="AK10" s="1287"/>
      <c r="AL10" s="238"/>
      <c r="AM10" s="241"/>
      <c r="AN10" s="241"/>
      <c r="AO10" s="245"/>
      <c r="AP10" s="245" t="s">
        <v>710</v>
      </c>
      <c r="AQ10" s="245" t="s">
        <v>709</v>
      </c>
      <c r="AR10" s="245">
        <v>1E-3</v>
      </c>
      <c r="AS10" s="245"/>
      <c r="AT10" s="241"/>
      <c r="AU10" s="241"/>
      <c r="AV10" s="241"/>
      <c r="AW10" s="241"/>
      <c r="AX10" s="238"/>
      <c r="AY10" s="238"/>
      <c r="AZ10" s="238"/>
      <c r="BA10" s="238"/>
      <c r="BB10" s="238"/>
      <c r="BC10" s="238"/>
      <c r="BD10" s="238"/>
      <c r="BE10" s="238"/>
      <c r="BF10" s="239"/>
      <c r="BG10" s="239"/>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row>
    <row r="11" spans="1:94" s="240" customFormat="1" ht="14.25" customHeight="1">
      <c r="A11" s="1271" t="s">
        <v>380</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3"/>
      <c r="AL11" s="238"/>
      <c r="AM11" s="241"/>
      <c r="AN11" s="241"/>
      <c r="AO11" s="245"/>
      <c r="AP11" s="245" t="s">
        <v>732</v>
      </c>
      <c r="AQ11" s="245" t="s">
        <v>409</v>
      </c>
      <c r="AR11" s="245">
        <f>1/(AR9/1000000)</f>
        <v>1055.9662090813094</v>
      </c>
      <c r="AS11" s="245"/>
      <c r="AT11" s="241"/>
      <c r="AU11" s="241"/>
      <c r="AV11" s="241"/>
      <c r="AW11" s="241"/>
      <c r="AX11" s="238"/>
      <c r="AY11" s="238"/>
      <c r="AZ11" s="238"/>
      <c r="BA11" s="238"/>
      <c r="BB11" s="238"/>
      <c r="BC11" s="238"/>
      <c r="BD11" s="238"/>
      <c r="BE11" s="238"/>
      <c r="BF11" s="239"/>
      <c r="BG11" s="239"/>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row>
    <row r="12" spans="1:94" s="240" customFormat="1" ht="14.25" customHeight="1">
      <c r="A12" s="1274"/>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5"/>
      <c r="AH12" s="1275"/>
      <c r="AI12" s="1275"/>
      <c r="AJ12" s="1275"/>
      <c r="AK12" s="1276"/>
      <c r="AL12" s="238"/>
      <c r="AM12" s="241"/>
      <c r="AN12" s="241"/>
      <c r="AO12" s="245"/>
      <c r="AP12" s="245"/>
      <c r="AQ12" s="245"/>
      <c r="AR12" s="245"/>
      <c r="AS12" s="245"/>
      <c r="AT12" s="241"/>
      <c r="AU12" s="241"/>
      <c r="AV12" s="241"/>
      <c r="AW12" s="241"/>
      <c r="AX12" s="238"/>
      <c r="AY12" s="238"/>
      <c r="AZ12" s="238"/>
      <c r="BA12" s="238"/>
      <c r="BB12" s="238"/>
      <c r="BC12" s="238"/>
      <c r="BD12" s="238"/>
      <c r="BE12" s="238"/>
      <c r="BF12" s="239"/>
      <c r="BG12" s="239"/>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row>
    <row r="13" spans="1:94" s="240" customFormat="1" ht="14.25" customHeight="1">
      <c r="A13" s="1277" t="s">
        <v>587</v>
      </c>
      <c r="B13" s="1278"/>
      <c r="C13" s="1278"/>
      <c r="D13" s="1278"/>
      <c r="E13" s="1278"/>
      <c r="F13" s="1278"/>
      <c r="G13" s="1279"/>
      <c r="H13" s="1280" t="s">
        <v>799</v>
      </c>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2"/>
      <c r="AL13" s="238"/>
      <c r="AM13" s="241"/>
      <c r="AN13" s="241"/>
      <c r="AO13" s="241"/>
      <c r="AP13" s="241"/>
      <c r="AQ13" s="241"/>
      <c r="AR13" s="241"/>
      <c r="AS13" s="241"/>
      <c r="AT13" s="241"/>
      <c r="AU13" s="241"/>
      <c r="AV13" s="241"/>
      <c r="AW13" s="241"/>
      <c r="AX13" s="241"/>
      <c r="AY13" s="241"/>
      <c r="AZ13" s="241"/>
      <c r="BA13" s="238"/>
      <c r="BB13" s="238"/>
      <c r="BC13" s="238"/>
      <c r="BD13" s="238"/>
      <c r="BE13" s="238"/>
      <c r="BF13" s="239"/>
      <c r="BG13" s="239"/>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row>
    <row r="14" spans="1:94" s="240" customFormat="1" ht="14.25" customHeight="1">
      <c r="A14" s="279" t="s">
        <v>589</v>
      </c>
      <c r="B14" s="429"/>
      <c r="C14" s="429"/>
      <c r="D14" s="429"/>
      <c r="E14" s="429"/>
      <c r="F14" s="429"/>
      <c r="G14" s="429"/>
      <c r="H14" s="1271" t="s">
        <v>590</v>
      </c>
      <c r="I14" s="1272"/>
      <c r="J14" s="1273"/>
      <c r="K14" s="1271" t="s">
        <v>591</v>
      </c>
      <c r="L14" s="1272"/>
      <c r="M14" s="1273"/>
      <c r="N14" s="1271" t="s">
        <v>592</v>
      </c>
      <c r="O14" s="1272"/>
      <c r="P14" s="1273"/>
      <c r="Q14" s="1271" t="s">
        <v>400</v>
      </c>
      <c r="R14" s="1272"/>
      <c r="S14" s="1273"/>
      <c r="T14" s="1271" t="s">
        <v>593</v>
      </c>
      <c r="U14" s="1272"/>
      <c r="V14" s="1273"/>
      <c r="W14" s="1271" t="s">
        <v>593</v>
      </c>
      <c r="X14" s="1272"/>
      <c r="Y14" s="1273"/>
      <c r="Z14" s="1271" t="s">
        <v>115</v>
      </c>
      <c r="AA14" s="1272"/>
      <c r="AB14" s="1273"/>
      <c r="AC14" s="1271" t="s">
        <v>115</v>
      </c>
      <c r="AD14" s="1272"/>
      <c r="AE14" s="1273"/>
      <c r="AF14" s="1271" t="s">
        <v>116</v>
      </c>
      <c r="AG14" s="1272"/>
      <c r="AH14" s="1273"/>
      <c r="AI14" s="1271" t="s">
        <v>116</v>
      </c>
      <c r="AJ14" s="1272"/>
      <c r="AK14" s="1273"/>
      <c r="AL14" s="238"/>
      <c r="AM14" s="241"/>
      <c r="AN14" s="241"/>
      <c r="AO14" s="241"/>
      <c r="AP14" s="241"/>
      <c r="AQ14" s="430"/>
      <c r="AR14" s="241"/>
      <c r="AS14" s="241"/>
      <c r="AT14" s="241"/>
      <c r="AU14" s="241"/>
      <c r="AV14" s="241"/>
      <c r="AW14" s="241"/>
      <c r="AX14" s="238"/>
      <c r="AY14" s="238"/>
      <c r="AZ14" s="238"/>
      <c r="BA14" s="238"/>
      <c r="BB14" s="238"/>
      <c r="BC14" s="238"/>
      <c r="BD14" s="238"/>
      <c r="BE14" s="238"/>
      <c r="BF14" s="239"/>
      <c r="BG14" s="239"/>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row>
    <row r="15" spans="1:94" s="240" customFormat="1" ht="14.25" customHeight="1">
      <c r="A15" s="250"/>
      <c r="B15" s="251"/>
      <c r="C15" s="251"/>
      <c r="D15" s="251"/>
      <c r="E15" s="251"/>
      <c r="F15" s="251"/>
      <c r="G15" s="251"/>
      <c r="H15" s="1302" t="s">
        <v>594</v>
      </c>
      <c r="I15" s="1283"/>
      <c r="J15" s="1303"/>
      <c r="K15" s="1302" t="s">
        <v>595</v>
      </c>
      <c r="L15" s="1283"/>
      <c r="M15" s="1303"/>
      <c r="N15" s="1302" t="s">
        <v>596</v>
      </c>
      <c r="O15" s="1283"/>
      <c r="P15" s="1303"/>
      <c r="Q15" s="1302" t="s">
        <v>597</v>
      </c>
      <c r="R15" s="1283"/>
      <c r="S15" s="1303"/>
      <c r="T15" s="1302" t="s">
        <v>734</v>
      </c>
      <c r="U15" s="1283"/>
      <c r="V15" s="1303"/>
      <c r="W15" s="1302" t="s">
        <v>599</v>
      </c>
      <c r="X15" s="1283"/>
      <c r="Y15" s="1303"/>
      <c r="Z15" s="1302" t="s">
        <v>734</v>
      </c>
      <c r="AA15" s="1283"/>
      <c r="AB15" s="1303"/>
      <c r="AC15" s="1302" t="s">
        <v>599</v>
      </c>
      <c r="AD15" s="1283"/>
      <c r="AE15" s="1303"/>
      <c r="AF15" s="1302" t="s">
        <v>734</v>
      </c>
      <c r="AG15" s="1283"/>
      <c r="AH15" s="1303"/>
      <c r="AI15" s="1302" t="s">
        <v>599</v>
      </c>
      <c r="AJ15" s="1283"/>
      <c r="AK15" s="1303"/>
      <c r="AL15" s="238"/>
      <c r="AM15" s="241"/>
      <c r="AN15" s="241"/>
      <c r="AO15" s="241"/>
      <c r="AP15" s="431" t="s">
        <v>393</v>
      </c>
      <c r="AQ15" s="432"/>
      <c r="AR15" s="433"/>
      <c r="AS15" s="431" t="s">
        <v>115</v>
      </c>
      <c r="AT15" s="432"/>
      <c r="AU15" s="433"/>
      <c r="AV15" s="238"/>
      <c r="AW15" s="238"/>
      <c r="AX15" s="238"/>
      <c r="AY15" s="238"/>
      <c r="AZ15" s="238"/>
      <c r="BA15" s="238"/>
      <c r="BB15" s="238"/>
      <c r="BC15" s="239"/>
      <c r="BD15" s="239"/>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row>
    <row r="16" spans="1:94" s="240" customFormat="1" ht="14.25" customHeight="1">
      <c r="A16" s="434" t="s">
        <v>735</v>
      </c>
      <c r="B16" s="435"/>
      <c r="C16" s="435"/>
      <c r="D16" s="435"/>
      <c r="E16" s="435"/>
      <c r="F16" s="435"/>
      <c r="G16" s="436"/>
      <c r="H16" s="1304"/>
      <c r="I16" s="1305"/>
      <c r="J16" s="1306"/>
      <c r="K16" s="1307"/>
      <c r="L16" s="1308"/>
      <c r="M16" s="1309"/>
      <c r="N16" s="1304"/>
      <c r="O16" s="1305"/>
      <c r="P16" s="1306"/>
      <c r="Q16" s="1566">
        <v>37.96</v>
      </c>
      <c r="R16" s="1567"/>
      <c r="S16" s="1568"/>
      <c r="T16" s="1418">
        <f>AR17</f>
        <v>1173.0576484964322</v>
      </c>
      <c r="U16" s="1419"/>
      <c r="V16" s="1420"/>
      <c r="W16" s="1304"/>
      <c r="X16" s="1305"/>
      <c r="Y16" s="1306"/>
      <c r="Z16" s="1418">
        <f>AU17</f>
        <v>6382.8136756423519</v>
      </c>
      <c r="AA16" s="1419"/>
      <c r="AB16" s="1420"/>
      <c r="AC16" s="1304"/>
      <c r="AD16" s="1305"/>
      <c r="AE16" s="1306"/>
      <c r="AF16" s="1379">
        <f>AR22</f>
        <v>40</v>
      </c>
      <c r="AG16" s="1380"/>
      <c r="AH16" s="1381"/>
      <c r="AI16" s="1304" t="s">
        <v>604</v>
      </c>
      <c r="AJ16" s="1305"/>
      <c r="AK16" s="1306"/>
      <c r="AL16" s="238"/>
      <c r="AM16" s="241" t="s">
        <v>605</v>
      </c>
      <c r="AN16" s="241"/>
      <c r="AO16" s="241"/>
      <c r="AP16" s="437" t="s">
        <v>386</v>
      </c>
      <c r="AQ16" s="437" t="s">
        <v>714</v>
      </c>
      <c r="AR16" s="437" t="s">
        <v>715</v>
      </c>
      <c r="AS16" s="437" t="s">
        <v>386</v>
      </c>
      <c r="AT16" s="437" t="s">
        <v>714</v>
      </c>
      <c r="AU16" s="437" t="s">
        <v>715</v>
      </c>
      <c r="AV16" s="238"/>
      <c r="AW16" s="238"/>
      <c r="AX16" s="238"/>
      <c r="AY16" s="238"/>
      <c r="AZ16" s="238"/>
      <c r="BA16" s="238"/>
      <c r="BB16" s="238"/>
      <c r="BC16" s="239"/>
      <c r="BD16" s="239"/>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row>
    <row r="17" spans="1:94" s="240" customFormat="1" ht="14.25" customHeight="1">
      <c r="A17" s="438" t="s">
        <v>800</v>
      </c>
      <c r="B17" s="439"/>
      <c r="C17" s="439"/>
      <c r="D17" s="439"/>
      <c r="E17" s="439"/>
      <c r="F17" s="439"/>
      <c r="G17" s="440"/>
      <c r="H17" s="1421">
        <f>CO2eEF!P16</f>
        <v>16.12</v>
      </c>
      <c r="I17" s="1422"/>
      <c r="J17" s="1423"/>
      <c r="K17" s="1424">
        <f>CO2eEF!P12</f>
        <v>0.69899999999999995</v>
      </c>
      <c r="L17" s="1425"/>
      <c r="M17" s="1426"/>
      <c r="N17" s="1421">
        <f>CO2eEF!P19</f>
        <v>49.78</v>
      </c>
      <c r="O17" s="1427"/>
      <c r="P17" s="1428"/>
      <c r="Q17" s="1421">
        <f>CO2eEF!P21</f>
        <v>37.770000000000003</v>
      </c>
      <c r="R17" s="1427"/>
      <c r="S17" s="1428"/>
      <c r="T17" s="1340">
        <f>T16*$Q$16/$Q$17</f>
        <v>1178.9586533472216</v>
      </c>
      <c r="U17" s="1341"/>
      <c r="V17" s="1342"/>
      <c r="W17" s="1569">
        <f>T17/1000000/$K17</f>
        <v>1.6866361278214902E-3</v>
      </c>
      <c r="X17" s="1570"/>
      <c r="Y17" s="1571"/>
      <c r="Z17" s="1340">
        <f>Z16*$Q$16/$Q$17</f>
        <v>6414.9220843892945</v>
      </c>
      <c r="AA17" s="1341"/>
      <c r="AB17" s="1342"/>
      <c r="AC17" s="1569">
        <f>Z17/$K17/1000000</f>
        <v>9.1772848131463445E-3</v>
      </c>
      <c r="AD17" s="1570"/>
      <c r="AE17" s="1571"/>
      <c r="AF17" s="1340">
        <f>AF16*$Q$16/$Q$17</f>
        <v>40.201217897802486</v>
      </c>
      <c r="AG17" s="1341"/>
      <c r="AH17" s="1342"/>
      <c r="AI17" s="1572">
        <f>AF17/$K17/1000000</f>
        <v>5.7512471956798981E-5</v>
      </c>
      <c r="AJ17" s="1573"/>
      <c r="AK17" s="1574"/>
      <c r="AL17" s="238"/>
      <c r="AM17" s="441" t="s">
        <v>606</v>
      </c>
      <c r="AN17" s="241">
        <v>60</v>
      </c>
      <c r="AO17" s="241" t="s">
        <v>607</v>
      </c>
      <c r="AP17" s="442">
        <v>6.8000000000000005E-2</v>
      </c>
      <c r="AQ17" s="443">
        <f>AR5*$AP$17</f>
        <v>69.36</v>
      </c>
      <c r="AR17" s="443">
        <f>$AR$8*AQ17</f>
        <v>1173.0576484964322</v>
      </c>
      <c r="AS17" s="444">
        <v>0.37</v>
      </c>
      <c r="AT17" s="445">
        <f>AS17*AR5</f>
        <v>377.4</v>
      </c>
      <c r="AU17" s="446">
        <f>AT17*AR8</f>
        <v>6382.8136756423519</v>
      </c>
      <c r="AV17" s="238"/>
      <c r="AW17" s="238"/>
      <c r="AX17" s="238"/>
      <c r="AY17" s="238"/>
      <c r="AZ17" s="238"/>
      <c r="BA17" s="238"/>
      <c r="BB17" s="238"/>
      <c r="BC17" s="239"/>
      <c r="BD17" s="239"/>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row>
    <row r="18" spans="1:94" s="240" customFormat="1" ht="14.25" customHeight="1">
      <c r="A18" s="133"/>
      <c r="B18" s="251"/>
      <c r="C18" s="251"/>
      <c r="D18" s="251"/>
      <c r="E18" s="251"/>
      <c r="F18" s="251"/>
      <c r="G18" s="251"/>
      <c r="H18" s="1325"/>
      <c r="I18" s="1326"/>
      <c r="J18" s="1327"/>
      <c r="K18" s="1328"/>
      <c r="L18" s="1329"/>
      <c r="M18" s="1330"/>
      <c r="N18" s="1331"/>
      <c r="O18" s="1332"/>
      <c r="P18" s="1333"/>
      <c r="Q18" s="1334"/>
      <c r="R18" s="1335"/>
      <c r="S18" s="1336"/>
      <c r="T18" s="1337"/>
      <c r="U18" s="1338"/>
      <c r="V18" s="1339"/>
      <c r="W18" s="1302"/>
      <c r="X18" s="1283"/>
      <c r="Y18" s="1303"/>
      <c r="Z18" s="1337"/>
      <c r="AA18" s="1338"/>
      <c r="AB18" s="1339"/>
      <c r="AC18" s="1302"/>
      <c r="AD18" s="1283"/>
      <c r="AE18" s="1303"/>
      <c r="AF18" s="1343"/>
      <c r="AG18" s="1344"/>
      <c r="AH18" s="1345"/>
      <c r="AI18" s="1302"/>
      <c r="AJ18" s="1283"/>
      <c r="AK18" s="1303"/>
      <c r="AL18" s="238"/>
      <c r="AM18" s="441" t="s">
        <v>608</v>
      </c>
      <c r="AN18" s="447">
        <f>(AN17 - 32) * 5/9</f>
        <v>15.555555555555555</v>
      </c>
      <c r="AO18" s="241" t="s">
        <v>609</v>
      </c>
      <c r="AP18" s="444"/>
      <c r="AQ18" s="448"/>
      <c r="AR18" s="446"/>
      <c r="AS18" s="444"/>
      <c r="AT18" s="445"/>
      <c r="AU18" s="446"/>
      <c r="AV18" s="238"/>
      <c r="AW18" s="238"/>
      <c r="AX18" s="238"/>
      <c r="AY18" s="238"/>
      <c r="AZ18" s="238"/>
      <c r="BA18" s="238"/>
      <c r="BB18" s="238"/>
      <c r="BC18" s="239"/>
      <c r="BD18" s="239"/>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row>
    <row r="19" spans="1:94" s="240" customFormat="1" ht="14.25" customHeight="1">
      <c r="A19" s="279" t="s">
        <v>589</v>
      </c>
      <c r="B19" s="429"/>
      <c r="C19" s="429"/>
      <c r="D19" s="429"/>
      <c r="E19" s="429"/>
      <c r="F19" s="429"/>
      <c r="G19" s="449"/>
      <c r="H19" s="1271" t="s">
        <v>122</v>
      </c>
      <c r="I19" s="1272"/>
      <c r="J19" s="1273"/>
      <c r="K19" s="1271" t="s">
        <v>122</v>
      </c>
      <c r="L19" s="1272"/>
      <c r="M19" s="1273"/>
      <c r="N19" s="1271" t="s">
        <v>124</v>
      </c>
      <c r="O19" s="1272"/>
      <c r="P19" s="1273"/>
      <c r="Q19" s="1271" t="s">
        <v>124</v>
      </c>
      <c r="R19" s="1272"/>
      <c r="S19" s="1273"/>
      <c r="T19" s="1117" t="s">
        <v>123</v>
      </c>
      <c r="U19" s="1118"/>
      <c r="V19" s="1119"/>
      <c r="W19" s="1117" t="s">
        <v>123</v>
      </c>
      <c r="X19" s="1118"/>
      <c r="Y19" s="1119"/>
      <c r="Z19" s="1117" t="s">
        <v>716</v>
      </c>
      <c r="AA19" s="1118"/>
      <c r="AB19" s="1119"/>
      <c r="AC19" s="1117" t="s">
        <v>125</v>
      </c>
      <c r="AD19" s="1118"/>
      <c r="AE19" s="1119"/>
      <c r="AF19" s="30"/>
      <c r="AG19" s="30"/>
      <c r="AH19" s="30"/>
      <c r="AI19" s="30"/>
      <c r="AJ19" s="30"/>
      <c r="AK19" s="280"/>
      <c r="AL19" s="238"/>
      <c r="AM19" s="241"/>
      <c r="AN19" s="241"/>
      <c r="AO19" s="241"/>
      <c r="AP19" s="238"/>
      <c r="AQ19" s="238"/>
      <c r="AR19" s="238"/>
      <c r="AS19" s="238"/>
      <c r="AT19" s="238"/>
      <c r="AU19" s="238"/>
      <c r="AV19" s="238"/>
      <c r="AW19" s="238"/>
      <c r="AX19" s="238"/>
      <c r="AY19" s="238"/>
      <c r="AZ19" s="238"/>
      <c r="BA19" s="238"/>
      <c r="BB19" s="238"/>
      <c r="BC19" s="238"/>
      <c r="BD19" s="238"/>
      <c r="BE19" s="238"/>
      <c r="BF19" s="239"/>
      <c r="BG19" s="239"/>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row>
    <row r="20" spans="1:94" s="240" customFormat="1" ht="14.25" customHeight="1">
      <c r="A20" s="250"/>
      <c r="B20" s="251"/>
      <c r="C20" s="251"/>
      <c r="D20" s="251"/>
      <c r="E20" s="251"/>
      <c r="F20" s="251"/>
      <c r="G20" s="450"/>
      <c r="H20" s="1302" t="s">
        <v>734</v>
      </c>
      <c r="I20" s="1283"/>
      <c r="J20" s="1303"/>
      <c r="K20" s="1302" t="s">
        <v>599</v>
      </c>
      <c r="L20" s="1283"/>
      <c r="M20" s="1303"/>
      <c r="N20" s="1302" t="s">
        <v>734</v>
      </c>
      <c r="O20" s="1283"/>
      <c r="P20" s="1303"/>
      <c r="Q20" s="1302" t="s">
        <v>599</v>
      </c>
      <c r="R20" s="1283"/>
      <c r="S20" s="1303"/>
      <c r="T20" s="1089" t="s">
        <v>598</v>
      </c>
      <c r="U20" s="1090"/>
      <c r="V20" s="1091"/>
      <c r="W20" s="1089" t="s">
        <v>599</v>
      </c>
      <c r="X20" s="1090"/>
      <c r="Y20" s="1091"/>
      <c r="Z20" s="1089" t="s">
        <v>598</v>
      </c>
      <c r="AA20" s="1090"/>
      <c r="AB20" s="1091"/>
      <c r="AC20" s="1089" t="s">
        <v>599</v>
      </c>
      <c r="AD20" s="1090"/>
      <c r="AE20" s="1091"/>
      <c r="AF20" s="30"/>
      <c r="AG20" s="30"/>
      <c r="AH20" s="30"/>
      <c r="AI20" s="30"/>
      <c r="AJ20" s="30"/>
      <c r="AK20" s="253"/>
      <c r="AL20" s="238"/>
      <c r="AM20" s="441"/>
      <c r="AN20" s="241"/>
      <c r="AO20" s="241"/>
      <c r="AP20" s="431" t="s">
        <v>116</v>
      </c>
      <c r="AQ20" s="432"/>
      <c r="AR20" s="433"/>
      <c r="AS20" s="431" t="s">
        <v>122</v>
      </c>
      <c r="AT20" s="432"/>
      <c r="AU20" s="433"/>
      <c r="AV20" s="238"/>
      <c r="AW20" s="238"/>
      <c r="AX20" s="238"/>
      <c r="AY20" s="238"/>
      <c r="AZ20" s="238"/>
      <c r="BA20" s="238"/>
      <c r="BB20" s="238"/>
      <c r="BC20" s="238"/>
      <c r="BD20" s="238"/>
      <c r="BE20" s="238"/>
      <c r="BF20" s="239"/>
      <c r="BG20" s="239"/>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row>
    <row r="21" spans="1:94" s="240" customFormat="1" ht="14.25" customHeight="1">
      <c r="A21" s="434" t="s">
        <v>735</v>
      </c>
      <c r="B21" s="435"/>
      <c r="C21" s="435"/>
      <c r="D21" s="435"/>
      <c r="E21" s="435"/>
      <c r="F21" s="435"/>
      <c r="G21" s="436"/>
      <c r="H21" s="1418">
        <f>AU22</f>
        <v>2415.11868808089</v>
      </c>
      <c r="I21" s="1419"/>
      <c r="J21" s="1420"/>
      <c r="K21" s="1304"/>
      <c r="L21" s="1305"/>
      <c r="M21" s="1306"/>
      <c r="N21" s="1418"/>
      <c r="O21" s="1419"/>
      <c r="P21" s="1420"/>
      <c r="Q21" s="1304"/>
      <c r="R21" s="1305"/>
      <c r="S21" s="1306"/>
      <c r="T21" s="1073"/>
      <c r="U21" s="1109"/>
      <c r="V21" s="1074"/>
      <c r="W21" s="1214"/>
      <c r="X21" s="1215"/>
      <c r="Y21" s="1216"/>
      <c r="Z21" s="1073"/>
      <c r="AA21" s="1109"/>
      <c r="AB21" s="1074"/>
      <c r="AC21" s="1076"/>
      <c r="AD21" s="1075"/>
      <c r="AE21" s="1077"/>
      <c r="AF21" s="30"/>
      <c r="AG21" s="30"/>
      <c r="AH21" s="30"/>
      <c r="AI21" s="30"/>
      <c r="AJ21" s="30"/>
      <c r="AK21" s="253"/>
      <c r="AL21" s="238"/>
      <c r="AM21" s="241"/>
      <c r="AN21" s="241"/>
      <c r="AO21" s="241"/>
      <c r="AP21" s="437" t="s">
        <v>737</v>
      </c>
      <c r="AQ21" s="451" t="s">
        <v>738</v>
      </c>
      <c r="AR21" s="451" t="s">
        <v>731</v>
      </c>
      <c r="AS21" s="437" t="s">
        <v>386</v>
      </c>
      <c r="AT21" s="437" t="s">
        <v>714</v>
      </c>
      <c r="AU21" s="437" t="s">
        <v>715</v>
      </c>
      <c r="AV21" s="238"/>
      <c r="AW21" s="238"/>
      <c r="AX21" s="238"/>
      <c r="AY21" s="238"/>
      <c r="AZ21" s="238"/>
      <c r="BA21" s="238"/>
      <c r="BB21" s="238"/>
      <c r="BC21" s="238"/>
      <c r="BD21" s="238"/>
      <c r="BE21" s="238"/>
      <c r="BF21" s="239"/>
      <c r="BG21" s="239"/>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row>
    <row r="22" spans="1:94" s="240" customFormat="1" ht="14.25" customHeight="1">
      <c r="A22" s="438" t="s">
        <v>800</v>
      </c>
      <c r="B22" s="439"/>
      <c r="C22" s="439"/>
      <c r="D22" s="439"/>
      <c r="E22" s="439"/>
      <c r="F22" s="439"/>
      <c r="G22" s="440"/>
      <c r="H22" s="1340">
        <f>H21*$Q$16/$Q$17</f>
        <v>2427.2678157148684</v>
      </c>
      <c r="I22" s="1341"/>
      <c r="J22" s="1342"/>
      <c r="K22" s="1569">
        <f>H22/1000000/$K17</f>
        <v>3.4724861455148331E-3</v>
      </c>
      <c r="L22" s="1570"/>
      <c r="M22" s="1571"/>
      <c r="N22" s="1340"/>
      <c r="O22" s="1341"/>
      <c r="P22" s="1342"/>
      <c r="Q22" s="1569"/>
      <c r="R22" s="1570"/>
      <c r="S22" s="1571"/>
      <c r="T22" s="1123"/>
      <c r="U22" s="1069"/>
      <c r="V22" s="1124"/>
      <c r="W22" s="1114"/>
      <c r="X22" s="1115"/>
      <c r="Y22" s="1116"/>
      <c r="Z22" s="1064"/>
      <c r="AA22" s="1230"/>
      <c r="AB22" s="1065"/>
      <c r="AC22" s="1114"/>
      <c r="AD22" s="1115"/>
      <c r="AE22" s="1116"/>
      <c r="AF22" s="30"/>
      <c r="AG22" s="30"/>
      <c r="AH22" s="30"/>
      <c r="AI22" s="30"/>
      <c r="AJ22" s="30"/>
      <c r="AK22" s="253"/>
      <c r="AL22" s="238"/>
      <c r="AM22" s="241"/>
      <c r="AN22" s="241"/>
      <c r="AO22" s="241"/>
      <c r="AP22" s="444">
        <v>40</v>
      </c>
      <c r="AQ22" s="452">
        <f>AP22/1000000/1000/AR10</f>
        <v>4.0000000000000003E-5</v>
      </c>
      <c r="AR22" s="446">
        <f>AQ22*1000000</f>
        <v>40</v>
      </c>
      <c r="AS22" s="444">
        <v>0.14000000000000001</v>
      </c>
      <c r="AT22" s="443">
        <f>AS22*$AR$5</f>
        <v>142.80000000000001</v>
      </c>
      <c r="AU22" s="443">
        <f>$AR$8*AT22</f>
        <v>2415.11868808089</v>
      </c>
      <c r="AV22" s="238"/>
      <c r="AW22" s="238"/>
      <c r="AX22" s="238"/>
      <c r="AY22" s="238"/>
      <c r="AZ22" s="238"/>
      <c r="BA22" s="238"/>
      <c r="BB22" s="238"/>
      <c r="BC22" s="238"/>
      <c r="BD22" s="238"/>
      <c r="BE22" s="238"/>
      <c r="BF22" s="239"/>
      <c r="BG22" s="239"/>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row>
    <row r="23" spans="1:94" s="240" customFormat="1" ht="14.25" customHeight="1">
      <c r="A23" s="133"/>
      <c r="B23" s="30"/>
      <c r="C23" s="30"/>
      <c r="D23" s="30"/>
      <c r="E23" s="30"/>
      <c r="F23" s="30"/>
      <c r="G23" s="253"/>
      <c r="H23" s="1352"/>
      <c r="I23" s="1353"/>
      <c r="J23" s="1354"/>
      <c r="K23" s="1355"/>
      <c r="L23" s="1356"/>
      <c r="M23" s="1357"/>
      <c r="N23" s="1352"/>
      <c r="O23" s="1353"/>
      <c r="P23" s="1354"/>
      <c r="Q23" s="1355"/>
      <c r="R23" s="1356"/>
      <c r="S23" s="1357"/>
      <c r="T23" s="1123"/>
      <c r="U23" s="1069"/>
      <c r="V23" s="1124"/>
      <c r="W23" s="1125"/>
      <c r="X23" s="1126"/>
      <c r="Y23" s="1127"/>
      <c r="Z23" s="1125"/>
      <c r="AA23" s="1126"/>
      <c r="AB23" s="1127"/>
      <c r="AC23" s="1125"/>
      <c r="AD23" s="1126"/>
      <c r="AE23" s="1127"/>
      <c r="AF23" s="30"/>
      <c r="AG23" s="30"/>
      <c r="AH23" s="30"/>
      <c r="AI23" s="30"/>
      <c r="AJ23" s="30"/>
      <c r="AK23" s="253"/>
      <c r="AL23" s="238"/>
      <c r="AM23" s="453">
        <f>X25/K17</f>
        <v>138054.3633762518</v>
      </c>
      <c r="AN23" s="241"/>
      <c r="AO23" s="241"/>
      <c r="AP23" s="444">
        <f>AP22</f>
        <v>40</v>
      </c>
      <c r="AQ23" s="452">
        <f>AP23/1000000/1000/AR11</f>
        <v>3.7879999999999996E-11</v>
      </c>
      <c r="AR23" s="446">
        <f>AQ23*1000000</f>
        <v>3.7879999999999996E-5</v>
      </c>
      <c r="AS23" s="444"/>
      <c r="AT23" s="445"/>
      <c r="AU23" s="446"/>
      <c r="AV23" s="238"/>
      <c r="AW23" s="238"/>
      <c r="AX23" s="238"/>
      <c r="AY23" s="238"/>
      <c r="AZ23" s="238"/>
      <c r="BA23" s="238"/>
      <c r="BB23" s="238"/>
      <c r="BC23" s="238"/>
      <c r="BD23" s="238"/>
      <c r="BE23" s="238"/>
      <c r="BF23" s="239"/>
      <c r="BG23" s="239"/>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row>
    <row r="24" spans="1:94" s="240" customFormat="1" ht="14.25" customHeight="1">
      <c r="A24" s="279" t="s">
        <v>612</v>
      </c>
      <c r="B24" s="132"/>
      <c r="C24" s="132"/>
      <c r="D24" s="132"/>
      <c r="E24" s="132"/>
      <c r="F24" s="132"/>
      <c r="G24" s="132"/>
      <c r="H24" s="132"/>
      <c r="I24" s="132"/>
      <c r="J24" s="132"/>
      <c r="K24" s="132"/>
      <c r="L24" s="132"/>
      <c r="M24" s="132"/>
      <c r="N24" s="132"/>
      <c r="O24" s="132"/>
      <c r="P24" s="132"/>
      <c r="Q24" s="132"/>
      <c r="R24" s="132"/>
      <c r="S24" s="280"/>
      <c r="T24" s="587" t="s">
        <v>613</v>
      </c>
      <c r="U24" s="435"/>
      <c r="V24" s="435"/>
      <c r="W24" s="435"/>
      <c r="X24" s="435"/>
      <c r="Y24" s="435"/>
      <c r="Z24" s="435"/>
      <c r="AA24" s="435"/>
      <c r="AB24" s="435"/>
      <c r="AC24" s="435"/>
      <c r="AD24" s="435"/>
      <c r="AE24" s="435"/>
      <c r="AF24" s="435"/>
      <c r="AG24" s="435"/>
      <c r="AH24" s="435"/>
      <c r="AI24" s="435"/>
      <c r="AJ24" s="435"/>
      <c r="AK24" s="436"/>
      <c r="AL24" s="238"/>
      <c r="AM24" s="241"/>
      <c r="AN24" s="241"/>
      <c r="AO24" s="241"/>
      <c r="AP24" s="241"/>
      <c r="AQ24" s="241"/>
      <c r="AR24" s="241"/>
      <c r="AS24" s="241"/>
      <c r="AT24" s="241"/>
      <c r="AU24" s="241"/>
      <c r="AV24" s="241"/>
      <c r="AW24" s="241"/>
      <c r="AX24" s="238"/>
      <c r="AY24" s="238"/>
      <c r="AZ24" s="238"/>
      <c r="BA24" s="238"/>
      <c r="BB24" s="238"/>
      <c r="BC24" s="238"/>
      <c r="BD24" s="238"/>
      <c r="BE24" s="238"/>
      <c r="BF24" s="239"/>
      <c r="BG24" s="239"/>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row>
    <row r="25" spans="1:94" s="240" customFormat="1" ht="14.25" customHeight="1">
      <c r="A25" s="133" t="s">
        <v>614</v>
      </c>
      <c r="B25" s="30"/>
      <c r="C25" s="30"/>
      <c r="D25" s="30"/>
      <c r="E25" s="30"/>
      <c r="F25" s="30"/>
      <c r="G25" s="30"/>
      <c r="H25" s="588"/>
      <c r="I25" s="30" t="s">
        <v>590</v>
      </c>
      <c r="J25" s="30"/>
      <c r="K25" s="30"/>
      <c r="L25" s="30" t="s">
        <v>615</v>
      </c>
      <c r="M25" s="30"/>
      <c r="N25" s="30"/>
      <c r="O25" s="30"/>
      <c r="P25" s="30"/>
      <c r="Q25" s="30"/>
      <c r="R25" s="30"/>
      <c r="S25" s="253" t="s">
        <v>616</v>
      </c>
      <c r="T25" s="1294" t="s">
        <v>800</v>
      </c>
      <c r="U25" s="1295"/>
      <c r="V25" s="1295"/>
      <c r="W25" s="1295"/>
      <c r="X25" s="1296">
        <f>X44</f>
        <v>96500</v>
      </c>
      <c r="Y25" s="1296"/>
      <c r="Z25" s="1296"/>
      <c r="AA25" s="1295" t="s">
        <v>617</v>
      </c>
      <c r="AB25" s="1295"/>
      <c r="AC25" s="1297">
        <f>X25/H17</f>
        <v>5986.3523573200991</v>
      </c>
      <c r="AD25" s="1297"/>
      <c r="AE25" s="1295" t="s">
        <v>618</v>
      </c>
      <c r="AF25" s="1295"/>
      <c r="AG25" s="1295"/>
      <c r="AH25" s="1297">
        <f>X25*N17/3600</f>
        <v>1334.3805555555555</v>
      </c>
      <c r="AI25" s="1297"/>
      <c r="AJ25" s="479" t="s">
        <v>590</v>
      </c>
      <c r="AK25" s="480"/>
      <c r="AL25" s="238"/>
      <c r="AM25" s="254">
        <f>X25*W22</f>
        <v>0</v>
      </c>
      <c r="AN25" s="241"/>
      <c r="AO25" s="241"/>
      <c r="AP25" s="241"/>
      <c r="AQ25" s="241"/>
      <c r="AR25" s="241"/>
      <c r="AS25" s="241"/>
      <c r="AT25" s="241"/>
      <c r="AU25" s="241"/>
      <c r="AV25" s="241"/>
      <c r="AW25" s="241"/>
      <c r="AX25" s="238"/>
      <c r="AY25" s="238"/>
      <c r="AZ25" s="238"/>
      <c r="BA25" s="238"/>
      <c r="BB25" s="238"/>
      <c r="BC25" s="238"/>
      <c r="BD25" s="238"/>
      <c r="BE25" s="238"/>
      <c r="BF25" s="239"/>
      <c r="BG25" s="239"/>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row>
    <row r="26" spans="1:94" s="240" customFormat="1" ht="14.25" customHeight="1">
      <c r="A26" s="250" t="s">
        <v>619</v>
      </c>
      <c r="B26" s="251"/>
      <c r="C26" s="251"/>
      <c r="D26" s="251"/>
      <c r="E26" s="251"/>
      <c r="F26" s="251"/>
      <c r="G26" s="251"/>
      <c r="H26" s="252"/>
      <c r="I26" s="251" t="s">
        <v>590</v>
      </c>
      <c r="J26" s="251"/>
      <c r="K26" s="251"/>
      <c r="L26" s="251"/>
      <c r="M26" s="251"/>
      <c r="N26" s="251"/>
      <c r="O26" s="251"/>
      <c r="P26" s="251"/>
      <c r="Q26" s="251"/>
      <c r="R26" s="251"/>
      <c r="S26" s="450"/>
      <c r="T26" s="1292"/>
      <c r="U26" s="1286"/>
      <c r="V26" s="860"/>
      <c r="W26" s="860"/>
      <c r="X26" s="1631"/>
      <c r="Y26" s="1631"/>
      <c r="Z26" s="1631"/>
      <c r="AA26" s="860"/>
      <c r="AB26" s="860"/>
      <c r="AC26" s="1293"/>
      <c r="AD26" s="1293"/>
      <c r="AE26" s="860"/>
      <c r="AF26" s="860"/>
      <c r="AG26" s="860"/>
      <c r="AH26" s="1293"/>
      <c r="AI26" s="1293"/>
      <c r="AJ26" s="30"/>
      <c r="AK26" s="253"/>
      <c r="AL26" s="238"/>
      <c r="AM26" s="254">
        <f>W22*SUM(N33:O42)</f>
        <v>0</v>
      </c>
      <c r="AN26" s="241"/>
      <c r="AO26" s="241"/>
      <c r="AP26" s="241"/>
      <c r="AQ26" s="241"/>
      <c r="AR26" s="241"/>
      <c r="AS26" s="241"/>
      <c r="AT26" s="241"/>
      <c r="AU26" s="241"/>
      <c r="AV26" s="241"/>
      <c r="AW26" s="241"/>
      <c r="AX26" s="238"/>
      <c r="AY26" s="238"/>
      <c r="AZ26" s="238"/>
      <c r="BA26" s="238"/>
      <c r="BB26" s="238"/>
      <c r="BC26" s="238"/>
      <c r="BD26" s="238"/>
      <c r="BE26" s="238"/>
      <c r="BF26" s="239"/>
      <c r="BG26" s="239"/>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row>
    <row r="27" spans="1:94" s="240" customFormat="1" ht="14.25" customHeight="1">
      <c r="A27" s="1370" t="s">
        <v>718</v>
      </c>
      <c r="B27" s="1370"/>
      <c r="C27" s="1370"/>
      <c r="D27" s="1370"/>
      <c r="E27" s="1370"/>
      <c r="F27" s="1371" t="s">
        <v>801</v>
      </c>
      <c r="G27" s="1372"/>
      <c r="H27" s="1372"/>
      <c r="I27" s="1372"/>
      <c r="J27" s="1372"/>
      <c r="K27" s="1372"/>
      <c r="L27" s="1372"/>
      <c r="M27" s="1372"/>
      <c r="N27" s="1372"/>
      <c r="O27" s="1372"/>
      <c r="P27" s="1372"/>
      <c r="Q27" s="1372"/>
      <c r="R27" s="1372"/>
      <c r="S27" s="1372"/>
      <c r="T27" s="1372"/>
      <c r="U27" s="1373"/>
      <c r="V27" s="1575" t="s">
        <v>809</v>
      </c>
      <c r="W27" s="1576"/>
      <c r="X27" s="1576"/>
      <c r="Y27" s="1576"/>
      <c r="Z27" s="1576"/>
      <c r="AA27" s="1576"/>
      <c r="AB27" s="1576"/>
      <c r="AC27" s="1576"/>
      <c r="AD27" s="1576"/>
      <c r="AE27" s="1576"/>
      <c r="AF27" s="1576"/>
      <c r="AG27" s="1576"/>
      <c r="AH27" s="1576"/>
      <c r="AI27" s="1576"/>
      <c r="AJ27" s="1576"/>
      <c r="AK27" s="253"/>
      <c r="AL27" s="255"/>
      <c r="AM27" s="241"/>
      <c r="AN27" s="241"/>
      <c r="AO27" s="241"/>
      <c r="AP27" s="241"/>
      <c r="AQ27" s="241"/>
      <c r="AR27" s="241"/>
      <c r="AS27" s="241"/>
      <c r="AT27" s="241"/>
      <c r="AU27" s="241"/>
      <c r="AV27" s="241"/>
      <c r="AW27" s="241"/>
      <c r="AX27" s="241"/>
      <c r="AY27" s="241"/>
      <c r="AZ27" s="238"/>
      <c r="BA27" s="238"/>
      <c r="BB27" s="238"/>
      <c r="BC27" s="238"/>
      <c r="BD27" s="238"/>
      <c r="BE27" s="238"/>
      <c r="BF27" s="239"/>
      <c r="BG27" s="239"/>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row>
    <row r="28" spans="1:94" s="240" customFormat="1" ht="14.25" customHeight="1">
      <c r="A28" s="256" t="s">
        <v>620</v>
      </c>
      <c r="B28" s="30"/>
      <c r="C28" s="30"/>
      <c r="D28" s="30"/>
      <c r="E28" s="30"/>
      <c r="F28" s="1374"/>
      <c r="G28" s="1374"/>
      <c r="H28" s="1374"/>
      <c r="I28" s="1374"/>
      <c r="J28" s="1375" t="s">
        <v>120</v>
      </c>
      <c r="K28" s="1375"/>
      <c r="L28" s="1375"/>
      <c r="M28" s="1375"/>
      <c r="N28" s="1374" t="s">
        <v>621</v>
      </c>
      <c r="O28" s="1374"/>
      <c r="P28" s="1375" t="s">
        <v>622</v>
      </c>
      <c r="Q28" s="1375"/>
      <c r="R28" s="1375"/>
      <c r="S28" s="1375"/>
      <c r="T28" s="1375"/>
      <c r="U28" s="1375"/>
      <c r="V28" s="1577"/>
      <c r="W28" s="1576"/>
      <c r="X28" s="1576"/>
      <c r="Y28" s="1576"/>
      <c r="Z28" s="1576"/>
      <c r="AA28" s="1576"/>
      <c r="AB28" s="1576"/>
      <c r="AC28" s="1576"/>
      <c r="AD28" s="1576"/>
      <c r="AE28" s="1576"/>
      <c r="AF28" s="1576"/>
      <c r="AG28" s="1576"/>
      <c r="AH28" s="1576"/>
      <c r="AI28" s="1576"/>
      <c r="AJ28" s="1576"/>
      <c r="AK28" s="253"/>
      <c r="AL28" s="255"/>
      <c r="AM28" s="241"/>
      <c r="AN28" s="241"/>
      <c r="AO28" s="241"/>
      <c r="AP28" s="241"/>
      <c r="AQ28" s="241"/>
      <c r="AR28" s="241"/>
      <c r="AS28" s="241"/>
      <c r="AT28" s="241"/>
      <c r="AU28" s="241"/>
      <c r="AV28" s="241"/>
      <c r="AW28" s="241"/>
      <c r="AX28" s="241"/>
      <c r="AY28" s="241"/>
      <c r="AZ28" s="238"/>
      <c r="BA28" s="238"/>
      <c r="BB28" s="238"/>
      <c r="BC28" s="238"/>
      <c r="BD28" s="238"/>
      <c r="BE28" s="238"/>
      <c r="BF28" s="239"/>
      <c r="BG28" s="239"/>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38"/>
      <c r="CN28" s="238"/>
      <c r="CO28" s="238"/>
      <c r="CP28" s="238"/>
    </row>
    <row r="29" spans="1:94" s="240" customFormat="1" ht="14.25" customHeight="1">
      <c r="A29" s="133"/>
      <c r="B29" s="30"/>
      <c r="C29" s="30"/>
      <c r="D29" s="30"/>
      <c r="E29" s="30"/>
      <c r="F29" s="1374"/>
      <c r="G29" s="1374"/>
      <c r="H29" s="1374"/>
      <c r="I29" s="1374"/>
      <c r="J29" s="1375" t="s">
        <v>624</v>
      </c>
      <c r="K29" s="1375"/>
      <c r="L29" s="1375" t="s">
        <v>625</v>
      </c>
      <c r="M29" s="1375"/>
      <c r="N29" s="1374"/>
      <c r="O29" s="1374"/>
      <c r="P29" s="1375"/>
      <c r="Q29" s="1375"/>
      <c r="R29" s="1375"/>
      <c r="S29" s="1375"/>
      <c r="T29" s="1375"/>
      <c r="U29" s="1375"/>
      <c r="V29" s="1577"/>
      <c r="W29" s="1576"/>
      <c r="X29" s="1576"/>
      <c r="Y29" s="1576"/>
      <c r="Z29" s="1576"/>
      <c r="AA29" s="1576"/>
      <c r="AB29" s="1576"/>
      <c r="AC29" s="1576"/>
      <c r="AD29" s="1576"/>
      <c r="AE29" s="1576"/>
      <c r="AF29" s="1576"/>
      <c r="AG29" s="1576"/>
      <c r="AH29" s="1576"/>
      <c r="AI29" s="1576"/>
      <c r="AJ29" s="1576"/>
      <c r="AK29" s="253"/>
      <c r="AL29" s="258"/>
      <c r="AM29" s="259" t="s">
        <v>740</v>
      </c>
      <c r="AN29" s="259"/>
      <c r="AO29" s="259"/>
      <c r="AP29" s="259"/>
      <c r="AQ29" s="259"/>
      <c r="AR29" s="259"/>
      <c r="AS29" s="259" t="s">
        <v>741</v>
      </c>
      <c r="AT29" s="259"/>
      <c r="AU29" s="259" t="s">
        <v>742</v>
      </c>
      <c r="AV29" s="259"/>
      <c r="AW29" s="259"/>
      <c r="AX29" s="259"/>
      <c r="AY29" s="258"/>
      <c r="AZ29" s="238"/>
      <c r="BA29" s="238"/>
      <c r="BB29" s="238"/>
      <c r="BC29" s="238"/>
      <c r="BD29" s="238"/>
      <c r="BE29" s="238"/>
      <c r="BF29" s="239"/>
      <c r="BG29" s="239"/>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row>
    <row r="30" spans="1:94" s="240" customFormat="1" ht="14.25" customHeight="1">
      <c r="A30" s="1376" t="s">
        <v>630</v>
      </c>
      <c r="B30" s="1376"/>
      <c r="C30" s="1376"/>
      <c r="D30" s="1376"/>
      <c r="E30" s="1376"/>
      <c r="F30" s="1375" t="s">
        <v>631</v>
      </c>
      <c r="G30" s="1375"/>
      <c r="H30" s="1375" t="s">
        <v>618</v>
      </c>
      <c r="I30" s="1375"/>
      <c r="J30" s="1373" t="s">
        <v>618</v>
      </c>
      <c r="K30" s="1375"/>
      <c r="L30" s="1375" t="s">
        <v>618</v>
      </c>
      <c r="M30" s="1375"/>
      <c r="N30" s="1375" t="s">
        <v>617</v>
      </c>
      <c r="O30" s="1375"/>
      <c r="P30" s="1375" t="s">
        <v>631</v>
      </c>
      <c r="Q30" s="1375"/>
      <c r="R30" s="1371" t="s">
        <v>618</v>
      </c>
      <c r="S30" s="1373"/>
      <c r="T30" s="1371" t="s">
        <v>617</v>
      </c>
      <c r="U30" s="1373"/>
      <c r="V30" s="1577"/>
      <c r="W30" s="1576"/>
      <c r="X30" s="1576"/>
      <c r="Y30" s="1576"/>
      <c r="Z30" s="1576"/>
      <c r="AA30" s="1576"/>
      <c r="AB30" s="1576"/>
      <c r="AC30" s="1576"/>
      <c r="AD30" s="1576"/>
      <c r="AE30" s="1576"/>
      <c r="AF30" s="1576"/>
      <c r="AG30" s="1576"/>
      <c r="AH30" s="1576"/>
      <c r="AI30" s="1576"/>
      <c r="AJ30" s="1576"/>
      <c r="AK30" s="253"/>
      <c r="AL30" s="258"/>
      <c r="AM30" s="259" t="s">
        <v>633</v>
      </c>
      <c r="AN30" s="259" t="s">
        <v>634</v>
      </c>
      <c r="AO30" s="259" t="s">
        <v>635</v>
      </c>
      <c r="AP30" s="259" t="s">
        <v>636</v>
      </c>
      <c r="AQ30" s="259" t="s">
        <v>637</v>
      </c>
      <c r="AR30" s="259" t="s">
        <v>590</v>
      </c>
      <c r="AS30" s="259" t="s">
        <v>428</v>
      </c>
      <c r="AT30" s="259" t="s">
        <v>429</v>
      </c>
      <c r="AU30" s="259" t="s">
        <v>126</v>
      </c>
      <c r="AV30" s="259" t="s">
        <v>431</v>
      </c>
      <c r="AW30" s="259" t="s">
        <v>429</v>
      </c>
      <c r="AX30" s="259" t="s">
        <v>124</v>
      </c>
      <c r="AY30" s="258"/>
      <c r="AZ30" s="238"/>
      <c r="BA30" s="238"/>
      <c r="BB30" s="238"/>
      <c r="BC30" s="238"/>
      <c r="BD30" s="238"/>
      <c r="BE30" s="238"/>
      <c r="BF30" s="239" t="s">
        <v>128</v>
      </c>
      <c r="BG30" s="239" t="s">
        <v>743</v>
      </c>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row>
    <row r="31" spans="1:94" s="240" customFormat="1" ht="14.25" customHeight="1">
      <c r="A31" s="260" t="s">
        <v>638</v>
      </c>
      <c r="B31" s="261"/>
      <c r="C31" s="261"/>
      <c r="D31" s="261"/>
      <c r="E31" s="262"/>
      <c r="F31" s="1377">
        <v>0</v>
      </c>
      <c r="G31" s="1378"/>
      <c r="H31" s="1379">
        <v>0</v>
      </c>
      <c r="I31" s="1381"/>
      <c r="J31" s="1380"/>
      <c r="K31" s="1380"/>
      <c r="L31" s="1379"/>
      <c r="M31" s="1380"/>
      <c r="N31" s="1379">
        <f t="shared" ref="N31:N51" si="0">SUM(H31,J31,L31)*AR31</f>
        <v>0</v>
      </c>
      <c r="O31" s="1380"/>
      <c r="P31" s="1379"/>
      <c r="Q31" s="1381"/>
      <c r="R31" s="1379"/>
      <c r="S31" s="1380"/>
      <c r="T31" s="1379"/>
      <c r="U31" s="1381"/>
      <c r="V31" s="1577"/>
      <c r="W31" s="1576"/>
      <c r="X31" s="1576"/>
      <c r="Y31" s="1576"/>
      <c r="Z31" s="1576"/>
      <c r="AA31" s="1576"/>
      <c r="AB31" s="1576"/>
      <c r="AC31" s="1576"/>
      <c r="AD31" s="1576"/>
      <c r="AE31" s="1576"/>
      <c r="AF31" s="1576"/>
      <c r="AG31" s="1576"/>
      <c r="AH31" s="1576"/>
      <c r="AI31" s="1576"/>
      <c r="AJ31" s="1576"/>
      <c r="AK31" s="264"/>
      <c r="AL31" s="258"/>
      <c r="AM31" s="259"/>
      <c r="AN31" s="259">
        <v>2</v>
      </c>
      <c r="AO31" s="259"/>
      <c r="AP31" s="259"/>
      <c r="AQ31" s="259"/>
      <c r="AR31" s="265">
        <f>AM31*12.01+AN31*1.008+AO31*16+AP31*14+AQ31*32</f>
        <v>2.016</v>
      </c>
      <c r="AS31" s="259">
        <f>AM31*1+AN31*0.25+AQ31*1</f>
        <v>0.5</v>
      </c>
      <c r="AT31" s="266">
        <f>0.79/0.21*AS31</f>
        <v>1.8809523809523812</v>
      </c>
      <c r="AU31" s="259">
        <f>1*AM31</f>
        <v>0</v>
      </c>
      <c r="AV31" s="259">
        <f>AN31/2</f>
        <v>1</v>
      </c>
      <c r="AW31" s="266">
        <f>AP31*0.5+AT31</f>
        <v>1.8809523809523812</v>
      </c>
      <c r="AX31" s="259">
        <f>AQ31*1</f>
        <v>0</v>
      </c>
      <c r="AY31" s="258"/>
      <c r="AZ31" s="238"/>
      <c r="BA31" s="238"/>
      <c r="BB31" s="238"/>
      <c r="BC31" s="238"/>
      <c r="BD31" s="238"/>
      <c r="BE31" s="239" t="s">
        <v>639</v>
      </c>
      <c r="BF31" s="239">
        <v>1.4200000000000001E-2</v>
      </c>
      <c r="BG31" s="239">
        <v>2.9999999999999997E-4</v>
      </c>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row>
    <row r="32" spans="1:94" s="240" customFormat="1" ht="14.25" customHeight="1">
      <c r="A32" s="267" t="s">
        <v>122</v>
      </c>
      <c r="B32" s="268"/>
      <c r="C32" s="268"/>
      <c r="D32" s="268"/>
      <c r="E32" s="269"/>
      <c r="F32" s="1377">
        <f>CO2eEF!P26</f>
        <v>0.99629999999999996</v>
      </c>
      <c r="G32" s="1378"/>
      <c r="H32" s="1299">
        <f>F32*$AC$25</f>
        <v>5964.2028535980144</v>
      </c>
      <c r="I32" s="1301"/>
      <c r="J32" s="1300"/>
      <c r="K32" s="1300"/>
      <c r="L32" s="1299"/>
      <c r="M32" s="1300"/>
      <c r="N32" s="1299">
        <f t="shared" si="0"/>
        <v>95677.74217741935</v>
      </c>
      <c r="O32" s="1301"/>
      <c r="P32" s="1547">
        <f>R32/$R$52</f>
        <v>1.8964269577005921E-3</v>
      </c>
      <c r="Q32" s="1548"/>
      <c r="R32" s="1299">
        <f>T32/$AR32</f>
        <v>119.28405707196029</v>
      </c>
      <c r="S32" s="1300"/>
      <c r="T32" s="1299">
        <f>H32*0.02*AR32</f>
        <v>1913.5548435483872</v>
      </c>
      <c r="U32" s="1301"/>
      <c r="V32" s="1577"/>
      <c r="W32" s="1576"/>
      <c r="X32" s="1576"/>
      <c r="Y32" s="1576"/>
      <c r="Z32" s="1576"/>
      <c r="AA32" s="1576"/>
      <c r="AB32" s="1576"/>
      <c r="AC32" s="1576"/>
      <c r="AD32" s="1576"/>
      <c r="AE32" s="1576"/>
      <c r="AF32" s="1576"/>
      <c r="AG32" s="1576"/>
      <c r="AH32" s="1576"/>
      <c r="AI32" s="1576"/>
      <c r="AJ32" s="1576"/>
      <c r="AK32" s="264"/>
      <c r="AL32" s="258"/>
      <c r="AM32" s="259">
        <v>1</v>
      </c>
      <c r="AN32" s="259">
        <v>4</v>
      </c>
      <c r="AO32" s="259"/>
      <c r="AP32" s="259"/>
      <c r="AQ32" s="259"/>
      <c r="AR32" s="265">
        <f t="shared" ref="AR32:AR47" si="1">AM32*12.01+AN32*1.008+AO32*16+AP32*14+AQ32*32</f>
        <v>16.042000000000002</v>
      </c>
      <c r="AS32" s="259">
        <f t="shared" ref="AS32:AS46" si="2">AM32*1+AN32*0.25+AQ32*1</f>
        <v>2</v>
      </c>
      <c r="AT32" s="266">
        <f t="shared" ref="AT32:AT46" si="3">0.79/0.21*AS32</f>
        <v>7.5238095238095246</v>
      </c>
      <c r="AU32" s="259">
        <f t="shared" ref="AU32:AU46" si="4">1*AM32</f>
        <v>1</v>
      </c>
      <c r="AV32" s="259">
        <f t="shared" ref="AV32:AV46" si="5">AN32/2</f>
        <v>2</v>
      </c>
      <c r="AW32" s="266">
        <f t="shared" ref="AW32:AW46" si="6">AP32*0.5+AT32</f>
        <v>7.5238095238095246</v>
      </c>
      <c r="AX32" s="259">
        <f t="shared" ref="AX32:AX46" si="7">AQ32*1</f>
        <v>0</v>
      </c>
      <c r="AY32" s="258"/>
      <c r="AZ32" s="238"/>
      <c r="BA32" s="238"/>
      <c r="BB32" s="238"/>
      <c r="BC32" s="238"/>
      <c r="BD32" s="238"/>
      <c r="BE32" s="239" t="s">
        <v>126</v>
      </c>
      <c r="BF32" s="239">
        <v>9.5999999999999992E-3</v>
      </c>
      <c r="BG32" s="239">
        <v>0.77539999999999998</v>
      </c>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row>
    <row r="33" spans="1:94" s="240" customFormat="1" ht="14.25" customHeight="1">
      <c r="A33" s="267" t="s">
        <v>641</v>
      </c>
      <c r="B33" s="268"/>
      <c r="C33" s="268"/>
      <c r="D33" s="268"/>
      <c r="E33" s="269"/>
      <c r="F33" s="1377">
        <v>0</v>
      </c>
      <c r="G33" s="1378"/>
      <c r="H33" s="1299">
        <f t="shared" ref="H33:H51" si="8">F33*$AC$25</f>
        <v>0</v>
      </c>
      <c r="I33" s="1301"/>
      <c r="J33" s="1300"/>
      <c r="K33" s="1300"/>
      <c r="L33" s="1299"/>
      <c r="M33" s="1300"/>
      <c r="N33" s="1299">
        <f t="shared" si="0"/>
        <v>0</v>
      </c>
      <c r="O33" s="1301"/>
      <c r="P33" s="1299">
        <f t="shared" ref="P33:P51" si="9">R33/$R$52</f>
        <v>0</v>
      </c>
      <c r="Q33" s="1301"/>
      <c r="R33" s="1300"/>
      <c r="S33" s="1300"/>
      <c r="T33" s="1299"/>
      <c r="U33" s="1301"/>
      <c r="V33" s="263"/>
      <c r="W33" s="263"/>
      <c r="X33" s="270">
        <f>AH25</f>
        <v>1334.3805555555555</v>
      </c>
      <c r="Y33" s="31" t="s">
        <v>590</v>
      </c>
      <c r="Z33" s="270"/>
      <c r="AA33" s="263"/>
      <c r="AB33" s="263"/>
      <c r="AC33" s="263"/>
      <c r="AD33" s="263"/>
      <c r="AE33" s="263"/>
      <c r="AF33" s="263"/>
      <c r="AG33" s="263"/>
      <c r="AH33" s="263"/>
      <c r="AI33" s="263"/>
      <c r="AJ33" s="263"/>
      <c r="AK33" s="264"/>
      <c r="AL33" s="258"/>
      <c r="AM33" s="259">
        <v>2</v>
      </c>
      <c r="AN33" s="259">
        <v>4</v>
      </c>
      <c r="AO33" s="259"/>
      <c r="AP33" s="259"/>
      <c r="AQ33" s="259"/>
      <c r="AR33" s="265">
        <f t="shared" si="1"/>
        <v>28.052</v>
      </c>
      <c r="AS33" s="259">
        <f t="shared" si="2"/>
        <v>3</v>
      </c>
      <c r="AT33" s="266">
        <f t="shared" si="3"/>
        <v>11.285714285714286</v>
      </c>
      <c r="AU33" s="259">
        <f t="shared" si="4"/>
        <v>2</v>
      </c>
      <c r="AV33" s="259">
        <f t="shared" si="5"/>
        <v>2</v>
      </c>
      <c r="AW33" s="266">
        <f t="shared" si="6"/>
        <v>11.285714285714286</v>
      </c>
      <c r="AX33" s="259">
        <f t="shared" si="7"/>
        <v>0</v>
      </c>
      <c r="AY33" s="258"/>
      <c r="AZ33" s="238"/>
      <c r="BA33" s="238"/>
      <c r="BB33" s="238"/>
      <c r="BC33" s="238"/>
      <c r="BD33" s="238"/>
      <c r="BE33" s="239" t="s">
        <v>642</v>
      </c>
      <c r="BF33" s="239">
        <v>0.60499999999999998</v>
      </c>
      <c r="BG33" s="239">
        <v>1.43E-2</v>
      </c>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row>
    <row r="34" spans="1:94" s="240" customFormat="1" ht="14.25" customHeight="1">
      <c r="A34" s="267" t="s">
        <v>643</v>
      </c>
      <c r="B34" s="268"/>
      <c r="C34" s="268"/>
      <c r="D34" s="268"/>
      <c r="E34" s="269"/>
      <c r="F34" s="1377">
        <f>CO2eEF!P27</f>
        <v>7.000000000000001E-4</v>
      </c>
      <c r="G34" s="1378"/>
      <c r="H34" s="1299">
        <f t="shared" si="8"/>
        <v>4.1904466501240698</v>
      </c>
      <c r="I34" s="1301"/>
      <c r="J34" s="1300"/>
      <c r="K34" s="1300"/>
      <c r="L34" s="1299"/>
      <c r="M34" s="1300"/>
      <c r="N34" s="1299">
        <f t="shared" si="0"/>
        <v>125.99834987593051</v>
      </c>
      <c r="O34" s="1301"/>
      <c r="P34" s="1578">
        <f t="shared" si="9"/>
        <v>0</v>
      </c>
      <c r="Q34" s="1579"/>
      <c r="R34" s="1300">
        <f>T34/$AR34</f>
        <v>0</v>
      </c>
      <c r="S34" s="1300"/>
      <c r="T34" s="1299">
        <f>$Q$22*N34</f>
        <v>0</v>
      </c>
      <c r="U34" s="1301"/>
      <c r="V34" s="263"/>
      <c r="W34" s="263"/>
      <c r="X34" s="31"/>
      <c r="Y34" s="395" t="s">
        <v>623</v>
      </c>
      <c r="Z34" s="270"/>
      <c r="AA34" s="263"/>
      <c r="AB34" s="263"/>
      <c r="AC34" s="263"/>
      <c r="AD34" s="263"/>
      <c r="AE34" s="263"/>
      <c r="AF34" s="263"/>
      <c r="AG34" s="263"/>
      <c r="AH34" s="263"/>
      <c r="AI34" s="263"/>
      <c r="AJ34" s="263"/>
      <c r="AK34" s="264"/>
      <c r="AL34" s="258"/>
      <c r="AM34" s="259">
        <v>2</v>
      </c>
      <c r="AN34" s="259">
        <v>6</v>
      </c>
      <c r="AO34" s="259"/>
      <c r="AP34" s="259"/>
      <c r="AQ34" s="259"/>
      <c r="AR34" s="265">
        <f t="shared" si="1"/>
        <v>30.067999999999998</v>
      </c>
      <c r="AS34" s="259">
        <f t="shared" si="2"/>
        <v>3.5</v>
      </c>
      <c r="AT34" s="266">
        <f t="shared" si="3"/>
        <v>13.166666666666668</v>
      </c>
      <c r="AU34" s="259">
        <f t="shared" si="4"/>
        <v>2</v>
      </c>
      <c r="AV34" s="259">
        <f t="shared" si="5"/>
        <v>3</v>
      </c>
      <c r="AW34" s="266">
        <f t="shared" si="6"/>
        <v>13.166666666666668</v>
      </c>
      <c r="AX34" s="259">
        <f t="shared" si="7"/>
        <v>0</v>
      </c>
      <c r="AY34" s="258"/>
      <c r="AZ34" s="238"/>
      <c r="BA34" s="238"/>
      <c r="BB34" s="238"/>
      <c r="BC34" s="238"/>
      <c r="BD34" s="238"/>
      <c r="BE34" s="239" t="s">
        <v>644</v>
      </c>
      <c r="BF34" s="239">
        <v>0.17519999999999999</v>
      </c>
      <c r="BG34" s="239">
        <v>1.9E-3</v>
      </c>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38"/>
      <c r="CN34" s="238"/>
      <c r="CO34" s="238"/>
      <c r="CP34" s="238"/>
    </row>
    <row r="35" spans="1:94" s="240" customFormat="1" ht="14.25" customHeight="1">
      <c r="A35" s="267" t="s">
        <v>418</v>
      </c>
      <c r="B35" s="268"/>
      <c r="C35" s="268"/>
      <c r="D35" s="268"/>
      <c r="E35" s="269"/>
      <c r="F35" s="1377">
        <v>0</v>
      </c>
      <c r="G35" s="1378"/>
      <c r="H35" s="1299">
        <f t="shared" si="8"/>
        <v>0</v>
      </c>
      <c r="I35" s="1301"/>
      <c r="J35" s="1300"/>
      <c r="K35" s="1300"/>
      <c r="L35" s="1299"/>
      <c r="M35" s="1300"/>
      <c r="N35" s="1299">
        <f t="shared" si="0"/>
        <v>0</v>
      </c>
      <c r="O35" s="1301"/>
      <c r="P35" s="1299">
        <f t="shared" si="9"/>
        <v>0</v>
      </c>
      <c r="Q35" s="1301"/>
      <c r="R35" s="1300"/>
      <c r="S35" s="1300"/>
      <c r="T35" s="1299"/>
      <c r="U35" s="1301"/>
      <c r="V35" s="263"/>
      <c r="W35" s="263"/>
      <c r="X35" s="272">
        <f>X33*X34</f>
        <v>0</v>
      </c>
      <c r="Y35" s="31" t="s">
        <v>626</v>
      </c>
      <c r="Z35" s="270"/>
      <c r="AA35" s="263"/>
      <c r="AB35" s="263"/>
      <c r="AC35" s="263"/>
      <c r="AD35" s="263"/>
      <c r="AE35" s="263"/>
      <c r="AF35" s="263"/>
      <c r="AG35" s="263"/>
      <c r="AH35" s="263"/>
      <c r="AI35" s="263"/>
      <c r="AJ35" s="263"/>
      <c r="AK35" s="264"/>
      <c r="AL35" s="258"/>
      <c r="AM35" s="259">
        <v>3</v>
      </c>
      <c r="AN35" s="259">
        <v>6</v>
      </c>
      <c r="AO35" s="259"/>
      <c r="AP35" s="259"/>
      <c r="AQ35" s="259"/>
      <c r="AR35" s="265">
        <f t="shared" si="1"/>
        <v>42.078000000000003</v>
      </c>
      <c r="AS35" s="259">
        <f t="shared" si="2"/>
        <v>4.5</v>
      </c>
      <c r="AT35" s="266">
        <f t="shared" si="3"/>
        <v>16.928571428571431</v>
      </c>
      <c r="AU35" s="259">
        <f t="shared" si="4"/>
        <v>3</v>
      </c>
      <c r="AV35" s="259">
        <f t="shared" si="5"/>
        <v>3</v>
      </c>
      <c r="AW35" s="266">
        <f t="shared" si="6"/>
        <v>16.928571428571431</v>
      </c>
      <c r="AX35" s="259">
        <f t="shared" si="7"/>
        <v>0</v>
      </c>
      <c r="AY35" s="258"/>
      <c r="AZ35" s="238"/>
      <c r="BA35" s="238"/>
      <c r="BB35" s="238"/>
      <c r="BC35" s="238"/>
      <c r="BD35" s="238"/>
      <c r="BE35" s="239" t="s">
        <v>645</v>
      </c>
      <c r="BF35" s="239">
        <v>0.1139</v>
      </c>
      <c r="BG35" s="239">
        <v>3.5999999999999999E-3</v>
      </c>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row>
    <row r="36" spans="1:94" s="240" customFormat="1" ht="14.25" customHeight="1">
      <c r="A36" s="267" t="s">
        <v>419</v>
      </c>
      <c r="B36" s="268"/>
      <c r="C36" s="268"/>
      <c r="D36" s="268"/>
      <c r="E36" s="269"/>
      <c r="F36" s="1377">
        <f>CO2eEF!P28</f>
        <v>2.0000000000000001E-4</v>
      </c>
      <c r="G36" s="1378"/>
      <c r="H36" s="1299">
        <f t="shared" si="8"/>
        <v>1.1972704714640199</v>
      </c>
      <c r="I36" s="1301"/>
      <c r="J36" s="1300"/>
      <c r="K36" s="1300"/>
      <c r="L36" s="1299"/>
      <c r="M36" s="1300"/>
      <c r="N36" s="1299">
        <f t="shared" si="0"/>
        <v>52.792444168734491</v>
      </c>
      <c r="O36" s="1301"/>
      <c r="P36" s="1299">
        <f t="shared" si="9"/>
        <v>0</v>
      </c>
      <c r="Q36" s="1301"/>
      <c r="R36" s="1300">
        <f>T36/$AR36</f>
        <v>0</v>
      </c>
      <c r="S36" s="1300"/>
      <c r="T36" s="1299">
        <f>$Q$22*N36</f>
        <v>0</v>
      </c>
      <c r="U36" s="1301"/>
      <c r="V36" s="263"/>
      <c r="W36" s="263"/>
      <c r="X36" s="272">
        <f>X35*3600/1000</f>
        <v>0</v>
      </c>
      <c r="Y36" s="31" t="s">
        <v>632</v>
      </c>
      <c r="Z36" s="270"/>
      <c r="AA36" s="263"/>
      <c r="AB36" s="263"/>
      <c r="AC36" s="263"/>
      <c r="AD36" s="263"/>
      <c r="AE36" s="263"/>
      <c r="AF36" s="263"/>
      <c r="AG36" s="263"/>
      <c r="AH36" s="263"/>
      <c r="AI36" s="263"/>
      <c r="AJ36" s="263"/>
      <c r="AK36" s="264"/>
      <c r="AL36" s="258"/>
      <c r="AM36" s="259">
        <v>3</v>
      </c>
      <c r="AN36" s="259">
        <v>8</v>
      </c>
      <c r="AO36" s="259"/>
      <c r="AP36" s="259"/>
      <c r="AQ36" s="259"/>
      <c r="AR36" s="265">
        <f t="shared" si="1"/>
        <v>44.094000000000001</v>
      </c>
      <c r="AS36" s="259">
        <f t="shared" si="2"/>
        <v>5</v>
      </c>
      <c r="AT36" s="266">
        <f t="shared" si="3"/>
        <v>18.80952380952381</v>
      </c>
      <c r="AU36" s="259">
        <f t="shared" si="4"/>
        <v>3</v>
      </c>
      <c r="AV36" s="259">
        <f t="shared" si="5"/>
        <v>4</v>
      </c>
      <c r="AW36" s="266">
        <f t="shared" si="6"/>
        <v>18.80952380952381</v>
      </c>
      <c r="AX36" s="259">
        <f t="shared" si="7"/>
        <v>0</v>
      </c>
      <c r="AY36" s="258"/>
      <c r="AZ36" s="238"/>
      <c r="BA36" s="238"/>
      <c r="BB36" s="238"/>
      <c r="BC36" s="238"/>
      <c r="BD36" s="238"/>
      <c r="BE36" s="239" t="s">
        <v>646</v>
      </c>
      <c r="BF36" s="239">
        <v>1.7100000000000001E-2</v>
      </c>
      <c r="BG36" s="239">
        <v>1E-3</v>
      </c>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row>
    <row r="37" spans="1:94" s="240" customFormat="1" ht="14.25" customHeight="1">
      <c r="A37" s="267" t="s">
        <v>420</v>
      </c>
      <c r="B37" s="268"/>
      <c r="C37" s="268"/>
      <c r="D37" s="268"/>
      <c r="E37" s="269"/>
      <c r="F37" s="1377">
        <v>0</v>
      </c>
      <c r="G37" s="1378"/>
      <c r="H37" s="1299">
        <f t="shared" si="8"/>
        <v>0</v>
      </c>
      <c r="I37" s="1301"/>
      <c r="J37" s="1300"/>
      <c r="K37" s="1300"/>
      <c r="L37" s="1299"/>
      <c r="M37" s="1300"/>
      <c r="N37" s="1299">
        <f t="shared" si="0"/>
        <v>0</v>
      </c>
      <c r="O37" s="1301"/>
      <c r="P37" s="1299">
        <f t="shared" si="9"/>
        <v>0</v>
      </c>
      <c r="Q37" s="1301"/>
      <c r="R37" s="1300"/>
      <c r="S37" s="1300"/>
      <c r="T37" s="1299"/>
      <c r="U37" s="1301"/>
      <c r="V37" s="263"/>
      <c r="W37" s="263"/>
      <c r="X37" s="263"/>
      <c r="Y37" s="263"/>
      <c r="Z37" s="263"/>
      <c r="AA37" s="263"/>
      <c r="AB37" s="263"/>
      <c r="AC37" s="263"/>
      <c r="AD37" s="263"/>
      <c r="AE37" s="263"/>
      <c r="AF37" s="263"/>
      <c r="AG37" s="263"/>
      <c r="AH37" s="263"/>
      <c r="AI37" s="263"/>
      <c r="AJ37" s="263"/>
      <c r="AK37" s="264"/>
      <c r="AL37" s="258"/>
      <c r="AM37" s="259">
        <v>4</v>
      </c>
      <c r="AN37" s="259">
        <v>8</v>
      </c>
      <c r="AO37" s="259"/>
      <c r="AP37" s="259"/>
      <c r="AQ37" s="259"/>
      <c r="AR37" s="265">
        <f t="shared" si="1"/>
        <v>56.103999999999999</v>
      </c>
      <c r="AS37" s="259">
        <f t="shared" si="2"/>
        <v>6</v>
      </c>
      <c r="AT37" s="266">
        <f t="shared" si="3"/>
        <v>22.571428571428573</v>
      </c>
      <c r="AU37" s="259">
        <f t="shared" si="4"/>
        <v>4</v>
      </c>
      <c r="AV37" s="259">
        <f t="shared" si="5"/>
        <v>4</v>
      </c>
      <c r="AW37" s="266">
        <f t="shared" si="6"/>
        <v>22.571428571428573</v>
      </c>
      <c r="AX37" s="259">
        <f t="shared" si="7"/>
        <v>0</v>
      </c>
      <c r="AY37" s="258"/>
      <c r="AZ37" s="238"/>
      <c r="BA37" s="238"/>
      <c r="BB37" s="238"/>
      <c r="BC37" s="238"/>
      <c r="BD37" s="238"/>
      <c r="BE37" s="239" t="s">
        <v>647</v>
      </c>
      <c r="BF37" s="239">
        <v>4.5900000000000003E-2</v>
      </c>
      <c r="BG37" s="239">
        <v>2.3999999999999998E-3</v>
      </c>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row>
    <row r="38" spans="1:94" s="240" customFormat="1" ht="14.25" customHeight="1">
      <c r="A38" s="267" t="s">
        <v>421</v>
      </c>
      <c r="B38" s="268"/>
      <c r="C38" s="268"/>
      <c r="D38" s="268"/>
      <c r="E38" s="269"/>
      <c r="F38" s="1377">
        <f>CO2eEF!P29</f>
        <v>1E-4</v>
      </c>
      <c r="G38" s="1378"/>
      <c r="H38" s="1299">
        <f t="shared" si="8"/>
        <v>0.59863523573200994</v>
      </c>
      <c r="I38" s="1301"/>
      <c r="J38" s="1300"/>
      <c r="K38" s="1300"/>
      <c r="L38" s="1299"/>
      <c r="M38" s="1300"/>
      <c r="N38" s="1299">
        <f t="shared" si="0"/>
        <v>34.792679900744417</v>
      </c>
      <c r="O38" s="1301"/>
      <c r="P38" s="1299">
        <f t="shared" si="9"/>
        <v>0</v>
      </c>
      <c r="Q38" s="1301"/>
      <c r="R38" s="1300">
        <f>T38/$AR38</f>
        <v>0</v>
      </c>
      <c r="S38" s="1300"/>
      <c r="T38" s="1299">
        <f>$Q$22*N38</f>
        <v>0</v>
      </c>
      <c r="U38" s="1301"/>
      <c r="V38" s="263"/>
      <c r="W38" s="263"/>
      <c r="X38" s="263"/>
      <c r="Y38" s="263"/>
      <c r="Z38" s="263"/>
      <c r="AA38" s="263"/>
      <c r="AB38" s="263"/>
      <c r="AC38" s="263"/>
      <c r="AD38" s="263"/>
      <c r="AE38" s="263"/>
      <c r="AF38" s="263"/>
      <c r="AG38" s="263"/>
      <c r="AH38" s="263"/>
      <c r="AI38" s="263"/>
      <c r="AJ38" s="263"/>
      <c r="AK38" s="264"/>
      <c r="AL38" s="258"/>
      <c r="AM38" s="259">
        <v>4</v>
      </c>
      <c r="AN38" s="259">
        <v>10</v>
      </c>
      <c r="AO38" s="259"/>
      <c r="AP38" s="259"/>
      <c r="AQ38" s="259"/>
      <c r="AR38" s="265">
        <f>AM38*12.01+AN38*1.008+AO38*16+AP38*14+AQ38*32</f>
        <v>58.12</v>
      </c>
      <c r="AS38" s="259">
        <f t="shared" si="2"/>
        <v>6.5</v>
      </c>
      <c r="AT38" s="266">
        <f t="shared" si="3"/>
        <v>24.452380952380956</v>
      </c>
      <c r="AU38" s="259">
        <f t="shared" si="4"/>
        <v>4</v>
      </c>
      <c r="AV38" s="259">
        <f t="shared" si="5"/>
        <v>5</v>
      </c>
      <c r="AW38" s="266">
        <f t="shared" si="6"/>
        <v>24.452380952380956</v>
      </c>
      <c r="AX38" s="259">
        <f t="shared" si="7"/>
        <v>0</v>
      </c>
      <c r="AY38" s="258"/>
      <c r="AZ38" s="238"/>
      <c r="BA38" s="238"/>
      <c r="BB38" s="238"/>
      <c r="BC38" s="238"/>
      <c r="BD38" s="238"/>
      <c r="BE38" s="239" t="s">
        <v>648</v>
      </c>
      <c r="BF38" s="239">
        <v>8.2000000000000007E-3</v>
      </c>
      <c r="BG38" s="239">
        <v>1.6000000000000001E-3</v>
      </c>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row>
    <row r="39" spans="1:94" s="240" customFormat="1" ht="14.25" customHeight="1">
      <c r="A39" s="267" t="s">
        <v>422</v>
      </c>
      <c r="B39" s="268"/>
      <c r="C39" s="268"/>
      <c r="D39" s="268"/>
      <c r="E39" s="269"/>
      <c r="F39" s="1377">
        <f>CO2eEF!P30</f>
        <v>0</v>
      </c>
      <c r="G39" s="1378"/>
      <c r="H39" s="1299">
        <f t="shared" si="8"/>
        <v>0</v>
      </c>
      <c r="I39" s="1301"/>
      <c r="J39" s="1300"/>
      <c r="K39" s="1300"/>
      <c r="L39" s="1299"/>
      <c r="M39" s="1300"/>
      <c r="N39" s="1299">
        <f t="shared" si="0"/>
        <v>0</v>
      </c>
      <c r="O39" s="1301"/>
      <c r="P39" s="1299">
        <f t="shared" si="9"/>
        <v>0</v>
      </c>
      <c r="Q39" s="1301"/>
      <c r="R39" s="1300">
        <f>T39/$AR39</f>
        <v>0</v>
      </c>
      <c r="S39" s="1300"/>
      <c r="T39" s="1299">
        <f>$Q$22*N39</f>
        <v>0</v>
      </c>
      <c r="U39" s="1301"/>
      <c r="V39" s="263"/>
      <c r="W39" s="263"/>
      <c r="X39" s="263" t="s">
        <v>761</v>
      </c>
      <c r="Y39" s="263"/>
      <c r="Z39" s="263"/>
      <c r="AA39" s="263"/>
      <c r="AB39" s="263"/>
      <c r="AC39" s="263"/>
      <c r="AD39" s="263"/>
      <c r="AE39" s="263"/>
      <c r="AF39" s="263"/>
      <c r="AG39" s="263"/>
      <c r="AH39" s="263"/>
      <c r="AI39" s="263"/>
      <c r="AJ39" s="263"/>
      <c r="AK39" s="264"/>
      <c r="AL39" s="258"/>
      <c r="AM39" s="259">
        <v>4</v>
      </c>
      <c r="AN39" s="259">
        <v>10</v>
      </c>
      <c r="AO39" s="259"/>
      <c r="AP39" s="259"/>
      <c r="AQ39" s="259"/>
      <c r="AR39" s="265">
        <f t="shared" si="1"/>
        <v>58.12</v>
      </c>
      <c r="AS39" s="259">
        <f t="shared" si="2"/>
        <v>6.5</v>
      </c>
      <c r="AT39" s="266">
        <f t="shared" si="3"/>
        <v>24.452380952380956</v>
      </c>
      <c r="AU39" s="259">
        <f t="shared" si="4"/>
        <v>4</v>
      </c>
      <c r="AV39" s="259">
        <f t="shared" si="5"/>
        <v>5</v>
      </c>
      <c r="AW39" s="266">
        <f t="shared" si="6"/>
        <v>24.452380952380956</v>
      </c>
      <c r="AX39" s="259">
        <f t="shared" si="7"/>
        <v>0</v>
      </c>
      <c r="AY39" s="258"/>
      <c r="AZ39" s="238"/>
      <c r="BA39" s="238"/>
      <c r="BB39" s="238"/>
      <c r="BC39" s="238"/>
      <c r="BD39" s="238"/>
      <c r="BE39" s="239" t="s">
        <v>649</v>
      </c>
      <c r="BF39" s="239">
        <v>2.0000000000000001E-4</v>
      </c>
      <c r="BG39" s="239">
        <v>0</v>
      </c>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38"/>
      <c r="CN39" s="238"/>
      <c r="CO39" s="238"/>
      <c r="CP39" s="238"/>
    </row>
    <row r="40" spans="1:94" s="240" customFormat="1" ht="14.25" customHeight="1">
      <c r="A40" s="267" t="s">
        <v>423</v>
      </c>
      <c r="B40" s="268"/>
      <c r="C40" s="268"/>
      <c r="D40" s="268"/>
      <c r="E40" s="269"/>
      <c r="F40" s="1377">
        <f>CO2eEF!P31</f>
        <v>1E-4</v>
      </c>
      <c r="G40" s="1378"/>
      <c r="H40" s="1299">
        <f t="shared" si="8"/>
        <v>0.59863523573200994</v>
      </c>
      <c r="I40" s="1301"/>
      <c r="J40" s="1300"/>
      <c r="K40" s="1300"/>
      <c r="L40" s="1299"/>
      <c r="M40" s="1300"/>
      <c r="N40" s="1299">
        <f t="shared" si="0"/>
        <v>43.189137717121589</v>
      </c>
      <c r="O40" s="1301"/>
      <c r="P40" s="1299">
        <f t="shared" si="9"/>
        <v>0</v>
      </c>
      <c r="Q40" s="1301"/>
      <c r="R40" s="1300">
        <f>T40/$AR40</f>
        <v>0</v>
      </c>
      <c r="S40" s="1300"/>
      <c r="T40" s="1299">
        <f>$Q$22*N40</f>
        <v>0</v>
      </c>
      <c r="U40" s="1301"/>
      <c r="V40" s="263"/>
      <c r="W40" s="263"/>
      <c r="X40" s="263"/>
      <c r="Y40" s="263"/>
      <c r="Z40" s="263"/>
      <c r="AA40" s="263"/>
      <c r="AB40" s="263"/>
      <c r="AC40" s="263"/>
      <c r="AD40" s="263"/>
      <c r="AE40" s="263"/>
      <c r="AF40" s="263"/>
      <c r="AG40" s="263"/>
      <c r="AH40" s="263"/>
      <c r="AI40" s="263"/>
      <c r="AJ40" s="263"/>
      <c r="AK40" s="264"/>
      <c r="AL40" s="258"/>
      <c r="AM40" s="259">
        <v>5</v>
      </c>
      <c r="AN40" s="259">
        <v>12</v>
      </c>
      <c r="AO40" s="259"/>
      <c r="AP40" s="259"/>
      <c r="AQ40" s="259"/>
      <c r="AR40" s="265">
        <f t="shared" si="1"/>
        <v>72.146000000000001</v>
      </c>
      <c r="AS40" s="259">
        <f t="shared" si="2"/>
        <v>8</v>
      </c>
      <c r="AT40" s="266">
        <f t="shared" si="3"/>
        <v>30.095238095238098</v>
      </c>
      <c r="AU40" s="259">
        <f t="shared" si="4"/>
        <v>5</v>
      </c>
      <c r="AV40" s="259">
        <f t="shared" si="5"/>
        <v>6</v>
      </c>
      <c r="AW40" s="266">
        <f t="shared" si="6"/>
        <v>30.095238095238098</v>
      </c>
      <c r="AX40" s="259">
        <f t="shared" si="7"/>
        <v>0</v>
      </c>
      <c r="AY40" s="258"/>
      <c r="AZ40" s="238"/>
      <c r="BA40" s="238"/>
      <c r="BB40" s="238"/>
      <c r="BC40" s="238"/>
      <c r="BD40" s="238"/>
      <c r="BE40" s="239" t="s">
        <v>650</v>
      </c>
      <c r="BF40" s="239">
        <v>8.8999999999999999E-3</v>
      </c>
      <c r="BG40" s="239">
        <v>1.9E-3</v>
      </c>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row>
    <row r="41" spans="1:94" s="240" customFormat="1" ht="14.25" customHeight="1">
      <c r="A41" s="267" t="s">
        <v>424</v>
      </c>
      <c r="B41" s="268"/>
      <c r="C41" s="268"/>
      <c r="D41" s="268"/>
      <c r="E41" s="269"/>
      <c r="F41" s="1377">
        <f>CO2eEF!P33</f>
        <v>1E-4</v>
      </c>
      <c r="G41" s="1378"/>
      <c r="H41" s="1299">
        <f t="shared" si="8"/>
        <v>0.59863523573200994</v>
      </c>
      <c r="I41" s="1301"/>
      <c r="J41" s="1300"/>
      <c r="K41" s="1300"/>
      <c r="L41" s="1299"/>
      <c r="M41" s="1300"/>
      <c r="N41" s="1299">
        <f t="shared" si="0"/>
        <v>43.189137717121589</v>
      </c>
      <c r="O41" s="1301"/>
      <c r="P41" s="1299">
        <f t="shared" si="9"/>
        <v>0</v>
      </c>
      <c r="Q41" s="1301"/>
      <c r="R41" s="1300">
        <f>T41/$AR41</f>
        <v>0</v>
      </c>
      <c r="S41" s="1300"/>
      <c r="T41" s="1299">
        <f>$Q$22*N41</f>
        <v>0</v>
      </c>
      <c r="U41" s="1301"/>
      <c r="V41" s="263"/>
      <c r="W41" s="263"/>
      <c r="X41" s="589">
        <v>605</v>
      </c>
      <c r="Y41" s="589" t="s">
        <v>744</v>
      </c>
      <c r="Z41" s="263"/>
      <c r="AA41" s="263"/>
      <c r="AB41" s="263"/>
      <c r="AC41" s="263"/>
      <c r="AD41" s="263"/>
      <c r="AE41" s="263"/>
      <c r="AF41" s="263"/>
      <c r="AG41" s="263"/>
      <c r="AH41" s="263"/>
      <c r="AI41" s="263"/>
      <c r="AJ41" s="263"/>
      <c r="AK41" s="264"/>
      <c r="AL41" s="258"/>
      <c r="AM41" s="259">
        <v>5</v>
      </c>
      <c r="AN41" s="259">
        <v>12</v>
      </c>
      <c r="AO41" s="259"/>
      <c r="AP41" s="259"/>
      <c r="AQ41" s="259"/>
      <c r="AR41" s="265">
        <f t="shared" si="1"/>
        <v>72.146000000000001</v>
      </c>
      <c r="AS41" s="259">
        <f t="shared" si="2"/>
        <v>8</v>
      </c>
      <c r="AT41" s="266">
        <f t="shared" si="3"/>
        <v>30.095238095238098</v>
      </c>
      <c r="AU41" s="259">
        <f t="shared" si="4"/>
        <v>5</v>
      </c>
      <c r="AV41" s="259">
        <f t="shared" si="5"/>
        <v>6</v>
      </c>
      <c r="AW41" s="266">
        <f t="shared" si="6"/>
        <v>30.095238095238098</v>
      </c>
      <c r="AX41" s="259">
        <f t="shared" si="7"/>
        <v>0</v>
      </c>
      <c r="AY41" s="258"/>
      <c r="AZ41" s="238"/>
      <c r="BA41" s="238"/>
      <c r="BB41" s="238"/>
      <c r="BC41" s="238"/>
      <c r="BD41" s="238"/>
      <c r="BE41" s="239" t="s">
        <v>651</v>
      </c>
      <c r="BF41" s="239">
        <v>2.0000000000000001E-4</v>
      </c>
      <c r="BG41" s="239">
        <v>2.9999999999999997E-4</v>
      </c>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row>
    <row r="42" spans="1:94" s="240" customFormat="1" ht="14.25" customHeight="1">
      <c r="A42" s="267" t="s">
        <v>721</v>
      </c>
      <c r="B42" s="268"/>
      <c r="C42" s="268"/>
      <c r="D42" s="268"/>
      <c r="E42" s="269"/>
      <c r="F42" s="1377">
        <f>1-(SUM(F31:F41)+SUM(F43:G51))</f>
        <v>2.00000000000089E-4</v>
      </c>
      <c r="G42" s="1378"/>
      <c r="H42" s="1299">
        <f t="shared" si="8"/>
        <v>1.1972704714645526</v>
      </c>
      <c r="I42" s="1301"/>
      <c r="J42" s="1300"/>
      <c r="K42" s="1300"/>
      <c r="L42" s="1299"/>
      <c r="M42" s="1300"/>
      <c r="N42" s="1299">
        <f t="shared" si="0"/>
        <v>103.17119106704342</v>
      </c>
      <c r="O42" s="1301"/>
      <c r="P42" s="1299">
        <f t="shared" si="9"/>
        <v>0</v>
      </c>
      <c r="Q42" s="1301"/>
      <c r="R42" s="1300">
        <f>T42/$AR42</f>
        <v>0</v>
      </c>
      <c r="S42" s="1300"/>
      <c r="T42" s="1299">
        <f>$Q$22*N42</f>
        <v>0</v>
      </c>
      <c r="U42" s="1301"/>
      <c r="V42" s="263"/>
      <c r="W42" s="263"/>
      <c r="X42" s="589"/>
      <c r="Y42" s="589" t="s">
        <v>434</v>
      </c>
      <c r="Z42" s="263"/>
      <c r="AA42" s="263"/>
      <c r="AB42" s="263"/>
      <c r="AC42" s="263"/>
      <c r="AD42" s="263"/>
      <c r="AE42" s="263"/>
      <c r="AF42" s="263"/>
      <c r="AG42" s="263"/>
      <c r="AH42" s="263"/>
      <c r="AI42" s="263"/>
      <c r="AJ42" s="263"/>
      <c r="AK42" s="264"/>
      <c r="AL42" s="258"/>
      <c r="AM42" s="259">
        <v>6</v>
      </c>
      <c r="AN42" s="259">
        <v>14</v>
      </c>
      <c r="AO42" s="259"/>
      <c r="AP42" s="259"/>
      <c r="AQ42" s="259"/>
      <c r="AR42" s="265">
        <f t="shared" si="1"/>
        <v>86.171999999999997</v>
      </c>
      <c r="AS42" s="259">
        <f t="shared" si="2"/>
        <v>9.5</v>
      </c>
      <c r="AT42" s="266">
        <f t="shared" si="3"/>
        <v>35.738095238095241</v>
      </c>
      <c r="AU42" s="259">
        <f t="shared" si="4"/>
        <v>6</v>
      </c>
      <c r="AV42" s="259">
        <f t="shared" si="5"/>
        <v>7</v>
      </c>
      <c r="AW42" s="266">
        <f t="shared" si="6"/>
        <v>35.738095238095241</v>
      </c>
      <c r="AX42" s="259">
        <f t="shared" si="7"/>
        <v>0</v>
      </c>
      <c r="AY42" s="258"/>
      <c r="AZ42" s="238"/>
      <c r="BA42" s="238"/>
      <c r="BB42" s="238"/>
      <c r="BC42" s="238"/>
      <c r="BD42" s="238"/>
      <c r="BE42" s="239" t="s">
        <v>652</v>
      </c>
      <c r="BF42" s="239">
        <v>0</v>
      </c>
      <c r="BG42" s="239">
        <v>5.0000000000000001E-4</v>
      </c>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row>
    <row r="43" spans="1:94" s="240" customFormat="1" ht="14.25" customHeight="1">
      <c r="A43" s="267" t="s">
        <v>426</v>
      </c>
      <c r="B43" s="268"/>
      <c r="C43" s="268"/>
      <c r="D43" s="268"/>
      <c r="E43" s="269"/>
      <c r="F43" s="1377">
        <v>0</v>
      </c>
      <c r="G43" s="1378"/>
      <c r="H43" s="1299">
        <f t="shared" si="8"/>
        <v>0</v>
      </c>
      <c r="I43" s="1301"/>
      <c r="J43" s="1300"/>
      <c r="K43" s="1300"/>
      <c r="L43" s="1299"/>
      <c r="M43" s="1300"/>
      <c r="N43" s="1299">
        <f t="shared" si="0"/>
        <v>0</v>
      </c>
      <c r="O43" s="1301"/>
      <c r="P43" s="1299">
        <f t="shared" si="9"/>
        <v>0</v>
      </c>
      <c r="Q43" s="1301"/>
      <c r="R43" s="1300"/>
      <c r="S43" s="1300"/>
      <c r="T43" s="1299"/>
      <c r="U43" s="1301"/>
      <c r="V43" s="263"/>
      <c r="W43" s="263"/>
      <c r="X43" s="590">
        <v>6.3</v>
      </c>
      <c r="Y43" s="589" t="s">
        <v>763</v>
      </c>
      <c r="Z43" s="263"/>
      <c r="AA43" s="263"/>
      <c r="AB43" s="263"/>
      <c r="AC43" s="263"/>
      <c r="AD43" s="263"/>
      <c r="AE43" s="263"/>
      <c r="AF43" s="263"/>
      <c r="AG43" s="263"/>
      <c r="AH43" s="263"/>
      <c r="AI43" s="263"/>
      <c r="AJ43" s="263"/>
      <c r="AK43" s="264"/>
      <c r="AL43" s="258"/>
      <c r="AM43" s="259"/>
      <c r="AN43" s="259"/>
      <c r="AO43" s="259"/>
      <c r="AP43" s="259"/>
      <c r="AQ43" s="259"/>
      <c r="AR43" s="265">
        <v>4.0030000000000001</v>
      </c>
      <c r="AS43" s="259"/>
      <c r="AT43" s="266"/>
      <c r="AU43" s="259"/>
      <c r="AV43" s="259"/>
      <c r="AW43" s="266"/>
      <c r="AX43" s="259"/>
      <c r="AY43" s="258"/>
      <c r="AZ43" s="238"/>
      <c r="BA43" s="238"/>
      <c r="BB43" s="238"/>
      <c r="BC43" s="238"/>
      <c r="BD43" s="238"/>
      <c r="BE43" s="239" t="s">
        <v>653</v>
      </c>
      <c r="BF43" s="239">
        <v>0</v>
      </c>
      <c r="BG43" s="239">
        <v>1E-4</v>
      </c>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38"/>
      <c r="CN43" s="238"/>
      <c r="CO43" s="238"/>
      <c r="CP43" s="238"/>
    </row>
    <row r="44" spans="1:94" s="240" customFormat="1" ht="14.25" customHeight="1">
      <c r="A44" s="267" t="s">
        <v>427</v>
      </c>
      <c r="B44" s="268"/>
      <c r="C44" s="268"/>
      <c r="D44" s="268"/>
      <c r="E44" s="269"/>
      <c r="F44" s="1377">
        <v>0</v>
      </c>
      <c r="G44" s="1378"/>
      <c r="H44" s="1299">
        <f t="shared" si="8"/>
        <v>0</v>
      </c>
      <c r="I44" s="1301"/>
      <c r="J44" s="1300"/>
      <c r="K44" s="1300"/>
      <c r="L44" s="1299"/>
      <c r="M44" s="1300"/>
      <c r="N44" s="1299">
        <f t="shared" si="0"/>
        <v>0</v>
      </c>
      <c r="O44" s="1301"/>
      <c r="P44" s="1299">
        <f t="shared" si="9"/>
        <v>0</v>
      </c>
      <c r="Q44" s="1301"/>
      <c r="R44" s="1299"/>
      <c r="S44" s="1301"/>
      <c r="T44" s="1299"/>
      <c r="U44" s="1301"/>
      <c r="V44" s="263"/>
      <c r="W44" s="263"/>
      <c r="X44" s="589">
        <v>96500</v>
      </c>
      <c r="Y44" s="589" t="s">
        <v>617</v>
      </c>
      <c r="Z44" s="263" t="s">
        <v>764</v>
      </c>
      <c r="AA44" s="263"/>
      <c r="AB44" s="263"/>
      <c r="AC44" s="263"/>
      <c r="AD44" s="263"/>
      <c r="AE44" s="263"/>
      <c r="AF44" s="263"/>
      <c r="AG44" s="263"/>
      <c r="AH44" s="263"/>
      <c r="AI44" s="263"/>
      <c r="AJ44" s="263"/>
      <c r="AK44" s="264"/>
      <c r="AL44" s="258"/>
      <c r="AM44" s="259"/>
      <c r="AN44" s="259">
        <v>2</v>
      </c>
      <c r="AO44" s="259"/>
      <c r="AP44" s="259"/>
      <c r="AQ44" s="259">
        <v>1</v>
      </c>
      <c r="AR44" s="265">
        <f t="shared" si="1"/>
        <v>34.015999999999998</v>
      </c>
      <c r="AS44" s="259">
        <f t="shared" si="2"/>
        <v>1.5</v>
      </c>
      <c r="AT44" s="266">
        <f t="shared" si="3"/>
        <v>5.6428571428571432</v>
      </c>
      <c r="AU44" s="259">
        <f t="shared" si="4"/>
        <v>0</v>
      </c>
      <c r="AV44" s="259">
        <f t="shared" si="5"/>
        <v>1</v>
      </c>
      <c r="AW44" s="266">
        <f t="shared" si="6"/>
        <v>5.6428571428571432</v>
      </c>
      <c r="AX44" s="259">
        <f t="shared" si="7"/>
        <v>1</v>
      </c>
      <c r="AY44" s="258"/>
      <c r="AZ44" s="238"/>
      <c r="BA44" s="238"/>
      <c r="BB44" s="238"/>
      <c r="BC44" s="238"/>
      <c r="BD44" s="238"/>
      <c r="BE44" s="239" t="s">
        <v>654</v>
      </c>
      <c r="BF44" s="239">
        <v>0</v>
      </c>
      <c r="BG44" s="239">
        <v>4.0000000000000002E-4</v>
      </c>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row>
    <row r="45" spans="1:94" s="240" customFormat="1" ht="14.25" customHeight="1">
      <c r="A45" s="267" t="s">
        <v>428</v>
      </c>
      <c r="B45" s="268"/>
      <c r="C45" s="268"/>
      <c r="D45" s="268"/>
      <c r="E45" s="269"/>
      <c r="F45" s="1377">
        <v>0</v>
      </c>
      <c r="G45" s="1378"/>
      <c r="H45" s="1299">
        <f t="shared" si="8"/>
        <v>0</v>
      </c>
      <c r="I45" s="1301"/>
      <c r="J45" s="1300">
        <f>SUMPRODUCT(H31:H51,AS31:AS51)-H45</f>
        <v>11973.901985111666</v>
      </c>
      <c r="K45" s="1300"/>
      <c r="L45" s="1299">
        <v>0</v>
      </c>
      <c r="M45" s="1300"/>
      <c r="N45" s="1299">
        <f t="shared" si="0"/>
        <v>383164.86352357332</v>
      </c>
      <c r="O45" s="1301"/>
      <c r="P45" s="1299">
        <f t="shared" si="9"/>
        <v>3.7928539154011842E-3</v>
      </c>
      <c r="Q45" s="1301"/>
      <c r="R45" s="1300">
        <f>L45+SUMPRODUCT(R32:R44,$AS32:$AS44)</f>
        <v>238.56811414392058</v>
      </c>
      <c r="S45" s="1300"/>
      <c r="T45" s="1299">
        <f>R45*$AR45</f>
        <v>7634.1796526054586</v>
      </c>
      <c r="U45" s="1301"/>
      <c r="V45" s="263"/>
      <c r="W45" s="263"/>
      <c r="X45" s="263"/>
      <c r="Y45" s="263"/>
      <c r="Z45" s="263"/>
      <c r="AA45" s="263"/>
      <c r="AB45" s="263"/>
      <c r="AC45" s="263"/>
      <c r="AD45" s="263"/>
      <c r="AE45" s="263"/>
      <c r="AF45" s="263"/>
      <c r="AG45" s="263"/>
      <c r="AH45" s="263"/>
      <c r="AI45" s="263"/>
      <c r="AJ45" s="263"/>
      <c r="AK45" s="264"/>
      <c r="AL45" s="258"/>
      <c r="AM45" s="259"/>
      <c r="AN45" s="259"/>
      <c r="AO45" s="259">
        <v>2</v>
      </c>
      <c r="AP45" s="259"/>
      <c r="AQ45" s="259"/>
      <c r="AR45" s="265">
        <f t="shared" si="1"/>
        <v>32</v>
      </c>
      <c r="AS45" s="259">
        <f t="shared" si="2"/>
        <v>0</v>
      </c>
      <c r="AT45" s="266">
        <f t="shared" si="3"/>
        <v>0</v>
      </c>
      <c r="AU45" s="259">
        <f t="shared" si="4"/>
        <v>0</v>
      </c>
      <c r="AV45" s="259">
        <f t="shared" si="5"/>
        <v>0</v>
      </c>
      <c r="AW45" s="266">
        <f t="shared" si="6"/>
        <v>0</v>
      </c>
      <c r="AX45" s="259">
        <f t="shared" si="7"/>
        <v>0</v>
      </c>
      <c r="AY45" s="258"/>
      <c r="AZ45" s="238"/>
      <c r="BA45" s="238"/>
      <c r="BB45" s="238"/>
      <c r="BC45" s="238"/>
      <c r="BD45" s="238"/>
      <c r="BE45" s="239" t="s">
        <v>655</v>
      </c>
      <c r="BF45" s="239">
        <v>0</v>
      </c>
      <c r="BG45" s="239">
        <v>2.0000000000000001E-4</v>
      </c>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row>
    <row r="46" spans="1:94" s="240" customFormat="1" ht="14.25" customHeight="1">
      <c r="A46" s="267" t="s">
        <v>429</v>
      </c>
      <c r="B46" s="268"/>
      <c r="C46" s="268"/>
      <c r="D46" s="268"/>
      <c r="E46" s="269"/>
      <c r="F46" s="1377">
        <f>CO2eEF!P24</f>
        <v>1.5E-3</v>
      </c>
      <c r="G46" s="1378"/>
      <c r="H46" s="1299">
        <f t="shared" si="8"/>
        <v>8.9795285359801493</v>
      </c>
      <c r="I46" s="1301"/>
      <c r="J46" s="1300">
        <f>0.79/0.21*J45</f>
        <v>45044.678896372461</v>
      </c>
      <c r="K46" s="1301"/>
      <c r="L46" s="1299">
        <v>0</v>
      </c>
      <c r="M46" s="1300"/>
      <c r="N46" s="1299">
        <f t="shared" si="0"/>
        <v>1261502.4358974365</v>
      </c>
      <c r="O46" s="1301"/>
      <c r="P46" s="1299">
        <f t="shared" si="9"/>
        <v>0.71625344947713421</v>
      </c>
      <c r="Q46" s="1301"/>
      <c r="R46" s="1299">
        <f>$H46+J46+L46-R49/2</f>
        <v>45051.889290274368</v>
      </c>
      <c r="S46" s="1301"/>
      <c r="T46" s="1580">
        <f>R46*$AR46</f>
        <v>1261452.9001276824</v>
      </c>
      <c r="U46" s="1581"/>
      <c r="V46" s="263"/>
      <c r="W46" s="263"/>
      <c r="X46" s="263"/>
      <c r="Y46" s="263"/>
      <c r="Z46" s="263"/>
      <c r="AA46" s="263"/>
      <c r="AB46" s="263"/>
      <c r="AC46" s="263"/>
      <c r="AD46" s="263"/>
      <c r="AE46" s="263"/>
      <c r="AF46" s="263"/>
      <c r="AG46" s="263"/>
      <c r="AH46" s="263"/>
      <c r="AI46" s="263"/>
      <c r="AJ46" s="263"/>
      <c r="AK46" s="264"/>
      <c r="AL46" s="258"/>
      <c r="AM46" s="259"/>
      <c r="AN46" s="259"/>
      <c r="AO46" s="259"/>
      <c r="AP46" s="259">
        <v>2</v>
      </c>
      <c r="AQ46" s="259"/>
      <c r="AR46" s="265">
        <f t="shared" si="1"/>
        <v>28</v>
      </c>
      <c r="AS46" s="259">
        <f t="shared" si="2"/>
        <v>0</v>
      </c>
      <c r="AT46" s="266">
        <f t="shared" si="3"/>
        <v>0</v>
      </c>
      <c r="AU46" s="259">
        <f t="shared" si="4"/>
        <v>0</v>
      </c>
      <c r="AV46" s="259">
        <f t="shared" si="5"/>
        <v>0</v>
      </c>
      <c r="AW46" s="266">
        <f t="shared" si="6"/>
        <v>1</v>
      </c>
      <c r="AX46" s="259">
        <f t="shared" si="7"/>
        <v>0</v>
      </c>
      <c r="AY46" s="258"/>
      <c r="AZ46" s="238"/>
      <c r="BA46" s="238"/>
      <c r="BB46" s="238"/>
      <c r="BC46" s="238"/>
      <c r="BD46" s="238"/>
      <c r="BE46" s="239" t="s">
        <v>656</v>
      </c>
      <c r="BF46" s="239">
        <v>1.5E-3</v>
      </c>
      <c r="BG46" s="239">
        <v>0</v>
      </c>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row>
    <row r="47" spans="1:94" s="240" customFormat="1" ht="14.25" customHeight="1">
      <c r="A47" s="267" t="s">
        <v>115</v>
      </c>
      <c r="B47" s="268"/>
      <c r="C47" s="268"/>
      <c r="D47" s="268"/>
      <c r="E47" s="269"/>
      <c r="F47" s="1377">
        <v>0</v>
      </c>
      <c r="G47" s="1378"/>
      <c r="H47" s="1299">
        <f t="shared" si="8"/>
        <v>0</v>
      </c>
      <c r="I47" s="1301"/>
      <c r="J47" s="1300"/>
      <c r="K47" s="1300"/>
      <c r="L47" s="1299"/>
      <c r="M47" s="1300"/>
      <c r="N47" s="1299">
        <f t="shared" si="0"/>
        <v>0</v>
      </c>
      <c r="O47" s="1301"/>
      <c r="P47" s="1299">
        <f t="shared" si="9"/>
        <v>5.0266903488736445E-4</v>
      </c>
      <c r="Q47" s="1301"/>
      <c r="R47" s="1300">
        <f>T47/$AR$47</f>
        <v>31.617564600807651</v>
      </c>
      <c r="S47" s="1300"/>
      <c r="T47" s="1299">
        <f>$AC17*$X25</f>
        <v>885.60798446862225</v>
      </c>
      <c r="U47" s="1301"/>
      <c r="V47" s="263"/>
      <c r="W47" s="263"/>
      <c r="X47" s="263"/>
      <c r="Y47" s="263"/>
      <c r="Z47" s="263"/>
      <c r="AA47" s="263"/>
      <c r="AB47" s="263"/>
      <c r="AC47" s="263"/>
      <c r="AD47" s="263"/>
      <c r="AE47" s="263"/>
      <c r="AF47" s="263"/>
      <c r="AG47" s="263"/>
      <c r="AH47" s="263"/>
      <c r="AI47" s="263"/>
      <c r="AJ47" s="263"/>
      <c r="AK47" s="264"/>
      <c r="AL47" s="258"/>
      <c r="AM47" s="258">
        <v>1</v>
      </c>
      <c r="AN47" s="258"/>
      <c r="AO47" s="258">
        <v>1</v>
      </c>
      <c r="AP47" s="258"/>
      <c r="AQ47" s="258"/>
      <c r="AR47" s="265">
        <f t="shared" si="1"/>
        <v>28.009999999999998</v>
      </c>
      <c r="AS47" s="259"/>
      <c r="AT47" s="258"/>
      <c r="AU47" s="258"/>
      <c r="AV47" s="258"/>
      <c r="AW47" s="258"/>
      <c r="AX47" s="258"/>
      <c r="AY47" s="258"/>
      <c r="AZ47" s="238"/>
      <c r="BA47" s="238"/>
      <c r="BB47" s="238"/>
      <c r="BC47" s="238"/>
      <c r="BD47" s="238"/>
      <c r="BE47" s="239" t="s">
        <v>657</v>
      </c>
      <c r="BF47" s="239">
        <v>1E-4</v>
      </c>
      <c r="BG47" s="239">
        <v>0</v>
      </c>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row>
    <row r="48" spans="1:94" s="240" customFormat="1" ht="14.25" customHeight="1">
      <c r="A48" s="267" t="s">
        <v>126</v>
      </c>
      <c r="B48" s="268"/>
      <c r="C48" s="268"/>
      <c r="D48" s="268"/>
      <c r="E48" s="269"/>
      <c r="F48" s="1377">
        <f>CO2eEF!P25</f>
        <v>8.0000000000000004E-4</v>
      </c>
      <c r="G48" s="1378"/>
      <c r="H48" s="1299">
        <f t="shared" si="8"/>
        <v>4.7890818858560795</v>
      </c>
      <c r="I48" s="1301"/>
      <c r="J48" s="1300"/>
      <c r="K48" s="1300"/>
      <c r="L48" s="1299"/>
      <c r="M48" s="1300"/>
      <c r="N48" s="1299">
        <f t="shared" si="0"/>
        <v>210.76749379652605</v>
      </c>
      <c r="O48" s="1301"/>
      <c r="P48" s="1299">
        <f t="shared" si="9"/>
        <v>9.1077464962600066E-2</v>
      </c>
      <c r="Q48" s="1301"/>
      <c r="R48" s="1300">
        <f>(SUMPRODUCT($H31:$H51,$AU31:$AU51)+$H48-R47-SUMPRODUCT(R32:R42,$AU32:$AU42))*0.98</f>
        <v>5728.7149839616832</v>
      </c>
      <c r="S48" s="1300"/>
      <c r="T48" s="1340">
        <f>R48*$AR48</f>
        <v>252120.74644415366</v>
      </c>
      <c r="U48" s="1342"/>
      <c r="V48" s="263"/>
      <c r="W48" s="263"/>
      <c r="X48" s="263"/>
      <c r="Y48" s="263"/>
      <c r="Z48" s="263"/>
      <c r="AA48" s="263"/>
      <c r="AB48" s="263"/>
      <c r="AC48" s="263"/>
      <c r="AD48" s="263"/>
      <c r="AE48" s="263"/>
      <c r="AF48" s="263"/>
      <c r="AG48" s="263"/>
      <c r="AH48" s="263"/>
      <c r="AI48" s="263"/>
      <c r="AJ48" s="263"/>
      <c r="AK48" s="264"/>
      <c r="AL48" s="258"/>
      <c r="AM48" s="259">
        <v>1</v>
      </c>
      <c r="AN48" s="259"/>
      <c r="AO48" s="259">
        <v>2</v>
      </c>
      <c r="AP48" s="259"/>
      <c r="AQ48" s="259"/>
      <c r="AR48" s="265">
        <f>AM48*12.01+AN48*1.008+AO48*16+AP48*14+AQ48*32</f>
        <v>44.01</v>
      </c>
      <c r="AS48" s="259"/>
      <c r="AT48" s="259"/>
      <c r="AU48" s="259"/>
      <c r="AV48" s="259"/>
      <c r="AW48" s="259"/>
      <c r="AX48" s="259"/>
      <c r="AY48" s="258"/>
      <c r="AZ48" s="238"/>
      <c r="BA48" s="238"/>
      <c r="BB48" s="238"/>
      <c r="BC48" s="238"/>
      <c r="BD48" s="238"/>
      <c r="BE48" s="239" t="s">
        <v>658</v>
      </c>
      <c r="BF48" s="239">
        <v>0</v>
      </c>
      <c r="BG48" s="239">
        <v>0</v>
      </c>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38"/>
      <c r="CN48" s="238"/>
      <c r="CO48" s="238"/>
      <c r="CP48" s="238"/>
    </row>
    <row r="49" spans="1:94" s="240" customFormat="1" ht="14.25" customHeight="1">
      <c r="A49" s="267" t="s">
        <v>430</v>
      </c>
      <c r="B49" s="268"/>
      <c r="C49" s="268"/>
      <c r="D49" s="268"/>
      <c r="E49" s="269"/>
      <c r="F49" s="1377">
        <v>0</v>
      </c>
      <c r="G49" s="1378"/>
      <c r="H49" s="1299">
        <f t="shared" si="8"/>
        <v>0</v>
      </c>
      <c r="I49" s="1301"/>
      <c r="J49" s="1300"/>
      <c r="K49" s="1300"/>
      <c r="L49" s="1299"/>
      <c r="M49" s="1300"/>
      <c r="N49" s="1299">
        <f t="shared" si="0"/>
        <v>0</v>
      </c>
      <c r="O49" s="1301"/>
      <c r="P49" s="1299">
        <f t="shared" si="9"/>
        <v>5.6252858834856954E-5</v>
      </c>
      <c r="Q49" s="1301"/>
      <c r="R49" s="1300">
        <f>T49/$AR49</f>
        <v>3.538269268147257</v>
      </c>
      <c r="S49" s="1300"/>
      <c r="T49" s="1299">
        <f>$W17*$X25</f>
        <v>162.76038633477381</v>
      </c>
      <c r="U49" s="1301"/>
      <c r="V49" s="263"/>
      <c r="W49" s="263"/>
      <c r="X49" s="263"/>
      <c r="Y49" s="263"/>
      <c r="Z49" s="263"/>
      <c r="AA49" s="263"/>
      <c r="AB49" s="263"/>
      <c r="AC49" s="263"/>
      <c r="AD49" s="263"/>
      <c r="AE49" s="263"/>
      <c r="AF49" s="263"/>
      <c r="AG49" s="263"/>
      <c r="AH49" s="263"/>
      <c r="AI49" s="263"/>
      <c r="AJ49" s="263"/>
      <c r="AK49" s="264"/>
      <c r="AL49" s="258"/>
      <c r="AM49" s="258"/>
      <c r="AN49" s="258"/>
      <c r="AO49" s="258">
        <v>2</v>
      </c>
      <c r="AP49" s="258">
        <v>1</v>
      </c>
      <c r="AQ49" s="258"/>
      <c r="AR49" s="265">
        <f>AM49*12.01+AN49*1.008+AO49*16+AP49*14+AQ49*32</f>
        <v>46</v>
      </c>
      <c r="AS49" s="259"/>
      <c r="AT49" s="258"/>
      <c r="AU49" s="258"/>
      <c r="AV49" s="258"/>
      <c r="AW49" s="258"/>
      <c r="AX49" s="258"/>
      <c r="AY49" s="258"/>
      <c r="AZ49" s="238"/>
      <c r="BA49" s="238"/>
      <c r="BB49" s="238"/>
      <c r="BC49" s="238"/>
      <c r="BD49" s="238"/>
      <c r="BE49" s="239" t="s">
        <v>659</v>
      </c>
      <c r="BF49" s="239">
        <v>0</v>
      </c>
      <c r="BG49" s="239">
        <v>0</v>
      </c>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row>
    <row r="50" spans="1:94" s="240" customFormat="1" ht="14.25" customHeight="1">
      <c r="A50" s="267" t="s">
        <v>124</v>
      </c>
      <c r="B50" s="268"/>
      <c r="C50" s="268"/>
      <c r="D50" s="268"/>
      <c r="E50" s="269"/>
      <c r="F50" s="1377">
        <v>0</v>
      </c>
      <c r="G50" s="1378"/>
      <c r="H50" s="1299">
        <f t="shared" si="8"/>
        <v>0</v>
      </c>
      <c r="I50" s="1301"/>
      <c r="J50" s="1300"/>
      <c r="K50" s="1300"/>
      <c r="L50" s="1299"/>
      <c r="M50" s="1300"/>
      <c r="N50" s="1299">
        <f t="shared" si="0"/>
        <v>0</v>
      </c>
      <c r="O50" s="1301"/>
      <c r="P50" s="1299">
        <f t="shared" si="9"/>
        <v>0</v>
      </c>
      <c r="Q50" s="1301"/>
      <c r="R50" s="1299">
        <f>SUMPRODUCT(H31:H51,$AX31:$AX51)+H50</f>
        <v>0</v>
      </c>
      <c r="S50" s="1300"/>
      <c r="T50" s="1299">
        <f>R50*$AR50</f>
        <v>0</v>
      </c>
      <c r="U50" s="1301"/>
      <c r="V50" s="263"/>
      <c r="W50" s="263"/>
      <c r="X50" s="263"/>
      <c r="Y50" s="263"/>
      <c r="Z50" s="263"/>
      <c r="AA50" s="263"/>
      <c r="AB50" s="263"/>
      <c r="AC50" s="263"/>
      <c r="AD50" s="263"/>
      <c r="AE50" s="263"/>
      <c r="AF50" s="263"/>
      <c r="AG50" s="263"/>
      <c r="AH50" s="263"/>
      <c r="AI50" s="263"/>
      <c r="AJ50" s="263"/>
      <c r="AK50" s="264"/>
      <c r="AL50" s="258"/>
      <c r="AM50" s="258"/>
      <c r="AN50" s="258"/>
      <c r="AO50" s="258">
        <v>2</v>
      </c>
      <c r="AP50" s="258"/>
      <c r="AQ50" s="258">
        <v>1</v>
      </c>
      <c r="AR50" s="265">
        <f>AM50*12.01+AN50*1.008+AO50*16+AP50*14+AQ50*32</f>
        <v>64</v>
      </c>
      <c r="AS50" s="259"/>
      <c r="AT50" s="258"/>
      <c r="AU50" s="258"/>
      <c r="AV50" s="258"/>
      <c r="AW50" s="258"/>
      <c r="AX50" s="258"/>
      <c r="AY50" s="258"/>
      <c r="AZ50" s="238"/>
      <c r="BA50" s="238"/>
      <c r="BB50" s="238"/>
      <c r="BC50" s="238"/>
      <c r="BD50" s="238"/>
      <c r="BE50" s="239" t="s">
        <v>660</v>
      </c>
      <c r="BF50" s="239">
        <v>0</v>
      </c>
      <c r="BG50" s="239">
        <v>0</v>
      </c>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38"/>
      <c r="CN50" s="238"/>
      <c r="CO50" s="238"/>
      <c r="CP50" s="238"/>
    </row>
    <row r="51" spans="1:94" s="240" customFormat="1" ht="14.25" customHeight="1">
      <c r="A51" s="273" t="s">
        <v>431</v>
      </c>
      <c r="B51" s="274"/>
      <c r="C51" s="274"/>
      <c r="D51" s="274"/>
      <c r="E51" s="274"/>
      <c r="F51" s="1377">
        <f>CO2eEF!P47</f>
        <v>0</v>
      </c>
      <c r="G51" s="1378"/>
      <c r="H51" s="1299">
        <f t="shared" si="8"/>
        <v>0</v>
      </c>
      <c r="I51" s="1301"/>
      <c r="J51" s="1384"/>
      <c r="K51" s="1384"/>
      <c r="L51" s="1382"/>
      <c r="M51" s="1384"/>
      <c r="N51" s="1299">
        <f t="shared" si="0"/>
        <v>0</v>
      </c>
      <c r="O51" s="1301"/>
      <c r="P51" s="1299">
        <f t="shared" si="9"/>
        <v>0.18642088279344171</v>
      </c>
      <c r="Q51" s="1301"/>
      <c r="R51" s="1300">
        <f>SUMPRODUCT(H31:H51,$AV31:$AV51)+H51-SUMPRODUCT(R32:R42,$AV32:$AV42)</f>
        <v>11725.755707196031</v>
      </c>
      <c r="S51" s="1300"/>
      <c r="T51" s="1352">
        <f>R51*$AR51</f>
        <v>211251.21482084368</v>
      </c>
      <c r="U51" s="1354"/>
      <c r="V51" s="263"/>
      <c r="W51" s="263"/>
      <c r="X51" s="263"/>
      <c r="Y51" s="263"/>
      <c r="Z51" s="263"/>
      <c r="AA51" s="263"/>
      <c r="AB51" s="263"/>
      <c r="AC51" s="263"/>
      <c r="AD51" s="263"/>
      <c r="AE51" s="263"/>
      <c r="AF51" s="263"/>
      <c r="AG51" s="263"/>
      <c r="AH51" s="263"/>
      <c r="AI51" s="263"/>
      <c r="AJ51" s="263"/>
      <c r="AK51" s="264"/>
      <c r="AL51" s="258"/>
      <c r="AM51" s="258"/>
      <c r="AN51" s="258">
        <v>2</v>
      </c>
      <c r="AO51" s="258">
        <v>1</v>
      </c>
      <c r="AP51" s="258"/>
      <c r="AQ51" s="258"/>
      <c r="AR51" s="265">
        <f>AM51*12.01+AN51*1.008+AO51*16+AP51*14+AQ51*32</f>
        <v>18.015999999999998</v>
      </c>
      <c r="AS51" s="259"/>
      <c r="AT51" s="258"/>
      <c r="AU51" s="258"/>
      <c r="AV51" s="258"/>
      <c r="AW51" s="258"/>
      <c r="AX51" s="258"/>
      <c r="AY51" s="258"/>
      <c r="AZ51" s="238"/>
      <c r="BA51" s="238"/>
      <c r="BB51" s="238"/>
      <c r="BC51" s="238"/>
      <c r="BD51" s="238"/>
      <c r="BE51" s="239" t="s">
        <v>661</v>
      </c>
      <c r="BF51" s="239">
        <v>0</v>
      </c>
      <c r="BG51" s="239">
        <v>0</v>
      </c>
      <c r="BH51" s="238"/>
      <c r="BI51" s="238"/>
      <c r="BJ51" s="238"/>
      <c r="BK51" s="238"/>
      <c r="BL51" s="238"/>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38"/>
      <c r="CN51" s="238"/>
      <c r="CO51" s="238"/>
      <c r="CP51" s="238"/>
    </row>
    <row r="52" spans="1:94" s="240" customFormat="1" ht="14.25" customHeight="1">
      <c r="A52" s="1391" t="s">
        <v>663</v>
      </c>
      <c r="B52" s="1392"/>
      <c r="C52" s="1392"/>
      <c r="D52" s="1392"/>
      <c r="E52" s="1393"/>
      <c r="F52" s="1394">
        <f>SUM(F31:F51)</f>
        <v>1</v>
      </c>
      <c r="G52" s="1395"/>
      <c r="H52" s="1371">
        <v>6106.1389961389959</v>
      </c>
      <c r="I52" s="1373"/>
      <c r="J52" s="1396">
        <f>SUM(J45:J51)</f>
        <v>57018.580881484129</v>
      </c>
      <c r="K52" s="1396"/>
      <c r="L52" s="1371">
        <v>0</v>
      </c>
      <c r="M52" s="1372"/>
      <c r="N52" s="1385">
        <f>SUM(N31:N51)</f>
        <v>1740958.9420326725</v>
      </c>
      <c r="O52" s="1386"/>
      <c r="P52" s="1385">
        <f>SUM(P32:Q51)</f>
        <v>0.99999999999999989</v>
      </c>
      <c r="Q52" s="1386"/>
      <c r="R52" s="1385">
        <f>SUM(R32:S51)</f>
        <v>62899.367986516918</v>
      </c>
      <c r="S52" s="1386"/>
      <c r="T52" s="1582">
        <f>SUM(T32:U51)</f>
        <v>1735420.9642596368</v>
      </c>
      <c r="U52" s="1583"/>
      <c r="V52" s="275"/>
      <c r="W52" s="275"/>
      <c r="X52" s="30"/>
      <c r="Y52" s="263"/>
      <c r="Z52" s="276"/>
      <c r="AA52" s="276"/>
      <c r="AB52" s="30"/>
      <c r="AC52" s="30"/>
      <c r="AD52" s="277"/>
      <c r="AE52" s="277"/>
      <c r="AF52" s="263"/>
      <c r="AG52" s="263"/>
      <c r="AH52" s="30"/>
      <c r="AI52" s="30"/>
      <c r="AJ52" s="277"/>
      <c r="AK52" s="278"/>
      <c r="AL52" s="238"/>
      <c r="AM52" s="238"/>
      <c r="AN52" s="238"/>
      <c r="AO52" s="238"/>
      <c r="AP52" s="238"/>
      <c r="AQ52" s="238"/>
      <c r="AR52" s="238"/>
      <c r="AS52" s="238"/>
      <c r="AT52" s="238"/>
      <c r="AU52" s="238"/>
      <c r="AV52" s="238"/>
      <c r="AW52" s="238"/>
      <c r="AX52" s="238"/>
      <c r="AY52" s="238"/>
      <c r="AZ52" s="238"/>
      <c r="BA52" s="238"/>
      <c r="BB52" s="238"/>
      <c r="BC52" s="238"/>
      <c r="BD52" s="238"/>
      <c r="BE52" s="239" t="s">
        <v>662</v>
      </c>
      <c r="BF52" s="239">
        <v>0</v>
      </c>
      <c r="BG52" s="239">
        <v>0</v>
      </c>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row>
    <row r="53" spans="1:94" s="240" customFormat="1" ht="14.25" customHeight="1">
      <c r="A53" s="475" t="s">
        <v>665</v>
      </c>
      <c r="B53" s="476"/>
      <c r="C53" s="476"/>
      <c r="D53" s="476"/>
      <c r="E53" s="435"/>
      <c r="F53" s="435"/>
      <c r="G53" s="435"/>
      <c r="H53" s="435"/>
      <c r="I53" s="435"/>
      <c r="J53" s="435"/>
      <c r="K53" s="435"/>
      <c r="L53" s="1189" t="s">
        <v>666</v>
      </c>
      <c r="M53" s="1190"/>
      <c r="N53" s="477"/>
      <c r="O53" s="477"/>
      <c r="P53" s="477"/>
      <c r="Q53" s="477"/>
      <c r="R53" s="477"/>
      <c r="S53" s="477" t="s">
        <v>332</v>
      </c>
      <c r="T53" s="477"/>
      <c r="U53" s="477"/>
      <c r="V53" s="479"/>
      <c r="W53" s="479"/>
      <c r="X53" s="1482"/>
      <c r="Y53" s="1482"/>
      <c r="Z53" s="1482"/>
      <c r="AA53" s="1482"/>
      <c r="AB53" s="1482"/>
      <c r="AC53" s="1482"/>
      <c r="AD53" s="1482"/>
      <c r="AE53" s="1482"/>
      <c r="AF53" s="1482"/>
      <c r="AG53" s="479"/>
      <c r="AH53" s="479"/>
      <c r="AI53" s="479"/>
      <c r="AJ53" s="479"/>
      <c r="AK53" s="480"/>
      <c r="AL53" s="481"/>
      <c r="AM53" s="238"/>
      <c r="AN53" s="238"/>
      <c r="AO53" s="238"/>
      <c r="AP53" s="238"/>
      <c r="AQ53" s="238"/>
      <c r="AR53" s="238"/>
      <c r="AS53" s="238"/>
      <c r="AT53" s="238"/>
      <c r="AU53" s="238"/>
      <c r="AV53" s="238"/>
      <c r="AW53" s="238"/>
      <c r="AX53" s="238"/>
      <c r="AY53" s="238"/>
      <c r="AZ53" s="238"/>
      <c r="BA53" s="238"/>
      <c r="BB53" s="238"/>
      <c r="BC53" s="238"/>
      <c r="BD53" s="238"/>
      <c r="BE53" s="239" t="s">
        <v>664</v>
      </c>
      <c r="BF53" s="239">
        <v>0</v>
      </c>
      <c r="BG53" s="239">
        <v>0</v>
      </c>
      <c r="BH53" s="238"/>
      <c r="BI53" s="238"/>
      <c r="BJ53" s="238"/>
      <c r="BK53" s="238"/>
      <c r="BL53" s="238"/>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38"/>
      <c r="CN53" s="238"/>
      <c r="CO53" s="238"/>
      <c r="CP53" s="238"/>
    </row>
    <row r="54" spans="1:94" s="240" customFormat="1" ht="14.25" customHeight="1">
      <c r="A54" s="483" t="s">
        <v>748</v>
      </c>
      <c r="B54" s="484"/>
      <c r="C54" s="484"/>
      <c r="D54" s="484"/>
      <c r="E54" s="484"/>
      <c r="F54" s="484"/>
      <c r="G54" s="484"/>
      <c r="H54" s="484"/>
      <c r="I54" s="484"/>
      <c r="J54" s="484"/>
      <c r="K54" s="484"/>
      <c r="L54" s="1185">
        <f>N54*1000/3600</f>
        <v>1.5416537621753059</v>
      </c>
      <c r="M54" s="1186"/>
      <c r="N54" s="1413">
        <f>AI17*X25</f>
        <v>5.5499535438311014</v>
      </c>
      <c r="O54" s="1413"/>
      <c r="P54" s="484" t="s">
        <v>617</v>
      </c>
      <c r="Q54" s="591"/>
      <c r="R54" s="1585">
        <f>N54*$X$43/1000</f>
        <v>3.4964707326135935E-2</v>
      </c>
      <c r="S54" s="1585"/>
      <c r="T54" s="1390"/>
      <c r="U54" s="1390"/>
      <c r="V54" s="1584"/>
      <c r="W54" s="1584"/>
      <c r="X54" s="30"/>
      <c r="Y54" s="1483"/>
      <c r="Z54" s="1483"/>
      <c r="AA54" s="484"/>
      <c r="AB54" s="484"/>
      <c r="AC54" s="1484"/>
      <c r="AD54" s="1484"/>
      <c r="AE54" s="1390"/>
      <c r="AF54" s="1390"/>
      <c r="AG54" s="484"/>
      <c r="AH54" s="484"/>
      <c r="AI54" s="484"/>
      <c r="AJ54" s="485"/>
      <c r="AK54" s="486"/>
      <c r="AL54" s="238"/>
      <c r="AM54" s="238"/>
      <c r="AN54" s="281"/>
      <c r="AO54" s="238"/>
      <c r="AP54" s="238"/>
      <c r="AQ54" s="238"/>
      <c r="AR54" s="238"/>
      <c r="AS54" s="238"/>
      <c r="AT54" s="238"/>
      <c r="AU54" s="238"/>
      <c r="AV54" s="238"/>
      <c r="AW54" s="238"/>
      <c r="AX54" s="238"/>
      <c r="AY54" s="238"/>
      <c r="AZ54" s="238"/>
      <c r="BA54" s="238"/>
      <c r="BB54" s="238"/>
      <c r="BC54" s="238"/>
      <c r="BD54" s="238"/>
      <c r="BE54" s="239" t="s">
        <v>667</v>
      </c>
      <c r="BF54" s="239">
        <v>0</v>
      </c>
      <c r="BG54" s="239">
        <v>4.4999999999999997E-3</v>
      </c>
      <c r="BH54" s="238"/>
      <c r="BI54" s="238"/>
      <c r="BJ54" s="238"/>
      <c r="BK54" s="238"/>
      <c r="BL54" s="238"/>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38"/>
      <c r="CN54" s="238"/>
      <c r="CO54" s="238"/>
      <c r="CP54" s="238"/>
    </row>
    <row r="55" spans="1:94" s="240" customFormat="1" ht="14.25" customHeight="1">
      <c r="A55" s="273" t="s">
        <v>668</v>
      </c>
      <c r="B55" s="30"/>
      <c r="C55" s="30"/>
      <c r="D55" s="30"/>
      <c r="E55" s="30"/>
      <c r="F55" s="30"/>
      <c r="G55" s="30"/>
      <c r="H55" s="30"/>
      <c r="I55" s="30"/>
      <c r="J55" s="30"/>
      <c r="K55" s="30"/>
      <c r="L55" s="1436">
        <f t="shared" ref="L55:L60" si="10">N55*1000/3600</f>
        <v>45.211218426326063</v>
      </c>
      <c r="M55" s="1437"/>
      <c r="N55" s="1560">
        <f>W17*X25</f>
        <v>162.76038633477381</v>
      </c>
      <c r="O55" s="1560"/>
      <c r="P55" s="30" t="s">
        <v>617</v>
      </c>
      <c r="Q55" s="591"/>
      <c r="R55" s="1585">
        <f t="shared" ref="R55:R61" si="11">N55*$X$43/1000</f>
        <v>1.0253904339090749</v>
      </c>
      <c r="S55" s="1585"/>
      <c r="T55" s="1390"/>
      <c r="U55" s="1390"/>
      <c r="V55" s="1584"/>
      <c r="W55" s="1584"/>
      <c r="X55" s="30"/>
      <c r="Y55" s="1485"/>
      <c r="Z55" s="1485"/>
      <c r="AA55" s="30"/>
      <c r="AB55" s="30"/>
      <c r="AC55" s="1486"/>
      <c r="AD55" s="1486"/>
      <c r="AE55" s="860"/>
      <c r="AF55" s="860"/>
      <c r="AG55" s="30"/>
      <c r="AH55" s="30"/>
      <c r="AI55" s="30"/>
      <c r="AJ55" s="30"/>
      <c r="AK55" s="253"/>
      <c r="AL55" s="238"/>
      <c r="AM55" s="238"/>
      <c r="AN55" s="238"/>
      <c r="AO55" s="482"/>
      <c r="AP55" s="238"/>
      <c r="AQ55" s="238"/>
      <c r="AR55" s="238"/>
      <c r="AS55" s="238"/>
      <c r="AT55" s="238"/>
      <c r="AU55" s="238"/>
      <c r="AV55" s="238"/>
      <c r="AW55" s="238"/>
      <c r="AX55" s="238"/>
      <c r="AY55" s="238"/>
      <c r="AZ55" s="238"/>
      <c r="BA55" s="238"/>
      <c r="BB55" s="238"/>
      <c r="BC55" s="238"/>
      <c r="BD55" s="238"/>
      <c r="BE55" s="239" t="s">
        <v>669</v>
      </c>
      <c r="BF55" s="239">
        <v>0</v>
      </c>
      <c r="BG55" s="239">
        <v>1.5800000000000002E-2</v>
      </c>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38"/>
      <c r="CN55" s="238"/>
      <c r="CO55" s="238"/>
      <c r="CP55" s="238"/>
    </row>
    <row r="56" spans="1:94" s="240" customFormat="1" ht="14.25" customHeight="1">
      <c r="A56" s="273" t="s">
        <v>670</v>
      </c>
      <c r="B56" s="30"/>
      <c r="C56" s="30"/>
      <c r="D56" s="30"/>
      <c r="E56" s="30"/>
      <c r="F56" s="30"/>
      <c r="G56" s="30"/>
      <c r="H56" s="30"/>
      <c r="I56" s="30"/>
      <c r="J56" s="30"/>
      <c r="K56" s="30"/>
      <c r="L56" s="1436">
        <f t="shared" si="10"/>
        <v>246.00221790795064</v>
      </c>
      <c r="M56" s="1437"/>
      <c r="N56" s="1560">
        <f>AC17*X25</f>
        <v>885.60798446862225</v>
      </c>
      <c r="O56" s="1560"/>
      <c r="P56" s="30" t="s">
        <v>617</v>
      </c>
      <c r="Q56" s="591"/>
      <c r="R56" s="1585">
        <f t="shared" si="11"/>
        <v>5.5793303021523197</v>
      </c>
      <c r="S56" s="1585"/>
      <c r="T56" s="1390"/>
      <c r="U56" s="1390"/>
      <c r="V56" s="1584"/>
      <c r="W56" s="1584"/>
      <c r="X56" s="30"/>
      <c r="Y56" s="1485"/>
      <c r="Z56" s="1485"/>
      <c r="AA56" s="30"/>
      <c r="AB56" s="30"/>
      <c r="AC56" s="1486"/>
      <c r="AD56" s="1486"/>
      <c r="AE56" s="473"/>
      <c r="AF56" s="473"/>
      <c r="AG56" s="30"/>
      <c r="AH56" s="30"/>
      <c r="AI56" s="30"/>
      <c r="AJ56" s="30"/>
      <c r="AK56" s="253"/>
      <c r="AL56" s="238"/>
      <c r="AM56" s="238"/>
      <c r="AN56" s="238"/>
      <c r="AO56" s="482"/>
      <c r="AP56" s="238"/>
      <c r="AQ56" s="238"/>
      <c r="AR56" s="238"/>
      <c r="AS56" s="238"/>
      <c r="AT56" s="238"/>
      <c r="AU56" s="238"/>
      <c r="AV56" s="238"/>
      <c r="AW56" s="238"/>
      <c r="AX56" s="238"/>
      <c r="AY56" s="238"/>
      <c r="AZ56" s="238"/>
      <c r="BA56" s="238"/>
      <c r="BB56" s="238"/>
      <c r="BC56" s="238"/>
      <c r="BD56" s="238"/>
      <c r="BE56" s="239"/>
      <c r="BF56" s="239"/>
      <c r="BG56" s="239"/>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38"/>
      <c r="CN56" s="238"/>
      <c r="CO56" s="238"/>
      <c r="CP56" s="238"/>
    </row>
    <row r="57" spans="1:94" s="240" customFormat="1" ht="14.25" customHeight="1">
      <c r="A57" s="273" t="s">
        <v>673</v>
      </c>
      <c r="B57" s="30"/>
      <c r="C57" s="30"/>
      <c r="D57" s="30"/>
      <c r="E57" s="30"/>
      <c r="F57" s="30"/>
      <c r="G57" s="30"/>
      <c r="H57" s="30"/>
      <c r="I57" s="30"/>
      <c r="J57" s="30"/>
      <c r="K57" s="30"/>
      <c r="L57" s="1436">
        <f t="shared" si="10"/>
        <v>0</v>
      </c>
      <c r="M57" s="1437"/>
      <c r="N57" s="1560">
        <f>Q22*X25</f>
        <v>0</v>
      </c>
      <c r="O57" s="1560"/>
      <c r="P57" s="30" t="s">
        <v>617</v>
      </c>
      <c r="Q57" s="591"/>
      <c r="R57" s="1585">
        <f t="shared" si="11"/>
        <v>0</v>
      </c>
      <c r="S57" s="1585"/>
      <c r="T57" s="1390"/>
      <c r="U57" s="1390"/>
      <c r="V57" s="1584"/>
      <c r="W57" s="1584"/>
      <c r="X57" s="30"/>
      <c r="Y57" s="1485"/>
      <c r="Z57" s="1485"/>
      <c r="AA57" s="30"/>
      <c r="AB57" s="30"/>
      <c r="AC57" s="1486"/>
      <c r="AD57" s="1486"/>
      <c r="AE57" s="860"/>
      <c r="AF57" s="860"/>
      <c r="AG57" s="30"/>
      <c r="AH57" s="30"/>
      <c r="AI57" s="30"/>
      <c r="AJ57" s="30"/>
      <c r="AK57" s="253"/>
      <c r="AL57" s="238"/>
      <c r="AM57" s="238"/>
      <c r="AN57" s="238"/>
      <c r="AO57" s="482"/>
      <c r="AP57" s="238"/>
      <c r="AQ57" s="238"/>
      <c r="AR57" s="238"/>
      <c r="AS57" s="238"/>
      <c r="AT57" s="238"/>
      <c r="AU57" s="238"/>
      <c r="AV57" s="238"/>
      <c r="AW57" s="238"/>
      <c r="AX57" s="238"/>
      <c r="AY57" s="238"/>
      <c r="AZ57" s="238"/>
      <c r="BA57" s="238"/>
      <c r="BB57" s="238"/>
      <c r="BC57" s="238"/>
      <c r="BD57" s="238"/>
      <c r="BE57" s="239"/>
      <c r="BF57" s="239"/>
      <c r="BG57" s="239"/>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38"/>
      <c r="CN57" s="238"/>
      <c r="CO57" s="238"/>
      <c r="CP57" s="238"/>
    </row>
    <row r="58" spans="1:94" s="240" customFormat="1" ht="14.25" customHeight="1">
      <c r="A58" s="273" t="s">
        <v>672</v>
      </c>
      <c r="B58" s="30"/>
      <c r="C58" s="30"/>
      <c r="D58" s="30"/>
      <c r="E58" s="30"/>
      <c r="F58" s="30"/>
      <c r="G58" s="30"/>
      <c r="H58" s="30"/>
      <c r="I58" s="30"/>
      <c r="J58" s="30"/>
      <c r="K58" s="30"/>
      <c r="L58" s="1587">
        <f t="shared" si="10"/>
        <v>531.54301209677419</v>
      </c>
      <c r="M58" s="1588"/>
      <c r="N58" s="1590">
        <f>T32</f>
        <v>1913.5548435483872</v>
      </c>
      <c r="O58" s="1590"/>
      <c r="P58" s="30" t="s">
        <v>617</v>
      </c>
      <c r="Q58" s="591"/>
      <c r="R58" s="1585">
        <f t="shared" si="11"/>
        <v>12.055395514354839</v>
      </c>
      <c r="S58" s="1585"/>
      <c r="T58" s="1390"/>
      <c r="U58" s="1390"/>
      <c r="V58" s="1584"/>
      <c r="W58" s="1584"/>
      <c r="X58" s="30"/>
      <c r="Y58" s="1485"/>
      <c r="Z58" s="1485"/>
      <c r="AA58" s="30"/>
      <c r="AB58" s="30"/>
      <c r="AC58" s="1486"/>
      <c r="AD58" s="1486"/>
      <c r="AE58" s="473"/>
      <c r="AF58" s="473"/>
      <c r="AG58" s="30"/>
      <c r="AH58" s="30"/>
      <c r="AI58" s="30"/>
      <c r="AJ58" s="30"/>
      <c r="AK58" s="253"/>
      <c r="AL58" s="238"/>
      <c r="AM58" s="238"/>
      <c r="AN58" s="238"/>
      <c r="AO58" s="482"/>
      <c r="AP58" s="238"/>
      <c r="AQ58" s="238"/>
      <c r="AR58" s="238"/>
      <c r="AS58" s="238"/>
      <c r="AT58" s="238"/>
      <c r="AU58" s="238"/>
      <c r="AV58" s="238"/>
      <c r="AW58" s="238"/>
      <c r="AX58" s="238"/>
      <c r="AY58" s="238"/>
      <c r="AZ58" s="238"/>
      <c r="BA58" s="238"/>
      <c r="BB58" s="238"/>
      <c r="BC58" s="238"/>
      <c r="BD58" s="238"/>
      <c r="BE58" s="239"/>
      <c r="BF58" s="239"/>
      <c r="BG58" s="239"/>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row>
    <row r="59" spans="1:94" s="240" customFormat="1" ht="14.25" customHeight="1">
      <c r="A59" s="273" t="s">
        <v>675</v>
      </c>
      <c r="B59" s="30"/>
      <c r="C59" s="30"/>
      <c r="D59" s="30"/>
      <c r="E59" s="30"/>
      <c r="F59" s="30"/>
      <c r="G59" s="30"/>
      <c r="H59" s="30"/>
      <c r="I59" s="30"/>
      <c r="J59" s="30"/>
      <c r="K59" s="30"/>
      <c r="L59" s="1185">
        <f t="shared" si="10"/>
        <v>0</v>
      </c>
      <c r="M59" s="1186"/>
      <c r="N59" s="1589"/>
      <c r="O59" s="1589"/>
      <c r="P59" s="30" t="s">
        <v>617</v>
      </c>
      <c r="Q59" s="591"/>
      <c r="R59" s="1585">
        <f t="shared" si="11"/>
        <v>0</v>
      </c>
      <c r="S59" s="1585"/>
      <c r="T59" s="1390"/>
      <c r="U59" s="1390"/>
      <c r="V59" s="1584"/>
      <c r="W59" s="1584"/>
      <c r="X59" s="30"/>
      <c r="Y59" s="1485"/>
      <c r="Z59" s="1485"/>
      <c r="AA59" s="30"/>
      <c r="AB59" s="30"/>
      <c r="AC59" s="1486"/>
      <c r="AD59" s="1486"/>
      <c r="AE59" s="473"/>
      <c r="AF59" s="473"/>
      <c r="AG59" s="30"/>
      <c r="AH59" s="30"/>
      <c r="AI59" s="30"/>
      <c r="AJ59" s="30"/>
      <c r="AK59" s="253"/>
      <c r="AL59" s="238"/>
      <c r="AM59" s="238"/>
      <c r="AN59" s="238"/>
      <c r="AO59" s="482"/>
      <c r="AP59" s="238"/>
      <c r="AQ59" s="238"/>
      <c r="AR59" s="238"/>
      <c r="AS59" s="238"/>
      <c r="AT59" s="238"/>
      <c r="AU59" s="238"/>
      <c r="AV59" s="238"/>
      <c r="AW59" s="238"/>
      <c r="AX59" s="238"/>
      <c r="AY59" s="238"/>
      <c r="AZ59" s="238"/>
      <c r="BA59" s="238"/>
      <c r="BB59" s="238"/>
      <c r="BC59" s="238"/>
      <c r="BD59" s="238"/>
      <c r="BE59" s="239"/>
      <c r="BF59" s="239"/>
      <c r="BG59" s="239"/>
      <c r="BH59" s="238"/>
      <c r="BI59" s="238"/>
      <c r="BJ59" s="238"/>
      <c r="BK59" s="238"/>
      <c r="BL59" s="238"/>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38"/>
      <c r="CN59" s="238"/>
      <c r="CO59" s="238"/>
      <c r="CP59" s="238"/>
    </row>
    <row r="60" spans="1:94" s="240" customFormat="1" ht="14.25" customHeight="1">
      <c r="A60" s="273" t="s">
        <v>676</v>
      </c>
      <c r="B60" s="30"/>
      <c r="C60" s="30"/>
      <c r="D60" s="30"/>
      <c r="E60" s="30"/>
      <c r="F60" s="30"/>
      <c r="G60" s="30"/>
      <c r="H60" s="30"/>
      <c r="I60" s="30"/>
      <c r="J60" s="30"/>
      <c r="K60" s="30"/>
      <c r="L60" s="1185">
        <f t="shared" si="10"/>
        <v>0</v>
      </c>
      <c r="M60" s="1186"/>
      <c r="N60" s="1589"/>
      <c r="O60" s="1589"/>
      <c r="P60" s="30" t="s">
        <v>617</v>
      </c>
      <c r="Q60" s="591"/>
      <c r="R60" s="1585">
        <f t="shared" si="11"/>
        <v>0</v>
      </c>
      <c r="S60" s="1585"/>
      <c r="T60" s="1390"/>
      <c r="U60" s="1390"/>
      <c r="V60" s="1584"/>
      <c r="W60" s="1584"/>
      <c r="X60" s="30"/>
      <c r="Y60" s="1485"/>
      <c r="Z60" s="1485"/>
      <c r="AA60" s="30"/>
      <c r="AB60" s="30"/>
      <c r="AC60" s="1486"/>
      <c r="AD60" s="1486"/>
      <c r="AE60" s="30"/>
      <c r="AF60" s="30"/>
      <c r="AG60" s="30"/>
      <c r="AH60" s="30"/>
      <c r="AI60" s="30"/>
      <c r="AJ60" s="30"/>
      <c r="AK60" s="253"/>
      <c r="AL60" s="238"/>
      <c r="AM60" s="238"/>
      <c r="AN60" s="238"/>
      <c r="AO60" s="281"/>
      <c r="AP60" s="238"/>
      <c r="AQ60" s="238"/>
      <c r="AR60" s="238"/>
      <c r="AS60" s="238"/>
      <c r="AT60" s="238"/>
      <c r="AU60" s="238"/>
      <c r="AV60" s="238"/>
      <c r="AW60" s="238"/>
      <c r="AX60" s="238"/>
      <c r="AY60" s="238"/>
      <c r="AZ60" s="238"/>
      <c r="BA60" s="238"/>
      <c r="BB60" s="238"/>
      <c r="BC60" s="238"/>
      <c r="BD60" s="238"/>
      <c r="BE60" s="239"/>
      <c r="BF60" s="239"/>
      <c r="BG60" s="239"/>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row>
    <row r="61" spans="1:94" s="240" customFormat="1" ht="14.25" customHeight="1">
      <c r="A61" s="273" t="s">
        <v>677</v>
      </c>
      <c r="B61" s="30"/>
      <c r="C61" s="30"/>
      <c r="D61" s="30"/>
      <c r="E61" s="30"/>
      <c r="F61" s="30"/>
      <c r="G61" s="30"/>
      <c r="H61" s="30"/>
      <c r="I61" s="30"/>
      <c r="J61" s="30"/>
      <c r="K61" s="30"/>
      <c r="L61" s="1587">
        <f>N61*1000/3600</f>
        <v>73253.580758937052</v>
      </c>
      <c r="M61" s="1588"/>
      <c r="N61" s="1564">
        <f>X25*CO2eEF!I57</f>
        <v>263712.8907321734</v>
      </c>
      <c r="O61" s="1564"/>
      <c r="P61" s="284" t="s">
        <v>617</v>
      </c>
      <c r="Q61" s="592"/>
      <c r="R61" s="1585">
        <f t="shared" si="11"/>
        <v>1661.3912116126924</v>
      </c>
      <c r="S61" s="1585"/>
      <c r="T61" s="1390"/>
      <c r="U61" s="1390"/>
      <c r="V61" s="1584"/>
      <c r="W61" s="1584"/>
      <c r="X61" s="284"/>
      <c r="Y61" s="1487"/>
      <c r="Z61" s="1487"/>
      <c r="AA61" s="593"/>
      <c r="AB61" s="594"/>
      <c r="AC61" s="1488"/>
      <c r="AD61" s="1488"/>
      <c r="AE61" s="30"/>
      <c r="AF61" s="30"/>
      <c r="AG61" s="30"/>
      <c r="AH61" s="30"/>
      <c r="AI61" s="30"/>
      <c r="AJ61" s="30"/>
      <c r="AK61" s="253"/>
      <c r="AL61" s="238"/>
      <c r="AM61" s="238"/>
      <c r="AN61" s="238"/>
      <c r="AO61" s="281"/>
      <c r="AP61" s="238"/>
      <c r="AQ61" s="238"/>
      <c r="AR61" s="238"/>
      <c r="AS61" s="238"/>
      <c r="AT61" s="238"/>
      <c r="AU61" s="238"/>
      <c r="AV61" s="238"/>
      <c r="AW61" s="238"/>
      <c r="AX61" s="238"/>
      <c r="AY61" s="238"/>
      <c r="AZ61" s="238"/>
      <c r="BA61" s="238"/>
      <c r="BB61" s="238"/>
      <c r="BC61" s="238"/>
      <c r="BD61" s="238"/>
      <c r="BE61" s="239"/>
      <c r="BF61" s="239"/>
      <c r="BG61" s="239"/>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row>
    <row r="62" spans="1:94" s="240" customFormat="1" ht="14.25" customHeight="1">
      <c r="A62" s="279" t="s">
        <v>749</v>
      </c>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2"/>
      <c r="AF62" s="132"/>
      <c r="AG62" s="132"/>
      <c r="AH62" s="132"/>
      <c r="AI62" s="132"/>
      <c r="AJ62" s="132"/>
      <c r="AK62" s="280"/>
      <c r="AL62" s="238"/>
      <c r="AM62" s="238"/>
      <c r="AN62" s="238"/>
      <c r="AO62" s="281"/>
      <c r="AP62" s="238"/>
      <c r="AQ62" s="238"/>
      <c r="AR62" s="238"/>
      <c r="AS62" s="238"/>
      <c r="AT62" s="238"/>
      <c r="AU62" s="238"/>
      <c r="AV62" s="238"/>
      <c r="AW62" s="238"/>
      <c r="AX62" s="238"/>
      <c r="AY62" s="238"/>
      <c r="AZ62" s="238"/>
      <c r="BA62" s="238"/>
      <c r="BB62" s="238"/>
      <c r="BC62" s="238"/>
      <c r="BD62" s="238"/>
      <c r="BE62" s="239"/>
      <c r="BF62" s="239"/>
      <c r="BG62" s="239"/>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row>
    <row r="63" spans="1:94" s="240" customFormat="1" ht="14.25" customHeight="1">
      <c r="A63" s="282" t="s">
        <v>31</v>
      </c>
      <c r="B63" s="30" t="s">
        <v>804</v>
      </c>
      <c r="C63" s="30"/>
      <c r="D63" s="30"/>
      <c r="E63" s="30"/>
      <c r="F63" s="30"/>
      <c r="G63" s="30"/>
      <c r="H63" s="30"/>
      <c r="I63" s="30"/>
      <c r="J63" s="30"/>
      <c r="K63" s="30"/>
      <c r="L63" s="30"/>
      <c r="M63" s="30"/>
      <c r="N63" s="283"/>
      <c r="O63" s="283"/>
      <c r="P63" s="283"/>
      <c r="Q63" s="30"/>
      <c r="R63" s="30"/>
      <c r="S63" s="30"/>
      <c r="T63" s="30"/>
      <c r="U63" s="30"/>
      <c r="V63" s="30"/>
      <c r="W63" s="30"/>
      <c r="X63" s="30"/>
      <c r="Y63" s="30"/>
      <c r="Z63" s="30"/>
      <c r="AA63" s="30"/>
      <c r="AB63" s="30"/>
      <c r="AC63" s="30"/>
      <c r="AD63" s="30"/>
      <c r="AE63" s="30"/>
      <c r="AF63" s="30"/>
      <c r="AG63" s="30"/>
      <c r="AH63" s="30"/>
      <c r="AI63" s="30"/>
      <c r="AJ63" s="30"/>
      <c r="AK63" s="253"/>
      <c r="AL63" s="238"/>
      <c r="AM63" s="238"/>
      <c r="AN63" s="238"/>
      <c r="AO63" s="238"/>
      <c r="AP63" s="238"/>
      <c r="AQ63" s="238"/>
      <c r="AR63" s="238"/>
      <c r="AS63" s="238"/>
      <c r="AT63" s="238"/>
      <c r="AU63" s="238"/>
      <c r="AV63" s="238"/>
      <c r="AW63" s="238"/>
      <c r="AX63" s="238"/>
      <c r="AY63" s="238"/>
      <c r="AZ63" s="238"/>
      <c r="BA63" s="238"/>
      <c r="BB63" s="238"/>
      <c r="BC63" s="238"/>
      <c r="BD63" s="238"/>
      <c r="BE63" s="239" t="s">
        <v>679</v>
      </c>
      <c r="BF63" s="239">
        <v>0</v>
      </c>
      <c r="BG63" s="239">
        <v>0</v>
      </c>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row>
    <row r="64" spans="1:94" ht="14.25" customHeight="1">
      <c r="A64" s="282" t="s">
        <v>33</v>
      </c>
      <c r="B64" s="31" t="s">
        <v>751</v>
      </c>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5"/>
      <c r="AK64" s="286"/>
      <c r="AL64" s="243"/>
      <c r="AM64" s="243"/>
      <c r="AN64" s="243"/>
      <c r="AO64" s="243"/>
      <c r="AP64" s="243"/>
      <c r="AQ64" s="243"/>
      <c r="AR64" s="243"/>
      <c r="AS64" s="243"/>
      <c r="AT64" s="243"/>
      <c r="AU64" s="243"/>
      <c r="AV64" s="243"/>
      <c r="AW64" s="243"/>
      <c r="AX64" s="243"/>
      <c r="AY64" s="243"/>
      <c r="AZ64" s="243"/>
      <c r="BA64" s="243"/>
      <c r="BB64" s="243"/>
      <c r="BC64" s="243"/>
      <c r="BD64" s="243"/>
      <c r="BE64" s="246" t="s">
        <v>681</v>
      </c>
      <c r="BF64" s="246">
        <v>0</v>
      </c>
      <c r="BG64" s="246">
        <v>0</v>
      </c>
      <c r="BH64" s="243"/>
      <c r="BI64" s="243"/>
      <c r="BJ64" s="243"/>
      <c r="BK64" s="243"/>
      <c r="BL64" s="243"/>
      <c r="BM64" s="243"/>
      <c r="BN64" s="243"/>
      <c r="BO64" s="243"/>
      <c r="BP64" s="243"/>
      <c r="BQ64" s="243"/>
      <c r="BR64" s="243"/>
      <c r="BS64" s="243"/>
      <c r="BT64" s="243"/>
      <c r="BU64" s="243"/>
      <c r="BV64" s="243"/>
      <c r="BW64" s="243"/>
      <c r="BX64" s="243"/>
      <c r="BY64" s="243"/>
      <c r="BZ64" s="243"/>
      <c r="CA64" s="243"/>
      <c r="CB64" s="243"/>
      <c r="CC64" s="243"/>
      <c r="CD64" s="243"/>
      <c r="CE64" s="243"/>
      <c r="CF64" s="243"/>
      <c r="CG64" s="243"/>
      <c r="CH64" s="243"/>
      <c r="CI64" s="243"/>
      <c r="CJ64" s="243"/>
      <c r="CK64" s="243"/>
      <c r="CL64" s="243"/>
      <c r="CM64" s="243"/>
      <c r="CN64" s="243"/>
      <c r="CO64" s="243"/>
      <c r="CP64" s="243"/>
    </row>
    <row r="65" spans="1:94" ht="14.25" customHeight="1">
      <c r="A65" s="282" t="s">
        <v>752</v>
      </c>
      <c r="B65" s="284" t="s">
        <v>805</v>
      </c>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5"/>
      <c r="AE65" s="285"/>
      <c r="AF65" s="285"/>
      <c r="AG65" s="285"/>
      <c r="AH65" s="285"/>
      <c r="AI65" s="285"/>
      <c r="AJ65" s="285"/>
      <c r="AK65" s="286"/>
      <c r="AL65" s="243"/>
      <c r="AM65" s="243"/>
      <c r="AN65" s="243"/>
      <c r="AO65" s="243"/>
      <c r="AP65" s="243"/>
      <c r="AQ65" s="243"/>
      <c r="AR65" s="243"/>
      <c r="AS65" s="243"/>
      <c r="AT65" s="243"/>
      <c r="AU65" s="243"/>
      <c r="AV65" s="243"/>
      <c r="AW65" s="243"/>
      <c r="AX65" s="243"/>
      <c r="AY65" s="243"/>
      <c r="AZ65" s="243"/>
      <c r="BA65" s="243"/>
      <c r="BB65" s="243"/>
      <c r="BC65" s="243"/>
      <c r="BD65" s="243"/>
      <c r="BE65" s="246" t="s">
        <v>684</v>
      </c>
      <c r="BF65" s="246">
        <v>0</v>
      </c>
      <c r="BG65" s="246">
        <v>0</v>
      </c>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c r="CM65" s="243"/>
      <c r="CN65" s="243"/>
      <c r="CO65" s="243"/>
      <c r="CP65" s="243"/>
    </row>
    <row r="66" spans="1:94" ht="14.25">
      <c r="A66" s="282" t="s">
        <v>38</v>
      </c>
      <c r="B66" s="284" t="s">
        <v>725</v>
      </c>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6"/>
      <c r="AL66" s="243"/>
      <c r="AM66" s="243"/>
      <c r="AN66" s="243"/>
      <c r="AO66" s="243"/>
      <c r="AP66" s="243"/>
      <c r="AQ66" s="243"/>
      <c r="AR66" s="243"/>
      <c r="AS66" s="243"/>
      <c r="AT66" s="243"/>
      <c r="AU66" s="243"/>
      <c r="AV66" s="243"/>
      <c r="AW66" s="243"/>
      <c r="AX66" s="243"/>
      <c r="AY66" s="243"/>
      <c r="AZ66" s="243"/>
      <c r="BA66" s="243"/>
      <c r="BB66" s="243"/>
      <c r="BC66" s="243"/>
      <c r="BD66" s="243"/>
      <c r="BE66" s="246"/>
      <c r="BF66" s="246"/>
      <c r="BG66" s="246"/>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row>
    <row r="67" spans="1:94" ht="14.25">
      <c r="A67" s="282" t="s">
        <v>41</v>
      </c>
      <c r="B67" s="284" t="s">
        <v>726</v>
      </c>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6"/>
      <c r="AL67" s="243"/>
      <c r="AM67" s="243"/>
      <c r="AN67" s="243"/>
      <c r="AO67" s="243"/>
      <c r="AP67" s="243"/>
      <c r="AQ67" s="243"/>
      <c r="AR67" s="243"/>
      <c r="AS67" s="243"/>
      <c r="AT67" s="243"/>
      <c r="AU67" s="243"/>
      <c r="AV67" s="243"/>
      <c r="AW67" s="243"/>
      <c r="AX67" s="243"/>
      <c r="AY67" s="243"/>
      <c r="AZ67" s="243"/>
      <c r="BA67" s="243"/>
      <c r="BB67" s="243"/>
      <c r="BC67" s="243"/>
      <c r="BD67" s="243"/>
      <c r="BE67" s="246" t="s">
        <v>688</v>
      </c>
      <c r="BF67" s="246">
        <v>0</v>
      </c>
      <c r="BG67" s="246">
        <v>0</v>
      </c>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c r="CM67" s="243"/>
      <c r="CN67" s="243"/>
      <c r="CO67" s="243"/>
      <c r="CP67" s="243"/>
    </row>
    <row r="68" spans="1:94">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9"/>
      <c r="AL68" s="289"/>
      <c r="AM68" s="289"/>
      <c r="AN68" s="289"/>
      <c r="AO68" s="289"/>
      <c r="AP68" s="289"/>
      <c r="AQ68" s="289"/>
      <c r="AR68" s="243"/>
      <c r="AS68" s="243"/>
      <c r="AT68" s="243"/>
      <c r="AU68" s="243"/>
      <c r="AV68" s="243"/>
      <c r="AW68" s="243"/>
      <c r="AX68" s="243"/>
      <c r="AY68" s="243"/>
      <c r="AZ68" s="243"/>
      <c r="BA68" s="243"/>
      <c r="BB68" s="243"/>
      <c r="BC68" s="243"/>
      <c r="BD68" s="243"/>
      <c r="BE68" s="246" t="s">
        <v>690</v>
      </c>
      <c r="BF68" s="246">
        <v>2.9999999999999997E-4</v>
      </c>
      <c r="BG68" s="246">
        <v>0</v>
      </c>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c r="CM68" s="243"/>
      <c r="CN68" s="243"/>
      <c r="CO68" s="243"/>
      <c r="CP68" s="243"/>
    </row>
    <row r="69" spans="1:94">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9"/>
      <c r="AL69" s="289"/>
      <c r="AM69" s="289"/>
      <c r="AN69" s="289"/>
      <c r="AO69" s="289"/>
      <c r="AP69" s="289"/>
      <c r="AQ69" s="289"/>
      <c r="AR69" s="243"/>
      <c r="AS69" s="243"/>
      <c r="AT69" s="243"/>
      <c r="AU69" s="243"/>
      <c r="AV69" s="243"/>
      <c r="AW69" s="243"/>
      <c r="AX69" s="243"/>
      <c r="AY69" s="243"/>
      <c r="AZ69" s="243"/>
      <c r="BA69" s="243"/>
      <c r="BB69" s="243"/>
      <c r="BC69" s="243"/>
      <c r="BD69" s="243"/>
      <c r="BE69" s="246" t="s">
        <v>691</v>
      </c>
      <c r="BF69" s="246">
        <v>0</v>
      </c>
      <c r="BG69" s="246">
        <v>0</v>
      </c>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row>
    <row r="70" spans="1:94">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9"/>
      <c r="AL70" s="289"/>
      <c r="AM70" s="289"/>
      <c r="AN70" s="289"/>
      <c r="AO70" s="289"/>
      <c r="AP70" s="289"/>
      <c r="AQ70" s="289"/>
      <c r="AR70" s="243"/>
      <c r="AS70" s="243"/>
      <c r="AT70" s="243"/>
      <c r="AU70" s="243"/>
      <c r="AV70" s="243"/>
      <c r="AW70" s="243"/>
      <c r="AX70" s="243"/>
      <c r="AY70" s="243"/>
      <c r="AZ70" s="243"/>
      <c r="BA70" s="243"/>
      <c r="BB70" s="243"/>
      <c r="BC70" s="243"/>
      <c r="BD70" s="243"/>
      <c r="BE70" s="246" t="s">
        <v>692</v>
      </c>
      <c r="BF70" s="246">
        <v>0</v>
      </c>
      <c r="BG70" s="246">
        <v>0</v>
      </c>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row>
    <row r="71" spans="1:94">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9"/>
      <c r="AL71" s="289"/>
      <c r="AM71" s="289"/>
      <c r="AN71" s="289"/>
      <c r="AO71" s="289"/>
      <c r="AP71" s="289"/>
      <c r="AQ71" s="289"/>
      <c r="AR71" s="243"/>
      <c r="AS71" s="243"/>
      <c r="AT71" s="243"/>
      <c r="AU71" s="243"/>
      <c r="AV71" s="243"/>
      <c r="AW71" s="243"/>
      <c r="AX71" s="243"/>
      <c r="AY71" s="243"/>
      <c r="AZ71" s="243"/>
      <c r="BA71" s="243"/>
      <c r="BB71" s="243"/>
      <c r="BC71" s="243"/>
      <c r="BD71" s="243"/>
      <c r="BE71" s="246" t="s">
        <v>693</v>
      </c>
      <c r="BF71" s="246">
        <v>0</v>
      </c>
      <c r="BG71" s="246">
        <v>0</v>
      </c>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row>
    <row r="72" spans="1:94">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9"/>
      <c r="AL72" s="289"/>
      <c r="AM72" s="289"/>
      <c r="AN72" s="289"/>
      <c r="AO72" s="289"/>
      <c r="AP72" s="289"/>
      <c r="AQ72" s="289"/>
      <c r="AR72" s="243"/>
      <c r="AS72" s="243"/>
      <c r="AT72" s="243"/>
      <c r="AU72" s="243"/>
      <c r="AV72" s="243"/>
      <c r="AW72" s="243"/>
      <c r="AX72" s="243"/>
      <c r="AY72" s="243"/>
      <c r="AZ72" s="243"/>
      <c r="BA72" s="243"/>
      <c r="BB72" s="243"/>
      <c r="BC72" s="243"/>
      <c r="BD72" s="243"/>
      <c r="BE72" s="246" t="s">
        <v>694</v>
      </c>
      <c r="BF72" s="246">
        <v>0</v>
      </c>
      <c r="BG72" s="246">
        <v>0</v>
      </c>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row>
    <row r="73" spans="1:94">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9"/>
      <c r="AL73" s="289"/>
      <c r="AM73" s="289"/>
      <c r="AN73" s="289"/>
      <c r="AO73" s="289"/>
      <c r="AP73" s="289"/>
      <c r="AQ73" s="289"/>
      <c r="AR73" s="243"/>
      <c r="AS73" s="243"/>
      <c r="AT73" s="243"/>
      <c r="AU73" s="243"/>
      <c r="AV73" s="243"/>
      <c r="AW73" s="243"/>
      <c r="AX73" s="243"/>
      <c r="AY73" s="243"/>
      <c r="AZ73" s="243"/>
      <c r="BA73" s="243"/>
      <c r="BB73" s="243"/>
      <c r="BC73" s="243"/>
      <c r="BD73" s="243"/>
      <c r="BE73" s="246" t="s">
        <v>695</v>
      </c>
      <c r="BF73" s="246">
        <v>0</v>
      </c>
      <c r="BG73" s="246">
        <v>0</v>
      </c>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243"/>
      <c r="CO73" s="243"/>
      <c r="CP73" s="243"/>
    </row>
    <row r="74" spans="1:94">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9"/>
      <c r="AL74" s="289"/>
      <c r="AM74" s="289"/>
      <c r="AN74" s="289"/>
      <c r="AO74" s="289"/>
      <c r="AP74" s="289"/>
      <c r="AQ74" s="289"/>
      <c r="AR74" s="243"/>
      <c r="AS74" s="243"/>
      <c r="AT74" s="243"/>
      <c r="AU74" s="243"/>
      <c r="AV74" s="243"/>
      <c r="AW74" s="243"/>
      <c r="AX74" s="243"/>
      <c r="AY74" s="243"/>
      <c r="AZ74" s="243"/>
      <c r="BA74" s="243"/>
      <c r="BB74" s="243"/>
      <c r="BC74" s="243"/>
      <c r="BD74" s="243"/>
      <c r="BE74" s="246" t="s">
        <v>696</v>
      </c>
      <c r="BF74" s="246">
        <v>0</v>
      </c>
      <c r="BG74" s="246">
        <v>0</v>
      </c>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row>
    <row r="75" spans="1:94" s="290" customFormat="1">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9"/>
      <c r="AL75" s="289"/>
      <c r="AM75" s="289"/>
      <c r="AN75" s="289"/>
      <c r="AO75" s="289"/>
      <c r="AP75" s="289"/>
      <c r="AQ75" s="289"/>
      <c r="AR75" s="243"/>
      <c r="AS75" s="243"/>
      <c r="AT75" s="243"/>
      <c r="AU75" s="243"/>
      <c r="AV75" s="243"/>
      <c r="AW75" s="243"/>
      <c r="AX75" s="243"/>
      <c r="AY75" s="243"/>
      <c r="AZ75" s="243"/>
      <c r="BA75" s="243"/>
      <c r="BB75" s="243"/>
      <c r="BC75" s="243"/>
      <c r="BD75" s="243"/>
      <c r="BE75" s="246" t="s">
        <v>697</v>
      </c>
      <c r="BF75" s="246">
        <v>0</v>
      </c>
      <c r="BG75" s="246">
        <v>0</v>
      </c>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row>
    <row r="76" spans="1:94" s="290" customFormat="1">
      <c r="A76" s="288"/>
      <c r="B76" s="288"/>
      <c r="C76" s="288"/>
      <c r="D76" s="288"/>
      <c r="E76" s="288"/>
      <c r="F76" s="288"/>
      <c r="G76" s="288"/>
      <c r="H76" s="288"/>
      <c r="I76" s="288"/>
      <c r="J76" s="288"/>
      <c r="K76" s="288"/>
      <c r="L76" s="288"/>
      <c r="M76" s="288"/>
      <c r="N76" s="288"/>
      <c r="O76" s="263"/>
      <c r="P76" s="288"/>
      <c r="Q76" s="288"/>
      <c r="R76" s="288"/>
      <c r="S76" s="288"/>
      <c r="T76" s="288"/>
      <c r="U76" s="288"/>
      <c r="V76" s="288"/>
      <c r="W76" s="288"/>
      <c r="X76" s="288"/>
      <c r="Y76" s="288"/>
      <c r="Z76" s="288"/>
      <c r="AA76" s="288"/>
      <c r="AB76" s="288"/>
      <c r="AC76" s="288"/>
      <c r="AD76" s="288"/>
      <c r="AE76" s="288"/>
      <c r="AF76" s="288"/>
      <c r="AG76" s="288"/>
      <c r="AH76" s="288"/>
      <c r="AI76" s="288"/>
      <c r="AJ76" s="288"/>
      <c r="AK76" s="289"/>
      <c r="AL76" s="289"/>
      <c r="AM76" s="289"/>
      <c r="AN76" s="289"/>
      <c r="AO76" s="289"/>
      <c r="AP76" s="289"/>
      <c r="AQ76" s="289"/>
      <c r="AR76" s="243"/>
      <c r="AS76" s="243"/>
      <c r="AT76" s="243"/>
      <c r="AU76" s="243"/>
      <c r="AV76" s="243"/>
      <c r="AW76" s="243"/>
      <c r="AX76" s="243"/>
      <c r="AY76" s="243"/>
      <c r="AZ76" s="243"/>
      <c r="BA76" s="243"/>
      <c r="BB76" s="243"/>
      <c r="BC76" s="243"/>
      <c r="BD76" s="243"/>
      <c r="BE76" s="246" t="s">
        <v>431</v>
      </c>
      <c r="BF76" s="246">
        <v>1E-4</v>
      </c>
      <c r="BG76" s="246">
        <v>0.17530000000000001</v>
      </c>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c r="CM76" s="243"/>
      <c r="CN76" s="243"/>
      <c r="CO76" s="243"/>
      <c r="CP76" s="243"/>
    </row>
    <row r="77" spans="1:94" s="290" customForma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9"/>
      <c r="AL77" s="289"/>
      <c r="AM77" s="289"/>
      <c r="AN77" s="289"/>
      <c r="AO77" s="289"/>
      <c r="AP77" s="289"/>
      <c r="AQ77" s="289"/>
      <c r="AR77" s="243"/>
      <c r="AS77" s="243"/>
      <c r="AT77" s="243"/>
      <c r="AU77" s="243"/>
      <c r="AV77" s="243"/>
      <c r="AW77" s="243"/>
      <c r="AX77" s="243"/>
      <c r="AY77" s="243"/>
      <c r="AZ77" s="243"/>
      <c r="BA77" s="243"/>
      <c r="BB77" s="243"/>
      <c r="BC77" s="243"/>
      <c r="BD77" s="243"/>
      <c r="BE77" s="243"/>
      <c r="BF77" s="246"/>
      <c r="BG77" s="246"/>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c r="CM77" s="243"/>
      <c r="CN77" s="243"/>
      <c r="CO77" s="243"/>
      <c r="CP77" s="243"/>
    </row>
    <row r="78" spans="1:94" s="290" customForma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9"/>
      <c r="AL78" s="289"/>
      <c r="AM78" s="289"/>
      <c r="AN78" s="289"/>
      <c r="AO78" s="289"/>
      <c r="AP78" s="289"/>
      <c r="AQ78" s="289"/>
      <c r="AR78" s="243"/>
      <c r="AS78" s="243"/>
      <c r="AT78" s="243"/>
      <c r="AU78" s="243"/>
      <c r="AV78" s="243"/>
      <c r="AW78" s="243"/>
      <c r="AX78" s="243"/>
      <c r="AY78" s="243"/>
      <c r="AZ78" s="243"/>
      <c r="BA78" s="243"/>
      <c r="BB78" s="243"/>
      <c r="BC78" s="243"/>
      <c r="BD78" s="243"/>
      <c r="BE78" s="243"/>
      <c r="BF78" s="246"/>
      <c r="BG78" s="246"/>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c r="CM78" s="243"/>
      <c r="CN78" s="243"/>
      <c r="CO78" s="243"/>
      <c r="CP78" s="243"/>
    </row>
    <row r="79" spans="1:94" s="290" customForma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9"/>
      <c r="AL79" s="289"/>
      <c r="AM79" s="289"/>
      <c r="AN79" s="289"/>
      <c r="AO79" s="289"/>
      <c r="AP79" s="289"/>
      <c r="AQ79" s="289"/>
      <c r="AR79" s="243"/>
      <c r="AS79" s="243"/>
      <c r="AT79" s="243"/>
      <c r="AU79" s="243"/>
      <c r="AV79" s="243"/>
      <c r="AW79" s="243"/>
      <c r="AX79" s="243"/>
      <c r="AY79" s="243"/>
      <c r="AZ79" s="243"/>
      <c r="BA79" s="243"/>
      <c r="BB79" s="243"/>
      <c r="BC79" s="243"/>
      <c r="BD79" s="243"/>
      <c r="BE79" s="243"/>
      <c r="BF79" s="246"/>
      <c r="BG79" s="246"/>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c r="CM79" s="243"/>
      <c r="CN79" s="243"/>
      <c r="CO79" s="243"/>
      <c r="CP79" s="243"/>
    </row>
    <row r="80" spans="1:94" s="290" customForma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9"/>
      <c r="AL80" s="289"/>
      <c r="AM80" s="289"/>
      <c r="AN80" s="289"/>
      <c r="AO80" s="289"/>
      <c r="AP80" s="289"/>
      <c r="AQ80" s="289"/>
      <c r="AR80" s="243"/>
      <c r="AS80" s="243"/>
      <c r="AT80" s="243"/>
      <c r="AU80" s="243"/>
      <c r="AV80" s="243"/>
      <c r="AW80" s="243"/>
      <c r="AX80" s="243"/>
      <c r="AY80" s="243"/>
      <c r="AZ80" s="243"/>
      <c r="BA80" s="243"/>
      <c r="BB80" s="243"/>
      <c r="BC80" s="243"/>
      <c r="BD80" s="243"/>
      <c r="BE80" s="243"/>
      <c r="BF80" s="246"/>
      <c r="BG80" s="246"/>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c r="CM80" s="243"/>
      <c r="CN80" s="243"/>
      <c r="CO80" s="243"/>
      <c r="CP80" s="243"/>
    </row>
    <row r="81" spans="1:94" s="290" customForma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9"/>
      <c r="AL81" s="289"/>
      <c r="AM81" s="289"/>
      <c r="AN81" s="289"/>
      <c r="AO81" s="289"/>
      <c r="AP81" s="289"/>
      <c r="AQ81" s="289"/>
      <c r="AR81" s="243"/>
      <c r="AS81" s="243"/>
      <c r="AT81" s="243"/>
      <c r="AU81" s="243"/>
      <c r="AV81" s="243"/>
      <c r="AW81" s="243"/>
      <c r="AX81" s="243"/>
      <c r="AY81" s="243"/>
      <c r="AZ81" s="243"/>
      <c r="BA81" s="243"/>
      <c r="BB81" s="243"/>
      <c r="BC81" s="243"/>
      <c r="BD81" s="243"/>
      <c r="BE81" s="243"/>
      <c r="BF81" s="246"/>
      <c r="BG81" s="246"/>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c r="CM81" s="243"/>
      <c r="CN81" s="243"/>
      <c r="CO81" s="243"/>
      <c r="CP81" s="243"/>
    </row>
    <row r="82" spans="1:94" s="290" customForma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9"/>
      <c r="AL82" s="289"/>
      <c r="AM82" s="289"/>
      <c r="AN82" s="289"/>
      <c r="AO82" s="289"/>
      <c r="AP82" s="289"/>
      <c r="AQ82" s="289"/>
      <c r="AR82" s="243"/>
      <c r="AS82" s="243"/>
      <c r="AT82" s="243"/>
      <c r="AU82" s="243"/>
      <c r="AV82" s="243"/>
      <c r="AW82" s="243"/>
      <c r="AX82" s="243"/>
      <c r="AY82" s="243"/>
      <c r="AZ82" s="243"/>
      <c r="BA82" s="243"/>
      <c r="BB82" s="243"/>
      <c r="BC82" s="243"/>
      <c r="BD82" s="243"/>
      <c r="BE82" s="243"/>
      <c r="BF82" s="246"/>
      <c r="BG82" s="246"/>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c r="CM82" s="243"/>
      <c r="CN82" s="243"/>
      <c r="CO82" s="243"/>
      <c r="CP82" s="243"/>
    </row>
    <row r="83" spans="1:94" s="290" customForma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9"/>
      <c r="AL83" s="289"/>
      <c r="AM83" s="289"/>
      <c r="AN83" s="289"/>
      <c r="AO83" s="289"/>
      <c r="AP83" s="289"/>
      <c r="AQ83" s="289"/>
      <c r="AR83" s="243"/>
      <c r="AS83" s="243"/>
      <c r="AT83" s="243"/>
      <c r="AU83" s="243"/>
      <c r="AV83" s="243"/>
      <c r="AW83" s="243"/>
      <c r="AX83" s="243"/>
      <c r="AY83" s="243"/>
      <c r="AZ83" s="243"/>
      <c r="BA83" s="243"/>
      <c r="BB83" s="243"/>
      <c r="BC83" s="243"/>
      <c r="BD83" s="243"/>
      <c r="BE83" s="243"/>
      <c r="BF83" s="246"/>
      <c r="BG83" s="246"/>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c r="CM83" s="243"/>
      <c r="CN83" s="243"/>
      <c r="CO83" s="243"/>
      <c r="CP83" s="243"/>
    </row>
    <row r="84" spans="1:94" s="290" customForma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9"/>
      <c r="AL84" s="289"/>
      <c r="AM84" s="289"/>
      <c r="AN84" s="289"/>
      <c r="AO84" s="289"/>
      <c r="AP84" s="289"/>
      <c r="AQ84" s="289"/>
      <c r="AR84" s="243"/>
      <c r="AS84" s="243"/>
      <c r="AT84" s="243"/>
      <c r="AU84" s="243"/>
      <c r="AV84" s="243"/>
      <c r="AW84" s="243"/>
      <c r="AX84" s="243"/>
      <c r="AY84" s="243"/>
      <c r="AZ84" s="243"/>
      <c r="BA84" s="243"/>
      <c r="BB84" s="243"/>
      <c r="BC84" s="243"/>
      <c r="BD84" s="243"/>
      <c r="BE84" s="243"/>
      <c r="BF84" s="246"/>
      <c r="BG84" s="246"/>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c r="CM84" s="243"/>
      <c r="CN84" s="243"/>
      <c r="CO84" s="243"/>
      <c r="CP84" s="243"/>
    </row>
    <row r="85" spans="1:94" s="290" customForma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9"/>
      <c r="AL85" s="289"/>
      <c r="AM85" s="289"/>
      <c r="AN85" s="289"/>
      <c r="AO85" s="289"/>
      <c r="AP85" s="289"/>
      <c r="AQ85" s="289"/>
      <c r="AR85" s="243"/>
      <c r="AS85" s="243"/>
      <c r="AT85" s="243"/>
      <c r="AU85" s="243"/>
      <c r="AV85" s="243"/>
      <c r="AW85" s="243"/>
      <c r="AX85" s="243"/>
      <c r="AY85" s="243"/>
      <c r="AZ85" s="243"/>
      <c r="BA85" s="243"/>
      <c r="BB85" s="243"/>
      <c r="BC85" s="243"/>
      <c r="BD85" s="243"/>
      <c r="BE85" s="243"/>
      <c r="BF85" s="246"/>
      <c r="BG85" s="246"/>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c r="CM85" s="243"/>
      <c r="CN85" s="243"/>
      <c r="CO85" s="243"/>
      <c r="CP85" s="243"/>
    </row>
    <row r="86" spans="1:94" s="290" customForma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9"/>
      <c r="AL86" s="289"/>
      <c r="AM86" s="289"/>
      <c r="AN86" s="289"/>
      <c r="AO86" s="289"/>
      <c r="AP86" s="289"/>
      <c r="AQ86" s="289"/>
      <c r="AR86" s="243"/>
      <c r="AS86" s="243"/>
      <c r="AT86" s="243"/>
      <c r="AU86" s="243"/>
      <c r="AV86" s="243"/>
      <c r="AW86" s="243"/>
      <c r="AX86" s="243"/>
      <c r="AY86" s="243"/>
      <c r="AZ86" s="243"/>
      <c r="BA86" s="243"/>
      <c r="BB86" s="243"/>
      <c r="BC86" s="243"/>
      <c r="BD86" s="243"/>
      <c r="BE86" s="243"/>
      <c r="BF86" s="246"/>
      <c r="BG86" s="246"/>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row>
    <row r="87" spans="1:94" s="290" customForma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9"/>
      <c r="AL87" s="289"/>
      <c r="AM87" s="289"/>
      <c r="AN87" s="289"/>
      <c r="AO87" s="289"/>
      <c r="AP87" s="289"/>
      <c r="AQ87" s="289"/>
      <c r="AR87" s="243"/>
      <c r="AS87" s="243"/>
      <c r="AT87" s="243"/>
      <c r="AU87" s="243"/>
      <c r="AV87" s="243"/>
      <c r="AW87" s="243"/>
      <c r="AX87" s="243"/>
      <c r="AY87" s="243"/>
      <c r="AZ87" s="243"/>
      <c r="BA87" s="243"/>
      <c r="BB87" s="243"/>
      <c r="BC87" s="243"/>
      <c r="BD87" s="243"/>
      <c r="BE87" s="243"/>
      <c r="BF87" s="246"/>
      <c r="BG87" s="246"/>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c r="CM87" s="243"/>
      <c r="CN87" s="243"/>
      <c r="CO87" s="243"/>
      <c r="CP87" s="243"/>
    </row>
    <row r="88" spans="1:94" s="290" customForma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9"/>
      <c r="AL88" s="289"/>
      <c r="AM88" s="289"/>
      <c r="AN88" s="289"/>
      <c r="AO88" s="289"/>
      <c r="AP88" s="289"/>
      <c r="AQ88" s="289"/>
      <c r="AR88" s="243"/>
      <c r="AS88" s="243"/>
      <c r="AT88" s="243"/>
      <c r="AU88" s="243"/>
      <c r="AV88" s="243"/>
      <c r="AW88" s="243"/>
      <c r="AX88" s="243"/>
      <c r="AY88" s="243"/>
      <c r="AZ88" s="243"/>
      <c r="BA88" s="243"/>
      <c r="BB88" s="243"/>
      <c r="BC88" s="243"/>
      <c r="BD88" s="243"/>
      <c r="BE88" s="243"/>
      <c r="BF88" s="246"/>
      <c r="BG88" s="246"/>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c r="CM88" s="243"/>
      <c r="CN88" s="243"/>
      <c r="CO88" s="243"/>
      <c r="CP88" s="243"/>
    </row>
    <row r="89" spans="1:94" s="290" customForma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9"/>
      <c r="AL89" s="289"/>
      <c r="AM89" s="289"/>
      <c r="AN89" s="289"/>
      <c r="AO89" s="289"/>
      <c r="AP89" s="289"/>
      <c r="AQ89" s="289"/>
      <c r="AR89" s="243"/>
      <c r="AS89" s="243"/>
      <c r="AT89" s="243"/>
      <c r="AU89" s="243"/>
      <c r="AV89" s="243"/>
      <c r="AW89" s="243"/>
      <c r="AX89" s="243"/>
      <c r="AY89" s="243"/>
      <c r="AZ89" s="243"/>
      <c r="BA89" s="243"/>
      <c r="BB89" s="243"/>
      <c r="BC89" s="243"/>
      <c r="BD89" s="243"/>
      <c r="BE89" s="243"/>
      <c r="BF89" s="246"/>
      <c r="BG89" s="246"/>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row>
    <row r="90" spans="1:94" s="290" customForma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9"/>
      <c r="AL90" s="289"/>
      <c r="AM90" s="289"/>
      <c r="AN90" s="289"/>
      <c r="AO90" s="289"/>
      <c r="AP90" s="289"/>
      <c r="AQ90" s="289"/>
      <c r="AR90" s="243"/>
      <c r="AS90" s="243"/>
      <c r="AT90" s="243"/>
      <c r="AU90" s="243"/>
      <c r="AV90" s="243"/>
      <c r="AW90" s="243"/>
      <c r="AX90" s="243"/>
      <c r="AY90" s="243"/>
      <c r="AZ90" s="243"/>
      <c r="BA90" s="243"/>
      <c r="BB90" s="243"/>
      <c r="BC90" s="243"/>
      <c r="BD90" s="243"/>
      <c r="BE90" s="243"/>
      <c r="BF90" s="246"/>
      <c r="BG90" s="246"/>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row>
    <row r="91" spans="1:94">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9"/>
      <c r="AL91" s="289"/>
      <c r="AM91" s="289"/>
      <c r="AN91" s="289"/>
      <c r="AO91" s="289"/>
      <c r="AP91" s="289"/>
      <c r="AQ91" s="289"/>
      <c r="AR91" s="243"/>
      <c r="AS91" s="243"/>
      <c r="AT91" s="243"/>
      <c r="AU91" s="243"/>
      <c r="AV91" s="243"/>
      <c r="AW91" s="243"/>
      <c r="AX91" s="243"/>
      <c r="AY91" s="243"/>
      <c r="AZ91" s="243"/>
      <c r="BA91" s="243"/>
      <c r="BB91" s="243"/>
      <c r="BC91" s="243"/>
      <c r="BD91" s="243"/>
      <c r="BE91" s="243"/>
      <c r="BF91" s="246"/>
      <c r="BG91" s="246"/>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row>
    <row r="92" spans="1:94">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9"/>
      <c r="AL92" s="289"/>
      <c r="AM92" s="289"/>
      <c r="AN92" s="289"/>
      <c r="AO92" s="289"/>
      <c r="AP92" s="289"/>
      <c r="AQ92" s="289"/>
      <c r="AR92" s="243"/>
      <c r="AS92" s="243"/>
      <c r="AT92" s="243"/>
      <c r="AU92" s="243"/>
      <c r="AV92" s="243"/>
      <c r="AW92" s="243"/>
      <c r="AX92" s="243"/>
      <c r="AY92" s="243"/>
      <c r="AZ92" s="243"/>
      <c r="BA92" s="243"/>
      <c r="BB92" s="243"/>
      <c r="BC92" s="243"/>
      <c r="BD92" s="243"/>
      <c r="BE92" s="243"/>
      <c r="BF92" s="246"/>
      <c r="BG92" s="246"/>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row>
    <row r="93" spans="1:94">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9"/>
      <c r="AL93" s="289"/>
      <c r="AM93" s="289"/>
      <c r="AN93" s="289"/>
      <c r="AO93" s="289"/>
      <c r="AP93" s="289"/>
      <c r="AQ93" s="289"/>
      <c r="AR93" s="243"/>
      <c r="AS93" s="243"/>
      <c r="AT93" s="243"/>
      <c r="AU93" s="243"/>
      <c r="AV93" s="243"/>
      <c r="AW93" s="243"/>
      <c r="AX93" s="243"/>
      <c r="AY93" s="243"/>
      <c r="AZ93" s="243"/>
      <c r="BA93" s="243"/>
      <c r="BB93" s="243"/>
      <c r="BC93" s="243"/>
      <c r="BD93" s="243"/>
      <c r="BE93" s="243"/>
      <c r="BF93" s="246"/>
      <c r="BG93" s="246"/>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row>
    <row r="94" spans="1:94">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9"/>
      <c r="AL94" s="289"/>
      <c r="AM94" s="289"/>
      <c r="AN94" s="289"/>
      <c r="AO94" s="289"/>
      <c r="AP94" s="289"/>
      <c r="AQ94" s="289"/>
      <c r="AR94" s="243"/>
      <c r="AS94" s="243"/>
      <c r="AT94" s="243"/>
      <c r="AU94" s="243"/>
      <c r="AV94" s="243"/>
      <c r="AW94" s="243"/>
      <c r="AX94" s="243"/>
      <c r="AY94" s="243"/>
      <c r="AZ94" s="243"/>
      <c r="BA94" s="243"/>
      <c r="BB94" s="243"/>
      <c r="BC94" s="243"/>
      <c r="BD94" s="243"/>
      <c r="BE94" s="243"/>
      <c r="BF94" s="246"/>
      <c r="BG94" s="246"/>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row>
    <row r="95" spans="1:94">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9"/>
      <c r="AL95" s="289"/>
      <c r="AM95" s="289"/>
      <c r="AN95" s="289"/>
      <c r="AO95" s="289"/>
      <c r="AP95" s="289"/>
      <c r="AQ95" s="289"/>
      <c r="AR95" s="243"/>
      <c r="AS95" s="243"/>
      <c r="AT95" s="243"/>
      <c r="AU95" s="243"/>
      <c r="AV95" s="243"/>
      <c r="AW95" s="243"/>
      <c r="AX95" s="243"/>
      <c r="AY95" s="243"/>
      <c r="AZ95" s="243"/>
      <c r="BA95" s="243"/>
      <c r="BB95" s="243"/>
      <c r="BC95" s="243"/>
      <c r="BD95" s="243"/>
      <c r="BE95" s="243"/>
      <c r="BF95" s="246"/>
      <c r="BG95" s="246"/>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row>
    <row r="96" spans="1:94">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9"/>
      <c r="AL96" s="289"/>
      <c r="AM96" s="289"/>
      <c r="AN96" s="289"/>
      <c r="AO96" s="289"/>
      <c r="AP96" s="289"/>
      <c r="AQ96" s="289"/>
      <c r="AR96" s="243"/>
      <c r="AS96" s="243"/>
      <c r="AT96" s="243"/>
      <c r="AU96" s="243"/>
      <c r="AV96" s="243"/>
      <c r="AW96" s="243"/>
      <c r="AX96" s="243"/>
      <c r="AY96" s="243"/>
      <c r="AZ96" s="243"/>
      <c r="BA96" s="243"/>
      <c r="BB96" s="243"/>
      <c r="BC96" s="243"/>
      <c r="BD96" s="243"/>
      <c r="BE96" s="243"/>
      <c r="BF96" s="246"/>
      <c r="BG96" s="246"/>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row>
    <row r="97" spans="1:94">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9"/>
      <c r="AL97" s="289"/>
      <c r="AM97" s="289"/>
      <c r="AN97" s="289"/>
      <c r="AO97" s="289"/>
      <c r="AP97" s="289"/>
      <c r="AQ97" s="289"/>
      <c r="AR97" s="243"/>
      <c r="AS97" s="243"/>
      <c r="AT97" s="243"/>
      <c r="AU97" s="243"/>
      <c r="AV97" s="243"/>
      <c r="AW97" s="243"/>
      <c r="AX97" s="243"/>
      <c r="AY97" s="243"/>
      <c r="AZ97" s="243"/>
      <c r="BA97" s="243"/>
      <c r="BB97" s="243"/>
      <c r="BC97" s="243"/>
      <c r="BD97" s="243"/>
      <c r="BE97" s="243"/>
      <c r="BF97" s="246"/>
      <c r="BG97" s="246"/>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c r="CM97" s="243"/>
      <c r="CN97" s="243"/>
      <c r="CO97" s="243"/>
      <c r="CP97" s="243"/>
    </row>
    <row r="98" spans="1:94">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9"/>
      <c r="AL98" s="289"/>
      <c r="AM98" s="289"/>
      <c r="AN98" s="289"/>
      <c r="AO98" s="289"/>
      <c r="AP98" s="289"/>
      <c r="AQ98" s="289"/>
      <c r="AR98" s="243"/>
      <c r="AS98" s="243"/>
      <c r="AT98" s="243"/>
      <c r="AU98" s="243"/>
      <c r="AV98" s="243"/>
      <c r="AW98" s="243"/>
      <c r="AX98" s="243"/>
      <c r="AY98" s="243"/>
      <c r="AZ98" s="243"/>
      <c r="BA98" s="243"/>
      <c r="BB98" s="243"/>
      <c r="BC98" s="243"/>
      <c r="BD98" s="243"/>
      <c r="BE98" s="243"/>
      <c r="BF98" s="246"/>
      <c r="BG98" s="246"/>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c r="CM98" s="243"/>
      <c r="CN98" s="243"/>
      <c r="CO98" s="243"/>
      <c r="CP98" s="243"/>
    </row>
    <row r="99" spans="1:94">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9"/>
      <c r="AL99" s="289"/>
      <c r="AM99" s="289"/>
      <c r="AN99" s="289"/>
      <c r="AO99" s="289"/>
      <c r="AP99" s="289"/>
      <c r="AQ99" s="289"/>
      <c r="AR99" s="243"/>
      <c r="AS99" s="243"/>
      <c r="AT99" s="243"/>
      <c r="AU99" s="243"/>
      <c r="AV99" s="243"/>
      <c r="AW99" s="243"/>
      <c r="AX99" s="243"/>
      <c r="AY99" s="243"/>
      <c r="AZ99" s="243"/>
      <c r="BA99" s="243"/>
      <c r="BB99" s="243"/>
      <c r="BC99" s="243"/>
      <c r="BD99" s="243"/>
      <c r="BE99" s="243"/>
      <c r="BF99" s="246"/>
      <c r="BG99" s="246"/>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c r="CM99" s="243"/>
      <c r="CN99" s="243"/>
      <c r="CO99" s="243"/>
      <c r="CP99" s="243"/>
    </row>
    <row r="100" spans="1:94">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9"/>
      <c r="AL100" s="289"/>
      <c r="AM100" s="289"/>
      <c r="AN100" s="289"/>
      <c r="AO100" s="289"/>
      <c r="AP100" s="289"/>
      <c r="AQ100" s="289"/>
      <c r="AR100" s="243"/>
      <c r="AS100" s="243"/>
      <c r="AT100" s="243"/>
      <c r="AU100" s="243"/>
      <c r="AV100" s="243"/>
      <c r="AW100" s="243"/>
      <c r="AX100" s="243"/>
      <c r="AY100" s="243"/>
      <c r="AZ100" s="243"/>
      <c r="BA100" s="243"/>
      <c r="BB100" s="243"/>
      <c r="BC100" s="243"/>
      <c r="BD100" s="243"/>
      <c r="BE100" s="243"/>
      <c r="BF100" s="246"/>
      <c r="BG100" s="246"/>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c r="CM100" s="243"/>
      <c r="CN100" s="243"/>
      <c r="CO100" s="243"/>
      <c r="CP100" s="243"/>
    </row>
    <row r="101" spans="1:94">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9"/>
      <c r="AL101" s="289"/>
      <c r="AM101" s="289"/>
      <c r="AN101" s="289"/>
      <c r="AO101" s="289"/>
      <c r="AP101" s="289"/>
      <c r="AQ101" s="289"/>
      <c r="AR101" s="243"/>
      <c r="AS101" s="243"/>
      <c r="AT101" s="243"/>
      <c r="AU101" s="243"/>
      <c r="AV101" s="243"/>
      <c r="AW101" s="243"/>
      <c r="AX101" s="243"/>
      <c r="AY101" s="243"/>
      <c r="AZ101" s="243"/>
      <c r="BA101" s="243"/>
      <c r="BB101" s="243"/>
      <c r="BC101" s="243"/>
      <c r="BD101" s="243"/>
      <c r="BE101" s="243"/>
      <c r="BF101" s="246"/>
      <c r="BG101" s="246"/>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c r="CM101" s="243"/>
      <c r="CN101" s="243"/>
      <c r="CO101" s="243"/>
      <c r="CP101" s="243"/>
    </row>
    <row r="102" spans="1:94">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9"/>
      <c r="AL102" s="289"/>
      <c r="AM102" s="289"/>
      <c r="AN102" s="289"/>
      <c r="AO102" s="289"/>
      <c r="AP102" s="289"/>
      <c r="AQ102" s="289"/>
      <c r="AR102" s="243"/>
      <c r="AS102" s="243"/>
      <c r="AT102" s="243"/>
      <c r="AU102" s="243"/>
      <c r="AV102" s="243"/>
      <c r="AW102" s="243"/>
      <c r="AX102" s="243"/>
      <c r="AY102" s="243"/>
      <c r="AZ102" s="243"/>
      <c r="BA102" s="243"/>
      <c r="BB102" s="243"/>
      <c r="BC102" s="243"/>
      <c r="BD102" s="243"/>
      <c r="BE102" s="243"/>
      <c r="BF102" s="246"/>
      <c r="BG102" s="246"/>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row>
    <row r="103" spans="1:94">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9"/>
      <c r="AL103" s="289"/>
      <c r="AM103" s="289"/>
      <c r="AN103" s="289"/>
      <c r="AO103" s="289"/>
      <c r="AP103" s="289"/>
      <c r="AQ103" s="289"/>
      <c r="AR103" s="243"/>
      <c r="AS103" s="243"/>
      <c r="AT103" s="243"/>
      <c r="AU103" s="243"/>
      <c r="AV103" s="243"/>
      <c r="AW103" s="243"/>
      <c r="AX103" s="243"/>
      <c r="AY103" s="243"/>
      <c r="AZ103" s="243"/>
      <c r="BA103" s="243"/>
      <c r="BB103" s="243"/>
      <c r="BC103" s="243"/>
      <c r="BD103" s="243"/>
      <c r="BE103" s="243"/>
      <c r="BF103" s="246"/>
      <c r="BG103" s="246"/>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row>
    <row r="104" spans="1:94">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9"/>
      <c r="AL104" s="289"/>
      <c r="AM104" s="289"/>
      <c r="AN104" s="289"/>
      <c r="AO104" s="289"/>
      <c r="AP104" s="289"/>
      <c r="AQ104" s="289"/>
      <c r="AR104" s="243"/>
      <c r="AS104" s="243"/>
      <c r="AT104" s="243"/>
      <c r="AU104" s="243"/>
      <c r="AV104" s="243"/>
      <c r="AW104" s="243"/>
      <c r="AX104" s="243"/>
      <c r="AY104" s="243"/>
      <c r="AZ104" s="243"/>
      <c r="BA104" s="243"/>
      <c r="BB104" s="243"/>
      <c r="BC104" s="243"/>
      <c r="BD104" s="243"/>
      <c r="BE104" s="243"/>
      <c r="BF104" s="246"/>
      <c r="BG104" s="246"/>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row>
    <row r="105" spans="1:94">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9"/>
      <c r="AL105" s="289"/>
      <c r="AM105" s="289"/>
      <c r="AN105" s="289"/>
      <c r="AO105" s="289"/>
      <c r="AP105" s="289"/>
      <c r="AQ105" s="289"/>
      <c r="AR105" s="243"/>
      <c r="AS105" s="243"/>
      <c r="AT105" s="243"/>
      <c r="AU105" s="243"/>
      <c r="AV105" s="243"/>
      <c r="AW105" s="243"/>
      <c r="AX105" s="243"/>
      <c r="AY105" s="243"/>
      <c r="AZ105" s="243"/>
      <c r="BA105" s="243"/>
      <c r="BB105" s="243"/>
      <c r="BC105" s="243"/>
      <c r="BD105" s="243"/>
      <c r="BE105" s="243"/>
      <c r="BF105" s="246"/>
      <c r="BG105" s="246"/>
      <c r="BH105" s="243"/>
      <c r="BI105" s="243"/>
      <c r="BJ105" s="243"/>
      <c r="BK105" s="243"/>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row>
    <row r="106" spans="1:94">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9"/>
      <c r="AL106" s="289"/>
      <c r="AM106" s="289"/>
      <c r="AN106" s="289"/>
      <c r="AO106" s="289"/>
      <c r="AP106" s="289"/>
      <c r="AQ106" s="289"/>
      <c r="AR106" s="243"/>
      <c r="AS106" s="243"/>
      <c r="AT106" s="243"/>
      <c r="AU106" s="243"/>
      <c r="AV106" s="243"/>
      <c r="AW106" s="243"/>
      <c r="AX106" s="243"/>
      <c r="AY106" s="243"/>
      <c r="AZ106" s="243"/>
      <c r="BA106" s="243"/>
      <c r="BB106" s="243"/>
      <c r="BC106" s="243"/>
      <c r="BD106" s="243"/>
      <c r="BE106" s="243"/>
      <c r="BF106" s="246"/>
      <c r="BG106" s="246"/>
      <c r="BH106" s="243"/>
      <c r="BI106" s="243"/>
      <c r="BJ106" s="243"/>
      <c r="BK106" s="243"/>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row>
    <row r="107" spans="1:94">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9"/>
      <c r="AL107" s="289"/>
      <c r="AM107" s="289"/>
      <c r="AN107" s="289"/>
      <c r="AO107" s="289"/>
      <c r="AP107" s="289"/>
      <c r="AQ107" s="289"/>
      <c r="AR107" s="243"/>
      <c r="AS107" s="243"/>
      <c r="AT107" s="243"/>
      <c r="AU107" s="243"/>
      <c r="AV107" s="243"/>
      <c r="AW107" s="243"/>
      <c r="AX107" s="243"/>
      <c r="AY107" s="243"/>
      <c r="AZ107" s="243"/>
      <c r="BA107" s="243"/>
      <c r="BB107" s="243"/>
      <c r="BC107" s="243"/>
      <c r="BD107" s="243"/>
      <c r="BE107" s="243"/>
      <c r="BF107" s="246"/>
      <c r="BG107" s="246"/>
      <c r="BH107" s="243"/>
      <c r="BI107" s="243"/>
      <c r="BJ107" s="243"/>
      <c r="BK107" s="243"/>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row>
    <row r="108" spans="1:94">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9"/>
      <c r="AL108" s="289"/>
      <c r="AM108" s="289"/>
      <c r="AN108" s="289"/>
      <c r="AO108" s="289"/>
      <c r="AP108" s="289"/>
      <c r="AQ108" s="289"/>
      <c r="AR108" s="243"/>
      <c r="AS108" s="243"/>
      <c r="AT108" s="243"/>
      <c r="AU108" s="243"/>
      <c r="AV108" s="243"/>
      <c r="AW108" s="243"/>
      <c r="AX108" s="243"/>
      <c r="AY108" s="243"/>
      <c r="AZ108" s="243"/>
      <c r="BA108" s="243"/>
      <c r="BB108" s="243"/>
      <c r="BC108" s="243"/>
      <c r="BD108" s="243"/>
      <c r="BE108" s="243"/>
      <c r="BF108" s="246"/>
      <c r="BG108" s="246"/>
      <c r="BH108" s="243"/>
      <c r="BI108" s="243"/>
      <c r="BJ108" s="243"/>
      <c r="BK108" s="243"/>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row>
    <row r="109" spans="1:94">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9"/>
      <c r="AL109" s="289"/>
      <c r="AM109" s="289"/>
      <c r="AN109" s="289"/>
      <c r="AO109" s="289"/>
      <c r="AP109" s="289"/>
      <c r="AQ109" s="289"/>
      <c r="AR109" s="243"/>
      <c r="AS109" s="243"/>
      <c r="AT109" s="243"/>
      <c r="AU109" s="243"/>
      <c r="AV109" s="243"/>
      <c r="AW109" s="243"/>
      <c r="AX109" s="243"/>
      <c r="AY109" s="243"/>
      <c r="AZ109" s="243"/>
      <c r="BA109" s="243"/>
      <c r="BB109" s="243"/>
      <c r="BC109" s="243"/>
      <c r="BD109" s="243"/>
      <c r="BE109" s="243"/>
      <c r="BF109" s="246"/>
      <c r="BG109" s="246"/>
      <c r="BH109" s="243"/>
      <c r="BI109" s="243"/>
      <c r="BJ109" s="243"/>
      <c r="BK109" s="243"/>
      <c r="BL109" s="243"/>
      <c r="BM109" s="243"/>
      <c r="BN109" s="243"/>
      <c r="BO109" s="243"/>
      <c r="BP109" s="243"/>
      <c r="BQ109" s="243"/>
      <c r="BR109" s="243"/>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c r="CM109" s="243"/>
      <c r="CN109" s="243"/>
      <c r="CO109" s="243"/>
      <c r="CP109" s="243"/>
    </row>
    <row r="110" spans="1:94">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9"/>
      <c r="AL110" s="289"/>
      <c r="AM110" s="289"/>
      <c r="AN110" s="289"/>
      <c r="AO110" s="289"/>
      <c r="AP110" s="289"/>
      <c r="AQ110" s="289"/>
      <c r="AR110" s="243"/>
      <c r="AS110" s="243"/>
      <c r="AT110" s="243"/>
      <c r="AU110" s="243"/>
      <c r="AV110" s="243"/>
      <c r="AW110" s="243"/>
      <c r="AX110" s="243"/>
      <c r="AY110" s="243"/>
      <c r="AZ110" s="243"/>
      <c r="BA110" s="243"/>
      <c r="BB110" s="243"/>
      <c r="BC110" s="243"/>
      <c r="BD110" s="243"/>
      <c r="BE110" s="243"/>
      <c r="BF110" s="246"/>
      <c r="BG110" s="246"/>
      <c r="BH110" s="243"/>
      <c r="BI110" s="243"/>
      <c r="BJ110" s="243"/>
      <c r="BK110" s="243"/>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row>
    <row r="111" spans="1:94">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9"/>
      <c r="AL111" s="289"/>
      <c r="AM111" s="289"/>
      <c r="AN111" s="289"/>
      <c r="AO111" s="289"/>
      <c r="AP111" s="289"/>
      <c r="AQ111" s="289"/>
      <c r="AR111" s="243"/>
      <c r="AS111" s="243"/>
      <c r="AT111" s="243"/>
      <c r="AU111" s="243"/>
      <c r="AV111" s="243"/>
      <c r="AW111" s="243"/>
      <c r="AX111" s="243"/>
      <c r="AY111" s="243"/>
      <c r="AZ111" s="243"/>
      <c r="BA111" s="243"/>
      <c r="BB111" s="243"/>
      <c r="BC111" s="243"/>
      <c r="BD111" s="243"/>
      <c r="BE111" s="243"/>
      <c r="BF111" s="246"/>
      <c r="BG111" s="246"/>
      <c r="BH111" s="243"/>
      <c r="BI111" s="243"/>
      <c r="BJ111" s="243"/>
      <c r="BK111" s="243"/>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row>
    <row r="112" spans="1:94">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9"/>
      <c r="AL112" s="289"/>
      <c r="AM112" s="289"/>
      <c r="AN112" s="289"/>
      <c r="AO112" s="289"/>
      <c r="AP112" s="289"/>
      <c r="AQ112" s="289"/>
      <c r="AR112" s="243"/>
      <c r="AS112" s="243"/>
      <c r="AT112" s="243"/>
      <c r="AU112" s="243"/>
      <c r="AV112" s="243"/>
      <c r="AW112" s="243"/>
      <c r="AX112" s="243"/>
      <c r="AY112" s="243"/>
      <c r="AZ112" s="243"/>
      <c r="BA112" s="243"/>
      <c r="BB112" s="243"/>
      <c r="BC112" s="243"/>
      <c r="BD112" s="243"/>
      <c r="BE112" s="243"/>
      <c r="BF112" s="246"/>
      <c r="BG112" s="246"/>
      <c r="BH112" s="243"/>
      <c r="BI112" s="243"/>
      <c r="BJ112" s="243"/>
      <c r="BK112" s="243"/>
      <c r="BL112" s="243"/>
      <c r="BM112" s="243"/>
      <c r="BN112" s="243"/>
      <c r="BO112" s="243"/>
      <c r="BP112" s="243"/>
      <c r="BQ112" s="243"/>
      <c r="BR112" s="243"/>
      <c r="BS112" s="243"/>
      <c r="BT112" s="243"/>
      <c r="BU112" s="243"/>
      <c r="BV112" s="243"/>
      <c r="BW112" s="243"/>
      <c r="BX112" s="243"/>
      <c r="BY112" s="243"/>
      <c r="BZ112" s="243"/>
      <c r="CA112" s="243"/>
      <c r="CB112" s="243"/>
      <c r="CC112" s="243"/>
      <c r="CD112" s="243"/>
      <c r="CE112" s="243"/>
      <c r="CF112" s="243"/>
      <c r="CG112" s="243"/>
      <c r="CH112" s="243"/>
      <c r="CI112" s="243"/>
      <c r="CJ112" s="243"/>
      <c r="CK112" s="243"/>
      <c r="CL112" s="243"/>
      <c r="CM112" s="243"/>
      <c r="CN112" s="243"/>
      <c r="CO112" s="243"/>
      <c r="CP112" s="243"/>
    </row>
    <row r="113" spans="1:94">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9"/>
      <c r="AL113" s="289"/>
      <c r="AM113" s="289"/>
      <c r="AN113" s="289"/>
      <c r="AO113" s="289"/>
      <c r="AP113" s="289"/>
      <c r="AQ113" s="289"/>
      <c r="AR113" s="243"/>
      <c r="AS113" s="243"/>
      <c r="AT113" s="243"/>
      <c r="AU113" s="243"/>
      <c r="AV113" s="243"/>
      <c r="AW113" s="243"/>
      <c r="AX113" s="243"/>
      <c r="AY113" s="243"/>
      <c r="AZ113" s="243"/>
      <c r="BA113" s="243"/>
      <c r="BB113" s="243"/>
      <c r="BC113" s="243"/>
      <c r="BD113" s="243"/>
      <c r="BE113" s="243"/>
      <c r="BF113" s="246"/>
      <c r="BG113" s="246"/>
      <c r="BH113" s="243"/>
      <c r="BI113" s="243"/>
      <c r="BJ113" s="243"/>
      <c r="BK113" s="243"/>
      <c r="BL113" s="243"/>
      <c r="BM113" s="243"/>
      <c r="BN113" s="243"/>
      <c r="BO113" s="243"/>
      <c r="BP113" s="243"/>
      <c r="BQ113" s="243"/>
      <c r="BR113" s="243"/>
      <c r="BS113" s="243"/>
      <c r="BT113" s="243"/>
      <c r="BU113" s="243"/>
      <c r="BV113" s="243"/>
      <c r="BW113" s="243"/>
      <c r="BX113" s="243"/>
      <c r="BY113" s="243"/>
      <c r="BZ113" s="243"/>
      <c r="CA113" s="243"/>
      <c r="CB113" s="243"/>
      <c r="CC113" s="243"/>
      <c r="CD113" s="243"/>
      <c r="CE113" s="243"/>
      <c r="CF113" s="243"/>
      <c r="CG113" s="243"/>
      <c r="CH113" s="243"/>
      <c r="CI113" s="243"/>
      <c r="CJ113" s="243"/>
      <c r="CK113" s="243"/>
      <c r="CL113" s="243"/>
      <c r="CM113" s="243"/>
      <c r="CN113" s="243"/>
      <c r="CO113" s="243"/>
      <c r="CP113" s="243"/>
    </row>
    <row r="114" spans="1:94">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9"/>
      <c r="AL114" s="289"/>
      <c r="AM114" s="289"/>
      <c r="AN114" s="289"/>
      <c r="AO114" s="289"/>
      <c r="AP114" s="289"/>
      <c r="AQ114" s="289"/>
      <c r="AR114" s="243"/>
      <c r="AS114" s="243"/>
      <c r="AT114" s="243"/>
      <c r="AU114" s="243"/>
      <c r="AV114" s="243"/>
      <c r="AW114" s="243"/>
      <c r="AX114" s="243"/>
      <c r="AY114" s="243"/>
      <c r="AZ114" s="243"/>
      <c r="BA114" s="243"/>
      <c r="BB114" s="243"/>
      <c r="BC114" s="243"/>
      <c r="BD114" s="243"/>
      <c r="BE114" s="243"/>
      <c r="BF114" s="246"/>
      <c r="BG114" s="246"/>
      <c r="BH114" s="243"/>
      <c r="BI114" s="243"/>
      <c r="BJ114" s="243"/>
      <c r="BK114" s="243"/>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row>
    <row r="115" spans="1:94">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9"/>
      <c r="AL115" s="289"/>
      <c r="AM115" s="289"/>
      <c r="AN115" s="289"/>
      <c r="AO115" s="289"/>
      <c r="AP115" s="289"/>
      <c r="AQ115" s="289"/>
      <c r="AR115" s="243"/>
      <c r="AS115" s="243"/>
      <c r="AT115" s="243"/>
      <c r="AU115" s="243"/>
      <c r="AV115" s="243"/>
      <c r="AW115" s="243"/>
      <c r="AX115" s="243"/>
      <c r="AY115" s="243"/>
      <c r="AZ115" s="243"/>
      <c r="BA115" s="243"/>
      <c r="BB115" s="243"/>
      <c r="BC115" s="243"/>
      <c r="BD115" s="243"/>
      <c r="BE115" s="243"/>
      <c r="BF115" s="246"/>
      <c r="BG115" s="246"/>
      <c r="BH115" s="243"/>
      <c r="BI115" s="243"/>
      <c r="BJ115" s="243"/>
      <c r="BK115" s="243"/>
      <c r="BL115" s="243"/>
      <c r="BM115" s="243"/>
      <c r="BN115" s="243"/>
      <c r="BO115" s="243"/>
      <c r="BP115" s="243"/>
      <c r="BQ115" s="243"/>
      <c r="BR115" s="243"/>
      <c r="BS115" s="243"/>
      <c r="BT115" s="243"/>
      <c r="BU115" s="243"/>
      <c r="BV115" s="243"/>
      <c r="BW115" s="243"/>
      <c r="BX115" s="243"/>
      <c r="BY115" s="243"/>
      <c r="BZ115" s="243"/>
      <c r="CA115" s="243"/>
      <c r="CB115" s="243"/>
      <c r="CC115" s="243"/>
      <c r="CD115" s="243"/>
      <c r="CE115" s="243"/>
      <c r="CF115" s="243"/>
      <c r="CG115" s="243"/>
      <c r="CH115" s="243"/>
      <c r="CI115" s="243"/>
      <c r="CJ115" s="243"/>
      <c r="CK115" s="243"/>
      <c r="CL115" s="243"/>
      <c r="CM115" s="243"/>
      <c r="CN115" s="243"/>
      <c r="CO115" s="243"/>
      <c r="CP115" s="243"/>
    </row>
    <row r="116" spans="1:94">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9"/>
      <c r="AL116" s="289"/>
      <c r="AM116" s="289"/>
      <c r="AN116" s="289"/>
      <c r="AO116" s="289"/>
      <c r="AP116" s="289"/>
      <c r="AQ116" s="289"/>
      <c r="AR116" s="243"/>
      <c r="AS116" s="243"/>
      <c r="AT116" s="243"/>
      <c r="AU116" s="243"/>
      <c r="AV116" s="243"/>
      <c r="AW116" s="243"/>
      <c r="AX116" s="243"/>
      <c r="AY116" s="243"/>
      <c r="AZ116" s="243"/>
      <c r="BA116" s="243"/>
      <c r="BB116" s="243"/>
      <c r="BC116" s="243"/>
      <c r="BD116" s="243"/>
      <c r="BE116" s="243"/>
      <c r="BF116" s="246"/>
      <c r="BG116" s="246"/>
      <c r="BH116" s="243"/>
      <c r="BI116" s="243"/>
      <c r="BJ116" s="243"/>
      <c r="BK116" s="243"/>
      <c r="BL116" s="243"/>
      <c r="BM116" s="243"/>
      <c r="BN116" s="243"/>
      <c r="BO116" s="243"/>
      <c r="BP116" s="243"/>
      <c r="BQ116" s="243"/>
      <c r="BR116" s="243"/>
      <c r="BS116" s="243"/>
      <c r="BT116" s="243"/>
      <c r="BU116" s="243"/>
      <c r="BV116" s="243"/>
      <c r="BW116" s="243"/>
      <c r="BX116" s="243"/>
      <c r="BY116" s="243"/>
      <c r="BZ116" s="243"/>
      <c r="CA116" s="243"/>
      <c r="CB116" s="243"/>
      <c r="CC116" s="243"/>
      <c r="CD116" s="243"/>
      <c r="CE116" s="243"/>
      <c r="CF116" s="243"/>
      <c r="CG116" s="243"/>
      <c r="CH116" s="243"/>
      <c r="CI116" s="243"/>
      <c r="CJ116" s="243"/>
      <c r="CK116" s="243"/>
      <c r="CL116" s="243"/>
      <c r="CM116" s="243"/>
      <c r="CN116" s="243"/>
      <c r="CO116" s="243"/>
      <c r="CP116" s="243"/>
    </row>
    <row r="117" spans="1:94">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9"/>
      <c r="AL117" s="289"/>
      <c r="AM117" s="289"/>
      <c r="AN117" s="289"/>
      <c r="AO117" s="289"/>
      <c r="AP117" s="289"/>
      <c r="AQ117" s="289"/>
      <c r="AR117" s="243"/>
      <c r="AS117" s="243"/>
      <c r="AT117" s="243"/>
      <c r="AU117" s="243"/>
      <c r="AV117" s="243"/>
      <c r="AW117" s="243"/>
      <c r="AX117" s="243"/>
      <c r="AY117" s="243"/>
      <c r="AZ117" s="243"/>
      <c r="BA117" s="243"/>
      <c r="BB117" s="243"/>
      <c r="BC117" s="243"/>
      <c r="BD117" s="243"/>
      <c r="BE117" s="243"/>
      <c r="BF117" s="246"/>
      <c r="BG117" s="246"/>
      <c r="BH117" s="243"/>
      <c r="BI117" s="243"/>
      <c r="BJ117" s="243"/>
      <c r="BK117" s="243"/>
      <c r="BL117" s="243"/>
      <c r="BM117" s="243"/>
      <c r="BN117" s="243"/>
      <c r="BO117" s="243"/>
      <c r="BP117" s="243"/>
      <c r="BQ117" s="243"/>
      <c r="BR117" s="243"/>
      <c r="BS117" s="243"/>
      <c r="BT117" s="243"/>
      <c r="BU117" s="243"/>
      <c r="BV117" s="243"/>
      <c r="BW117" s="243"/>
      <c r="BX117" s="243"/>
      <c r="BY117" s="243"/>
      <c r="BZ117" s="243"/>
      <c r="CA117" s="243"/>
      <c r="CB117" s="243"/>
      <c r="CC117" s="243"/>
      <c r="CD117" s="243"/>
      <c r="CE117" s="243"/>
      <c r="CF117" s="243"/>
      <c r="CG117" s="243"/>
      <c r="CH117" s="243"/>
      <c r="CI117" s="243"/>
      <c r="CJ117" s="243"/>
      <c r="CK117" s="243"/>
      <c r="CL117" s="243"/>
      <c r="CM117" s="243"/>
      <c r="CN117" s="243"/>
      <c r="CO117" s="243"/>
      <c r="CP117" s="243"/>
    </row>
    <row r="118" spans="1:94">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9"/>
      <c r="AL118" s="289"/>
      <c r="AM118" s="289"/>
      <c r="AN118" s="289"/>
      <c r="AO118" s="289"/>
      <c r="AP118" s="289"/>
      <c r="AQ118" s="289"/>
      <c r="AR118" s="243"/>
      <c r="AS118" s="243"/>
      <c r="AT118" s="243"/>
      <c r="AU118" s="243"/>
      <c r="AV118" s="243"/>
      <c r="AW118" s="243"/>
      <c r="AX118" s="243"/>
      <c r="AY118" s="243"/>
      <c r="AZ118" s="243"/>
      <c r="BA118" s="243"/>
      <c r="BB118" s="243"/>
      <c r="BC118" s="243"/>
      <c r="BD118" s="243"/>
      <c r="BE118" s="243"/>
      <c r="BF118" s="246"/>
      <c r="BG118" s="246"/>
      <c r="BH118" s="243"/>
      <c r="BI118" s="243"/>
      <c r="BJ118" s="243"/>
      <c r="BK118" s="243"/>
      <c r="BL118" s="243"/>
      <c r="BM118" s="243"/>
      <c r="BN118" s="243"/>
      <c r="BO118" s="243"/>
      <c r="BP118" s="243"/>
      <c r="BQ118" s="243"/>
      <c r="BR118" s="243"/>
      <c r="BS118" s="243"/>
      <c r="BT118" s="243"/>
      <c r="BU118" s="243"/>
      <c r="BV118" s="243"/>
      <c r="BW118" s="243"/>
      <c r="BX118" s="243"/>
      <c r="BY118" s="243"/>
      <c r="BZ118" s="243"/>
      <c r="CA118" s="243"/>
      <c r="CB118" s="243"/>
      <c r="CC118" s="243"/>
      <c r="CD118" s="243"/>
      <c r="CE118" s="243"/>
      <c r="CF118" s="243"/>
      <c r="CG118" s="243"/>
      <c r="CH118" s="243"/>
      <c r="CI118" s="243"/>
      <c r="CJ118" s="243"/>
      <c r="CK118" s="243"/>
      <c r="CL118" s="243"/>
      <c r="CM118" s="243"/>
      <c r="CN118" s="243"/>
      <c r="CO118" s="243"/>
      <c r="CP118" s="243"/>
    </row>
    <row r="119" spans="1:94">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9"/>
      <c r="AL119" s="289"/>
      <c r="AM119" s="289"/>
      <c r="AN119" s="289"/>
      <c r="AO119" s="289"/>
      <c r="AP119" s="289"/>
      <c r="AQ119" s="289"/>
      <c r="AR119" s="243"/>
      <c r="AS119" s="243"/>
      <c r="AT119" s="243"/>
      <c r="AU119" s="243"/>
      <c r="AV119" s="243"/>
      <c r="AW119" s="243"/>
      <c r="AX119" s="243"/>
      <c r="AY119" s="243"/>
      <c r="AZ119" s="243"/>
      <c r="BA119" s="243"/>
      <c r="BB119" s="243"/>
      <c r="BC119" s="243"/>
      <c r="BD119" s="243"/>
      <c r="BE119" s="243"/>
      <c r="BF119" s="246"/>
      <c r="BG119" s="246"/>
      <c r="BH119" s="243"/>
      <c r="BI119" s="243"/>
      <c r="BJ119" s="243"/>
      <c r="BK119" s="243"/>
      <c r="BL119" s="243"/>
      <c r="BM119" s="243"/>
      <c r="BN119" s="243"/>
      <c r="BO119" s="243"/>
      <c r="BP119" s="243"/>
      <c r="BQ119" s="243"/>
      <c r="BR119" s="243"/>
      <c r="BS119" s="243"/>
      <c r="BT119" s="243"/>
      <c r="BU119" s="243"/>
      <c r="BV119" s="243"/>
      <c r="BW119" s="243"/>
      <c r="BX119" s="243"/>
      <c r="BY119" s="243"/>
      <c r="BZ119" s="243"/>
      <c r="CA119" s="243"/>
      <c r="CB119" s="243"/>
      <c r="CC119" s="243"/>
      <c r="CD119" s="243"/>
      <c r="CE119" s="243"/>
      <c r="CF119" s="243"/>
      <c r="CG119" s="243"/>
      <c r="CH119" s="243"/>
      <c r="CI119" s="243"/>
      <c r="CJ119" s="243"/>
      <c r="CK119" s="243"/>
      <c r="CL119" s="243"/>
      <c r="CM119" s="243"/>
      <c r="CN119" s="243"/>
      <c r="CO119" s="243"/>
      <c r="CP119" s="243"/>
    </row>
    <row r="120" spans="1:94">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9"/>
      <c r="AL120" s="289"/>
      <c r="AM120" s="289"/>
      <c r="AN120" s="289"/>
      <c r="AO120" s="289"/>
      <c r="AP120" s="289"/>
      <c r="AQ120" s="289"/>
      <c r="AR120" s="243"/>
      <c r="AS120" s="243"/>
      <c r="AT120" s="243"/>
      <c r="AU120" s="243"/>
      <c r="AV120" s="243"/>
      <c r="AW120" s="243"/>
      <c r="AX120" s="243"/>
      <c r="AY120" s="243"/>
      <c r="AZ120" s="243"/>
      <c r="BA120" s="243"/>
      <c r="BB120" s="243"/>
      <c r="BC120" s="243"/>
      <c r="BD120" s="243"/>
      <c r="BE120" s="243"/>
      <c r="BF120" s="246"/>
      <c r="BG120" s="246"/>
      <c r="BH120" s="243"/>
      <c r="BI120" s="243"/>
      <c r="BJ120" s="243"/>
      <c r="BK120" s="243"/>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row>
    <row r="121" spans="1:94">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9"/>
      <c r="AL121" s="289"/>
      <c r="AM121" s="289"/>
      <c r="AN121" s="289"/>
      <c r="AO121" s="289"/>
      <c r="AP121" s="289"/>
      <c r="AQ121" s="289"/>
      <c r="AR121" s="243"/>
      <c r="AS121" s="243"/>
      <c r="AT121" s="243"/>
      <c r="AU121" s="243"/>
      <c r="AV121" s="243"/>
      <c r="AW121" s="243"/>
      <c r="AX121" s="243"/>
      <c r="AY121" s="243"/>
      <c r="AZ121" s="243"/>
      <c r="BA121" s="243"/>
      <c r="BB121" s="243"/>
      <c r="BC121" s="243"/>
      <c r="BD121" s="243"/>
      <c r="BE121" s="243"/>
      <c r="BF121" s="246"/>
      <c r="BG121" s="246"/>
      <c r="BH121" s="243"/>
      <c r="BI121" s="243"/>
      <c r="BJ121" s="243"/>
      <c r="BK121" s="243"/>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row>
    <row r="122" spans="1:94">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9"/>
      <c r="AL122" s="289"/>
      <c r="AM122" s="289"/>
      <c r="AN122" s="289"/>
      <c r="AO122" s="289"/>
      <c r="AP122" s="289"/>
      <c r="AQ122" s="289"/>
      <c r="AR122" s="243"/>
      <c r="AS122" s="243"/>
      <c r="AT122" s="243"/>
      <c r="AU122" s="243"/>
      <c r="AV122" s="243"/>
      <c r="AW122" s="243"/>
      <c r="AX122" s="243"/>
      <c r="AY122" s="243"/>
      <c r="AZ122" s="243"/>
      <c r="BA122" s="243"/>
      <c r="BB122" s="243"/>
      <c r="BC122" s="243"/>
      <c r="BD122" s="243"/>
      <c r="BE122" s="243"/>
      <c r="BF122" s="246"/>
      <c r="BG122" s="246"/>
      <c r="BH122" s="243"/>
      <c r="BI122" s="243"/>
      <c r="BJ122" s="243"/>
      <c r="BK122" s="243"/>
      <c r="BL122" s="243"/>
      <c r="BM122" s="243"/>
      <c r="BN122" s="243"/>
      <c r="BO122" s="243"/>
      <c r="BP122" s="243"/>
      <c r="BQ122" s="243"/>
      <c r="BR122" s="243"/>
      <c r="BS122" s="243"/>
      <c r="BT122" s="243"/>
      <c r="BU122" s="243"/>
      <c r="BV122" s="243"/>
      <c r="BW122" s="243"/>
      <c r="BX122" s="243"/>
      <c r="BY122" s="243"/>
      <c r="BZ122" s="243"/>
      <c r="CA122" s="243"/>
      <c r="CB122" s="243"/>
      <c r="CC122" s="243"/>
      <c r="CD122" s="243"/>
      <c r="CE122" s="243"/>
      <c r="CF122" s="243"/>
      <c r="CG122" s="243"/>
      <c r="CH122" s="243"/>
      <c r="CI122" s="243"/>
      <c r="CJ122" s="243"/>
      <c r="CK122" s="243"/>
      <c r="CL122" s="243"/>
      <c r="CM122" s="243"/>
      <c r="CN122" s="243"/>
      <c r="CO122" s="243"/>
      <c r="CP122" s="243"/>
    </row>
    <row r="123" spans="1:94">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9"/>
      <c r="AL123" s="289"/>
      <c r="AM123" s="289"/>
      <c r="AN123" s="289"/>
      <c r="AO123" s="289"/>
      <c r="AP123" s="289"/>
      <c r="AQ123" s="289"/>
      <c r="AR123" s="243"/>
      <c r="AS123" s="243"/>
      <c r="AT123" s="243"/>
      <c r="AU123" s="243"/>
      <c r="AV123" s="243"/>
      <c r="AW123" s="243"/>
      <c r="AX123" s="243"/>
      <c r="AY123" s="243"/>
      <c r="AZ123" s="243"/>
      <c r="BA123" s="243"/>
      <c r="BB123" s="243"/>
      <c r="BC123" s="243"/>
      <c r="BD123" s="243"/>
      <c r="BE123" s="243"/>
      <c r="BF123" s="246"/>
      <c r="BG123" s="246"/>
      <c r="BH123" s="243"/>
      <c r="BI123" s="243"/>
      <c r="BJ123" s="243"/>
      <c r="BK123" s="243"/>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row>
    <row r="124" spans="1:94">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9"/>
      <c r="AL124" s="289"/>
      <c r="AM124" s="289"/>
      <c r="AN124" s="289"/>
      <c r="AO124" s="289"/>
      <c r="AP124" s="289"/>
      <c r="AQ124" s="289"/>
      <c r="AR124" s="243"/>
      <c r="AS124" s="243"/>
      <c r="AT124" s="243"/>
      <c r="AU124" s="243"/>
      <c r="AV124" s="243"/>
      <c r="AW124" s="243"/>
      <c r="AX124" s="243"/>
      <c r="AY124" s="243"/>
      <c r="AZ124" s="243"/>
      <c r="BA124" s="243"/>
      <c r="BB124" s="243"/>
      <c r="BC124" s="243"/>
      <c r="BD124" s="243"/>
      <c r="BE124" s="243"/>
      <c r="BF124" s="246"/>
      <c r="BG124" s="246"/>
      <c r="BH124" s="243"/>
      <c r="BI124" s="243"/>
      <c r="BJ124" s="243"/>
      <c r="BK124" s="243"/>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row>
  </sheetData>
  <sheetProtection algorithmName="SHA-512" hashValue="TrdFUnczCdtLK+M8szfSVcvawvdO55GDE7MnPf/wczdB7E/ZhZ4+GFxBRRWB2dnn2qpfAfSwweQk0Xj5SHCcyw==" saltValue="SsGV24kynmYarvuGplrYxQ==" spinCount="100000" sheet="1" objects="1" scenarios="1" selectLockedCells="1" selectUnlockedCells="1"/>
  <mergeCells count="370">
    <mergeCell ref="L61:M61"/>
    <mergeCell ref="N61:O61"/>
    <mergeCell ref="R61:S61"/>
    <mergeCell ref="Y61:Z61"/>
    <mergeCell ref="AC61:AD61"/>
    <mergeCell ref="L59:M59"/>
    <mergeCell ref="N59:O59"/>
    <mergeCell ref="R59:S59"/>
    <mergeCell ref="Y59:Z59"/>
    <mergeCell ref="AC59:AD59"/>
    <mergeCell ref="L60:M60"/>
    <mergeCell ref="N60:O60"/>
    <mergeCell ref="R60:S60"/>
    <mergeCell ref="Y60:Z60"/>
    <mergeCell ref="AC60:AD60"/>
    <mergeCell ref="T59:W59"/>
    <mergeCell ref="T60:W60"/>
    <mergeCell ref="T61:W61"/>
    <mergeCell ref="L58:M58"/>
    <mergeCell ref="N58:O58"/>
    <mergeCell ref="R58:S58"/>
    <mergeCell ref="Y58:Z58"/>
    <mergeCell ref="AC58:AD58"/>
    <mergeCell ref="L56:M56"/>
    <mergeCell ref="N56:O56"/>
    <mergeCell ref="R56:S56"/>
    <mergeCell ref="Y56:Z56"/>
    <mergeCell ref="AC56:AD56"/>
    <mergeCell ref="L57:M57"/>
    <mergeCell ref="N57:O57"/>
    <mergeCell ref="R57:S57"/>
    <mergeCell ref="Y57:Z57"/>
    <mergeCell ref="T56:W56"/>
    <mergeCell ref="T57:W57"/>
    <mergeCell ref="T58:W58"/>
    <mergeCell ref="L55:M55"/>
    <mergeCell ref="N55:O55"/>
    <mergeCell ref="R55:S55"/>
    <mergeCell ref="Y55:Z55"/>
    <mergeCell ref="AC55:AD55"/>
    <mergeCell ref="AE55:AF55"/>
    <mergeCell ref="AC57:AD57"/>
    <mergeCell ref="AE57:AF57"/>
    <mergeCell ref="T55:W55"/>
    <mergeCell ref="T52:U52"/>
    <mergeCell ref="L53:M53"/>
    <mergeCell ref="X53:AF53"/>
    <mergeCell ref="L54:M54"/>
    <mergeCell ref="N54:O54"/>
    <mergeCell ref="R54:S54"/>
    <mergeCell ref="Y54:Z54"/>
    <mergeCell ref="AC54:AD54"/>
    <mergeCell ref="AE54:AF54"/>
    <mergeCell ref="T54:W54"/>
    <mergeCell ref="A52:E52"/>
    <mergeCell ref="F52:G52"/>
    <mergeCell ref="H52:I52"/>
    <mergeCell ref="J52:K52"/>
    <mergeCell ref="L52:M52"/>
    <mergeCell ref="N52:O52"/>
    <mergeCell ref="R50:S50"/>
    <mergeCell ref="T50:U50"/>
    <mergeCell ref="F51:G51"/>
    <mergeCell ref="H51:I51"/>
    <mergeCell ref="J51:K51"/>
    <mergeCell ref="L51:M51"/>
    <mergeCell ref="N51:O51"/>
    <mergeCell ref="P51:Q51"/>
    <mergeCell ref="R51:S51"/>
    <mergeCell ref="T51:U51"/>
    <mergeCell ref="F50:G50"/>
    <mergeCell ref="H50:I50"/>
    <mergeCell ref="J50:K50"/>
    <mergeCell ref="L50:M50"/>
    <mergeCell ref="N50:O50"/>
    <mergeCell ref="P50:Q50"/>
    <mergeCell ref="P52:Q52"/>
    <mergeCell ref="R52:S52"/>
    <mergeCell ref="R48:S48"/>
    <mergeCell ref="T48:U48"/>
    <mergeCell ref="F49:G49"/>
    <mergeCell ref="H49:I49"/>
    <mergeCell ref="J49:K49"/>
    <mergeCell ref="L49:M49"/>
    <mergeCell ref="N49:O49"/>
    <mergeCell ref="P49:Q49"/>
    <mergeCell ref="R49:S49"/>
    <mergeCell ref="T49:U49"/>
    <mergeCell ref="F48:G48"/>
    <mergeCell ref="H48:I48"/>
    <mergeCell ref="J48:K48"/>
    <mergeCell ref="L48:M48"/>
    <mergeCell ref="N48:O48"/>
    <mergeCell ref="P48:Q48"/>
    <mergeCell ref="R46:S46"/>
    <mergeCell ref="T46:U46"/>
    <mergeCell ref="F47:G47"/>
    <mergeCell ref="H47:I47"/>
    <mergeCell ref="J47:K47"/>
    <mergeCell ref="L47:M47"/>
    <mergeCell ref="N47:O47"/>
    <mergeCell ref="P47:Q47"/>
    <mergeCell ref="R47:S47"/>
    <mergeCell ref="T47:U47"/>
    <mergeCell ref="F46:G46"/>
    <mergeCell ref="H46:I46"/>
    <mergeCell ref="J46:K46"/>
    <mergeCell ref="L46:M46"/>
    <mergeCell ref="N46:O46"/>
    <mergeCell ref="P46:Q46"/>
    <mergeCell ref="R44:S44"/>
    <mergeCell ref="T44:U44"/>
    <mergeCell ref="F45:G45"/>
    <mergeCell ref="H45:I45"/>
    <mergeCell ref="J45:K45"/>
    <mergeCell ref="L45:M45"/>
    <mergeCell ref="N45:O45"/>
    <mergeCell ref="P45:Q45"/>
    <mergeCell ref="R45:S45"/>
    <mergeCell ref="T45:U45"/>
    <mergeCell ref="F44:G44"/>
    <mergeCell ref="H44:I44"/>
    <mergeCell ref="J44:K44"/>
    <mergeCell ref="L44:M44"/>
    <mergeCell ref="N44:O44"/>
    <mergeCell ref="P44:Q44"/>
    <mergeCell ref="R42:S42"/>
    <mergeCell ref="T42:U42"/>
    <mergeCell ref="F43:G43"/>
    <mergeCell ref="H43:I43"/>
    <mergeCell ref="J43:K43"/>
    <mergeCell ref="L43:M43"/>
    <mergeCell ref="N43:O43"/>
    <mergeCell ref="P43:Q43"/>
    <mergeCell ref="R43:S43"/>
    <mergeCell ref="T43:U43"/>
    <mergeCell ref="F42:G42"/>
    <mergeCell ref="H42:I42"/>
    <mergeCell ref="J42:K42"/>
    <mergeCell ref="L42:M42"/>
    <mergeCell ref="N42:O42"/>
    <mergeCell ref="P42:Q42"/>
    <mergeCell ref="R40:S40"/>
    <mergeCell ref="T40:U40"/>
    <mergeCell ref="F41:G41"/>
    <mergeCell ref="H41:I41"/>
    <mergeCell ref="J41:K41"/>
    <mergeCell ref="L41:M41"/>
    <mergeCell ref="N41:O41"/>
    <mergeCell ref="P41:Q41"/>
    <mergeCell ref="R41:S41"/>
    <mergeCell ref="T41:U41"/>
    <mergeCell ref="F40:G40"/>
    <mergeCell ref="H40:I40"/>
    <mergeCell ref="J40:K40"/>
    <mergeCell ref="L40:M40"/>
    <mergeCell ref="N40:O40"/>
    <mergeCell ref="P40:Q40"/>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R34:S34"/>
    <mergeCell ref="T34:U34"/>
    <mergeCell ref="F35:G35"/>
    <mergeCell ref="H35:I35"/>
    <mergeCell ref="J35:K35"/>
    <mergeCell ref="L35:M35"/>
    <mergeCell ref="N35:O35"/>
    <mergeCell ref="P35:Q35"/>
    <mergeCell ref="R35:S35"/>
    <mergeCell ref="T35:U35"/>
    <mergeCell ref="F34:G34"/>
    <mergeCell ref="H34:I34"/>
    <mergeCell ref="J34:K34"/>
    <mergeCell ref="L34:M34"/>
    <mergeCell ref="N34:O34"/>
    <mergeCell ref="P34:Q34"/>
    <mergeCell ref="N30:O30"/>
    <mergeCell ref="P30:Q30"/>
    <mergeCell ref="R32:S32"/>
    <mergeCell ref="T32:U32"/>
    <mergeCell ref="F33:G33"/>
    <mergeCell ref="H33:I33"/>
    <mergeCell ref="J33:K33"/>
    <mergeCell ref="L33:M33"/>
    <mergeCell ref="N33:O33"/>
    <mergeCell ref="P33:Q33"/>
    <mergeCell ref="R33:S33"/>
    <mergeCell ref="T33:U33"/>
    <mergeCell ref="F32:G32"/>
    <mergeCell ref="H32:I32"/>
    <mergeCell ref="J32:K32"/>
    <mergeCell ref="L32:M32"/>
    <mergeCell ref="N32:O32"/>
    <mergeCell ref="P32:Q32"/>
    <mergeCell ref="A27:E27"/>
    <mergeCell ref="F27:U27"/>
    <mergeCell ref="V27:AJ32"/>
    <mergeCell ref="F28:I29"/>
    <mergeCell ref="J28:M28"/>
    <mergeCell ref="N28:O29"/>
    <mergeCell ref="P28:U29"/>
    <mergeCell ref="J29:K29"/>
    <mergeCell ref="L29:M29"/>
    <mergeCell ref="A30:E30"/>
    <mergeCell ref="R30:S30"/>
    <mergeCell ref="T30:U30"/>
    <mergeCell ref="F31:G31"/>
    <mergeCell ref="H31:I31"/>
    <mergeCell ref="J31:K31"/>
    <mergeCell ref="L31:M31"/>
    <mergeCell ref="N31:O31"/>
    <mergeCell ref="P31:Q31"/>
    <mergeCell ref="R31:S31"/>
    <mergeCell ref="T31:U31"/>
    <mergeCell ref="F30:G30"/>
    <mergeCell ref="H30:I30"/>
    <mergeCell ref="J30:K30"/>
    <mergeCell ref="L30:M30"/>
    <mergeCell ref="T26:W26"/>
    <mergeCell ref="X26:Z26"/>
    <mergeCell ref="AA26:AB26"/>
    <mergeCell ref="AC26:AD26"/>
    <mergeCell ref="AE26:AG26"/>
    <mergeCell ref="AH26:AI26"/>
    <mergeCell ref="T25:W25"/>
    <mergeCell ref="X25:Z25"/>
    <mergeCell ref="AA25:AB25"/>
    <mergeCell ref="AC25:AD25"/>
    <mergeCell ref="AE25:AG25"/>
    <mergeCell ref="AH25:AI25"/>
    <mergeCell ref="H22:J22"/>
    <mergeCell ref="K22:M22"/>
    <mergeCell ref="N22:P22"/>
    <mergeCell ref="Q22:S22"/>
    <mergeCell ref="H23:J23"/>
    <mergeCell ref="K23:M23"/>
    <mergeCell ref="N23:P23"/>
    <mergeCell ref="Q23:S23"/>
    <mergeCell ref="H20:J20"/>
    <mergeCell ref="K20:M20"/>
    <mergeCell ref="N20:P20"/>
    <mergeCell ref="Q20:S20"/>
    <mergeCell ref="H21:J21"/>
    <mergeCell ref="K21:M21"/>
    <mergeCell ref="N21:P21"/>
    <mergeCell ref="Q21:S21"/>
    <mergeCell ref="AI18:AK18"/>
    <mergeCell ref="H19:J19"/>
    <mergeCell ref="K19:M19"/>
    <mergeCell ref="N19:P19"/>
    <mergeCell ref="Q19:S19"/>
    <mergeCell ref="AC17:AE17"/>
    <mergeCell ref="AF17:AH17"/>
    <mergeCell ref="AI17:AK17"/>
    <mergeCell ref="H18:J18"/>
    <mergeCell ref="K18:M18"/>
    <mergeCell ref="N18:P18"/>
    <mergeCell ref="Q18:S18"/>
    <mergeCell ref="T18:V18"/>
    <mergeCell ref="W18:Y18"/>
    <mergeCell ref="Z18:AB18"/>
    <mergeCell ref="H17:J17"/>
    <mergeCell ref="K17:M17"/>
    <mergeCell ref="N17:P17"/>
    <mergeCell ref="Q17:S17"/>
    <mergeCell ref="T17:V17"/>
    <mergeCell ref="W17:Y17"/>
    <mergeCell ref="Z17:AB17"/>
    <mergeCell ref="AC18:AE18"/>
    <mergeCell ref="AF18:AH18"/>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 ref="T22:V22"/>
    <mergeCell ref="W22:Y22"/>
    <mergeCell ref="Z22:AB22"/>
    <mergeCell ref="AC22:AE22"/>
    <mergeCell ref="T23:V23"/>
    <mergeCell ref="W23:Y23"/>
    <mergeCell ref="Z23:AB23"/>
    <mergeCell ref="AC23:AE23"/>
    <mergeCell ref="T19:V19"/>
    <mergeCell ref="W19:Y19"/>
    <mergeCell ref="Z19:AB19"/>
    <mergeCell ref="AC19:AE19"/>
    <mergeCell ref="T20:V20"/>
    <mergeCell ref="W20:Y20"/>
    <mergeCell ref="Z20:AB20"/>
    <mergeCell ref="AC20:AE20"/>
    <mergeCell ref="T21:V21"/>
    <mergeCell ref="W21:Y21"/>
    <mergeCell ref="Z21:AB21"/>
    <mergeCell ref="AC21:AE21"/>
  </mergeCells>
  <conditionalFormatting sqref="F52:M52 P52:X52 Z52:AC52">
    <cfRule type="expression" dxfId="189" priority="14" stopIfTrue="1">
      <formula>F52=0</formula>
    </cfRule>
  </conditionalFormatting>
  <conditionalFormatting sqref="H31:U51">
    <cfRule type="expression" dxfId="188" priority="9">
      <formula>H31=0</formula>
    </cfRule>
  </conditionalFormatting>
  <conditionalFormatting sqref="O76">
    <cfRule type="expression" dxfId="187" priority="8">
      <formula>O76=0</formula>
    </cfRule>
  </conditionalFormatting>
  <conditionalFormatting sqref="R54:S61">
    <cfRule type="expression" dxfId="186" priority="12" stopIfTrue="1">
      <formula>R54=0</formula>
    </cfRule>
  </conditionalFormatting>
  <conditionalFormatting sqref="V37:AK51">
    <cfRule type="expression" dxfId="185" priority="1">
      <formula>V37=0</formula>
    </cfRule>
  </conditionalFormatting>
  <conditionalFormatting sqref="Y52">
    <cfRule type="expression" dxfId="184" priority="4">
      <formula>Y52=0</formula>
    </cfRule>
  </conditionalFormatting>
  <conditionalFormatting sqref="Z33:Z36">
    <cfRule type="expression" dxfId="183" priority="6">
      <formula>(Z33&lt;&gt;0)</formula>
    </cfRule>
    <cfRule type="expression" dxfId="182" priority="7">
      <formula>(Z33=0)</formula>
    </cfRule>
  </conditionalFormatting>
  <conditionalFormatting sqref="AF52:AI52 N54 AC54:AD54 AC56 N57 AC57:AD57 AC58:AC59">
    <cfRule type="expression" dxfId="181" priority="16" stopIfTrue="1">
      <formula>N52=0</formula>
    </cfRule>
  </conditionalFormatting>
  <conditionalFormatting sqref="AK31:AK32 V33:W36 AA33:AK36">
    <cfRule type="expression" dxfId="180" priority="13">
      <formula>V31=0</formula>
    </cfRule>
  </conditionalFormatting>
  <pageMargins left="0.7" right="0.7" top="0.75" bottom="0.75" header="0.3" footer="0.3"/>
  <pageSetup paperSize="9" scale="59" orientation="portrait" r:id="rId1"/>
  <headerFooter>
    <oddFooter>&amp;C_x000D_&amp;1#&amp;"Calibri"&amp;10&amp;K000000 Internal</oddFooter>
  </headerFooter>
  <colBreaks count="1" manualBreakCount="1">
    <brk id="37"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pageSetUpPr fitToPage="1"/>
  </sheetPr>
  <dimension ref="A1:AS102"/>
  <sheetViews>
    <sheetView showGridLines="0" view="pageBreakPreview" zoomScaleNormal="100" zoomScaleSheetLayoutView="100" workbookViewId="0">
      <selection sqref="A1:Q4"/>
    </sheetView>
  </sheetViews>
  <sheetFormatPr defaultColWidth="9.28515625" defaultRowHeight="11.25"/>
  <cols>
    <col min="1" max="7" width="3.5703125" style="137" customWidth="1"/>
    <col min="8" max="8" width="10" style="137" customWidth="1"/>
    <col min="9" max="9" width="9" style="137" customWidth="1"/>
    <col min="10" max="16" width="8.28515625" style="137" customWidth="1"/>
    <col min="17" max="17" width="1.42578125" style="137" customWidth="1"/>
    <col min="18" max="23" width="8" style="137" customWidth="1"/>
    <col min="24" max="24" width="8" style="134" customWidth="1"/>
    <col min="25" max="30" width="8" style="137" customWidth="1"/>
    <col min="31" max="36" width="8" style="136" customWidth="1"/>
    <col min="37" max="16384" width="9.28515625" style="136"/>
  </cols>
  <sheetData>
    <row r="1" spans="1:44" s="129" customFormat="1" ht="14.25" customHeight="1">
      <c r="A1" s="1517" t="s">
        <v>21</v>
      </c>
      <c r="B1" s="1518"/>
      <c r="C1" s="1518"/>
      <c r="D1" s="1518"/>
      <c r="E1" s="1518"/>
      <c r="F1" s="1518"/>
      <c r="G1" s="1518"/>
      <c r="H1" s="1518"/>
      <c r="I1" s="1518"/>
      <c r="J1" s="1518"/>
      <c r="K1" s="1518"/>
      <c r="L1" s="1518"/>
      <c r="M1" s="1518"/>
      <c r="N1" s="1518"/>
      <c r="O1" s="1518"/>
      <c r="P1" s="1518"/>
      <c r="Q1" s="1519"/>
      <c r="R1" s="127"/>
      <c r="S1" s="127"/>
      <c r="T1" s="127"/>
      <c r="U1" s="127"/>
      <c r="V1" s="127"/>
      <c r="W1" s="127"/>
      <c r="X1" s="128"/>
      <c r="Y1" s="127"/>
      <c r="Z1" s="127"/>
      <c r="AA1" s="127"/>
      <c r="AB1" s="127"/>
      <c r="AC1" s="127"/>
      <c r="AD1" s="127"/>
      <c r="AE1" s="127"/>
      <c r="AF1" s="127"/>
      <c r="AG1" s="127"/>
      <c r="AH1" s="127"/>
      <c r="AI1" s="127"/>
      <c r="AJ1" s="127"/>
      <c r="AK1" s="56"/>
      <c r="AL1" s="56"/>
      <c r="AM1" s="56"/>
      <c r="AN1" s="56"/>
      <c r="AO1" s="56"/>
      <c r="AP1" s="56"/>
      <c r="AQ1" s="56"/>
      <c r="AR1" s="56"/>
    </row>
    <row r="2" spans="1:44" s="129" customFormat="1" ht="14.25" customHeight="1">
      <c r="A2" s="1520"/>
      <c r="B2" s="1521"/>
      <c r="C2" s="1521"/>
      <c r="D2" s="1521"/>
      <c r="E2" s="1521"/>
      <c r="F2" s="1521"/>
      <c r="G2" s="1521"/>
      <c r="H2" s="1521"/>
      <c r="I2" s="1521"/>
      <c r="J2" s="1521"/>
      <c r="K2" s="1521"/>
      <c r="L2" s="1521"/>
      <c r="M2" s="1521"/>
      <c r="N2" s="1521"/>
      <c r="O2" s="1521"/>
      <c r="P2" s="1521"/>
      <c r="Q2" s="1522"/>
      <c r="R2" s="127"/>
      <c r="S2" s="127"/>
      <c r="T2" s="127"/>
      <c r="U2" s="127"/>
      <c r="V2" s="127"/>
      <c r="W2" s="127"/>
      <c r="X2" s="128"/>
      <c r="Y2" s="127"/>
      <c r="Z2" s="127"/>
      <c r="AA2" s="127"/>
      <c r="AB2" s="127"/>
      <c r="AC2" s="127"/>
      <c r="AD2" s="127"/>
      <c r="AE2" s="127"/>
      <c r="AF2" s="127"/>
      <c r="AG2" s="127"/>
      <c r="AH2" s="127"/>
      <c r="AI2" s="127"/>
      <c r="AJ2" s="127"/>
      <c r="AK2" s="56"/>
      <c r="AL2" s="56"/>
      <c r="AM2" s="56"/>
      <c r="AN2" s="56"/>
      <c r="AO2" s="56"/>
      <c r="AP2" s="56"/>
      <c r="AQ2" s="56"/>
      <c r="AR2" s="56"/>
    </row>
    <row r="3" spans="1:44" s="129" customFormat="1" ht="14.25" customHeight="1">
      <c r="A3" s="1520"/>
      <c r="B3" s="1521"/>
      <c r="C3" s="1521"/>
      <c r="D3" s="1521"/>
      <c r="E3" s="1521"/>
      <c r="F3" s="1521"/>
      <c r="G3" s="1521"/>
      <c r="H3" s="1521"/>
      <c r="I3" s="1521"/>
      <c r="J3" s="1521"/>
      <c r="K3" s="1521"/>
      <c r="L3" s="1521"/>
      <c r="M3" s="1521"/>
      <c r="N3" s="1521"/>
      <c r="O3" s="1521"/>
      <c r="P3" s="1521"/>
      <c r="Q3" s="1522"/>
      <c r="R3" s="127"/>
      <c r="S3" s="127"/>
      <c r="T3" s="127"/>
      <c r="U3" s="127"/>
      <c r="V3" s="127"/>
      <c r="W3" s="127"/>
      <c r="X3" s="128"/>
      <c r="Y3" s="127"/>
      <c r="Z3" s="127"/>
      <c r="AA3" s="127"/>
      <c r="AB3" s="127"/>
      <c r="AC3" s="127"/>
      <c r="AD3" s="127"/>
      <c r="AE3" s="127"/>
      <c r="AF3" s="127"/>
      <c r="AG3" s="127"/>
      <c r="AH3" s="127"/>
      <c r="AI3" s="127"/>
      <c r="AJ3" s="127"/>
      <c r="AK3" s="56"/>
      <c r="AL3" s="56"/>
      <c r="AM3" s="56"/>
      <c r="AN3" s="56"/>
      <c r="AO3" s="56"/>
      <c r="AP3" s="56"/>
      <c r="AQ3" s="56"/>
      <c r="AR3" s="56"/>
    </row>
    <row r="4" spans="1:44" s="129" customFormat="1" ht="14.25" customHeight="1">
      <c r="A4" s="1523"/>
      <c r="B4" s="1524"/>
      <c r="C4" s="1524"/>
      <c r="D4" s="1524"/>
      <c r="E4" s="1524"/>
      <c r="F4" s="1524"/>
      <c r="G4" s="1524"/>
      <c r="H4" s="1524"/>
      <c r="I4" s="1524"/>
      <c r="J4" s="1524"/>
      <c r="K4" s="1524"/>
      <c r="L4" s="1524"/>
      <c r="M4" s="1524"/>
      <c r="N4" s="1524"/>
      <c r="O4" s="1524"/>
      <c r="P4" s="1524"/>
      <c r="Q4" s="1525"/>
      <c r="R4" s="127"/>
      <c r="S4" s="127"/>
      <c r="T4" s="127"/>
      <c r="U4" s="127"/>
      <c r="V4" s="127"/>
      <c r="W4" s="127"/>
      <c r="X4" s="128"/>
      <c r="Y4" s="127"/>
      <c r="Z4" s="127"/>
      <c r="AA4" s="127"/>
      <c r="AB4" s="127"/>
      <c r="AC4" s="127"/>
      <c r="AD4" s="127"/>
      <c r="AE4" s="127"/>
      <c r="AF4" s="127"/>
      <c r="AG4" s="127"/>
      <c r="AH4" s="127"/>
      <c r="AI4" s="127"/>
      <c r="AJ4" s="127"/>
      <c r="AK4" s="56"/>
      <c r="AL4" s="56"/>
      <c r="AM4" s="56"/>
      <c r="AN4" s="56"/>
      <c r="AO4" s="56"/>
      <c r="AP4" s="56"/>
      <c r="AQ4" s="56"/>
      <c r="AR4" s="56"/>
    </row>
    <row r="5" spans="1:44" ht="15" customHeight="1">
      <c r="A5" s="1167" t="s">
        <v>22</v>
      </c>
      <c r="B5" s="1168"/>
      <c r="C5" s="1168"/>
      <c r="D5" s="1168"/>
      <c r="E5" s="1168"/>
      <c r="F5" s="27" t="str">
        <f>'Emiss. Ops'!$C$2</f>
        <v>OMVP</v>
      </c>
      <c r="G5" s="27"/>
      <c r="H5" s="27"/>
      <c r="I5" s="27"/>
      <c r="J5" s="27"/>
      <c r="K5" s="130"/>
      <c r="L5" s="130"/>
      <c r="M5" s="131" t="s">
        <v>23</v>
      </c>
      <c r="N5" s="27"/>
      <c r="O5" s="27" t="str">
        <f>'ESD CR'!$AC$5</f>
        <v>PRJ-001030</v>
      </c>
      <c r="P5" s="27"/>
      <c r="Q5" s="226"/>
      <c r="R5" s="31"/>
      <c r="S5" s="31"/>
      <c r="T5" s="31"/>
      <c r="U5" s="31"/>
      <c r="V5" s="31"/>
      <c r="W5" s="31"/>
      <c r="Y5" s="135"/>
      <c r="Z5" s="135"/>
      <c r="AA5" s="135"/>
      <c r="AB5" s="1494"/>
      <c r="AC5" s="1494"/>
      <c r="AD5" s="1494"/>
      <c r="AE5" s="1494"/>
      <c r="AF5" s="1494"/>
      <c r="AG5" s="1494"/>
      <c r="AH5" s="1494"/>
      <c r="AI5" s="1494"/>
      <c r="AJ5" s="1494"/>
      <c r="AK5" s="105"/>
    </row>
    <row r="6" spans="1:44" ht="15" customHeight="1">
      <c r="A6" s="1171" t="s">
        <v>24</v>
      </c>
      <c r="B6" s="1172"/>
      <c r="C6" s="1172"/>
      <c r="D6" s="1172"/>
      <c r="E6" s="1172"/>
      <c r="F6" s="30" t="str">
        <f>'Emiss. Ops'!$C$3</f>
        <v>OMV Neptun BAT Study &amp; ESIA</v>
      </c>
      <c r="G6" s="31"/>
      <c r="H6" s="31"/>
      <c r="I6" s="31"/>
      <c r="J6" s="31"/>
      <c r="M6" s="138" t="s">
        <v>25</v>
      </c>
      <c r="N6" s="31"/>
      <c r="O6" s="31"/>
      <c r="P6" s="31"/>
      <c r="Q6" s="32"/>
      <c r="R6" s="31"/>
      <c r="S6" s="31"/>
      <c r="T6" s="31"/>
      <c r="U6" s="31"/>
      <c r="V6" s="31"/>
      <c r="W6" s="31"/>
      <c r="Y6" s="135"/>
      <c r="Z6" s="135"/>
      <c r="AA6" s="135"/>
      <c r="AB6" s="1494"/>
      <c r="AC6" s="1494"/>
      <c r="AD6" s="1494"/>
      <c r="AE6" s="1494"/>
      <c r="AF6" s="1494"/>
      <c r="AG6" s="1494"/>
      <c r="AH6" s="1494"/>
      <c r="AI6" s="1494"/>
      <c r="AJ6" s="1494"/>
      <c r="AK6" s="105"/>
    </row>
    <row r="7" spans="1:44" ht="15" customHeight="1">
      <c r="A7" s="1171" t="s">
        <v>26</v>
      </c>
      <c r="B7" s="1172"/>
      <c r="C7" s="1172"/>
      <c r="D7" s="1172"/>
      <c r="E7" s="1172"/>
      <c r="F7" s="30" t="str">
        <f>'Emiss. Ops'!$C$4</f>
        <v>Emissions Inventory</v>
      </c>
      <c r="G7" s="31"/>
      <c r="H7" s="31"/>
      <c r="I7" s="31"/>
      <c r="J7" s="31"/>
      <c r="M7" s="139" t="s">
        <v>27</v>
      </c>
      <c r="N7" s="31"/>
      <c r="O7" s="30" t="str">
        <f>'Emiss. Ops'!$I$4</f>
        <v>Normal Operations</v>
      </c>
      <c r="P7" s="31"/>
      <c r="Q7" s="31"/>
      <c r="R7" s="31"/>
      <c r="S7" s="31"/>
      <c r="T7" s="31"/>
      <c r="U7" s="31"/>
      <c r="V7" s="31"/>
      <c r="W7" s="31"/>
      <c r="Y7" s="135"/>
      <c r="Z7" s="135"/>
      <c r="AA7" s="135"/>
      <c r="AB7" s="1494"/>
      <c r="AC7" s="1494"/>
      <c r="AD7" s="1494"/>
      <c r="AE7" s="1494"/>
      <c r="AF7" s="1494"/>
      <c r="AG7" s="1494"/>
      <c r="AH7" s="1494"/>
      <c r="AI7" s="1494"/>
      <c r="AJ7" s="1494"/>
      <c r="AK7" s="105"/>
    </row>
    <row r="8" spans="1:44" ht="14.25" customHeight="1">
      <c r="A8" s="1171" t="s">
        <v>98</v>
      </c>
      <c r="B8" s="1172"/>
      <c r="C8" s="1172"/>
      <c r="D8" s="1172"/>
      <c r="E8" s="1172"/>
      <c r="F8" s="140"/>
      <c r="G8" s="140"/>
      <c r="H8" s="140"/>
      <c r="I8" s="140"/>
      <c r="J8" s="140"/>
      <c r="K8" s="140"/>
      <c r="L8" s="140"/>
      <c r="M8" s="138" t="s">
        <v>28</v>
      </c>
      <c r="N8" s="140"/>
      <c r="O8" s="140"/>
      <c r="P8" s="140"/>
      <c r="Q8" s="141"/>
      <c r="Y8" s="142"/>
      <c r="Z8" s="142"/>
      <c r="AA8" s="142"/>
      <c r="AB8" s="142"/>
      <c r="AC8" s="142"/>
      <c r="AD8" s="142"/>
      <c r="AE8" s="142"/>
      <c r="AF8" s="142"/>
      <c r="AG8" s="142"/>
      <c r="AH8" s="142"/>
      <c r="AI8" s="142"/>
      <c r="AJ8" s="142"/>
      <c r="AK8" s="105"/>
    </row>
    <row r="9" spans="1:44" ht="12" customHeight="1">
      <c r="A9" s="143"/>
      <c r="B9" s="144"/>
      <c r="C9" s="144"/>
      <c r="D9" s="144"/>
      <c r="E9" s="144"/>
      <c r="F9" s="140"/>
      <c r="G9" s="140"/>
      <c r="H9" s="140"/>
      <c r="I9" s="140"/>
      <c r="J9" s="140"/>
      <c r="K9" s="140"/>
      <c r="L9" s="140"/>
      <c r="M9" s="140"/>
      <c r="N9" s="140"/>
      <c r="O9" s="140"/>
      <c r="P9" s="140"/>
      <c r="Q9" s="141"/>
      <c r="Y9" s="142"/>
      <c r="Z9" s="142"/>
      <c r="AA9" s="142"/>
      <c r="AB9" s="142"/>
      <c r="AC9" s="142"/>
      <c r="AD9" s="142"/>
      <c r="AE9" s="142"/>
      <c r="AF9" s="142"/>
      <c r="AG9" s="142"/>
      <c r="AH9" s="142"/>
      <c r="AI9" s="142"/>
      <c r="AJ9" s="142"/>
      <c r="AK9" s="105"/>
    </row>
    <row r="10" spans="1:44" s="129" customFormat="1" ht="15" customHeight="1">
      <c r="A10" s="145" t="s">
        <v>99</v>
      </c>
      <c r="B10" s="146"/>
      <c r="C10" s="146"/>
      <c r="D10" s="146"/>
      <c r="E10" s="146"/>
      <c r="F10" s="146"/>
      <c r="G10" s="146"/>
      <c r="H10" s="146"/>
      <c r="I10" s="147"/>
      <c r="J10" s="147"/>
      <c r="K10" s="148"/>
      <c r="L10" s="147"/>
      <c r="M10" s="147"/>
      <c r="N10" s="147"/>
      <c r="O10" s="147"/>
      <c r="P10" s="147"/>
      <c r="Q10" s="149"/>
      <c r="X10" s="150"/>
      <c r="Y10" s="135"/>
      <c r="Z10" s="135"/>
      <c r="AA10" s="135"/>
      <c r="AB10" s="1526"/>
      <c r="AC10" s="1526"/>
      <c r="AD10" s="1526"/>
      <c r="AE10" s="1527"/>
      <c r="AF10" s="1527"/>
      <c r="AG10" s="1527"/>
      <c r="AH10" s="1494"/>
      <c r="AI10" s="1494"/>
      <c r="AJ10" s="1494"/>
      <c r="AK10" s="56"/>
    </row>
    <row r="11" spans="1:44" s="129" customFormat="1" ht="14.25" customHeight="1">
      <c r="A11" s="1117" t="s">
        <v>185</v>
      </c>
      <c r="B11" s="1118"/>
      <c r="C11" s="1118"/>
      <c r="D11" s="1118"/>
      <c r="E11" s="1118"/>
      <c r="F11" s="1118"/>
      <c r="G11" s="1118"/>
      <c r="H11" s="1118"/>
      <c r="I11" s="1118"/>
      <c r="J11" s="1118"/>
      <c r="K11" s="1118"/>
      <c r="L11" s="1118"/>
      <c r="M11" s="1118"/>
      <c r="N11" s="1118"/>
      <c r="O11" s="1118"/>
      <c r="P11" s="151"/>
      <c r="Q11" s="152"/>
      <c r="R11" s="127"/>
      <c r="S11" s="127"/>
      <c r="T11" s="127"/>
      <c r="U11" s="127"/>
      <c r="V11" s="127"/>
      <c r="W11" s="127"/>
      <c r="X11" s="128"/>
      <c r="Y11" s="127"/>
      <c r="Z11" s="127"/>
      <c r="AA11" s="127"/>
      <c r="AB11" s="127"/>
      <c r="AC11" s="127"/>
      <c r="AD11" s="127"/>
      <c r="AE11" s="127"/>
      <c r="AF11" s="127"/>
      <c r="AG11" s="127"/>
      <c r="AH11" s="127"/>
      <c r="AI11" s="127"/>
      <c r="AJ11" s="127"/>
      <c r="AK11" s="56"/>
      <c r="AL11" s="56"/>
      <c r="AM11" s="56"/>
      <c r="AN11" s="56"/>
      <c r="AO11" s="56"/>
      <c r="AP11" s="56"/>
      <c r="AQ11" s="56"/>
      <c r="AR11" s="56"/>
    </row>
    <row r="12" spans="1:44" s="129" customFormat="1" ht="14.25" customHeight="1">
      <c r="A12" s="1149"/>
      <c r="B12" s="1150"/>
      <c r="C12" s="1150"/>
      <c r="D12" s="1150"/>
      <c r="E12" s="1150"/>
      <c r="F12" s="1150"/>
      <c r="G12" s="1150"/>
      <c r="H12" s="1150"/>
      <c r="I12" s="1150"/>
      <c r="J12" s="1150"/>
      <c r="K12" s="1150"/>
      <c r="L12" s="1150"/>
      <c r="M12" s="1150"/>
      <c r="N12" s="1150"/>
      <c r="O12" s="1150"/>
      <c r="P12" s="153"/>
      <c r="Q12" s="154"/>
      <c r="R12" s="127"/>
      <c r="S12" s="127"/>
      <c r="T12" s="127"/>
      <c r="U12" s="127"/>
      <c r="V12" s="127"/>
      <c r="W12" s="127"/>
      <c r="X12" s="128"/>
      <c r="Y12" s="127"/>
      <c r="Z12" s="127"/>
      <c r="AA12" s="127"/>
      <c r="AB12" s="127"/>
      <c r="AC12" s="127"/>
      <c r="AD12" s="127"/>
      <c r="AE12" s="127"/>
      <c r="AF12" s="127"/>
      <c r="AG12" s="127"/>
      <c r="AH12" s="127"/>
      <c r="AI12" s="127"/>
      <c r="AJ12" s="127"/>
      <c r="AK12" s="56"/>
      <c r="AL12" s="56"/>
      <c r="AM12" s="56"/>
      <c r="AN12" s="56"/>
      <c r="AO12" s="56"/>
      <c r="AP12" s="56"/>
      <c r="AQ12" s="56"/>
      <c r="AR12" s="56"/>
    </row>
    <row r="13" spans="1:44" s="129" customFormat="1" ht="14.25" customHeight="1">
      <c r="A13" s="155"/>
      <c r="B13" s="156"/>
      <c r="C13" s="156"/>
      <c r="D13" s="156"/>
      <c r="E13" s="156"/>
      <c r="F13" s="156"/>
      <c r="G13" s="156"/>
      <c r="H13" s="156"/>
      <c r="I13" s="156"/>
      <c r="J13" s="156"/>
      <c r="K13" s="156"/>
      <c r="L13" s="156"/>
      <c r="M13" s="156"/>
      <c r="N13" s="156"/>
      <c r="O13" s="156"/>
      <c r="P13" s="156"/>
      <c r="Q13" s="157"/>
      <c r="R13" s="127"/>
      <c r="S13" s="127"/>
      <c r="T13" s="127"/>
      <c r="U13" s="127"/>
      <c r="V13" s="127"/>
      <c r="W13" s="127"/>
      <c r="X13" s="128"/>
      <c r="Y13" s="127"/>
      <c r="Z13" s="127"/>
      <c r="AA13" s="127"/>
      <c r="AB13" s="127"/>
      <c r="AC13" s="127"/>
      <c r="AD13" s="127"/>
      <c r="AE13" s="127"/>
      <c r="AF13" s="127"/>
      <c r="AG13" s="127"/>
      <c r="AH13" s="127"/>
      <c r="AI13" s="127"/>
      <c r="AJ13" s="127"/>
      <c r="AK13" s="56"/>
      <c r="AL13" s="56"/>
      <c r="AM13" s="56"/>
      <c r="AN13" s="56"/>
      <c r="AO13" s="56"/>
      <c r="AP13" s="56"/>
      <c r="AQ13" s="56"/>
      <c r="AR13" s="56"/>
    </row>
    <row r="14" spans="1:44" s="129" customFormat="1" ht="33.75" customHeight="1">
      <c r="A14" s="1117" t="s">
        <v>589</v>
      </c>
      <c r="B14" s="1118"/>
      <c r="C14" s="1118"/>
      <c r="D14" s="1118"/>
      <c r="E14" s="1118"/>
      <c r="F14" s="1118"/>
      <c r="G14" s="1119"/>
      <c r="H14" s="1515" t="s">
        <v>810</v>
      </c>
      <c r="I14" s="1516"/>
      <c r="J14" s="1516"/>
      <c r="K14" s="1516"/>
      <c r="L14" s="1516"/>
      <c r="M14" s="1516"/>
      <c r="N14" s="1516"/>
      <c r="O14" s="1516"/>
      <c r="P14" s="155"/>
      <c r="Q14" s="141"/>
      <c r="R14" s="142"/>
      <c r="X14" s="150"/>
      <c r="AC14" s="142"/>
      <c r="AD14" s="142"/>
      <c r="AK14" s="56"/>
      <c r="AL14" s="56"/>
      <c r="AM14" s="56"/>
      <c r="AN14" s="56"/>
      <c r="AO14" s="56"/>
      <c r="AP14" s="56"/>
      <c r="AQ14" s="56"/>
      <c r="AR14" s="56"/>
    </row>
    <row r="15" spans="1:44" s="129" customFormat="1" ht="34.5" customHeight="1">
      <c r="A15" s="1149"/>
      <c r="B15" s="1150"/>
      <c r="C15" s="1150"/>
      <c r="D15" s="1150"/>
      <c r="E15" s="1150"/>
      <c r="F15" s="1150"/>
      <c r="G15" s="1151"/>
      <c r="H15" s="158"/>
      <c r="I15" s="158" t="s">
        <v>811</v>
      </c>
      <c r="J15" s="405"/>
      <c r="K15" s="159"/>
      <c r="L15" s="159"/>
      <c r="M15" s="159"/>
      <c r="N15" s="159"/>
      <c r="O15" s="159"/>
      <c r="P15" s="160"/>
      <c r="Q15" s="141"/>
      <c r="R15" s="142"/>
      <c r="X15" s="150"/>
      <c r="AC15" s="142"/>
      <c r="AD15" s="142"/>
      <c r="AK15" s="56"/>
      <c r="AL15" s="56"/>
      <c r="AM15" s="56"/>
      <c r="AN15" s="56"/>
      <c r="AO15" s="56"/>
      <c r="AP15" s="56"/>
      <c r="AQ15" s="56"/>
      <c r="AR15" s="56"/>
    </row>
    <row r="16" spans="1:44" s="129" customFormat="1" ht="14.25" customHeight="1">
      <c r="A16" s="1499" t="s">
        <v>393</v>
      </c>
      <c r="B16" s="1500"/>
      <c r="C16" s="1500"/>
      <c r="D16" s="1500"/>
      <c r="E16" s="1500"/>
      <c r="F16" s="1510" t="s">
        <v>775</v>
      </c>
      <c r="G16" s="1511"/>
      <c r="H16" s="161"/>
      <c r="I16" s="161">
        <v>4.0000000000000001E-3</v>
      </c>
      <c r="J16" s="162"/>
      <c r="K16" s="162"/>
      <c r="L16" s="162"/>
      <c r="M16" s="162"/>
      <c r="N16" s="162"/>
      <c r="O16" s="162"/>
      <c r="P16" s="163"/>
      <c r="Q16" s="141"/>
      <c r="R16" s="142"/>
      <c r="X16" s="150"/>
      <c r="AC16" s="142"/>
      <c r="AD16" s="142"/>
      <c r="AK16" s="56"/>
      <c r="AL16" s="56"/>
      <c r="AM16" s="56"/>
      <c r="AN16" s="56"/>
      <c r="AO16" s="56"/>
      <c r="AP16" s="56"/>
      <c r="AQ16" s="56"/>
      <c r="AR16" s="56"/>
    </row>
    <row r="17" spans="1:45" s="129" customFormat="1" ht="14.25" customHeight="1">
      <c r="A17" s="168" t="s">
        <v>115</v>
      </c>
      <c r="B17" s="169"/>
      <c r="C17" s="169"/>
      <c r="D17" s="169"/>
      <c r="E17" s="169"/>
      <c r="F17" s="1510" t="s">
        <v>775</v>
      </c>
      <c r="G17" s="1511"/>
      <c r="H17" s="161"/>
      <c r="I17" s="161">
        <v>1.2</v>
      </c>
      <c r="J17" s="162"/>
      <c r="K17" s="162"/>
      <c r="L17" s="162"/>
      <c r="M17" s="162"/>
      <c r="N17" s="162"/>
      <c r="O17" s="162"/>
      <c r="P17" s="163"/>
      <c r="Q17" s="141"/>
      <c r="R17" s="142"/>
      <c r="S17" s="142"/>
      <c r="T17" s="142"/>
      <c r="U17" s="142"/>
      <c r="V17" s="142"/>
      <c r="W17" s="142"/>
      <c r="X17" s="304"/>
      <c r="Y17" s="142"/>
      <c r="Z17" s="142"/>
      <c r="AA17" s="142"/>
      <c r="AB17" s="142"/>
      <c r="AC17" s="142"/>
      <c r="AD17" s="142"/>
      <c r="AK17" s="56"/>
      <c r="AL17" s="56"/>
      <c r="AM17" s="56"/>
      <c r="AN17" s="56"/>
      <c r="AO17" s="56"/>
      <c r="AP17" s="56"/>
      <c r="AQ17" s="56"/>
      <c r="AR17" s="56"/>
    </row>
    <row r="18" spans="1:45" s="129" customFormat="1" ht="14.25" customHeight="1">
      <c r="A18" s="1499" t="s">
        <v>123</v>
      </c>
      <c r="B18" s="1500"/>
      <c r="C18" s="1500"/>
      <c r="D18" s="1500"/>
      <c r="E18" s="1500"/>
      <c r="F18" s="1510" t="s">
        <v>775</v>
      </c>
      <c r="G18" s="1511"/>
      <c r="H18" s="161"/>
      <c r="I18" s="161">
        <v>1.9E-2</v>
      </c>
      <c r="J18" s="162"/>
      <c r="K18" s="162"/>
      <c r="L18" s="162"/>
      <c r="M18" s="162"/>
      <c r="N18" s="162"/>
      <c r="O18" s="162"/>
      <c r="P18" s="163"/>
      <c r="Q18" s="141"/>
      <c r="R18" s="142"/>
      <c r="S18" s="142"/>
      <c r="T18" s="142"/>
      <c r="U18" s="142"/>
      <c r="V18" s="142"/>
      <c r="W18" s="142"/>
      <c r="X18" s="304"/>
      <c r="Y18" s="142"/>
      <c r="Z18" s="142"/>
      <c r="AA18" s="142"/>
      <c r="AB18" s="142"/>
      <c r="AC18" s="142"/>
      <c r="AD18" s="142"/>
      <c r="AK18" s="56"/>
      <c r="AL18" s="56"/>
      <c r="AM18" s="56"/>
      <c r="AN18" s="56"/>
      <c r="AO18" s="56"/>
      <c r="AP18" s="56"/>
      <c r="AQ18" s="56"/>
      <c r="AR18" s="56"/>
    </row>
    <row r="19" spans="1:45" s="129" customFormat="1" ht="14.25" customHeight="1">
      <c r="A19" s="1499" t="s">
        <v>124</v>
      </c>
      <c r="B19" s="1500"/>
      <c r="C19" s="1500"/>
      <c r="D19" s="1500"/>
      <c r="E19" s="1500"/>
      <c r="F19" s="1510" t="s">
        <v>775</v>
      </c>
      <c r="G19" s="1511"/>
      <c r="H19" s="161"/>
      <c r="I19" s="161">
        <v>1E-3</v>
      </c>
      <c r="J19" s="162"/>
      <c r="K19" s="162"/>
      <c r="L19" s="162"/>
      <c r="M19" s="162"/>
      <c r="N19" s="162"/>
      <c r="O19" s="162"/>
      <c r="P19" s="163"/>
      <c r="Q19" s="141"/>
      <c r="R19" s="142"/>
      <c r="S19" s="142"/>
      <c r="T19" s="142"/>
      <c r="U19" s="142"/>
      <c r="V19" s="142"/>
      <c r="W19" s="142"/>
      <c r="X19" s="304"/>
      <c r="Y19" s="142"/>
      <c r="Z19" s="142"/>
      <c r="AA19" s="142"/>
      <c r="AB19" s="142"/>
      <c r="AC19" s="142"/>
      <c r="AD19" s="142"/>
      <c r="AK19" s="56"/>
      <c r="AL19" s="56"/>
      <c r="AM19" s="56"/>
      <c r="AN19" s="56"/>
      <c r="AO19" s="56"/>
      <c r="AP19" s="56"/>
      <c r="AQ19" s="56"/>
      <c r="AR19" s="56"/>
    </row>
    <row r="20" spans="1:45" s="129" customFormat="1" ht="14.25" customHeight="1">
      <c r="A20" s="1499" t="s">
        <v>126</v>
      </c>
      <c r="B20" s="1500"/>
      <c r="C20" s="1500"/>
      <c r="D20" s="1500"/>
      <c r="E20" s="1500"/>
      <c r="F20" s="1510" t="s">
        <v>775</v>
      </c>
      <c r="G20" s="1511"/>
      <c r="H20" s="173"/>
      <c r="I20" s="161">
        <v>3.1</v>
      </c>
      <c r="J20" s="172"/>
      <c r="K20" s="162"/>
      <c r="L20" s="162"/>
      <c r="M20" s="162"/>
      <c r="N20" s="162"/>
      <c r="O20" s="162"/>
      <c r="P20" s="163"/>
      <c r="Q20" s="141"/>
      <c r="R20" s="142"/>
      <c r="T20" s="142"/>
      <c r="U20" s="142"/>
      <c r="V20" s="142"/>
      <c r="W20" s="142"/>
      <c r="X20" s="304"/>
      <c r="Y20" s="142"/>
      <c r="Z20" s="142"/>
      <c r="AA20" s="142"/>
      <c r="AB20" s="142"/>
      <c r="AC20" s="142"/>
      <c r="AD20" s="142"/>
      <c r="AK20" s="56"/>
      <c r="AL20" s="56"/>
      <c r="AM20" s="56"/>
      <c r="AN20" s="56"/>
      <c r="AO20" s="56"/>
      <c r="AP20" s="56"/>
      <c r="AQ20" s="56"/>
      <c r="AR20" s="56"/>
    </row>
    <row r="21" spans="1:45" s="129" customFormat="1" ht="14.25" customHeight="1">
      <c r="A21" s="175"/>
      <c r="B21" s="176"/>
      <c r="C21" s="176"/>
      <c r="D21" s="176"/>
      <c r="E21" s="176"/>
      <c r="F21" s="177"/>
      <c r="G21" s="177"/>
      <c r="H21" s="178"/>
      <c r="I21" s="179"/>
      <c r="J21" s="180"/>
      <c r="K21" s="179"/>
      <c r="L21" s="179"/>
      <c r="M21" s="179"/>
      <c r="N21" s="179"/>
      <c r="O21" s="179"/>
      <c r="P21" s="179"/>
      <c r="Q21" s="141"/>
      <c r="R21" s="142"/>
      <c r="T21" s="142"/>
      <c r="U21" s="142"/>
      <c r="V21" s="142"/>
      <c r="W21" s="142"/>
      <c r="X21" s="304"/>
      <c r="Y21" s="142"/>
      <c r="Z21" s="142"/>
      <c r="AA21" s="142"/>
      <c r="AB21" s="142"/>
      <c r="AC21" s="142"/>
      <c r="AD21" s="142"/>
      <c r="AK21" s="56"/>
      <c r="AL21" s="56"/>
      <c r="AM21" s="56"/>
      <c r="AN21" s="56"/>
      <c r="AO21" s="56"/>
      <c r="AP21" s="56"/>
      <c r="AQ21" s="56"/>
      <c r="AR21" s="56"/>
    </row>
    <row r="22" spans="1:45" s="129" customFormat="1" ht="29.25" customHeight="1">
      <c r="A22" s="1512" t="s">
        <v>776</v>
      </c>
      <c r="B22" s="1513"/>
      <c r="C22" s="1513"/>
      <c r="D22" s="1513"/>
      <c r="E22" s="1513"/>
      <c r="F22" s="1513"/>
      <c r="G22" s="1514"/>
      <c r="H22" s="181"/>
      <c r="I22" s="182" t="s">
        <v>811</v>
      </c>
      <c r="J22" s="183"/>
      <c r="K22" s="173"/>
      <c r="L22" s="173"/>
      <c r="M22" s="183"/>
      <c r="N22" s="184"/>
      <c r="O22" s="182"/>
      <c r="P22" s="182"/>
      <c r="Q22" s="185"/>
      <c r="R22" s="186"/>
      <c r="S22" s="186"/>
      <c r="T22" s="186"/>
      <c r="U22" s="186"/>
      <c r="V22" s="186"/>
      <c r="W22" s="186"/>
      <c r="X22" s="306"/>
      <c r="Y22" s="186"/>
      <c r="Z22" s="186"/>
      <c r="AA22" s="186"/>
      <c r="AB22" s="186"/>
      <c r="AC22" s="186"/>
      <c r="AD22" s="186"/>
      <c r="AE22" s="186"/>
      <c r="AF22" s="186"/>
      <c r="AG22" s="186"/>
      <c r="AH22" s="186"/>
      <c r="AI22" s="186"/>
      <c r="AJ22" s="186"/>
    </row>
    <row r="23" spans="1:45" s="129" customFormat="1" ht="14.25" customHeight="1">
      <c r="A23" s="1499" t="s">
        <v>393</v>
      </c>
      <c r="B23" s="1500"/>
      <c r="C23" s="1500"/>
      <c r="D23" s="1500"/>
      <c r="E23" s="1500"/>
      <c r="F23" s="1502" t="s">
        <v>332</v>
      </c>
      <c r="G23" s="1503"/>
      <c r="H23" s="201"/>
      <c r="I23" s="202">
        <f>H29/H30*I16</f>
        <v>1.7733818181818182E-4</v>
      </c>
      <c r="J23" s="202"/>
      <c r="K23" s="173"/>
      <c r="L23" s="173"/>
      <c r="M23" s="202"/>
      <c r="N23" s="203"/>
      <c r="O23" s="202"/>
      <c r="P23" s="202"/>
      <c r="Q23" s="204"/>
      <c r="R23" s="205"/>
      <c r="S23" s="216"/>
      <c r="T23" s="216"/>
      <c r="U23" s="216"/>
      <c r="V23" s="216"/>
      <c r="W23" s="216"/>
      <c r="X23" s="216"/>
      <c r="Y23" s="216"/>
      <c r="Z23" s="216"/>
      <c r="AA23" s="216"/>
      <c r="AB23" s="216"/>
      <c r="AC23" s="216"/>
      <c r="AD23" s="216"/>
      <c r="AE23" s="216"/>
      <c r="AF23" s="205"/>
      <c r="AG23" s="205"/>
      <c r="AH23" s="205"/>
      <c r="AI23" s="205"/>
      <c r="AJ23" s="205"/>
      <c r="AK23" s="142"/>
      <c r="AL23" s="56"/>
      <c r="AM23" s="56"/>
      <c r="AN23" s="56"/>
      <c r="AO23" s="56"/>
      <c r="AP23" s="56"/>
      <c r="AQ23" s="56"/>
      <c r="AR23" s="56"/>
      <c r="AS23" s="56"/>
    </row>
    <row r="24" spans="1:45" s="129" customFormat="1" ht="14.25" customHeight="1">
      <c r="A24" s="168" t="s">
        <v>115</v>
      </c>
      <c r="B24" s="169"/>
      <c r="C24" s="169"/>
      <c r="D24" s="169"/>
      <c r="E24" s="169"/>
      <c r="F24" s="1502" t="s">
        <v>332</v>
      </c>
      <c r="G24" s="1503"/>
      <c r="H24" s="201"/>
      <c r="I24" s="206">
        <f>H29/H30*I17</f>
        <v>5.3201454545454545E-2</v>
      </c>
      <c r="J24" s="206"/>
      <c r="K24" s="173"/>
      <c r="L24" s="173"/>
      <c r="M24" s="206"/>
      <c r="N24" s="207"/>
      <c r="O24" s="206"/>
      <c r="P24" s="202"/>
      <c r="Q24" s="208"/>
      <c r="R24" s="209"/>
      <c r="S24" s="216"/>
      <c r="T24" s="216"/>
      <c r="U24" s="216"/>
      <c r="V24" s="216"/>
      <c r="W24" s="216"/>
      <c r="X24" s="216"/>
      <c r="Y24" s="216"/>
      <c r="Z24" s="216"/>
      <c r="AA24" s="216"/>
      <c r="AB24" s="216"/>
      <c r="AC24" s="216"/>
      <c r="AD24" s="216"/>
      <c r="AE24" s="216"/>
      <c r="AF24" s="209"/>
      <c r="AG24" s="209"/>
      <c r="AH24" s="209"/>
      <c r="AI24" s="209"/>
      <c r="AJ24" s="209"/>
      <c r="AK24" s="142"/>
      <c r="AL24" s="56"/>
      <c r="AM24" s="56"/>
      <c r="AN24" s="56"/>
      <c r="AO24" s="56"/>
      <c r="AP24" s="56"/>
      <c r="AQ24" s="56"/>
      <c r="AR24" s="56"/>
      <c r="AS24" s="56"/>
    </row>
    <row r="25" spans="1:45" s="129" customFormat="1" ht="14.25" customHeight="1">
      <c r="A25" s="1499" t="s">
        <v>123</v>
      </c>
      <c r="B25" s="1500"/>
      <c r="C25" s="1500"/>
      <c r="D25" s="1500"/>
      <c r="E25" s="1500"/>
      <c r="F25" s="1502" t="s">
        <v>332</v>
      </c>
      <c r="G25" s="1503"/>
      <c r="H25" s="201"/>
      <c r="I25" s="206">
        <f>H29/H30*I18</f>
        <v>8.4235636363636358E-4</v>
      </c>
      <c r="J25" s="206"/>
      <c r="K25" s="173"/>
      <c r="L25" s="173"/>
      <c r="M25" s="206"/>
      <c r="N25" s="207"/>
      <c r="O25" s="206"/>
      <c r="P25" s="202"/>
      <c r="Q25" s="208"/>
      <c r="R25" s="209"/>
      <c r="S25" s="216"/>
      <c r="T25" s="216"/>
      <c r="U25" s="216"/>
      <c r="V25" s="216"/>
      <c r="W25" s="216"/>
      <c r="X25" s="216"/>
      <c r="Y25" s="216"/>
      <c r="Z25" s="216"/>
      <c r="AA25" s="216"/>
      <c r="AB25" s="216"/>
      <c r="AC25" s="216"/>
      <c r="AD25" s="216"/>
      <c r="AE25" s="216"/>
      <c r="AF25" s="209"/>
      <c r="AG25" s="209"/>
      <c r="AH25" s="209"/>
      <c r="AI25" s="209"/>
      <c r="AJ25" s="209"/>
      <c r="AK25" s="142"/>
      <c r="AL25" s="56"/>
      <c r="AM25" s="56"/>
      <c r="AN25" s="56"/>
      <c r="AO25" s="56"/>
      <c r="AP25" s="56"/>
      <c r="AQ25" s="56"/>
      <c r="AR25" s="56"/>
      <c r="AS25" s="56"/>
    </row>
    <row r="26" spans="1:45" s="129" customFormat="1" ht="14.25" customHeight="1">
      <c r="A26" s="1499" t="s">
        <v>124</v>
      </c>
      <c r="B26" s="1500"/>
      <c r="C26" s="1500"/>
      <c r="D26" s="1500"/>
      <c r="E26" s="1500"/>
      <c r="F26" s="1502" t="s">
        <v>332</v>
      </c>
      <c r="G26" s="1503"/>
      <c r="H26" s="201"/>
      <c r="I26" s="206">
        <f>H29/H30*I19</f>
        <v>4.4334545454545456E-5</v>
      </c>
      <c r="J26" s="206"/>
      <c r="K26" s="173"/>
      <c r="L26" s="173"/>
      <c r="M26" s="206"/>
      <c r="N26" s="207"/>
      <c r="O26" s="206"/>
      <c r="P26" s="202"/>
      <c r="Q26" s="208"/>
      <c r="R26" s="209"/>
      <c r="S26" s="216"/>
      <c r="T26" s="216"/>
      <c r="U26" s="216"/>
      <c r="V26" s="216"/>
      <c r="W26" s="216"/>
      <c r="X26" s="216"/>
      <c r="Y26" s="216"/>
      <c r="Z26" s="216"/>
      <c r="AA26" s="216"/>
      <c r="AB26" s="216"/>
      <c r="AC26" s="216"/>
      <c r="AD26" s="216"/>
      <c r="AE26" s="216"/>
      <c r="AF26" s="209"/>
      <c r="AG26" s="209"/>
      <c r="AH26" s="209"/>
      <c r="AI26" s="209"/>
      <c r="AJ26" s="209"/>
      <c r="AK26" s="142"/>
      <c r="AL26" s="56"/>
      <c r="AM26" s="56"/>
      <c r="AN26" s="56"/>
      <c r="AO26" s="56"/>
      <c r="AP26" s="56"/>
      <c r="AQ26" s="56"/>
      <c r="AR26" s="56"/>
      <c r="AS26" s="56"/>
    </row>
    <row r="27" spans="1:45" s="129" customFormat="1" ht="14.25" customHeight="1">
      <c r="A27" s="1499" t="s">
        <v>126</v>
      </c>
      <c r="B27" s="1500"/>
      <c r="C27" s="1500"/>
      <c r="D27" s="1500"/>
      <c r="E27" s="1500"/>
      <c r="F27" s="1502" t="s">
        <v>332</v>
      </c>
      <c r="G27" s="1503"/>
      <c r="H27" s="201"/>
      <c r="I27" s="212">
        <f>H29/H30*I20</f>
        <v>0.1374370909090909</v>
      </c>
      <c r="J27" s="212"/>
      <c r="K27" s="173"/>
      <c r="L27" s="173"/>
      <c r="M27" s="212"/>
      <c r="N27" s="207"/>
      <c r="O27" s="212"/>
      <c r="P27" s="212"/>
      <c r="Q27" s="208"/>
      <c r="R27" s="209"/>
      <c r="S27" s="209"/>
      <c r="T27" s="209"/>
      <c r="U27" s="209"/>
      <c r="V27" s="209"/>
      <c r="W27" s="209"/>
      <c r="X27" s="413"/>
      <c r="Y27" s="209"/>
      <c r="Z27" s="209"/>
      <c r="AA27" s="209"/>
      <c r="AB27" s="209"/>
      <c r="AC27" s="209"/>
      <c r="AD27" s="209"/>
      <c r="AE27" s="209"/>
      <c r="AF27" s="209"/>
      <c r="AG27" s="209"/>
      <c r="AH27" s="209"/>
      <c r="AI27" s="209"/>
      <c r="AJ27" s="209"/>
      <c r="AK27" s="142"/>
      <c r="AL27" s="56"/>
      <c r="AM27" s="56"/>
      <c r="AN27" s="56"/>
      <c r="AO27" s="56"/>
      <c r="AP27" s="56"/>
      <c r="AQ27" s="56"/>
      <c r="AR27" s="56"/>
      <c r="AS27" s="56"/>
    </row>
    <row r="28" spans="1:45" s="129" customFormat="1" ht="14.25" customHeight="1">
      <c r="A28" s="1508"/>
      <c r="B28" s="1509"/>
      <c r="C28" s="1509"/>
      <c r="D28" s="1509"/>
      <c r="E28" s="1509"/>
      <c r="F28" s="1495"/>
      <c r="G28" s="1495"/>
      <c r="H28" s="213"/>
      <c r="I28" s="214"/>
      <c r="J28" s="214"/>
      <c r="K28" s="214"/>
      <c r="L28" s="214"/>
      <c r="M28" s="214"/>
      <c r="N28" s="214"/>
      <c r="O28" s="214"/>
      <c r="P28" s="214"/>
      <c r="Q28" s="215"/>
      <c r="R28" s="216"/>
      <c r="S28" s="216"/>
      <c r="T28" s="216"/>
      <c r="U28" s="216"/>
      <c r="V28" s="216"/>
      <c r="W28" s="216"/>
      <c r="X28" s="412"/>
      <c r="Y28" s="216"/>
      <c r="Z28" s="216"/>
      <c r="AA28" s="216"/>
      <c r="AB28" s="216"/>
      <c r="AC28" s="216"/>
      <c r="AD28" s="216"/>
      <c r="AE28" s="216"/>
      <c r="AF28" s="216"/>
      <c r="AG28" s="216"/>
      <c r="AH28" s="216"/>
      <c r="AI28" s="216"/>
      <c r="AJ28" s="216"/>
      <c r="AK28" s="142"/>
      <c r="AL28" s="56"/>
      <c r="AM28" s="56"/>
      <c r="AN28" s="56"/>
      <c r="AO28" s="56"/>
      <c r="AP28" s="56"/>
      <c r="AQ28" s="56"/>
      <c r="AR28" s="56"/>
      <c r="AS28" s="56"/>
    </row>
    <row r="29" spans="1:45" s="129" customFormat="1" ht="14.25" customHeight="1">
      <c r="A29" s="217"/>
      <c r="B29" s="218"/>
      <c r="C29" s="31" t="s">
        <v>812</v>
      </c>
      <c r="D29" s="218"/>
      <c r="E29" s="218"/>
      <c r="F29" s="334"/>
      <c r="G29" s="334"/>
      <c r="H29" s="31">
        <f>320</f>
        <v>320</v>
      </c>
      <c r="I29" s="31" t="s">
        <v>813</v>
      </c>
      <c r="J29" s="214"/>
      <c r="K29" s="214"/>
      <c r="L29" s="214"/>
      <c r="M29" s="214"/>
      <c r="N29" s="214"/>
      <c r="O29" s="214"/>
      <c r="P29" s="214"/>
      <c r="Q29" s="215"/>
      <c r="R29" s="216"/>
      <c r="S29" s="216"/>
      <c r="T29" s="216"/>
      <c r="U29" s="216"/>
      <c r="V29" s="216"/>
      <c r="W29" s="216"/>
      <c r="X29" s="412"/>
      <c r="Y29" s="216"/>
      <c r="Z29" s="216"/>
      <c r="AA29" s="216"/>
      <c r="AB29" s="216"/>
      <c r="AC29" s="216"/>
      <c r="AD29" s="216"/>
      <c r="AE29" s="216"/>
      <c r="AF29" s="216"/>
      <c r="AG29" s="216"/>
      <c r="AH29" s="216"/>
      <c r="AI29" s="216"/>
      <c r="AJ29" s="216"/>
      <c r="AK29" s="142"/>
      <c r="AL29" s="56"/>
      <c r="AM29" s="56"/>
      <c r="AN29" s="56"/>
      <c r="AO29" s="56"/>
      <c r="AP29" s="56"/>
      <c r="AQ29" s="56"/>
      <c r="AR29" s="56"/>
      <c r="AS29" s="56"/>
    </row>
    <row r="30" spans="1:45" s="129" customFormat="1" ht="14.25" customHeight="1">
      <c r="A30" s="219"/>
      <c r="B30" s="139"/>
      <c r="C30" s="31" t="s">
        <v>814</v>
      </c>
      <c r="D30" s="218"/>
      <c r="E30" s="218"/>
      <c r="F30" s="334"/>
      <c r="G30" s="334"/>
      <c r="H30" s="31">
        <f>((5.5*1000)/H31)*1000</f>
        <v>7217.8477690288719</v>
      </c>
      <c r="I30" s="31" t="s">
        <v>815</v>
      </c>
      <c r="J30" s="156"/>
      <c r="K30" s="156"/>
      <c r="L30" s="156"/>
      <c r="M30" s="156"/>
      <c r="N30" s="156"/>
      <c r="O30" s="156"/>
      <c r="P30" s="156"/>
      <c r="Q30" s="32"/>
      <c r="R30" s="220"/>
      <c r="S30" s="220"/>
      <c r="V30" s="220"/>
      <c r="W30" s="220"/>
      <c r="X30" s="150"/>
      <c r="Y30" s="150"/>
      <c r="AJ30" s="142"/>
      <c r="AK30" s="56"/>
      <c r="AL30" s="56"/>
      <c r="AM30" s="56"/>
      <c r="AN30" s="56"/>
      <c r="AO30" s="56"/>
      <c r="AP30" s="56"/>
      <c r="AQ30" s="56"/>
      <c r="AR30" s="56"/>
    </row>
    <row r="31" spans="1:45" s="129" customFormat="1" ht="14.25" customHeight="1">
      <c r="A31" s="221"/>
      <c r="B31" s="140"/>
      <c r="C31" s="1496" t="s">
        <v>782</v>
      </c>
      <c r="D31" s="1497"/>
      <c r="E31" s="1497"/>
      <c r="F31" s="1497"/>
      <c r="G31" s="1497"/>
      <c r="H31" s="140">
        <v>762</v>
      </c>
      <c r="I31" s="140" t="s">
        <v>783</v>
      </c>
      <c r="J31" s="140"/>
      <c r="K31" s="31"/>
      <c r="L31" s="31"/>
      <c r="M31" s="31"/>
      <c r="N31" s="222"/>
      <c r="O31" s="222"/>
      <c r="P31" s="222"/>
      <c r="Q31" s="32"/>
      <c r="R31" s="220"/>
      <c r="S31" s="220"/>
      <c r="V31" s="220"/>
      <c r="W31" s="220"/>
      <c r="X31" s="150"/>
      <c r="Y31" s="150"/>
      <c r="AJ31" s="142"/>
      <c r="AK31" s="56"/>
      <c r="AL31" s="56"/>
      <c r="AM31" s="56"/>
      <c r="AN31" s="56"/>
      <c r="AO31" s="56"/>
      <c r="AP31" s="56"/>
      <c r="AQ31" s="56"/>
      <c r="AR31" s="56"/>
    </row>
    <row r="32" spans="1:45" s="129" customFormat="1" ht="14.25" customHeight="1">
      <c r="A32" s="1501"/>
      <c r="B32" s="1181"/>
      <c r="C32" s="1181"/>
      <c r="D32" s="1181"/>
      <c r="E32" s="1181"/>
      <c r="F32" s="1181"/>
      <c r="G32" s="1181"/>
      <c r="H32" s="1181"/>
      <c r="I32" s="1181"/>
      <c r="J32" s="1181"/>
      <c r="K32" s="31"/>
      <c r="L32" s="31"/>
      <c r="M32" s="31"/>
      <c r="N32" s="222"/>
      <c r="O32" s="222"/>
      <c r="P32" s="222"/>
      <c r="Q32" s="32"/>
      <c r="R32" s="1493"/>
      <c r="S32" s="1493"/>
      <c r="V32" s="1493"/>
      <c r="W32" s="1493"/>
      <c r="X32" s="1494"/>
      <c r="Y32" s="1494"/>
      <c r="AJ32" s="142"/>
      <c r="AK32" s="56"/>
      <c r="AL32" s="56"/>
      <c r="AM32" s="56"/>
      <c r="AN32" s="56"/>
      <c r="AO32" s="56"/>
      <c r="AP32" s="56"/>
      <c r="AQ32" s="56"/>
      <c r="AR32" s="56"/>
    </row>
    <row r="33" spans="1:44" s="129" customFormat="1" ht="14.25" customHeight="1">
      <c r="A33" s="223"/>
      <c r="B33" s="147"/>
      <c r="C33" s="31"/>
      <c r="D33" s="31"/>
      <c r="E33" s="31"/>
      <c r="F33" s="31"/>
      <c r="G33" s="31"/>
      <c r="H33" s="31"/>
      <c r="I33" s="31"/>
      <c r="J33" s="31"/>
      <c r="K33" s="31"/>
      <c r="L33" s="31"/>
      <c r="M33" s="31"/>
      <c r="N33" s="222"/>
      <c r="O33" s="222"/>
      <c r="P33" s="222"/>
      <c r="Q33" s="32"/>
      <c r="R33" s="220"/>
      <c r="S33" s="220"/>
      <c r="V33" s="220"/>
      <c r="W33" s="220"/>
      <c r="X33" s="150"/>
      <c r="Y33" s="150"/>
      <c r="AJ33" s="142"/>
      <c r="AK33" s="56"/>
      <c r="AL33" s="56"/>
      <c r="AM33" s="56"/>
      <c r="AN33" s="56"/>
      <c r="AO33" s="56"/>
      <c r="AP33" s="56"/>
      <c r="AQ33" s="56"/>
      <c r="AR33" s="56"/>
    </row>
    <row r="34" spans="1:44" s="129" customFormat="1" ht="14.25" customHeight="1">
      <c r="A34" s="224" t="s">
        <v>678</v>
      </c>
      <c r="B34" s="31"/>
      <c r="C34" s="27"/>
      <c r="D34" s="27"/>
      <c r="E34" s="27"/>
      <c r="F34" s="27"/>
      <c r="G34" s="27"/>
      <c r="H34" s="27"/>
      <c r="I34" s="27"/>
      <c r="J34" s="27"/>
      <c r="K34" s="27"/>
      <c r="L34" s="27"/>
      <c r="M34" s="27"/>
      <c r="N34" s="1491"/>
      <c r="O34" s="1491"/>
      <c r="P34" s="225"/>
      <c r="Q34" s="226"/>
      <c r="R34" s="220"/>
      <c r="S34" s="220"/>
      <c r="V34" s="220"/>
      <c r="W34" s="220"/>
      <c r="X34" s="150"/>
      <c r="Y34" s="150"/>
      <c r="AK34" s="56"/>
      <c r="AL34" s="56"/>
      <c r="AM34" s="56"/>
      <c r="AN34" s="56"/>
      <c r="AO34" s="56"/>
      <c r="AP34" s="56"/>
      <c r="AQ34" s="56"/>
      <c r="AR34" s="56"/>
    </row>
    <row r="35" spans="1:44" s="129" customFormat="1" ht="14.25" customHeight="1">
      <c r="A35" s="227" t="s">
        <v>31</v>
      </c>
      <c r="B35" s="31" t="s">
        <v>816</v>
      </c>
      <c r="C35" s="31"/>
      <c r="D35" s="31"/>
      <c r="E35" s="31"/>
      <c r="F35" s="31"/>
      <c r="G35" s="31"/>
      <c r="H35" s="31"/>
      <c r="I35" s="31"/>
      <c r="J35" s="31"/>
      <c r="K35" s="31"/>
      <c r="L35" s="31"/>
      <c r="M35" s="31"/>
      <c r="N35" s="222"/>
      <c r="O35" s="222"/>
      <c r="P35" s="222"/>
      <c r="Q35" s="32"/>
      <c r="R35" s="1492"/>
      <c r="S35" s="1492"/>
      <c r="V35" s="1493"/>
      <c r="W35" s="1493"/>
      <c r="X35" s="1494"/>
      <c r="Y35" s="1494"/>
      <c r="AK35" s="56"/>
      <c r="AL35" s="56"/>
      <c r="AM35" s="56"/>
      <c r="AN35" s="56"/>
      <c r="AO35" s="56"/>
      <c r="AP35" s="56"/>
      <c r="AQ35" s="56"/>
      <c r="AR35" s="56"/>
    </row>
    <row r="36" spans="1:44" s="129" customFormat="1" ht="14.25" customHeight="1">
      <c r="A36" s="227" t="s">
        <v>33</v>
      </c>
      <c r="B36" s="31" t="s">
        <v>817</v>
      </c>
      <c r="C36" s="31"/>
      <c r="D36" s="31"/>
      <c r="E36" s="31"/>
      <c r="F36" s="31"/>
      <c r="G36" s="31"/>
      <c r="H36" s="31"/>
      <c r="I36" s="31"/>
      <c r="J36" s="31"/>
      <c r="K36" s="31"/>
      <c r="L36" s="31"/>
      <c r="M36" s="31"/>
      <c r="N36" s="222"/>
      <c r="O36" s="222"/>
      <c r="P36" s="222"/>
      <c r="Q36" s="32"/>
      <c r="R36" s="228"/>
      <c r="S36" s="228"/>
      <c r="V36" s="220"/>
      <c r="W36" s="220"/>
      <c r="X36" s="150"/>
      <c r="Y36" s="150"/>
      <c r="AK36" s="56"/>
      <c r="AL36" s="56"/>
      <c r="AM36" s="56"/>
      <c r="AN36" s="56"/>
      <c r="AO36" s="56"/>
      <c r="AP36" s="56"/>
      <c r="AQ36" s="56"/>
      <c r="AR36" s="56"/>
    </row>
    <row r="37" spans="1:44" s="129" customFormat="1" ht="14.25" customHeight="1">
      <c r="A37" s="227" t="s">
        <v>752</v>
      </c>
      <c r="B37" s="1489" t="s">
        <v>383</v>
      </c>
      <c r="C37" s="1490"/>
      <c r="D37" s="1490"/>
      <c r="E37" s="1490"/>
      <c r="F37" s="1490"/>
      <c r="G37" s="1490"/>
      <c r="H37" s="1490"/>
      <c r="I37" s="1490"/>
      <c r="J37" s="1490"/>
      <c r="K37" s="1490"/>
      <c r="L37" s="1490"/>
      <c r="M37" s="1490"/>
      <c r="N37" s="1490"/>
      <c r="O37" s="1490"/>
      <c r="P37" s="1490"/>
      <c r="Q37" s="231"/>
      <c r="R37" s="228"/>
      <c r="S37" s="228"/>
      <c r="V37" s="220"/>
      <c r="W37" s="220"/>
      <c r="X37" s="150"/>
      <c r="Y37" s="150"/>
      <c r="AK37" s="56"/>
      <c r="AL37" s="56"/>
      <c r="AM37" s="56"/>
      <c r="AN37" s="56"/>
      <c r="AO37" s="56"/>
      <c r="AP37" s="56"/>
      <c r="AQ37" s="56"/>
      <c r="AR37" s="56"/>
    </row>
    <row r="38" spans="1:44" s="129" customFormat="1" ht="14.25" customHeight="1">
      <c r="A38" s="227" t="s">
        <v>787</v>
      </c>
      <c r="B38" s="1489" t="s">
        <v>818</v>
      </c>
      <c r="C38" s="1490"/>
      <c r="D38" s="1490"/>
      <c r="E38" s="1490"/>
      <c r="F38" s="1490"/>
      <c r="G38" s="1490"/>
      <c r="H38" s="1490"/>
      <c r="I38" s="1490"/>
      <c r="J38" s="1490"/>
      <c r="K38" s="1490"/>
      <c r="L38" s="1490"/>
      <c r="M38" s="1490"/>
      <c r="N38" s="1490"/>
      <c r="O38" s="1490"/>
      <c r="P38" s="1490"/>
      <c r="Q38" s="231"/>
      <c r="R38" s="228"/>
      <c r="S38" s="228"/>
      <c r="V38" s="220"/>
      <c r="W38" s="220"/>
      <c r="X38" s="150"/>
      <c r="Y38" s="150"/>
      <c r="AK38" s="56"/>
      <c r="AL38" s="56"/>
      <c r="AM38" s="56"/>
      <c r="AN38" s="56"/>
      <c r="AO38" s="56"/>
      <c r="AP38" s="56"/>
      <c r="AQ38" s="56"/>
      <c r="AR38" s="56"/>
    </row>
    <row r="39" spans="1:44" s="129" customFormat="1" ht="14.25" customHeight="1">
      <c r="A39" s="227" t="s">
        <v>819</v>
      </c>
      <c r="B39" s="1489" t="s">
        <v>820</v>
      </c>
      <c r="C39" s="1490"/>
      <c r="D39" s="1490"/>
      <c r="E39" s="1490"/>
      <c r="F39" s="1490"/>
      <c r="G39" s="1490"/>
      <c r="H39" s="1490"/>
      <c r="I39" s="1490"/>
      <c r="J39" s="1490"/>
      <c r="K39" s="1490"/>
      <c r="L39" s="1490"/>
      <c r="M39" s="1490"/>
      <c r="N39" s="1490"/>
      <c r="O39" s="1490"/>
      <c r="P39" s="1490"/>
      <c r="Q39" s="231"/>
      <c r="R39" s="228"/>
      <c r="S39" s="228"/>
      <c r="V39" s="220"/>
      <c r="W39" s="220"/>
      <c r="X39" s="150"/>
      <c r="Y39" s="150"/>
      <c r="AK39" s="56"/>
      <c r="AL39" s="56"/>
      <c r="AM39" s="56"/>
      <c r="AN39" s="56"/>
      <c r="AO39" s="56"/>
      <c r="AP39" s="56"/>
      <c r="AQ39" s="56"/>
      <c r="AR39" s="56"/>
    </row>
    <row r="40" spans="1:44" s="129" customFormat="1" ht="14.25" customHeight="1">
      <c r="A40" s="227"/>
      <c r="B40" s="1489"/>
      <c r="C40" s="1490"/>
      <c r="D40" s="1490"/>
      <c r="E40" s="1490"/>
      <c r="F40" s="1490"/>
      <c r="G40" s="1490"/>
      <c r="H40" s="1490"/>
      <c r="I40" s="1490"/>
      <c r="J40" s="1490"/>
      <c r="K40" s="1490"/>
      <c r="L40" s="1490"/>
      <c r="M40" s="1490"/>
      <c r="N40" s="1490"/>
      <c r="O40" s="1490"/>
      <c r="P40" s="1490"/>
      <c r="Q40" s="231"/>
      <c r="R40" s="228"/>
      <c r="S40" s="228"/>
      <c r="V40" s="220"/>
      <c r="W40" s="220"/>
      <c r="X40" s="150"/>
      <c r="Y40" s="150"/>
      <c r="AK40" s="56"/>
      <c r="AL40" s="56"/>
      <c r="AM40" s="56"/>
      <c r="AN40" s="56"/>
      <c r="AO40" s="56"/>
      <c r="AP40" s="56"/>
      <c r="AQ40" s="56"/>
      <c r="AR40" s="56"/>
    </row>
    <row r="41" spans="1:44" s="129" customFormat="1" ht="14.25" customHeight="1">
      <c r="A41" s="227"/>
      <c r="B41" s="230"/>
      <c r="C41" s="230"/>
      <c r="D41" s="230"/>
      <c r="E41" s="230"/>
      <c r="F41" s="230"/>
      <c r="G41" s="230"/>
      <c r="H41" s="230"/>
      <c r="I41" s="230"/>
      <c r="J41" s="230"/>
      <c r="K41" s="230"/>
      <c r="L41" s="230"/>
      <c r="M41" s="230"/>
      <c r="N41" s="230"/>
      <c r="O41" s="230"/>
      <c r="P41" s="230"/>
      <c r="Q41" s="231"/>
      <c r="R41" s="228"/>
      <c r="S41" s="228"/>
      <c r="V41" s="220"/>
      <c r="W41" s="220"/>
      <c r="X41" s="150"/>
      <c r="Y41" s="150"/>
      <c r="AK41" s="56"/>
      <c r="AL41" s="56"/>
      <c r="AM41" s="56"/>
      <c r="AN41" s="56"/>
      <c r="AO41" s="56"/>
      <c r="AP41" s="56"/>
      <c r="AQ41" s="56"/>
      <c r="AR41" s="56"/>
    </row>
    <row r="42" spans="1:44" s="129" customFormat="1" ht="14.25" customHeight="1">
      <c r="A42" s="227"/>
      <c r="B42" s="31"/>
      <c r="C42" s="31"/>
      <c r="D42" s="31"/>
      <c r="E42" s="31"/>
      <c r="F42" s="31"/>
      <c r="G42" s="31"/>
      <c r="H42" s="31"/>
      <c r="I42" s="31"/>
      <c r="J42" s="31"/>
      <c r="K42" s="31"/>
      <c r="L42" s="31"/>
      <c r="M42" s="31"/>
      <c r="N42" s="222"/>
      <c r="O42" s="222"/>
      <c r="P42" s="222"/>
      <c r="Q42" s="32"/>
      <c r="R42" s="228"/>
      <c r="S42" s="228"/>
      <c r="V42" s="220"/>
      <c r="W42" s="220"/>
      <c r="X42" s="150"/>
      <c r="Y42" s="150"/>
      <c r="AK42" s="56"/>
      <c r="AL42" s="56"/>
      <c r="AM42" s="56"/>
      <c r="AN42" s="56"/>
      <c r="AO42" s="56"/>
      <c r="AP42" s="56"/>
      <c r="AQ42" s="56"/>
      <c r="AR42" s="56"/>
    </row>
    <row r="43" spans="1:44" ht="14.25" customHeight="1">
      <c r="A43" s="232"/>
      <c r="B43" s="233"/>
      <c r="C43" s="233"/>
      <c r="D43" s="233"/>
      <c r="E43" s="233"/>
      <c r="F43" s="233"/>
      <c r="G43" s="233"/>
      <c r="H43" s="233"/>
      <c r="I43" s="233"/>
      <c r="J43" s="233"/>
      <c r="K43" s="233"/>
      <c r="L43" s="233"/>
      <c r="M43" s="233"/>
      <c r="N43" s="233"/>
      <c r="O43" s="233"/>
      <c r="P43" s="233"/>
      <c r="Q43" s="234"/>
      <c r="R43" s="136"/>
      <c r="S43" s="136"/>
      <c r="T43" s="136"/>
      <c r="U43" s="136"/>
      <c r="V43" s="136"/>
      <c r="W43" s="136"/>
      <c r="X43" s="235"/>
      <c r="Y43" s="136"/>
      <c r="Z43" s="136"/>
      <c r="AA43" s="136"/>
      <c r="AB43" s="136"/>
      <c r="AC43" s="136"/>
      <c r="AD43" s="136"/>
      <c r="AK43" s="105"/>
      <c r="AL43" s="105"/>
      <c r="AM43" s="105"/>
      <c r="AN43" s="105"/>
      <c r="AO43" s="105"/>
      <c r="AP43" s="105"/>
      <c r="AQ43" s="105"/>
      <c r="AR43" s="105"/>
    </row>
    <row r="44" spans="1:44">
      <c r="A44" s="236"/>
      <c r="B44" s="236"/>
      <c r="C44" s="236"/>
      <c r="D44" s="236"/>
      <c r="E44" s="236"/>
      <c r="F44" s="236"/>
      <c r="G44" s="236"/>
      <c r="H44" s="236"/>
      <c r="I44" s="236"/>
      <c r="J44" s="236"/>
      <c r="K44" s="236"/>
      <c r="L44" s="236"/>
      <c r="M44" s="236"/>
      <c r="N44" s="236"/>
      <c r="O44" s="236"/>
      <c r="P44" s="236"/>
      <c r="Q44" s="236"/>
      <c r="R44" s="236"/>
      <c r="S44" s="236"/>
      <c r="T44" s="236"/>
      <c r="U44" s="236"/>
      <c r="V44" s="236"/>
      <c r="W44" s="236"/>
      <c r="X44" s="237"/>
      <c r="Y44" s="236"/>
      <c r="Z44" s="236"/>
      <c r="AA44" s="236"/>
      <c r="AB44" s="236"/>
      <c r="AC44" s="136"/>
      <c r="AD44" s="136"/>
      <c r="AK44" s="105"/>
      <c r="AL44" s="105"/>
      <c r="AM44" s="105"/>
      <c r="AN44" s="105"/>
      <c r="AO44" s="105"/>
      <c r="AP44" s="105"/>
      <c r="AQ44" s="105"/>
      <c r="AR44" s="105"/>
    </row>
    <row r="45" spans="1:44">
      <c r="A45" s="236"/>
      <c r="B45" s="236"/>
      <c r="C45" s="236"/>
      <c r="D45" s="236"/>
      <c r="E45" s="236"/>
      <c r="F45" s="236"/>
      <c r="G45" s="236"/>
      <c r="H45" s="236"/>
      <c r="I45" s="236"/>
      <c r="J45" s="236"/>
      <c r="K45" s="236"/>
      <c r="L45" s="236"/>
      <c r="M45" s="236"/>
      <c r="N45" s="236"/>
      <c r="O45" s="236"/>
      <c r="P45" s="236"/>
      <c r="Q45" s="236"/>
      <c r="R45" s="236"/>
      <c r="S45" s="236"/>
      <c r="T45" s="236"/>
      <c r="U45" s="236"/>
      <c r="V45" s="236"/>
      <c r="W45" s="236"/>
      <c r="X45" s="237"/>
      <c r="Y45" s="236"/>
      <c r="Z45" s="236"/>
      <c r="AA45" s="236"/>
      <c r="AB45" s="236"/>
      <c r="AC45" s="236"/>
      <c r="AD45" s="236"/>
      <c r="AE45" s="105"/>
      <c r="AF45" s="105"/>
      <c r="AG45" s="105"/>
      <c r="AH45" s="105"/>
      <c r="AI45" s="105"/>
      <c r="AJ45" s="105"/>
      <c r="AK45" s="105"/>
      <c r="AL45" s="105"/>
      <c r="AM45" s="105"/>
      <c r="AN45" s="105"/>
      <c r="AO45" s="105"/>
      <c r="AP45" s="105"/>
      <c r="AQ45" s="105"/>
      <c r="AR45" s="105"/>
    </row>
    <row r="46" spans="1:44">
      <c r="A46" s="236"/>
      <c r="B46" s="236"/>
      <c r="C46" s="236"/>
      <c r="D46" s="236"/>
      <c r="E46" s="236"/>
      <c r="F46" s="236"/>
      <c r="G46" s="236"/>
      <c r="H46" s="236"/>
      <c r="I46" s="236"/>
      <c r="J46" s="236"/>
      <c r="K46" s="236"/>
      <c r="L46" s="236"/>
      <c r="M46" s="236"/>
      <c r="N46" s="236"/>
      <c r="O46" s="236"/>
      <c r="P46" s="236"/>
      <c r="Q46" s="236"/>
      <c r="R46" s="236"/>
      <c r="S46" s="236"/>
      <c r="T46" s="236"/>
      <c r="U46" s="236"/>
      <c r="V46" s="236"/>
      <c r="W46" s="236"/>
      <c r="X46" s="237"/>
      <c r="Y46" s="236"/>
      <c r="Z46" s="236"/>
      <c r="AA46" s="236"/>
      <c r="AB46" s="236"/>
      <c r="AC46" s="236"/>
      <c r="AD46" s="105"/>
      <c r="AE46" s="105"/>
      <c r="AF46" s="105"/>
      <c r="AG46" s="105"/>
      <c r="AH46" s="105"/>
      <c r="AI46" s="105"/>
      <c r="AJ46" s="105"/>
      <c r="AK46" s="105"/>
      <c r="AL46" s="105"/>
      <c r="AM46" s="105"/>
      <c r="AN46" s="105"/>
      <c r="AO46" s="105"/>
      <c r="AP46" s="105"/>
      <c r="AQ46" s="105"/>
      <c r="AR46" s="105"/>
    </row>
    <row r="47" spans="1:44">
      <c r="A47" s="236"/>
      <c r="B47" s="236"/>
      <c r="C47" s="236"/>
      <c r="D47" s="236"/>
      <c r="E47" s="236"/>
      <c r="F47" s="236"/>
      <c r="G47" s="236"/>
      <c r="H47" s="236"/>
      <c r="I47" s="236"/>
      <c r="J47" s="236"/>
      <c r="K47" s="236"/>
      <c r="L47" s="236"/>
      <c r="M47" s="236"/>
      <c r="N47" s="236"/>
      <c r="O47" s="236"/>
      <c r="P47" s="236"/>
      <c r="Q47" s="236"/>
      <c r="R47" s="236"/>
      <c r="S47" s="236"/>
      <c r="T47" s="236"/>
      <c r="U47" s="236"/>
      <c r="V47" s="236"/>
      <c r="W47" s="236"/>
      <c r="X47" s="237"/>
      <c r="Y47" s="236"/>
      <c r="Z47" s="236"/>
      <c r="AA47" s="236"/>
      <c r="AB47" s="236"/>
      <c r="AC47" s="236"/>
      <c r="AD47" s="105"/>
      <c r="AE47" s="105"/>
      <c r="AF47" s="105"/>
      <c r="AG47" s="105"/>
      <c r="AH47" s="105"/>
      <c r="AI47" s="105"/>
      <c r="AJ47" s="105"/>
      <c r="AK47" s="105"/>
      <c r="AL47" s="105"/>
      <c r="AM47" s="105"/>
      <c r="AN47" s="105"/>
      <c r="AO47" s="105"/>
      <c r="AP47" s="105"/>
      <c r="AQ47" s="105"/>
      <c r="AR47" s="105"/>
    </row>
    <row r="48" spans="1:44">
      <c r="A48" s="236"/>
      <c r="B48" s="236"/>
      <c r="C48" s="236"/>
      <c r="D48" s="236"/>
      <c r="E48" s="236"/>
      <c r="F48" s="236"/>
      <c r="G48" s="236"/>
      <c r="H48" s="236"/>
      <c r="I48" s="236"/>
      <c r="J48" s="236"/>
      <c r="K48" s="236"/>
      <c r="L48" s="236"/>
      <c r="M48" s="236"/>
      <c r="N48" s="236"/>
      <c r="O48" s="236"/>
      <c r="P48" s="236"/>
      <c r="Q48" s="236"/>
      <c r="R48" s="236"/>
      <c r="S48" s="236"/>
      <c r="T48" s="236"/>
      <c r="U48" s="236"/>
      <c r="V48" s="236"/>
      <c r="W48" s="236"/>
      <c r="X48" s="237"/>
      <c r="Y48" s="236"/>
      <c r="Z48" s="236"/>
      <c r="AA48" s="236"/>
      <c r="AB48" s="236"/>
      <c r="AC48" s="236"/>
      <c r="AD48" s="105"/>
      <c r="AE48" s="105"/>
      <c r="AF48" s="105"/>
      <c r="AG48" s="105"/>
      <c r="AH48" s="105"/>
      <c r="AI48" s="105"/>
      <c r="AJ48" s="105"/>
      <c r="AK48" s="105"/>
      <c r="AL48" s="105"/>
      <c r="AM48" s="105"/>
      <c r="AN48" s="105"/>
      <c r="AO48" s="105"/>
      <c r="AP48" s="105"/>
      <c r="AQ48" s="105"/>
      <c r="AR48" s="105"/>
    </row>
    <row r="49" spans="1:44">
      <c r="A49" s="236"/>
      <c r="B49" s="236"/>
      <c r="C49" s="236"/>
      <c r="D49" s="236"/>
      <c r="E49" s="236"/>
      <c r="F49" s="236"/>
      <c r="G49" s="236"/>
      <c r="H49" s="236"/>
      <c r="I49" s="236"/>
      <c r="J49" s="236"/>
      <c r="K49" s="236"/>
      <c r="L49" s="236"/>
      <c r="M49" s="236"/>
      <c r="N49" s="236"/>
      <c r="O49" s="236"/>
      <c r="P49" s="236"/>
      <c r="Q49" s="236"/>
      <c r="R49" s="236"/>
      <c r="S49" s="236"/>
      <c r="T49" s="236"/>
      <c r="U49" s="236"/>
      <c r="V49" s="236"/>
      <c r="W49" s="236"/>
      <c r="X49" s="237"/>
      <c r="Y49" s="236"/>
      <c r="Z49" s="236"/>
      <c r="AA49" s="236"/>
      <c r="AB49" s="236"/>
      <c r="AC49" s="236"/>
      <c r="AD49" s="105"/>
      <c r="AE49" s="105"/>
      <c r="AF49" s="105"/>
      <c r="AG49" s="105"/>
      <c r="AH49" s="105"/>
      <c r="AI49" s="105"/>
      <c r="AJ49" s="105"/>
      <c r="AK49" s="105"/>
      <c r="AL49" s="105"/>
      <c r="AM49" s="105"/>
      <c r="AN49" s="105"/>
      <c r="AO49" s="105"/>
      <c r="AP49" s="105"/>
      <c r="AQ49" s="105"/>
      <c r="AR49" s="105"/>
    </row>
    <row r="50" spans="1:44">
      <c r="A50" s="236"/>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36"/>
      <c r="Z50" s="236"/>
      <c r="AA50" s="236"/>
      <c r="AB50" s="236"/>
      <c r="AC50" s="236"/>
      <c r="AD50" s="105"/>
      <c r="AE50" s="105"/>
      <c r="AF50" s="105"/>
      <c r="AG50" s="105"/>
      <c r="AH50" s="105"/>
      <c r="AI50" s="105"/>
      <c r="AJ50" s="105"/>
      <c r="AK50" s="105"/>
      <c r="AL50" s="105"/>
      <c r="AM50" s="105"/>
      <c r="AN50" s="105"/>
      <c r="AO50" s="105"/>
      <c r="AP50" s="105"/>
      <c r="AQ50" s="105"/>
      <c r="AR50" s="105"/>
    </row>
    <row r="51" spans="1:44">
      <c r="A51" s="236"/>
      <c r="B51" s="236"/>
      <c r="C51" s="236"/>
      <c r="D51" s="236"/>
      <c r="E51" s="236"/>
      <c r="F51" s="236"/>
      <c r="G51" s="236"/>
      <c r="H51" s="236"/>
      <c r="I51" s="236"/>
      <c r="J51" s="236"/>
      <c r="K51" s="236"/>
      <c r="L51" s="236"/>
      <c r="M51" s="236"/>
      <c r="N51" s="236"/>
      <c r="O51" s="236"/>
      <c r="P51" s="236"/>
      <c r="Q51" s="236"/>
      <c r="R51" s="236"/>
      <c r="S51" s="236"/>
      <c r="T51" s="236"/>
      <c r="U51" s="236"/>
      <c r="V51" s="236"/>
      <c r="W51" s="236"/>
      <c r="X51" s="237"/>
      <c r="Y51" s="236"/>
      <c r="Z51" s="236"/>
      <c r="AA51" s="236"/>
      <c r="AB51" s="236"/>
      <c r="AC51" s="236"/>
      <c r="AD51" s="105"/>
      <c r="AE51" s="105"/>
      <c r="AF51" s="105"/>
      <c r="AG51" s="105"/>
      <c r="AH51" s="105"/>
      <c r="AI51" s="105"/>
      <c r="AJ51" s="105"/>
      <c r="AK51" s="105"/>
      <c r="AL51" s="105"/>
      <c r="AM51" s="105"/>
      <c r="AN51" s="105"/>
      <c r="AO51" s="105"/>
      <c r="AP51" s="105"/>
      <c r="AQ51" s="105"/>
      <c r="AR51" s="105"/>
    </row>
    <row r="52" spans="1:44">
      <c r="A52" s="236"/>
      <c r="B52" s="236"/>
      <c r="C52" s="236"/>
      <c r="D52" s="236"/>
      <c r="E52" s="236"/>
      <c r="F52" s="236"/>
      <c r="G52" s="236"/>
      <c r="H52" s="236"/>
      <c r="I52" s="236"/>
      <c r="J52" s="236"/>
      <c r="K52" s="236"/>
      <c r="L52" s="236"/>
      <c r="M52" s="236"/>
      <c r="N52" s="236"/>
      <c r="O52" s="236"/>
      <c r="P52" s="236"/>
      <c r="Q52" s="236"/>
      <c r="R52" s="236"/>
      <c r="S52" s="236"/>
      <c r="T52" s="236"/>
      <c r="U52" s="236"/>
      <c r="V52" s="236"/>
      <c r="W52" s="236"/>
      <c r="X52" s="237"/>
      <c r="Y52" s="236"/>
      <c r="Z52" s="236"/>
      <c r="AA52" s="236"/>
      <c r="AB52" s="236"/>
      <c r="AC52" s="236"/>
      <c r="AD52" s="105"/>
      <c r="AE52" s="105"/>
      <c r="AF52" s="105"/>
      <c r="AG52" s="105"/>
      <c r="AH52" s="105"/>
      <c r="AI52" s="105"/>
      <c r="AJ52" s="105"/>
      <c r="AK52" s="105"/>
      <c r="AL52" s="105"/>
      <c r="AM52" s="105"/>
      <c r="AN52" s="105"/>
      <c r="AO52" s="105"/>
      <c r="AP52" s="105"/>
      <c r="AQ52" s="105"/>
      <c r="AR52" s="105"/>
    </row>
    <row r="53" spans="1:44">
      <c r="A53" s="236"/>
      <c r="B53" s="236"/>
      <c r="C53" s="236"/>
      <c r="D53" s="236"/>
      <c r="E53" s="236"/>
      <c r="F53" s="236"/>
      <c r="G53" s="236"/>
      <c r="H53" s="236"/>
      <c r="I53" s="236"/>
      <c r="J53" s="236"/>
      <c r="K53" s="236"/>
      <c r="L53" s="236"/>
      <c r="M53" s="236"/>
      <c r="N53" s="236"/>
      <c r="O53" s="236"/>
      <c r="P53" s="236"/>
      <c r="Q53" s="236"/>
      <c r="R53" s="236"/>
      <c r="S53" s="236"/>
      <c r="T53" s="236"/>
      <c r="U53" s="236"/>
      <c r="V53" s="236"/>
      <c r="W53" s="236"/>
      <c r="X53" s="237"/>
      <c r="Y53" s="236"/>
      <c r="Z53" s="236"/>
      <c r="AA53" s="236"/>
      <c r="AB53" s="236"/>
      <c r="AC53" s="236"/>
      <c r="AD53" s="105"/>
      <c r="AE53" s="105"/>
      <c r="AF53" s="105"/>
      <c r="AG53" s="105"/>
      <c r="AH53" s="105"/>
      <c r="AI53" s="105"/>
      <c r="AJ53" s="105"/>
      <c r="AK53" s="105"/>
      <c r="AL53" s="105"/>
      <c r="AM53" s="105"/>
      <c r="AN53" s="105"/>
      <c r="AO53" s="105"/>
      <c r="AP53" s="105"/>
      <c r="AQ53" s="105"/>
      <c r="AR53" s="105"/>
    </row>
    <row r="54" spans="1:44" s="137" customFormat="1">
      <c r="A54" s="236"/>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36"/>
      <c r="Z54" s="236"/>
      <c r="AA54" s="236"/>
      <c r="AB54" s="236"/>
      <c r="AC54" s="236"/>
      <c r="AD54" s="105"/>
      <c r="AE54" s="105"/>
      <c r="AF54" s="105"/>
      <c r="AG54" s="105"/>
      <c r="AH54" s="105"/>
      <c r="AI54" s="105"/>
      <c r="AJ54" s="105"/>
      <c r="AK54" s="105"/>
      <c r="AL54" s="105"/>
      <c r="AM54" s="105"/>
      <c r="AN54" s="105"/>
      <c r="AO54" s="105"/>
      <c r="AP54" s="105"/>
      <c r="AQ54" s="105"/>
      <c r="AR54" s="105"/>
    </row>
    <row r="55" spans="1:44" s="137" customFormat="1">
      <c r="A55" s="236"/>
      <c r="B55" s="236"/>
      <c r="C55" s="236"/>
      <c r="D55" s="236"/>
      <c r="E55" s="236"/>
      <c r="F55" s="236"/>
      <c r="G55" s="236"/>
      <c r="H55" s="236"/>
      <c r="I55" s="236"/>
      <c r="J55" s="236"/>
      <c r="K55" s="236"/>
      <c r="L55" s="236"/>
      <c r="M55" s="236"/>
      <c r="N55" s="236"/>
      <c r="O55" s="236"/>
      <c r="P55" s="236"/>
      <c r="Q55" s="236"/>
      <c r="R55" s="236"/>
      <c r="S55" s="236"/>
      <c r="T55" s="236"/>
      <c r="U55" s="236"/>
      <c r="V55" s="236"/>
      <c r="W55" s="236"/>
      <c r="X55" s="237"/>
      <c r="Y55" s="236"/>
      <c r="Z55" s="236"/>
      <c r="AA55" s="236"/>
      <c r="AB55" s="236"/>
      <c r="AC55" s="236"/>
      <c r="AD55" s="105"/>
      <c r="AE55" s="105"/>
      <c r="AF55" s="105"/>
      <c r="AG55" s="105"/>
      <c r="AH55" s="105"/>
      <c r="AI55" s="105"/>
      <c r="AJ55" s="105"/>
      <c r="AK55" s="105"/>
      <c r="AL55" s="105"/>
      <c r="AM55" s="105"/>
      <c r="AN55" s="105"/>
      <c r="AO55" s="105"/>
      <c r="AP55" s="105"/>
      <c r="AQ55" s="105"/>
      <c r="AR55" s="105"/>
    </row>
    <row r="56" spans="1:44" s="137" customFormat="1">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7"/>
      <c r="Y56" s="236"/>
      <c r="Z56" s="236"/>
      <c r="AA56" s="236"/>
      <c r="AB56" s="236"/>
      <c r="AC56" s="236"/>
      <c r="AD56" s="105"/>
      <c r="AE56" s="105"/>
      <c r="AF56" s="105"/>
      <c r="AG56" s="105"/>
      <c r="AH56" s="105"/>
      <c r="AI56" s="105"/>
      <c r="AJ56" s="105"/>
      <c r="AK56" s="105"/>
      <c r="AL56" s="105"/>
      <c r="AM56" s="105"/>
      <c r="AN56" s="105"/>
      <c r="AO56" s="105"/>
      <c r="AP56" s="105"/>
      <c r="AQ56" s="105"/>
      <c r="AR56" s="105"/>
    </row>
    <row r="57" spans="1:44" s="137" customFormat="1">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7"/>
      <c r="Y57" s="236"/>
      <c r="Z57" s="236"/>
      <c r="AA57" s="236"/>
      <c r="AB57" s="236"/>
      <c r="AC57" s="236"/>
      <c r="AD57" s="105"/>
      <c r="AE57" s="105"/>
      <c r="AF57" s="105"/>
      <c r="AG57" s="105"/>
      <c r="AH57" s="105"/>
      <c r="AI57" s="105"/>
      <c r="AJ57" s="105"/>
      <c r="AK57" s="105"/>
      <c r="AL57" s="105"/>
      <c r="AM57" s="105"/>
      <c r="AN57" s="105"/>
      <c r="AO57" s="105"/>
      <c r="AP57" s="105"/>
      <c r="AQ57" s="105"/>
      <c r="AR57" s="105"/>
    </row>
    <row r="58" spans="1:44" s="137" customFormat="1">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7"/>
      <c r="Y58" s="236"/>
      <c r="Z58" s="236"/>
      <c r="AA58" s="236"/>
      <c r="AB58" s="236"/>
      <c r="AC58" s="236"/>
      <c r="AD58" s="105"/>
      <c r="AE58" s="105"/>
      <c r="AF58" s="105"/>
      <c r="AG58" s="105"/>
      <c r="AH58" s="105"/>
      <c r="AI58" s="105"/>
      <c r="AJ58" s="105"/>
      <c r="AK58" s="105"/>
      <c r="AL58" s="105"/>
      <c r="AM58" s="105"/>
      <c r="AN58" s="105"/>
      <c r="AO58" s="105"/>
      <c r="AP58" s="105"/>
      <c r="AQ58" s="105"/>
      <c r="AR58" s="105"/>
    </row>
    <row r="59" spans="1:44" s="137" customFormat="1">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7"/>
      <c r="Y59" s="236"/>
      <c r="Z59" s="236"/>
      <c r="AA59" s="236"/>
      <c r="AB59" s="236"/>
      <c r="AC59" s="236"/>
      <c r="AD59" s="105"/>
      <c r="AE59" s="105"/>
      <c r="AF59" s="105"/>
      <c r="AG59" s="105"/>
      <c r="AH59" s="105"/>
      <c r="AI59" s="105"/>
      <c r="AJ59" s="105"/>
      <c r="AK59" s="105"/>
      <c r="AL59" s="105"/>
      <c r="AM59" s="105"/>
      <c r="AN59" s="105"/>
      <c r="AO59" s="105"/>
      <c r="AP59" s="105"/>
      <c r="AQ59" s="105"/>
      <c r="AR59" s="105"/>
    </row>
    <row r="60" spans="1:44" s="137" customFormat="1">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7"/>
      <c r="Y60" s="236"/>
      <c r="Z60" s="236"/>
      <c r="AA60" s="236"/>
      <c r="AB60" s="236"/>
      <c r="AC60" s="236"/>
      <c r="AD60" s="105"/>
      <c r="AE60" s="105"/>
      <c r="AF60" s="105"/>
      <c r="AG60" s="105"/>
      <c r="AH60" s="105"/>
      <c r="AI60" s="105"/>
      <c r="AJ60" s="105"/>
      <c r="AK60" s="105"/>
      <c r="AL60" s="105"/>
      <c r="AM60" s="105"/>
      <c r="AN60" s="105"/>
      <c r="AO60" s="105"/>
      <c r="AP60" s="105"/>
      <c r="AQ60" s="105"/>
      <c r="AR60" s="105"/>
    </row>
    <row r="61" spans="1:44" s="137" customFormat="1">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7"/>
      <c r="Y61" s="236"/>
      <c r="Z61" s="236"/>
      <c r="AA61" s="236"/>
      <c r="AB61" s="236"/>
      <c r="AC61" s="236"/>
      <c r="AD61" s="105"/>
      <c r="AE61" s="105"/>
      <c r="AF61" s="105"/>
      <c r="AG61" s="105"/>
      <c r="AH61" s="105"/>
      <c r="AI61" s="105"/>
      <c r="AJ61" s="105"/>
      <c r="AK61" s="105"/>
      <c r="AL61" s="105"/>
      <c r="AM61" s="105"/>
      <c r="AN61" s="105"/>
      <c r="AO61" s="105"/>
      <c r="AP61" s="105"/>
      <c r="AQ61" s="105"/>
      <c r="AR61" s="105"/>
    </row>
    <row r="62" spans="1:44" s="137" customFormat="1">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36"/>
      <c r="Z62" s="236"/>
      <c r="AA62" s="236"/>
      <c r="AB62" s="236"/>
      <c r="AC62" s="236"/>
      <c r="AD62" s="105"/>
      <c r="AE62" s="105"/>
      <c r="AF62" s="105"/>
      <c r="AG62" s="105"/>
      <c r="AH62" s="105"/>
      <c r="AI62" s="105"/>
      <c r="AJ62" s="105"/>
      <c r="AK62" s="105"/>
      <c r="AL62" s="105"/>
      <c r="AM62" s="105"/>
      <c r="AN62" s="105"/>
      <c r="AO62" s="105"/>
      <c r="AP62" s="105"/>
      <c r="AQ62" s="105"/>
      <c r="AR62" s="105"/>
    </row>
    <row r="63" spans="1:44" s="137" customFormat="1">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7"/>
      <c r="Y63" s="236"/>
      <c r="Z63" s="236"/>
      <c r="AA63" s="236"/>
      <c r="AB63" s="236"/>
      <c r="AC63" s="236"/>
      <c r="AD63" s="105"/>
      <c r="AE63" s="105"/>
      <c r="AF63" s="105"/>
      <c r="AG63" s="105"/>
      <c r="AH63" s="105"/>
      <c r="AI63" s="105"/>
      <c r="AJ63" s="105"/>
      <c r="AK63" s="105"/>
      <c r="AL63" s="105"/>
      <c r="AM63" s="105"/>
      <c r="AN63" s="105"/>
      <c r="AO63" s="105"/>
      <c r="AP63" s="105"/>
      <c r="AQ63" s="105"/>
      <c r="AR63" s="105"/>
    </row>
    <row r="64" spans="1:44" s="137" customFormat="1">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7"/>
      <c r="Y64" s="236"/>
      <c r="Z64" s="236"/>
      <c r="AA64" s="236"/>
      <c r="AB64" s="236"/>
      <c r="AC64" s="236"/>
      <c r="AD64" s="105"/>
      <c r="AE64" s="105"/>
      <c r="AF64" s="105"/>
      <c r="AG64" s="105"/>
      <c r="AH64" s="105"/>
      <c r="AI64" s="105"/>
      <c r="AJ64" s="105"/>
      <c r="AK64" s="105"/>
      <c r="AL64" s="105"/>
      <c r="AM64" s="105"/>
      <c r="AN64" s="105"/>
      <c r="AO64" s="105"/>
      <c r="AP64" s="105"/>
      <c r="AQ64" s="105"/>
      <c r="AR64" s="105"/>
    </row>
    <row r="65" spans="1:44" s="137" customFormat="1">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7"/>
      <c r="Y65" s="236"/>
      <c r="Z65" s="236"/>
      <c r="AA65" s="236"/>
      <c r="AB65" s="236"/>
      <c r="AC65" s="236"/>
      <c r="AD65" s="105"/>
      <c r="AE65" s="105"/>
      <c r="AF65" s="105"/>
      <c r="AG65" s="105"/>
      <c r="AH65" s="105"/>
      <c r="AI65" s="105"/>
      <c r="AJ65" s="105"/>
      <c r="AK65" s="105"/>
      <c r="AL65" s="105"/>
      <c r="AM65" s="105"/>
      <c r="AN65" s="105"/>
      <c r="AO65" s="105"/>
      <c r="AP65" s="105"/>
      <c r="AQ65" s="105"/>
      <c r="AR65" s="105"/>
    </row>
    <row r="66" spans="1:44" s="137" customFormat="1">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36"/>
      <c r="Z66" s="236"/>
      <c r="AA66" s="236"/>
      <c r="AB66" s="236"/>
      <c r="AC66" s="236"/>
      <c r="AD66" s="105"/>
      <c r="AE66" s="105"/>
      <c r="AF66" s="105"/>
      <c r="AG66" s="105"/>
      <c r="AH66" s="105"/>
      <c r="AI66" s="105"/>
      <c r="AJ66" s="105"/>
      <c r="AK66" s="105"/>
      <c r="AL66" s="105"/>
      <c r="AM66" s="105"/>
      <c r="AN66" s="105"/>
      <c r="AO66" s="105"/>
      <c r="AP66" s="105"/>
      <c r="AQ66" s="105"/>
      <c r="AR66" s="105"/>
    </row>
    <row r="67" spans="1:44" s="137" customFormat="1">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7"/>
      <c r="Y67" s="236"/>
      <c r="Z67" s="236"/>
      <c r="AA67" s="236"/>
      <c r="AB67" s="236"/>
      <c r="AC67" s="236"/>
      <c r="AD67" s="105"/>
      <c r="AE67" s="105"/>
      <c r="AF67" s="105"/>
      <c r="AG67" s="105"/>
      <c r="AH67" s="105"/>
      <c r="AI67" s="105"/>
      <c r="AJ67" s="105"/>
      <c r="AK67" s="105"/>
      <c r="AL67" s="105"/>
      <c r="AM67" s="105"/>
      <c r="AN67" s="105"/>
      <c r="AO67" s="105"/>
      <c r="AP67" s="105"/>
      <c r="AQ67" s="105"/>
      <c r="AR67" s="105"/>
    </row>
    <row r="68" spans="1:44" s="137" customFormat="1">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7"/>
      <c r="Y68" s="236"/>
      <c r="Z68" s="236"/>
      <c r="AA68" s="236"/>
      <c r="AB68" s="236"/>
      <c r="AC68" s="236"/>
      <c r="AD68" s="105"/>
      <c r="AE68" s="105"/>
      <c r="AF68" s="105"/>
      <c r="AG68" s="105"/>
      <c r="AH68" s="105"/>
      <c r="AI68" s="105"/>
      <c r="AJ68" s="105"/>
      <c r="AK68" s="105"/>
      <c r="AL68" s="105"/>
      <c r="AM68" s="105"/>
      <c r="AN68" s="105"/>
      <c r="AO68" s="105"/>
      <c r="AP68" s="105"/>
      <c r="AQ68" s="105"/>
      <c r="AR68" s="105"/>
    </row>
    <row r="69" spans="1:44" s="137" customFormat="1">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7"/>
      <c r="Y69" s="236"/>
      <c r="Z69" s="236"/>
      <c r="AA69" s="236"/>
      <c r="AB69" s="236"/>
      <c r="AC69" s="236"/>
      <c r="AD69" s="105"/>
      <c r="AE69" s="105"/>
      <c r="AF69" s="105"/>
      <c r="AG69" s="105"/>
      <c r="AH69" s="105"/>
      <c r="AI69" s="105"/>
      <c r="AJ69" s="105"/>
      <c r="AK69" s="105"/>
      <c r="AL69" s="105"/>
      <c r="AM69" s="105"/>
      <c r="AN69" s="105"/>
      <c r="AO69" s="105"/>
      <c r="AP69" s="105"/>
      <c r="AQ69" s="105"/>
      <c r="AR69" s="105"/>
    </row>
    <row r="70" spans="1:44">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36"/>
      <c r="Z70" s="236"/>
      <c r="AA70" s="236"/>
      <c r="AB70" s="236"/>
      <c r="AC70" s="236"/>
      <c r="AD70" s="105"/>
      <c r="AE70" s="105"/>
      <c r="AF70" s="105"/>
      <c r="AG70" s="105"/>
      <c r="AH70" s="105"/>
      <c r="AI70" s="105"/>
      <c r="AJ70" s="105"/>
      <c r="AK70" s="105"/>
      <c r="AL70" s="105"/>
      <c r="AM70" s="105"/>
      <c r="AN70" s="105"/>
      <c r="AO70" s="105"/>
      <c r="AP70" s="105"/>
      <c r="AQ70" s="105"/>
      <c r="AR70" s="105"/>
    </row>
    <row r="71" spans="1:44">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7"/>
      <c r="Y71" s="236"/>
      <c r="Z71" s="236"/>
      <c r="AA71" s="236"/>
      <c r="AB71" s="236"/>
      <c r="AC71" s="236"/>
      <c r="AD71" s="105"/>
      <c r="AE71" s="105"/>
      <c r="AF71" s="105"/>
      <c r="AG71" s="105"/>
      <c r="AH71" s="105"/>
      <c r="AI71" s="105"/>
      <c r="AJ71" s="105"/>
      <c r="AK71" s="105"/>
      <c r="AL71" s="105"/>
      <c r="AM71" s="105"/>
      <c r="AN71" s="105"/>
      <c r="AO71" s="105"/>
      <c r="AP71" s="105"/>
      <c r="AQ71" s="105"/>
      <c r="AR71" s="105"/>
    </row>
    <row r="72" spans="1:44">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7"/>
      <c r="Y72" s="236"/>
      <c r="Z72" s="236"/>
      <c r="AA72" s="236"/>
      <c r="AB72" s="236"/>
      <c r="AC72" s="236"/>
      <c r="AD72" s="105"/>
      <c r="AE72" s="105"/>
      <c r="AF72" s="105"/>
      <c r="AG72" s="105"/>
      <c r="AH72" s="105"/>
      <c r="AI72" s="105"/>
      <c r="AJ72" s="105"/>
      <c r="AK72" s="105"/>
      <c r="AL72" s="105"/>
      <c r="AM72" s="105"/>
      <c r="AN72" s="105"/>
      <c r="AO72" s="105"/>
      <c r="AP72" s="105"/>
      <c r="AQ72" s="105"/>
      <c r="AR72" s="105"/>
    </row>
    <row r="73" spans="1:44">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7"/>
      <c r="Y73" s="236"/>
      <c r="Z73" s="236"/>
      <c r="AA73" s="236"/>
      <c r="AB73" s="236"/>
      <c r="AC73" s="236"/>
      <c r="AD73" s="105"/>
      <c r="AE73" s="105"/>
      <c r="AF73" s="105"/>
      <c r="AG73" s="105"/>
      <c r="AH73" s="105"/>
      <c r="AI73" s="105"/>
      <c r="AJ73" s="105"/>
      <c r="AK73" s="105"/>
      <c r="AL73" s="105"/>
      <c r="AM73" s="105"/>
      <c r="AN73" s="105"/>
      <c r="AO73" s="105"/>
      <c r="AP73" s="105"/>
      <c r="AQ73" s="105"/>
      <c r="AR73" s="105"/>
    </row>
    <row r="74" spans="1:44">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36"/>
      <c r="Z74" s="236"/>
      <c r="AA74" s="236"/>
      <c r="AB74" s="236"/>
      <c r="AC74" s="236"/>
      <c r="AD74" s="105"/>
      <c r="AE74" s="105"/>
      <c r="AF74" s="105"/>
      <c r="AG74" s="105"/>
      <c r="AH74" s="105"/>
      <c r="AI74" s="105"/>
      <c r="AJ74" s="105"/>
      <c r="AK74" s="105"/>
      <c r="AL74" s="105"/>
      <c r="AM74" s="105"/>
      <c r="AN74" s="105"/>
      <c r="AO74" s="105"/>
      <c r="AP74" s="105"/>
      <c r="AQ74" s="105"/>
      <c r="AR74" s="105"/>
    </row>
    <row r="75" spans="1:44">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7"/>
      <c r="Y75" s="236"/>
      <c r="Z75" s="236"/>
      <c r="AA75" s="236"/>
      <c r="AB75" s="236"/>
      <c r="AC75" s="236"/>
      <c r="AD75" s="105"/>
      <c r="AE75" s="105"/>
      <c r="AF75" s="105"/>
      <c r="AG75" s="105"/>
      <c r="AH75" s="105"/>
      <c r="AI75" s="105"/>
      <c r="AJ75" s="105"/>
      <c r="AK75" s="105"/>
      <c r="AL75" s="105"/>
      <c r="AM75" s="105"/>
      <c r="AN75" s="105"/>
      <c r="AO75" s="105"/>
      <c r="AP75" s="105"/>
      <c r="AQ75" s="105"/>
      <c r="AR75" s="105"/>
    </row>
    <row r="76" spans="1:44">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7"/>
      <c r="Y76" s="236"/>
      <c r="Z76" s="236"/>
      <c r="AA76" s="236"/>
      <c r="AB76" s="236"/>
      <c r="AC76" s="236"/>
      <c r="AD76" s="105"/>
      <c r="AE76" s="105"/>
      <c r="AF76" s="105"/>
      <c r="AG76" s="105"/>
      <c r="AH76" s="105"/>
      <c r="AI76" s="105"/>
      <c r="AJ76" s="105"/>
      <c r="AK76" s="105"/>
      <c r="AL76" s="105"/>
      <c r="AM76" s="105"/>
      <c r="AN76" s="105"/>
      <c r="AO76" s="105"/>
      <c r="AP76" s="105"/>
      <c r="AQ76" s="105"/>
      <c r="AR76" s="105"/>
    </row>
    <row r="77" spans="1:44">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7"/>
      <c r="Y77" s="236"/>
      <c r="Z77" s="236"/>
      <c r="AA77" s="236"/>
      <c r="AB77" s="236"/>
      <c r="AC77" s="236"/>
      <c r="AD77" s="105"/>
      <c r="AE77" s="105"/>
      <c r="AF77" s="105"/>
      <c r="AG77" s="105"/>
      <c r="AH77" s="105"/>
      <c r="AI77" s="105"/>
      <c r="AJ77" s="105"/>
      <c r="AK77" s="105"/>
      <c r="AL77" s="105"/>
      <c r="AM77" s="105"/>
      <c r="AN77" s="105"/>
      <c r="AO77" s="105"/>
      <c r="AP77" s="105"/>
      <c r="AQ77" s="105"/>
      <c r="AR77" s="105"/>
    </row>
    <row r="78" spans="1:44">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36"/>
      <c r="Z78" s="236"/>
      <c r="AA78" s="236"/>
      <c r="AB78" s="236"/>
      <c r="AC78" s="236"/>
      <c r="AD78" s="105"/>
      <c r="AE78" s="105"/>
      <c r="AF78" s="105"/>
      <c r="AG78" s="105"/>
      <c r="AH78" s="105"/>
      <c r="AI78" s="105"/>
      <c r="AJ78" s="105"/>
      <c r="AK78" s="105"/>
      <c r="AL78" s="105"/>
      <c r="AM78" s="105"/>
      <c r="AN78" s="105"/>
      <c r="AO78" s="105"/>
      <c r="AP78" s="105"/>
      <c r="AQ78" s="105"/>
      <c r="AR78" s="105"/>
    </row>
    <row r="79" spans="1:44">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7"/>
      <c r="Y79" s="236"/>
      <c r="Z79" s="236"/>
      <c r="AA79" s="236"/>
      <c r="AB79" s="236"/>
      <c r="AC79" s="236"/>
      <c r="AD79" s="105"/>
      <c r="AE79" s="105"/>
      <c r="AF79" s="105"/>
      <c r="AG79" s="105"/>
      <c r="AH79" s="105"/>
      <c r="AI79" s="105"/>
      <c r="AJ79" s="105"/>
      <c r="AK79" s="105"/>
      <c r="AL79" s="105"/>
      <c r="AM79" s="105"/>
      <c r="AN79" s="105"/>
      <c r="AO79" s="105"/>
      <c r="AP79" s="105"/>
      <c r="AQ79" s="105"/>
      <c r="AR79" s="105"/>
    </row>
    <row r="80" spans="1:44">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7"/>
      <c r="Y80" s="236"/>
      <c r="Z80" s="236"/>
      <c r="AA80" s="236"/>
      <c r="AB80" s="236"/>
      <c r="AC80" s="236"/>
      <c r="AD80" s="105"/>
      <c r="AE80" s="105"/>
      <c r="AF80" s="105"/>
      <c r="AG80" s="105"/>
      <c r="AH80" s="105"/>
      <c r="AI80" s="105"/>
      <c r="AJ80" s="105"/>
      <c r="AK80" s="105"/>
      <c r="AL80" s="105"/>
      <c r="AM80" s="105"/>
      <c r="AN80" s="105"/>
      <c r="AO80" s="105"/>
      <c r="AP80" s="105"/>
      <c r="AQ80" s="105"/>
      <c r="AR80" s="105"/>
    </row>
    <row r="81" spans="1:44">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7"/>
      <c r="Y81" s="236"/>
      <c r="Z81" s="236"/>
      <c r="AA81" s="236"/>
      <c r="AB81" s="236"/>
      <c r="AC81" s="236"/>
      <c r="AD81" s="105"/>
      <c r="AE81" s="105"/>
      <c r="AF81" s="105"/>
      <c r="AG81" s="105"/>
      <c r="AH81" s="105"/>
      <c r="AI81" s="105"/>
      <c r="AJ81" s="105"/>
      <c r="AK81" s="105"/>
      <c r="AL81" s="105"/>
      <c r="AM81" s="105"/>
      <c r="AN81" s="105"/>
      <c r="AO81" s="105"/>
      <c r="AP81" s="105"/>
      <c r="AQ81" s="105"/>
      <c r="AR81" s="105"/>
    </row>
    <row r="82" spans="1:44">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7"/>
      <c r="Y82" s="236"/>
      <c r="Z82" s="236"/>
      <c r="AA82" s="236"/>
      <c r="AB82" s="236"/>
      <c r="AC82" s="236"/>
      <c r="AD82" s="105"/>
      <c r="AE82" s="105"/>
      <c r="AF82" s="105"/>
      <c r="AG82" s="105"/>
      <c r="AH82" s="105"/>
      <c r="AI82" s="105"/>
      <c r="AJ82" s="105"/>
      <c r="AK82" s="105"/>
      <c r="AL82" s="105"/>
      <c r="AM82" s="105"/>
      <c r="AN82" s="105"/>
      <c r="AO82" s="105"/>
      <c r="AP82" s="105"/>
      <c r="AQ82" s="105"/>
      <c r="AR82" s="105"/>
    </row>
    <row r="83" spans="1:44">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7"/>
      <c r="Y83" s="236"/>
      <c r="Z83" s="236"/>
      <c r="AA83" s="236"/>
      <c r="AB83" s="236"/>
      <c r="AC83" s="236"/>
      <c r="AD83" s="105"/>
      <c r="AE83" s="105"/>
      <c r="AF83" s="105"/>
      <c r="AG83" s="105"/>
      <c r="AH83" s="105"/>
      <c r="AI83" s="105"/>
      <c r="AJ83" s="105"/>
      <c r="AK83" s="105"/>
      <c r="AL83" s="105"/>
      <c r="AM83" s="105"/>
      <c r="AN83" s="105"/>
      <c r="AO83" s="105"/>
      <c r="AP83" s="105"/>
      <c r="AQ83" s="105"/>
      <c r="AR83" s="105"/>
    </row>
    <row r="84" spans="1:44">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7"/>
      <c r="Y84" s="236"/>
      <c r="Z84" s="236"/>
      <c r="AA84" s="236"/>
      <c r="AB84" s="236"/>
      <c r="AC84" s="236"/>
      <c r="AD84" s="105"/>
      <c r="AE84" s="105"/>
      <c r="AF84" s="105"/>
      <c r="AG84" s="105"/>
      <c r="AH84" s="105"/>
      <c r="AI84" s="105"/>
      <c r="AJ84" s="105"/>
      <c r="AK84" s="105"/>
      <c r="AL84" s="105"/>
      <c r="AM84" s="105"/>
      <c r="AN84" s="105"/>
      <c r="AO84" s="105"/>
      <c r="AP84" s="105"/>
      <c r="AQ84" s="105"/>
      <c r="AR84" s="105"/>
    </row>
    <row r="85" spans="1:44">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7"/>
      <c r="Y85" s="236"/>
      <c r="Z85" s="236"/>
      <c r="AA85" s="236"/>
      <c r="AB85" s="236"/>
      <c r="AC85" s="236"/>
      <c r="AD85" s="105"/>
      <c r="AE85" s="105"/>
      <c r="AF85" s="105"/>
      <c r="AG85" s="105"/>
      <c r="AH85" s="105"/>
      <c r="AI85" s="105"/>
      <c r="AJ85" s="105"/>
      <c r="AK85" s="105"/>
      <c r="AL85" s="105"/>
      <c r="AM85" s="105"/>
      <c r="AN85" s="105"/>
      <c r="AO85" s="105"/>
      <c r="AP85" s="105"/>
      <c r="AQ85" s="105"/>
      <c r="AR85" s="105"/>
    </row>
    <row r="86" spans="1:44">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36"/>
      <c r="Z86" s="236"/>
      <c r="AA86" s="236"/>
      <c r="AB86" s="236"/>
      <c r="AC86" s="236"/>
      <c r="AD86" s="105"/>
      <c r="AE86" s="105"/>
      <c r="AF86" s="105"/>
      <c r="AG86" s="105"/>
      <c r="AH86" s="105"/>
      <c r="AI86" s="105"/>
      <c r="AJ86" s="105"/>
      <c r="AK86" s="105"/>
      <c r="AL86" s="105"/>
      <c r="AM86" s="105"/>
      <c r="AN86" s="105"/>
      <c r="AO86" s="105"/>
      <c r="AP86" s="105"/>
      <c r="AQ86" s="105"/>
      <c r="AR86" s="105"/>
    </row>
    <row r="87" spans="1:44">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7"/>
      <c r="Y87" s="236"/>
      <c r="Z87" s="236"/>
      <c r="AA87" s="236"/>
      <c r="AB87" s="236"/>
      <c r="AC87" s="236"/>
      <c r="AD87" s="105"/>
      <c r="AE87" s="105"/>
      <c r="AF87" s="105"/>
      <c r="AG87" s="105"/>
      <c r="AH87" s="105"/>
      <c r="AI87" s="105"/>
      <c r="AJ87" s="105"/>
      <c r="AK87" s="105"/>
      <c r="AL87" s="105"/>
      <c r="AM87" s="105"/>
      <c r="AN87" s="105"/>
      <c r="AO87" s="105"/>
      <c r="AP87" s="105"/>
      <c r="AQ87" s="105"/>
      <c r="AR87" s="105"/>
    </row>
    <row r="88" spans="1:44">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7"/>
      <c r="Y88" s="236"/>
      <c r="Z88" s="236"/>
      <c r="AA88" s="236"/>
      <c r="AB88" s="236"/>
      <c r="AC88" s="236"/>
      <c r="AD88" s="105"/>
      <c r="AE88" s="105"/>
      <c r="AF88" s="105"/>
      <c r="AG88" s="105"/>
      <c r="AH88" s="105"/>
      <c r="AI88" s="105"/>
      <c r="AJ88" s="105"/>
      <c r="AK88" s="105"/>
      <c r="AL88" s="105"/>
      <c r="AM88" s="105"/>
      <c r="AN88" s="105"/>
      <c r="AO88" s="105"/>
      <c r="AP88" s="105"/>
      <c r="AQ88" s="105"/>
      <c r="AR88" s="105"/>
    </row>
    <row r="89" spans="1:44">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7"/>
      <c r="Y89" s="236"/>
      <c r="Z89" s="236"/>
      <c r="AA89" s="236"/>
      <c r="AB89" s="236"/>
      <c r="AC89" s="236"/>
      <c r="AD89" s="105"/>
      <c r="AE89" s="105"/>
      <c r="AF89" s="105"/>
      <c r="AG89" s="105"/>
      <c r="AH89" s="105"/>
      <c r="AI89" s="105"/>
      <c r="AJ89" s="105"/>
      <c r="AK89" s="105"/>
      <c r="AL89" s="105"/>
      <c r="AM89" s="105"/>
      <c r="AN89" s="105"/>
      <c r="AO89" s="105"/>
      <c r="AP89" s="105"/>
      <c r="AQ89" s="105"/>
      <c r="AR89" s="105"/>
    </row>
    <row r="90" spans="1:44">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7"/>
      <c r="Y90" s="236"/>
      <c r="Z90" s="236"/>
      <c r="AA90" s="236"/>
      <c r="AB90" s="236"/>
      <c r="AC90" s="236"/>
      <c r="AD90" s="105"/>
      <c r="AE90" s="105"/>
      <c r="AF90" s="105"/>
      <c r="AG90" s="105"/>
      <c r="AH90" s="105"/>
      <c r="AI90" s="105"/>
      <c r="AJ90" s="105"/>
      <c r="AK90" s="105"/>
      <c r="AL90" s="105"/>
      <c r="AM90" s="105"/>
      <c r="AN90" s="105"/>
      <c r="AO90" s="105"/>
      <c r="AP90" s="105"/>
      <c r="AQ90" s="105"/>
      <c r="AR90" s="105"/>
    </row>
    <row r="91" spans="1:44">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7"/>
      <c r="Y91" s="236"/>
      <c r="Z91" s="236"/>
      <c r="AA91" s="236"/>
      <c r="AB91" s="236"/>
      <c r="AC91" s="236"/>
      <c r="AD91" s="105"/>
      <c r="AE91" s="105"/>
      <c r="AF91" s="105"/>
      <c r="AG91" s="105"/>
      <c r="AH91" s="105"/>
      <c r="AI91" s="105"/>
      <c r="AJ91" s="105"/>
      <c r="AK91" s="105"/>
      <c r="AL91" s="105"/>
      <c r="AM91" s="105"/>
      <c r="AN91" s="105"/>
      <c r="AO91" s="105"/>
      <c r="AP91" s="105"/>
      <c r="AQ91" s="105"/>
      <c r="AR91" s="105"/>
    </row>
    <row r="92" spans="1:44">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7"/>
      <c r="Y92" s="236"/>
      <c r="Z92" s="236"/>
      <c r="AA92" s="236"/>
      <c r="AB92" s="236"/>
      <c r="AC92" s="236"/>
      <c r="AD92" s="105"/>
      <c r="AE92" s="105"/>
      <c r="AF92" s="105"/>
      <c r="AG92" s="105"/>
      <c r="AH92" s="105"/>
      <c r="AI92" s="105"/>
      <c r="AJ92" s="105"/>
      <c r="AK92" s="105"/>
      <c r="AL92" s="105"/>
      <c r="AM92" s="105"/>
      <c r="AN92" s="105"/>
      <c r="AO92" s="105"/>
      <c r="AP92" s="105"/>
      <c r="AQ92" s="105"/>
      <c r="AR92" s="105"/>
    </row>
    <row r="93" spans="1:44">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7"/>
      <c r="Y93" s="236"/>
      <c r="Z93" s="236"/>
      <c r="AA93" s="236"/>
      <c r="AB93" s="236"/>
      <c r="AC93" s="236"/>
      <c r="AD93" s="105"/>
      <c r="AE93" s="105"/>
      <c r="AF93" s="105"/>
      <c r="AG93" s="105"/>
      <c r="AH93" s="105"/>
      <c r="AI93" s="105"/>
      <c r="AJ93" s="105"/>
      <c r="AK93" s="105"/>
      <c r="AL93" s="105"/>
      <c r="AM93" s="105"/>
      <c r="AN93" s="105"/>
      <c r="AO93" s="105"/>
      <c r="AP93" s="105"/>
      <c r="AQ93" s="105"/>
      <c r="AR93" s="105"/>
    </row>
    <row r="94" spans="1:44">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7"/>
      <c r="Y94" s="236"/>
      <c r="Z94" s="236"/>
      <c r="AA94" s="236"/>
      <c r="AB94" s="236"/>
      <c r="AC94" s="236"/>
      <c r="AD94" s="105"/>
      <c r="AE94" s="105"/>
      <c r="AF94" s="105"/>
      <c r="AG94" s="105"/>
      <c r="AH94" s="105"/>
      <c r="AI94" s="105"/>
      <c r="AJ94" s="105"/>
      <c r="AK94" s="105"/>
      <c r="AL94" s="105"/>
      <c r="AM94" s="105"/>
      <c r="AN94" s="105"/>
      <c r="AO94" s="105"/>
      <c r="AP94" s="105"/>
      <c r="AQ94" s="105"/>
      <c r="AR94" s="105"/>
    </row>
    <row r="95" spans="1:44">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7"/>
      <c r="Y95" s="236"/>
      <c r="Z95" s="236"/>
      <c r="AA95" s="236"/>
      <c r="AB95" s="236"/>
      <c r="AC95" s="236"/>
      <c r="AD95" s="105"/>
      <c r="AE95" s="105"/>
      <c r="AF95" s="105"/>
      <c r="AG95" s="105"/>
      <c r="AH95" s="105"/>
      <c r="AI95" s="105"/>
      <c r="AJ95" s="105"/>
      <c r="AK95" s="105"/>
      <c r="AL95" s="105"/>
      <c r="AM95" s="105"/>
      <c r="AN95" s="105"/>
      <c r="AO95" s="105"/>
      <c r="AP95" s="105"/>
      <c r="AQ95" s="105"/>
      <c r="AR95" s="105"/>
    </row>
    <row r="96" spans="1:44">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7"/>
      <c r="Y96" s="236"/>
      <c r="Z96" s="236"/>
      <c r="AA96" s="236"/>
      <c r="AB96" s="236"/>
      <c r="AC96" s="236"/>
      <c r="AD96" s="105"/>
      <c r="AE96" s="105"/>
      <c r="AF96" s="105"/>
      <c r="AG96" s="105"/>
      <c r="AH96" s="105"/>
      <c r="AI96" s="105"/>
      <c r="AJ96" s="105"/>
      <c r="AK96" s="105"/>
      <c r="AL96" s="105"/>
      <c r="AM96" s="105"/>
      <c r="AN96" s="105"/>
      <c r="AO96" s="105"/>
      <c r="AP96" s="105"/>
      <c r="AQ96" s="105"/>
      <c r="AR96" s="105"/>
    </row>
    <row r="97" spans="1:44">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7"/>
      <c r="Y97" s="236"/>
      <c r="Z97" s="236"/>
      <c r="AA97" s="236"/>
      <c r="AB97" s="236"/>
      <c r="AC97" s="236"/>
      <c r="AD97" s="105"/>
      <c r="AE97" s="105"/>
      <c r="AF97" s="105"/>
      <c r="AG97" s="105"/>
      <c r="AH97" s="105"/>
      <c r="AI97" s="105"/>
      <c r="AJ97" s="105"/>
      <c r="AK97" s="105"/>
      <c r="AL97" s="105"/>
      <c r="AM97" s="105"/>
      <c r="AN97" s="105"/>
      <c r="AO97" s="105"/>
      <c r="AP97" s="105"/>
      <c r="AQ97" s="105"/>
      <c r="AR97" s="105"/>
    </row>
    <row r="98" spans="1:44">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7"/>
      <c r="Y98" s="236"/>
      <c r="Z98" s="236"/>
      <c r="AA98" s="236"/>
      <c r="AB98" s="236"/>
      <c r="AC98" s="236"/>
      <c r="AD98" s="105"/>
      <c r="AE98" s="105"/>
      <c r="AF98" s="105"/>
      <c r="AG98" s="105"/>
      <c r="AH98" s="105"/>
      <c r="AI98" s="105"/>
      <c r="AJ98" s="105"/>
      <c r="AK98" s="105"/>
      <c r="AL98" s="105"/>
      <c r="AM98" s="105"/>
      <c r="AN98" s="105"/>
      <c r="AO98" s="105"/>
      <c r="AP98" s="105"/>
      <c r="AQ98" s="105"/>
      <c r="AR98" s="105"/>
    </row>
    <row r="99" spans="1:44">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7"/>
      <c r="Y99" s="236"/>
      <c r="Z99" s="236"/>
      <c r="AA99" s="236"/>
      <c r="AB99" s="236"/>
      <c r="AC99" s="236"/>
      <c r="AD99" s="105"/>
      <c r="AE99" s="105"/>
      <c r="AF99" s="105"/>
      <c r="AG99" s="105"/>
      <c r="AH99" s="105"/>
      <c r="AI99" s="105"/>
      <c r="AJ99" s="105"/>
      <c r="AK99" s="105"/>
      <c r="AL99" s="105"/>
      <c r="AM99" s="105"/>
      <c r="AN99" s="105"/>
      <c r="AO99" s="105"/>
      <c r="AP99" s="105"/>
      <c r="AQ99" s="105"/>
      <c r="AR99" s="105"/>
    </row>
    <row r="100" spans="1:44">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7"/>
      <c r="Y100" s="236"/>
      <c r="Z100" s="236"/>
      <c r="AA100" s="236"/>
      <c r="AB100" s="236"/>
      <c r="AC100" s="236"/>
      <c r="AD100" s="105"/>
      <c r="AE100" s="105"/>
      <c r="AF100" s="105"/>
      <c r="AG100" s="105"/>
      <c r="AH100" s="105"/>
      <c r="AI100" s="105"/>
      <c r="AJ100" s="105"/>
      <c r="AK100" s="105"/>
      <c r="AL100" s="105"/>
      <c r="AM100" s="105"/>
      <c r="AN100" s="105"/>
      <c r="AO100" s="105"/>
      <c r="AP100" s="105"/>
      <c r="AQ100" s="105"/>
      <c r="AR100" s="105"/>
    </row>
    <row r="101" spans="1:44">
      <c r="A101" s="236"/>
      <c r="B101" s="236"/>
      <c r="C101" s="236"/>
      <c r="D101" s="236"/>
      <c r="E101" s="236"/>
      <c r="F101" s="236"/>
      <c r="G101" s="236"/>
      <c r="H101" s="236"/>
      <c r="I101" s="236"/>
      <c r="J101" s="236"/>
      <c r="K101" s="236"/>
      <c r="L101" s="236"/>
      <c r="M101" s="236"/>
      <c r="N101" s="236"/>
      <c r="O101" s="236"/>
      <c r="P101" s="236"/>
      <c r="R101" s="236"/>
      <c r="S101" s="236"/>
      <c r="T101" s="236"/>
      <c r="U101" s="236"/>
      <c r="V101" s="236"/>
      <c r="W101" s="236"/>
      <c r="X101" s="237"/>
      <c r="Y101" s="236"/>
      <c r="Z101" s="236"/>
      <c r="AA101" s="236"/>
      <c r="AB101" s="236"/>
      <c r="AC101" s="236"/>
      <c r="AD101" s="105"/>
      <c r="AE101" s="105"/>
      <c r="AF101" s="105"/>
      <c r="AG101" s="105"/>
      <c r="AH101" s="105"/>
      <c r="AI101" s="105"/>
      <c r="AJ101" s="105"/>
      <c r="AK101" s="105"/>
      <c r="AL101" s="105"/>
      <c r="AM101" s="105"/>
      <c r="AN101" s="105"/>
      <c r="AO101" s="105"/>
      <c r="AP101" s="105"/>
      <c r="AQ101" s="105"/>
      <c r="AR101" s="105"/>
    </row>
    <row r="102" spans="1:44">
      <c r="A102" s="236"/>
      <c r="B102" s="236"/>
      <c r="C102" s="236"/>
      <c r="D102" s="236"/>
      <c r="E102" s="236"/>
      <c r="F102" s="236"/>
      <c r="G102" s="236"/>
      <c r="H102" s="236"/>
      <c r="I102" s="236"/>
      <c r="J102" s="236"/>
      <c r="K102" s="236"/>
      <c r="L102" s="236"/>
      <c r="M102" s="236"/>
      <c r="N102" s="236"/>
      <c r="O102" s="236"/>
      <c r="P102" s="236"/>
      <c r="R102" s="236"/>
      <c r="S102" s="236"/>
      <c r="T102" s="236"/>
      <c r="U102" s="236"/>
      <c r="V102" s="236"/>
      <c r="W102" s="236"/>
      <c r="X102" s="237"/>
      <c r="Y102" s="236"/>
      <c r="Z102" s="236"/>
      <c r="AA102" s="236"/>
      <c r="AB102" s="236"/>
      <c r="AC102" s="236"/>
      <c r="AD102" s="105"/>
      <c r="AE102" s="105"/>
      <c r="AF102" s="105"/>
      <c r="AG102" s="105"/>
      <c r="AH102" s="105"/>
      <c r="AI102" s="105"/>
      <c r="AJ102" s="105"/>
      <c r="AK102" s="105"/>
      <c r="AL102" s="105"/>
      <c r="AM102" s="105"/>
      <c r="AN102" s="105"/>
      <c r="AO102" s="105"/>
      <c r="AP102" s="105"/>
      <c r="AQ102" s="105"/>
      <c r="AR102" s="105"/>
    </row>
  </sheetData>
  <sheetProtection algorithmName="SHA-512" hashValue="pGcn82+VgAUMfcb2AFfK2ahM6BeksyFDZVr4OVZuhJv+OX2FgFH1pmDMLZ9hgEsCVScXGZkoLx9WQsGrfODLlg==" saltValue="miX7lWR4qapZTuFkU45LTQ==" spinCount="100000" sheet="1" objects="1" scenarios="1" selectLockedCells="1" selectUnlockedCells="1"/>
  <mergeCells count="48">
    <mergeCell ref="R35:S35"/>
    <mergeCell ref="V35:W35"/>
    <mergeCell ref="X35:Y35"/>
    <mergeCell ref="F24:G24"/>
    <mergeCell ref="H14:O14"/>
    <mergeCell ref="A11:O12"/>
    <mergeCell ref="R32:S32"/>
    <mergeCell ref="V32:W32"/>
    <mergeCell ref="X32:Y32"/>
    <mergeCell ref="A5:E5"/>
    <mergeCell ref="F19:G19"/>
    <mergeCell ref="A28:E28"/>
    <mergeCell ref="F28:G28"/>
    <mergeCell ref="A26:E26"/>
    <mergeCell ref="F26:G26"/>
    <mergeCell ref="A27:E27"/>
    <mergeCell ref="AB5:AJ5"/>
    <mergeCell ref="A6:E6"/>
    <mergeCell ref="AB6:AJ6"/>
    <mergeCell ref="AH10:AJ10"/>
    <mergeCell ref="AB10:AD10"/>
    <mergeCell ref="AE10:AG10"/>
    <mergeCell ref="A7:E7"/>
    <mergeCell ref="AB7:AJ7"/>
    <mergeCell ref="A8:E8"/>
    <mergeCell ref="A1:Q4"/>
    <mergeCell ref="F27:G27"/>
    <mergeCell ref="A20:E20"/>
    <mergeCell ref="F20:G20"/>
    <mergeCell ref="A22:G22"/>
    <mergeCell ref="A18:E18"/>
    <mergeCell ref="F17:G17"/>
    <mergeCell ref="A14:G15"/>
    <mergeCell ref="A25:E25"/>
    <mergeCell ref="F25:G25"/>
    <mergeCell ref="A16:E16"/>
    <mergeCell ref="F16:G16"/>
    <mergeCell ref="A23:E23"/>
    <mergeCell ref="F23:G23"/>
    <mergeCell ref="F18:G18"/>
    <mergeCell ref="A19:E19"/>
    <mergeCell ref="B37:P37"/>
    <mergeCell ref="B40:P40"/>
    <mergeCell ref="C31:G31"/>
    <mergeCell ref="B38:P38"/>
    <mergeCell ref="B39:P39"/>
    <mergeCell ref="A32:J32"/>
    <mergeCell ref="N34:O34"/>
  </mergeCells>
  <conditionalFormatting sqref="R30:R42 V30:W42 N34:N36 N42">
    <cfRule type="expression" dxfId="179" priority="5" stopIfTrue="1">
      <formula>N30=0</formula>
    </cfRule>
  </conditionalFormatting>
  <pageMargins left="0.74803149606299213" right="0.19685039370078741" top="0.39370078740157483" bottom="0.39370078740157483" header="0.19685039370078741" footer="0.19685039370078741"/>
  <pageSetup paperSize="9" scale="91"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A0651-C2AA-4732-AC80-D671CC1C7614}">
  <sheetPr>
    <tabColor rgb="FFFF0000"/>
    <pageSetUpPr fitToPage="1"/>
  </sheetPr>
  <dimension ref="A1:AR103"/>
  <sheetViews>
    <sheetView showGridLines="0" view="pageBreakPreview" zoomScaleNormal="100" zoomScaleSheetLayoutView="100" workbookViewId="0">
      <selection sqref="A1:P4"/>
    </sheetView>
  </sheetViews>
  <sheetFormatPr defaultColWidth="9.28515625" defaultRowHeight="11.25"/>
  <cols>
    <col min="1" max="4" width="3.5703125" style="137" customWidth="1"/>
    <col min="5" max="5" width="2.5703125" style="137" customWidth="1"/>
    <col min="6" max="7" width="3.5703125" style="137" customWidth="1"/>
    <col min="8" max="11" width="10" style="137" customWidth="1"/>
    <col min="12" max="12" width="9.28515625" style="137" customWidth="1"/>
    <col min="13" max="13" width="11.28515625" style="137" customWidth="1"/>
    <col min="14" max="14" width="10.42578125" style="137" customWidth="1"/>
    <col min="15" max="15" width="7.28515625" style="137" customWidth="1"/>
    <col min="16" max="16" width="1.42578125" style="137" customWidth="1"/>
    <col min="17" max="22" width="8" style="137" customWidth="1"/>
    <col min="23" max="23" width="8" style="134" customWidth="1"/>
    <col min="24" max="29" width="8" style="137" customWidth="1"/>
    <col min="30" max="35" width="8" style="136" customWidth="1"/>
    <col min="36" max="16384" width="9.28515625" style="136"/>
  </cols>
  <sheetData>
    <row r="1" spans="1:43" s="129" customFormat="1" ht="14.25" customHeight="1">
      <c r="A1" s="1517" t="s">
        <v>21</v>
      </c>
      <c r="B1" s="1518"/>
      <c r="C1" s="1518"/>
      <c r="D1" s="1518"/>
      <c r="E1" s="1518"/>
      <c r="F1" s="1518"/>
      <c r="G1" s="1518"/>
      <c r="H1" s="1518"/>
      <c r="I1" s="1518"/>
      <c r="J1" s="1518"/>
      <c r="K1" s="1518"/>
      <c r="L1" s="1518"/>
      <c r="M1" s="1518"/>
      <c r="N1" s="1518"/>
      <c r="O1" s="1518"/>
      <c r="P1" s="1519"/>
      <c r="Q1" s="127"/>
      <c r="R1" s="127"/>
      <c r="S1" s="127"/>
      <c r="T1" s="127"/>
      <c r="U1" s="127"/>
      <c r="V1" s="127"/>
      <c r="W1" s="128"/>
      <c r="X1" s="127"/>
      <c r="Y1" s="127"/>
      <c r="Z1" s="127"/>
      <c r="AA1" s="127"/>
      <c r="AB1" s="127"/>
      <c r="AC1" s="127"/>
      <c r="AD1" s="127"/>
      <c r="AE1" s="127"/>
      <c r="AF1" s="127"/>
      <c r="AG1" s="127"/>
      <c r="AH1" s="127"/>
      <c r="AI1" s="127"/>
      <c r="AJ1" s="56"/>
      <c r="AK1" s="56"/>
      <c r="AL1" s="56"/>
      <c r="AM1" s="56"/>
      <c r="AN1" s="56"/>
      <c r="AO1" s="56"/>
      <c r="AP1" s="56"/>
      <c r="AQ1" s="56"/>
    </row>
    <row r="2" spans="1:43" s="129" customFormat="1" ht="14.25" customHeight="1">
      <c r="A2" s="1520"/>
      <c r="B2" s="1521"/>
      <c r="C2" s="1521"/>
      <c r="D2" s="1521"/>
      <c r="E2" s="1521"/>
      <c r="F2" s="1521"/>
      <c r="G2" s="1521"/>
      <c r="H2" s="1521"/>
      <c r="I2" s="1521"/>
      <c r="J2" s="1521"/>
      <c r="K2" s="1521"/>
      <c r="L2" s="1521"/>
      <c r="M2" s="1521"/>
      <c r="N2" s="1521"/>
      <c r="O2" s="1521"/>
      <c r="P2" s="1522"/>
      <c r="Q2" s="127"/>
      <c r="R2" s="127"/>
      <c r="S2" s="127"/>
      <c r="T2" s="127"/>
      <c r="U2" s="127"/>
      <c r="V2" s="127"/>
      <c r="W2" s="128"/>
      <c r="X2" s="127"/>
      <c r="Y2" s="127"/>
      <c r="Z2" s="127"/>
      <c r="AA2" s="127"/>
      <c r="AB2" s="127"/>
      <c r="AC2" s="127"/>
      <c r="AD2" s="127"/>
      <c r="AE2" s="127"/>
      <c r="AF2" s="127"/>
      <c r="AG2" s="127"/>
      <c r="AH2" s="127"/>
      <c r="AI2" s="127"/>
      <c r="AJ2" s="56"/>
      <c r="AK2" s="56"/>
      <c r="AL2" s="56"/>
      <c r="AM2" s="56"/>
      <c r="AN2" s="56"/>
      <c r="AO2" s="56"/>
      <c r="AP2" s="56"/>
      <c r="AQ2" s="56"/>
    </row>
    <row r="3" spans="1:43" s="129" customFormat="1" ht="14.25" customHeight="1">
      <c r="A3" s="1520"/>
      <c r="B3" s="1521"/>
      <c r="C3" s="1521"/>
      <c r="D3" s="1521"/>
      <c r="E3" s="1521"/>
      <c r="F3" s="1521"/>
      <c r="G3" s="1521"/>
      <c r="H3" s="1521"/>
      <c r="I3" s="1521"/>
      <c r="J3" s="1521"/>
      <c r="K3" s="1521"/>
      <c r="L3" s="1521"/>
      <c r="M3" s="1521"/>
      <c r="N3" s="1521"/>
      <c r="O3" s="1521"/>
      <c r="P3" s="1522"/>
      <c r="Q3" s="127"/>
      <c r="R3" s="127"/>
      <c r="S3" s="127"/>
      <c r="T3" s="127"/>
      <c r="U3" s="127"/>
      <c r="V3" s="127"/>
      <c r="W3" s="128"/>
      <c r="X3" s="127"/>
      <c r="Y3" s="127"/>
      <c r="Z3" s="127"/>
      <c r="AA3" s="127"/>
      <c r="AB3" s="127"/>
      <c r="AC3" s="127"/>
      <c r="AD3" s="127"/>
      <c r="AE3" s="127"/>
      <c r="AF3" s="127"/>
      <c r="AG3" s="127"/>
      <c r="AH3" s="127"/>
      <c r="AI3" s="127"/>
      <c r="AJ3" s="56"/>
      <c r="AK3" s="56"/>
      <c r="AL3" s="56"/>
      <c r="AM3" s="56"/>
      <c r="AN3" s="56"/>
      <c r="AO3" s="56"/>
      <c r="AP3" s="56"/>
      <c r="AQ3" s="56"/>
    </row>
    <row r="4" spans="1:43" s="129" customFormat="1" ht="14.25" customHeight="1">
      <c r="A4" s="1523"/>
      <c r="B4" s="1524"/>
      <c r="C4" s="1524"/>
      <c r="D4" s="1524"/>
      <c r="E4" s="1524"/>
      <c r="F4" s="1524"/>
      <c r="G4" s="1524"/>
      <c r="H4" s="1524"/>
      <c r="I4" s="1524"/>
      <c r="J4" s="1524"/>
      <c r="K4" s="1524"/>
      <c r="L4" s="1524"/>
      <c r="M4" s="1524"/>
      <c r="N4" s="1524"/>
      <c r="O4" s="1524"/>
      <c r="P4" s="1525"/>
      <c r="Q4" s="127"/>
      <c r="R4" s="127"/>
      <c r="S4" s="127"/>
      <c r="T4" s="127"/>
      <c r="U4" s="127"/>
      <c r="V4" s="127"/>
      <c r="W4" s="128"/>
      <c r="X4" s="127"/>
      <c r="Y4" s="127"/>
      <c r="Z4" s="127"/>
      <c r="AA4" s="127"/>
      <c r="AB4" s="127"/>
      <c r="AC4" s="127"/>
      <c r="AD4" s="127"/>
      <c r="AE4" s="127"/>
      <c r="AF4" s="127"/>
      <c r="AG4" s="127"/>
      <c r="AH4" s="127"/>
      <c r="AI4" s="127"/>
      <c r="AJ4" s="56"/>
      <c r="AK4" s="56"/>
      <c r="AL4" s="56"/>
      <c r="AM4" s="56"/>
      <c r="AN4" s="56"/>
      <c r="AO4" s="56"/>
      <c r="AP4" s="56"/>
      <c r="AQ4" s="56"/>
    </row>
    <row r="5" spans="1:43" ht="15" customHeight="1">
      <c r="A5" s="1167" t="s">
        <v>22</v>
      </c>
      <c r="B5" s="1168"/>
      <c r="C5" s="1168"/>
      <c r="D5" s="1168"/>
      <c r="E5" s="1168"/>
      <c r="F5" s="27" t="str">
        <f>'Emiss. Ops'!$C$2</f>
        <v>OMVP</v>
      </c>
      <c r="G5" s="27"/>
      <c r="H5" s="27"/>
      <c r="I5" s="27"/>
      <c r="J5" s="27"/>
      <c r="K5" s="130"/>
      <c r="L5" s="130"/>
      <c r="M5" s="131" t="s">
        <v>23</v>
      </c>
      <c r="N5" s="27" t="str">
        <f>'ESD CR'!$AC$5</f>
        <v>PRJ-001030</v>
      </c>
      <c r="O5" s="27"/>
      <c r="P5" s="226"/>
      <c r="Q5" s="31"/>
      <c r="R5" s="31"/>
      <c r="S5" s="31"/>
      <c r="T5" s="31"/>
      <c r="U5" s="31"/>
      <c r="V5" s="31"/>
      <c r="X5" s="135"/>
      <c r="Y5" s="135"/>
      <c r="Z5" s="135"/>
      <c r="AA5" s="1494"/>
      <c r="AB5" s="1494"/>
      <c r="AC5" s="1494"/>
      <c r="AD5" s="1494"/>
      <c r="AE5" s="1494"/>
      <c r="AF5" s="1494"/>
      <c r="AG5" s="1494"/>
      <c r="AH5" s="1494"/>
      <c r="AI5" s="1494"/>
      <c r="AJ5" s="105"/>
    </row>
    <row r="6" spans="1:43" ht="15" customHeight="1">
      <c r="A6" s="1171" t="s">
        <v>24</v>
      </c>
      <c r="B6" s="1172"/>
      <c r="C6" s="1172"/>
      <c r="D6" s="1172"/>
      <c r="E6" s="1172"/>
      <c r="F6" s="30" t="str">
        <f>'Emiss. Ops'!$C$3</f>
        <v>OMV Neptun BAT Study &amp; ESIA</v>
      </c>
      <c r="G6" s="31"/>
      <c r="H6" s="31"/>
      <c r="I6" s="31"/>
      <c r="J6" s="31"/>
      <c r="M6" s="138" t="s">
        <v>25</v>
      </c>
      <c r="N6" s="31"/>
      <c r="O6" s="31"/>
      <c r="P6" s="32"/>
      <c r="Q6" s="31"/>
      <c r="R6" s="31"/>
      <c r="S6" s="31"/>
      <c r="T6" s="31"/>
      <c r="U6" s="31"/>
      <c r="V6" s="31"/>
      <c r="X6" s="135"/>
      <c r="Y6" s="135"/>
      <c r="Z6" s="135"/>
      <c r="AA6" s="1494"/>
      <c r="AB6" s="1494"/>
      <c r="AC6" s="1494"/>
      <c r="AD6" s="1494"/>
      <c r="AE6" s="1494"/>
      <c r="AF6" s="1494"/>
      <c r="AG6" s="1494"/>
      <c r="AH6" s="1494"/>
      <c r="AI6" s="1494"/>
      <c r="AJ6" s="105"/>
    </row>
    <row r="7" spans="1:43" ht="15" customHeight="1">
      <c r="A7" s="1171" t="s">
        <v>26</v>
      </c>
      <c r="B7" s="1172"/>
      <c r="C7" s="1172"/>
      <c r="D7" s="1172"/>
      <c r="E7" s="1172"/>
      <c r="F7" s="30" t="str">
        <f>'Emiss. Ops'!$C$4</f>
        <v>Emissions Inventory</v>
      </c>
      <c r="G7" s="31"/>
      <c r="H7" s="31"/>
      <c r="I7" s="31"/>
      <c r="J7" s="31"/>
      <c r="M7" s="139" t="s">
        <v>27</v>
      </c>
      <c r="N7" s="31" t="s">
        <v>821</v>
      </c>
      <c r="O7" s="30"/>
      <c r="P7" s="31"/>
      <c r="Q7" s="31"/>
      <c r="R7" s="31"/>
      <c r="S7" s="31"/>
      <c r="T7" s="31"/>
      <c r="U7" s="31"/>
      <c r="V7" s="31"/>
      <c r="X7" s="135"/>
      <c r="Y7" s="135"/>
      <c r="Z7" s="135"/>
      <c r="AA7" s="1494"/>
      <c r="AB7" s="1494"/>
      <c r="AC7" s="1494"/>
      <c r="AD7" s="1494"/>
      <c r="AE7" s="1494"/>
      <c r="AF7" s="1494"/>
      <c r="AG7" s="1494"/>
      <c r="AH7" s="1494"/>
      <c r="AI7" s="1494"/>
      <c r="AJ7" s="105"/>
    </row>
    <row r="8" spans="1:43" ht="14.25" customHeight="1">
      <c r="A8" s="1171" t="s">
        <v>98</v>
      </c>
      <c r="B8" s="1172"/>
      <c r="C8" s="1172"/>
      <c r="D8" s="1172"/>
      <c r="E8" s="1172"/>
      <c r="F8" s="140"/>
      <c r="G8" s="140"/>
      <c r="H8" s="140"/>
      <c r="I8" s="140"/>
      <c r="J8" s="140"/>
      <c r="K8" s="140"/>
      <c r="L8" s="140"/>
      <c r="M8" s="138" t="s">
        <v>28</v>
      </c>
      <c r="N8" s="140"/>
      <c r="O8" s="140"/>
      <c r="P8" s="141"/>
      <c r="X8" s="142"/>
      <c r="Y8" s="142"/>
      <c r="Z8" s="142"/>
      <c r="AA8" s="142"/>
      <c r="AB8" s="142"/>
      <c r="AC8" s="142"/>
      <c r="AD8" s="142"/>
      <c r="AE8" s="142"/>
      <c r="AF8" s="142"/>
      <c r="AG8" s="142"/>
      <c r="AH8" s="142"/>
      <c r="AI8" s="142"/>
      <c r="AJ8" s="105"/>
    </row>
    <row r="9" spans="1:43" ht="12" customHeight="1">
      <c r="A9" s="143"/>
      <c r="B9" s="144"/>
      <c r="C9" s="144"/>
      <c r="D9" s="144"/>
      <c r="E9" s="144"/>
      <c r="F9" s="140"/>
      <c r="G9" s="140"/>
      <c r="H9" s="140"/>
      <c r="I9" s="140"/>
      <c r="J9" s="140"/>
      <c r="K9" s="140"/>
      <c r="L9" s="140"/>
      <c r="M9" s="140"/>
      <c r="N9" s="140"/>
      <c r="O9" s="140"/>
      <c r="P9" s="141"/>
      <c r="X9" s="142"/>
      <c r="Y9" s="142"/>
      <c r="Z9" s="142"/>
      <c r="AA9" s="142"/>
      <c r="AB9" s="142"/>
      <c r="AC9" s="142"/>
      <c r="AD9" s="142"/>
      <c r="AE9" s="142"/>
      <c r="AF9" s="142"/>
      <c r="AG9" s="142"/>
      <c r="AH9" s="142"/>
      <c r="AI9" s="142"/>
      <c r="AJ9" s="105"/>
    </row>
    <row r="10" spans="1:43" s="129" customFormat="1" ht="15" customHeight="1">
      <c r="A10" s="145" t="s">
        <v>99</v>
      </c>
      <c r="B10" s="146"/>
      <c r="C10" s="146"/>
      <c r="D10" s="146"/>
      <c r="E10" s="146"/>
      <c r="F10" s="146"/>
      <c r="G10" s="146"/>
      <c r="H10" s="146"/>
      <c r="I10" s="147"/>
      <c r="J10" s="147"/>
      <c r="K10" s="148"/>
      <c r="L10" s="147"/>
      <c r="M10" s="147"/>
      <c r="N10" s="147"/>
      <c r="O10" s="147"/>
      <c r="P10" s="149"/>
      <c r="W10" s="150"/>
      <c r="X10" s="135"/>
      <c r="Y10" s="135"/>
      <c r="Z10" s="135"/>
      <c r="AA10" s="1526"/>
      <c r="AB10" s="1526"/>
      <c r="AC10" s="1526"/>
      <c r="AD10" s="1527"/>
      <c r="AE10" s="1527"/>
      <c r="AF10" s="1527"/>
      <c r="AG10" s="1494"/>
      <c r="AH10" s="1494"/>
      <c r="AI10" s="1494"/>
      <c r="AJ10" s="56"/>
    </row>
    <row r="11" spans="1:43" s="129" customFormat="1" ht="14.25" customHeight="1">
      <c r="A11" s="1117" t="s">
        <v>188</v>
      </c>
      <c r="B11" s="1118"/>
      <c r="C11" s="1118"/>
      <c r="D11" s="1118"/>
      <c r="E11" s="1118"/>
      <c r="F11" s="1118"/>
      <c r="G11" s="1118"/>
      <c r="H11" s="1118"/>
      <c r="I11" s="1118"/>
      <c r="J11" s="1118"/>
      <c r="K11" s="1118"/>
      <c r="L11" s="1118"/>
      <c r="M11" s="1118"/>
      <c r="N11" s="1118"/>
      <c r="O11" s="1118"/>
      <c r="P11" s="152"/>
      <c r="Q11" s="127"/>
      <c r="R11" s="127"/>
      <c r="S11" s="127"/>
      <c r="T11" s="127"/>
      <c r="U11" s="127"/>
      <c r="V11" s="127"/>
      <c r="W11" s="128"/>
      <c r="X11" s="127"/>
      <c r="Y11" s="127"/>
      <c r="Z11" s="127"/>
      <c r="AA11" s="127"/>
      <c r="AB11" s="127"/>
      <c r="AC11" s="127"/>
      <c r="AD11" s="127"/>
      <c r="AE11" s="127"/>
      <c r="AF11" s="127"/>
      <c r="AG11" s="127"/>
      <c r="AH11" s="127"/>
      <c r="AI11" s="127"/>
      <c r="AJ11" s="56"/>
      <c r="AK11" s="56"/>
      <c r="AL11" s="56"/>
      <c r="AM11" s="56"/>
      <c r="AN11" s="56"/>
      <c r="AO11" s="56"/>
      <c r="AP11" s="56"/>
      <c r="AQ11" s="56"/>
    </row>
    <row r="12" spans="1:43" s="129" customFormat="1" ht="14.25" customHeight="1">
      <c r="A12" s="1149"/>
      <c r="B12" s="1150"/>
      <c r="C12" s="1150"/>
      <c r="D12" s="1150"/>
      <c r="E12" s="1150"/>
      <c r="F12" s="1150"/>
      <c r="G12" s="1150"/>
      <c r="H12" s="1150"/>
      <c r="I12" s="1150"/>
      <c r="J12" s="1150"/>
      <c r="K12" s="1150"/>
      <c r="L12" s="1150"/>
      <c r="M12" s="1150"/>
      <c r="N12" s="1150"/>
      <c r="O12" s="1150"/>
      <c r="P12" s="154"/>
      <c r="Q12" s="127"/>
      <c r="R12" s="127"/>
      <c r="S12" s="127"/>
      <c r="T12" s="127"/>
      <c r="U12" s="127"/>
      <c r="V12" s="127"/>
      <c r="W12" s="128"/>
      <c r="X12" s="127"/>
      <c r="Y12" s="127"/>
      <c r="Z12" s="127"/>
      <c r="AA12" s="127"/>
      <c r="AB12" s="127"/>
      <c r="AC12" s="127"/>
      <c r="AD12" s="127"/>
      <c r="AE12" s="127"/>
      <c r="AF12" s="127"/>
      <c r="AG12" s="127"/>
      <c r="AH12" s="127"/>
      <c r="AI12" s="127"/>
      <c r="AJ12" s="56"/>
      <c r="AK12" s="56"/>
      <c r="AL12" s="56"/>
      <c r="AM12" s="56"/>
      <c r="AN12" s="56"/>
      <c r="AO12" s="56"/>
      <c r="AP12" s="56"/>
      <c r="AQ12" s="56"/>
    </row>
    <row r="13" spans="1:43" s="129" customFormat="1" ht="14.25" customHeight="1">
      <c r="A13" s="155"/>
      <c r="B13" s="156"/>
      <c r="C13" s="156"/>
      <c r="D13" s="156"/>
      <c r="E13" s="156"/>
      <c r="F13" s="156"/>
      <c r="G13" s="156"/>
      <c r="H13" s="156"/>
      <c r="I13" s="156"/>
      <c r="J13" s="156"/>
      <c r="K13" s="156"/>
      <c r="L13" s="156"/>
      <c r="M13" s="156"/>
      <c r="N13" s="156"/>
      <c r="O13" s="156"/>
      <c r="P13" s="157"/>
      <c r="Q13" s="127"/>
      <c r="R13" s="127"/>
      <c r="S13" s="127"/>
      <c r="T13" s="127"/>
      <c r="U13" s="127"/>
      <c r="V13" s="127"/>
      <c r="W13" s="128"/>
      <c r="X13" s="127"/>
      <c r="Y13" s="127"/>
      <c r="Z13" s="127"/>
      <c r="AA13" s="127"/>
      <c r="AB13" s="127"/>
      <c r="AC13" s="127"/>
      <c r="AD13" s="127"/>
      <c r="AE13" s="127"/>
      <c r="AF13" s="127"/>
      <c r="AG13" s="127"/>
      <c r="AH13" s="127"/>
      <c r="AI13" s="127"/>
      <c r="AJ13" s="56"/>
      <c r="AK13" s="56"/>
      <c r="AL13" s="56"/>
      <c r="AM13" s="56"/>
      <c r="AN13" s="56"/>
      <c r="AO13" s="56"/>
      <c r="AP13" s="56"/>
      <c r="AQ13" s="56"/>
    </row>
    <row r="14" spans="1:43" s="129" customFormat="1" ht="33.75" customHeight="1">
      <c r="A14" s="1117" t="s">
        <v>589</v>
      </c>
      <c r="B14" s="1118"/>
      <c r="C14" s="1118"/>
      <c r="D14" s="1118"/>
      <c r="E14" s="1118"/>
      <c r="F14" s="1118"/>
      <c r="G14" s="1119"/>
      <c r="H14" s="1515" t="s">
        <v>773</v>
      </c>
      <c r="I14" s="1516"/>
      <c r="J14" s="1516"/>
      <c r="K14" s="1516"/>
      <c r="L14" s="1516"/>
      <c r="M14" s="1516"/>
      <c r="N14" s="1516"/>
      <c r="O14" s="1516"/>
      <c r="P14" s="141"/>
      <c r="Q14" s="142"/>
      <c r="W14" s="150"/>
      <c r="AB14" s="142"/>
      <c r="AC14" s="142"/>
      <c r="AJ14" s="56"/>
      <c r="AK14" s="56"/>
      <c r="AL14" s="56"/>
      <c r="AM14" s="56"/>
      <c r="AN14" s="56"/>
      <c r="AO14" s="56"/>
      <c r="AP14" s="56"/>
      <c r="AQ14" s="56"/>
    </row>
    <row r="15" spans="1:43" s="129" customFormat="1" ht="34.5" customHeight="1">
      <c r="A15" s="1149"/>
      <c r="B15" s="1150"/>
      <c r="C15" s="1150"/>
      <c r="D15" s="1150"/>
      <c r="E15" s="1150"/>
      <c r="F15" s="1150"/>
      <c r="G15" s="1151"/>
      <c r="H15" s="158"/>
      <c r="I15" s="158" t="s">
        <v>774</v>
      </c>
      <c r="J15" s="405"/>
      <c r="K15" s="159"/>
      <c r="L15" s="159"/>
      <c r="M15" s="159"/>
      <c r="N15" s="159"/>
      <c r="O15" s="159"/>
      <c r="P15" s="141"/>
      <c r="Q15" s="142"/>
      <c r="W15" s="150"/>
      <c r="AB15" s="142"/>
      <c r="AC15" s="142"/>
      <c r="AJ15" s="56"/>
      <c r="AK15" s="56"/>
      <c r="AL15" s="56"/>
      <c r="AM15" s="56"/>
      <c r="AN15" s="56"/>
      <c r="AO15" s="56"/>
      <c r="AP15" s="56"/>
      <c r="AQ15" s="56"/>
    </row>
    <row r="16" spans="1:43" s="129" customFormat="1" ht="14.25" customHeight="1">
      <c r="A16" s="1499" t="s">
        <v>393</v>
      </c>
      <c r="B16" s="1500"/>
      <c r="C16" s="1500"/>
      <c r="D16" s="1500"/>
      <c r="E16" s="1500"/>
      <c r="F16" s="1510" t="s">
        <v>775</v>
      </c>
      <c r="G16" s="1511"/>
      <c r="H16" s="161"/>
      <c r="I16" s="406">
        <v>7.22E-2</v>
      </c>
      <c r="J16" s="162"/>
      <c r="K16" s="162"/>
      <c r="L16" s="162"/>
      <c r="M16" s="162"/>
      <c r="N16" s="162"/>
      <c r="O16" s="162"/>
      <c r="P16" s="141"/>
      <c r="Q16" s="142"/>
      <c r="R16" s="164"/>
      <c r="S16" s="165"/>
      <c r="T16" s="165"/>
      <c r="U16" s="165"/>
      <c r="V16" s="165"/>
      <c r="W16" s="165"/>
      <c r="X16" s="165"/>
      <c r="Y16" s="165"/>
      <c r="Z16" s="165"/>
      <c r="AB16" s="142"/>
      <c r="AC16" s="142"/>
      <c r="AJ16" s="56"/>
      <c r="AK16" s="56"/>
      <c r="AL16" s="56"/>
      <c r="AM16" s="56"/>
      <c r="AN16" s="56"/>
      <c r="AO16" s="56"/>
      <c r="AP16" s="56"/>
      <c r="AQ16" s="56"/>
    </row>
    <row r="17" spans="1:44" s="129" customFormat="1" ht="14.25" customHeight="1">
      <c r="A17" s="168" t="s">
        <v>115</v>
      </c>
      <c r="B17" s="169"/>
      <c r="C17" s="169"/>
      <c r="D17" s="169"/>
      <c r="E17" s="169"/>
      <c r="F17" s="1510" t="s">
        <v>775</v>
      </c>
      <c r="G17" s="1511"/>
      <c r="H17" s="161"/>
      <c r="I17" s="407">
        <v>3.8400000000000001E-3</v>
      </c>
      <c r="J17" s="162"/>
      <c r="K17" s="162"/>
      <c r="L17" s="162"/>
      <c r="M17" s="162"/>
      <c r="N17" s="162"/>
      <c r="O17" s="162"/>
      <c r="P17" s="141"/>
      <c r="Q17" s="142"/>
      <c r="R17" s="165"/>
      <c r="S17" s="165"/>
      <c r="T17" s="165"/>
      <c r="U17" s="165"/>
      <c r="V17" s="165"/>
      <c r="W17" s="165"/>
      <c r="X17" s="165"/>
      <c r="Y17" s="165"/>
      <c r="Z17" s="165"/>
      <c r="AA17" s="142"/>
      <c r="AB17" s="142"/>
      <c r="AC17" s="142"/>
      <c r="AJ17" s="56"/>
      <c r="AK17" s="56"/>
      <c r="AL17" s="56"/>
      <c r="AM17" s="56"/>
      <c r="AN17" s="56"/>
      <c r="AO17" s="56"/>
      <c r="AP17" s="56"/>
      <c r="AQ17" s="56"/>
    </row>
    <row r="18" spans="1:44" s="129" customFormat="1" ht="14.25" customHeight="1">
      <c r="A18" s="1499" t="s">
        <v>123</v>
      </c>
      <c r="B18" s="1500"/>
      <c r="C18" s="1500"/>
      <c r="D18" s="1500"/>
      <c r="E18" s="1500"/>
      <c r="F18" s="1510" t="s">
        <v>775</v>
      </c>
      <c r="G18" s="1511"/>
      <c r="H18" s="161"/>
      <c r="I18" s="407">
        <v>1.75E-3</v>
      </c>
      <c r="J18" s="162"/>
      <c r="K18" s="162"/>
      <c r="L18" s="162"/>
      <c r="M18" s="162"/>
      <c r="N18" s="162"/>
      <c r="O18" s="162"/>
      <c r="P18" s="141"/>
      <c r="Q18" s="142"/>
      <c r="R18" s="165"/>
      <c r="S18" s="165"/>
      <c r="T18" s="166"/>
      <c r="U18" s="167"/>
      <c r="V18" s="166"/>
      <c r="W18" s="166"/>
      <c r="X18" s="166"/>
      <c r="Y18" s="166"/>
      <c r="Z18" s="166"/>
      <c r="AA18" s="142"/>
      <c r="AB18" s="142"/>
      <c r="AC18" s="142"/>
      <c r="AJ18" s="56"/>
      <c r="AK18" s="56"/>
      <c r="AL18" s="56"/>
      <c r="AM18" s="56"/>
      <c r="AN18" s="56"/>
      <c r="AO18" s="56"/>
      <c r="AP18" s="56"/>
      <c r="AQ18" s="56"/>
    </row>
    <row r="19" spans="1:44" s="129" customFormat="1" ht="14.25" customHeight="1">
      <c r="A19" s="1499" t="s">
        <v>124</v>
      </c>
      <c r="B19" s="1500"/>
      <c r="C19" s="1500"/>
      <c r="D19" s="1500"/>
      <c r="E19" s="1500"/>
      <c r="F19" s="1510" t="s">
        <v>775</v>
      </c>
      <c r="G19" s="1511"/>
      <c r="H19" s="161"/>
      <c r="I19" s="407">
        <v>1.82E-3</v>
      </c>
      <c r="J19" s="162"/>
      <c r="K19" s="162"/>
      <c r="L19" s="162"/>
      <c r="M19" s="162"/>
      <c r="N19" s="162"/>
      <c r="O19" s="162"/>
      <c r="P19" s="141"/>
      <c r="Q19" s="142"/>
      <c r="R19" s="165"/>
      <c r="S19" s="165"/>
      <c r="T19" s="170"/>
      <c r="U19" s="170"/>
      <c r="V19" s="170"/>
      <c r="W19" s="170"/>
      <c r="X19" s="170"/>
      <c r="Y19" s="170"/>
      <c r="Z19" s="170"/>
      <c r="AA19" s="142"/>
      <c r="AB19" s="142"/>
      <c r="AC19" s="142"/>
      <c r="AJ19" s="56"/>
      <c r="AK19" s="56"/>
      <c r="AL19" s="56"/>
      <c r="AM19" s="56"/>
      <c r="AN19" s="56"/>
      <c r="AO19" s="56"/>
      <c r="AP19" s="56"/>
      <c r="AQ19" s="56"/>
    </row>
    <row r="20" spans="1:44" s="129" customFormat="1" ht="14.25" customHeight="1">
      <c r="A20" s="1499" t="s">
        <v>126</v>
      </c>
      <c r="B20" s="1500"/>
      <c r="C20" s="1500"/>
      <c r="D20" s="1500"/>
      <c r="E20" s="1500"/>
      <c r="F20" s="1510" t="s">
        <v>775</v>
      </c>
      <c r="G20" s="1511"/>
      <c r="H20" s="173"/>
      <c r="I20" s="161">
        <v>3.206</v>
      </c>
      <c r="J20" s="172"/>
      <c r="K20" s="162"/>
      <c r="L20" s="162"/>
      <c r="M20" s="162"/>
      <c r="N20" s="162"/>
      <c r="O20" s="162"/>
      <c r="P20" s="141"/>
      <c r="Q20" s="142"/>
      <c r="R20" s="165"/>
      <c r="S20" s="165"/>
      <c r="T20" s="170"/>
      <c r="U20" s="170"/>
      <c r="V20" s="170"/>
      <c r="W20" s="170"/>
      <c r="X20" s="170"/>
      <c r="Y20" s="170"/>
      <c r="Z20" s="170"/>
      <c r="AA20" s="142"/>
      <c r="AB20" s="142"/>
      <c r="AC20" s="142"/>
      <c r="AJ20" s="56"/>
      <c r="AK20" s="56"/>
      <c r="AL20" s="56"/>
      <c r="AM20" s="56"/>
      <c r="AN20" s="56"/>
      <c r="AO20" s="56"/>
      <c r="AP20" s="56"/>
      <c r="AQ20" s="56"/>
    </row>
    <row r="21" spans="1:44" s="129" customFormat="1" ht="14.25" customHeight="1">
      <c r="A21" s="175"/>
      <c r="B21" s="176"/>
      <c r="C21" s="176"/>
      <c r="D21" s="176"/>
      <c r="E21" s="176"/>
      <c r="F21" s="177"/>
      <c r="G21" s="177"/>
      <c r="H21" s="178"/>
      <c r="I21" s="179"/>
      <c r="J21" s="180"/>
      <c r="K21" s="179"/>
      <c r="L21" s="179"/>
      <c r="M21" s="179"/>
      <c r="N21" s="179"/>
      <c r="O21" s="179"/>
      <c r="P21" s="141"/>
      <c r="Q21" s="142"/>
      <c r="R21" s="165"/>
      <c r="S21" s="165"/>
      <c r="T21" s="170"/>
      <c r="U21" s="170"/>
      <c r="V21" s="170"/>
      <c r="W21" s="170"/>
      <c r="X21" s="170"/>
      <c r="Y21" s="170"/>
      <c r="Z21" s="170"/>
      <c r="AA21" s="142"/>
      <c r="AB21" s="142"/>
      <c r="AC21" s="142"/>
      <c r="AJ21" s="56"/>
      <c r="AK21" s="56"/>
      <c r="AL21" s="56"/>
      <c r="AM21" s="56"/>
      <c r="AN21" s="56"/>
      <c r="AO21" s="56"/>
      <c r="AP21" s="56"/>
      <c r="AQ21" s="56"/>
    </row>
    <row r="22" spans="1:44" s="129" customFormat="1" ht="50.25" customHeight="1">
      <c r="A22" s="1512" t="s">
        <v>776</v>
      </c>
      <c r="B22" s="1513"/>
      <c r="C22" s="1513"/>
      <c r="D22" s="1513"/>
      <c r="E22" s="1513"/>
      <c r="F22" s="1513"/>
      <c r="G22" s="1514"/>
      <c r="H22" s="408" t="s">
        <v>822</v>
      </c>
      <c r="I22" s="408" t="s">
        <v>823</v>
      </c>
      <c r="J22" s="408"/>
      <c r="K22" s="408"/>
      <c r="L22" s="408" t="s">
        <v>663</v>
      </c>
      <c r="M22" s="214"/>
      <c r="N22" s="214"/>
      <c r="O22" s="214"/>
      <c r="P22" s="185"/>
      <c r="Q22" s="186"/>
      <c r="R22" s="1498"/>
      <c r="S22" s="1497"/>
      <c r="T22" s="1497"/>
      <c r="U22" s="1497"/>
      <c r="V22" s="1497"/>
      <c r="W22" s="1497"/>
      <c r="X22" s="1497"/>
      <c r="Y22" s="1497"/>
      <c r="Z22" s="170"/>
      <c r="AA22" s="186"/>
      <c r="AB22" s="186"/>
      <c r="AC22" s="186"/>
      <c r="AD22" s="186"/>
      <c r="AE22" s="186"/>
      <c r="AF22" s="186"/>
      <c r="AG22" s="186"/>
      <c r="AH22" s="186"/>
      <c r="AI22" s="186"/>
    </row>
    <row r="23" spans="1:44" s="129" customFormat="1" ht="14.25" customHeight="1">
      <c r="A23" s="1499" t="s">
        <v>779</v>
      </c>
      <c r="B23" s="1500"/>
      <c r="C23" s="1500"/>
      <c r="D23" s="1500"/>
      <c r="E23" s="1500"/>
      <c r="F23" s="409"/>
      <c r="G23" s="307"/>
      <c r="H23" s="181">
        <v>3</v>
      </c>
      <c r="I23" s="191">
        <v>4</v>
      </c>
      <c r="J23" s="191"/>
      <c r="K23" s="191"/>
      <c r="L23" s="191"/>
      <c r="M23" s="214"/>
      <c r="N23" s="214"/>
      <c r="O23" s="214"/>
      <c r="P23" s="185"/>
      <c r="Q23" s="186"/>
      <c r="R23" s="142"/>
      <c r="S23" s="410"/>
      <c r="T23" s="410"/>
      <c r="U23" s="410"/>
      <c r="V23" s="410"/>
      <c r="W23" s="410"/>
      <c r="X23" s="410"/>
      <c r="Y23" s="410"/>
      <c r="Z23" s="170"/>
      <c r="AA23" s="186"/>
      <c r="AB23" s="186"/>
      <c r="AC23" s="186"/>
      <c r="AD23" s="186"/>
      <c r="AE23" s="186"/>
      <c r="AF23" s="186"/>
      <c r="AG23" s="186"/>
      <c r="AH23" s="186"/>
      <c r="AI23" s="186"/>
    </row>
    <row r="24" spans="1:44" s="129" customFormat="1" ht="14.25" customHeight="1">
      <c r="A24" s="1499" t="s">
        <v>780</v>
      </c>
      <c r="B24" s="1500"/>
      <c r="C24" s="1500"/>
      <c r="D24" s="1500"/>
      <c r="E24" s="1500"/>
      <c r="F24" s="1502" t="s">
        <v>781</v>
      </c>
      <c r="G24" s="1503"/>
      <c r="H24" s="181">
        <v>20</v>
      </c>
      <c r="I24" s="191">
        <v>20</v>
      </c>
      <c r="J24" s="191"/>
      <c r="K24" s="191"/>
      <c r="L24" s="191"/>
      <c r="M24" s="214"/>
      <c r="N24" s="214"/>
      <c r="O24" s="214"/>
      <c r="P24" s="185"/>
      <c r="Q24" s="186"/>
      <c r="R24" s="142"/>
      <c r="S24" s="410"/>
      <c r="T24" s="410"/>
      <c r="U24" s="410"/>
      <c r="V24" s="410"/>
      <c r="W24" s="410"/>
      <c r="X24" s="410"/>
      <c r="Y24" s="410"/>
      <c r="Z24" s="170"/>
      <c r="AA24" s="186"/>
      <c r="AB24" s="186"/>
      <c r="AC24" s="186"/>
      <c r="AD24" s="186"/>
      <c r="AE24" s="186"/>
      <c r="AF24" s="186"/>
      <c r="AG24" s="186"/>
      <c r="AH24" s="186"/>
      <c r="AI24" s="186"/>
    </row>
    <row r="25" spans="1:44" s="129" customFormat="1" ht="14.25" customHeight="1">
      <c r="A25" s="168" t="s">
        <v>780</v>
      </c>
      <c r="B25" s="169"/>
      <c r="C25" s="169"/>
      <c r="D25" s="169"/>
      <c r="E25" s="169"/>
      <c r="F25" s="187"/>
      <c r="G25" s="411" t="s">
        <v>233</v>
      </c>
      <c r="H25" s="181">
        <f>H23*H24*4</f>
        <v>240</v>
      </c>
      <c r="I25" s="191">
        <f>I23*I24</f>
        <v>80</v>
      </c>
      <c r="J25" s="191"/>
      <c r="K25" s="191"/>
      <c r="L25" s="191">
        <f t="shared" ref="L25:L30" si="0">SUM(H25:K25)</f>
        <v>320</v>
      </c>
      <c r="M25" s="214"/>
      <c r="N25" s="214"/>
      <c r="O25" s="214"/>
      <c r="P25" s="185"/>
      <c r="Q25" s="186"/>
      <c r="R25" s="142"/>
      <c r="S25" s="410"/>
      <c r="T25" s="410"/>
      <c r="U25" s="410"/>
      <c r="V25" s="410"/>
      <c r="W25" s="410"/>
      <c r="X25" s="410"/>
      <c r="Y25" s="410"/>
      <c r="Z25" s="170"/>
      <c r="AA25" s="186"/>
      <c r="AB25" s="186"/>
      <c r="AC25" s="186"/>
      <c r="AD25" s="186"/>
      <c r="AE25" s="186"/>
      <c r="AF25" s="186"/>
      <c r="AG25" s="186"/>
      <c r="AH25" s="186"/>
      <c r="AI25" s="186"/>
    </row>
    <row r="26" spans="1:44" s="129" customFormat="1" ht="14.25" customHeight="1">
      <c r="A26" s="1499" t="s">
        <v>393</v>
      </c>
      <c r="B26" s="1500"/>
      <c r="C26" s="1500"/>
      <c r="D26" s="1500"/>
      <c r="E26" s="1500"/>
      <c r="F26" s="1502" t="s">
        <v>332</v>
      </c>
      <c r="G26" s="1503"/>
      <c r="H26" s="191">
        <f>H25*$I$16</f>
        <v>17.327999999999999</v>
      </c>
      <c r="I26" s="191">
        <f>I25*$I$16</f>
        <v>5.7759999999999998</v>
      </c>
      <c r="J26" s="191"/>
      <c r="K26" s="191"/>
      <c r="L26" s="191">
        <f t="shared" si="0"/>
        <v>23.103999999999999</v>
      </c>
      <c r="M26" s="214"/>
      <c r="N26" s="214"/>
      <c r="O26" s="214"/>
      <c r="P26" s="204"/>
      <c r="Q26" s="205"/>
      <c r="R26" s="1504"/>
      <c r="S26" s="1497"/>
      <c r="T26" s="1497"/>
      <c r="U26" s="1497"/>
      <c r="V26" s="1497"/>
      <c r="W26" s="1497"/>
      <c r="X26" s="1497"/>
      <c r="Y26" s="1497"/>
      <c r="Z26" s="142"/>
      <c r="AA26" s="216"/>
      <c r="AB26" s="216"/>
      <c r="AC26" s="216"/>
      <c r="AD26" s="216"/>
      <c r="AE26" s="205"/>
      <c r="AF26" s="205"/>
      <c r="AG26" s="205"/>
      <c r="AH26" s="205"/>
      <c r="AI26" s="205"/>
      <c r="AJ26" s="142"/>
      <c r="AK26" s="56"/>
      <c r="AL26" s="56"/>
      <c r="AM26" s="56"/>
      <c r="AN26" s="56"/>
      <c r="AO26" s="56"/>
      <c r="AP26" s="56"/>
      <c r="AQ26" s="56"/>
      <c r="AR26" s="56"/>
    </row>
    <row r="27" spans="1:44" s="129" customFormat="1" ht="14.25" customHeight="1">
      <c r="A27" s="168" t="s">
        <v>115</v>
      </c>
      <c r="B27" s="169"/>
      <c r="C27" s="169"/>
      <c r="D27" s="169"/>
      <c r="E27" s="169"/>
      <c r="F27" s="1502" t="s">
        <v>332</v>
      </c>
      <c r="G27" s="1503"/>
      <c r="H27" s="191">
        <f>H25*$I$17</f>
        <v>0.92159999999999997</v>
      </c>
      <c r="I27" s="191">
        <f>I25*$I$17</f>
        <v>0.30720000000000003</v>
      </c>
      <c r="J27" s="191"/>
      <c r="K27" s="191"/>
      <c r="L27" s="191">
        <f t="shared" si="0"/>
        <v>1.2288000000000001</v>
      </c>
      <c r="M27" s="214"/>
      <c r="N27" s="214"/>
      <c r="O27" s="214"/>
      <c r="P27" s="208"/>
      <c r="Q27" s="209"/>
      <c r="R27" s="1504"/>
      <c r="S27" s="1497"/>
      <c r="T27" s="1497"/>
      <c r="U27" s="1497"/>
      <c r="V27" s="1497"/>
      <c r="W27" s="1497"/>
      <c r="X27" s="1497"/>
      <c r="Y27" s="1497"/>
      <c r="Z27" s="142"/>
      <c r="AA27" s="216"/>
      <c r="AB27" s="216"/>
      <c r="AC27" s="216"/>
      <c r="AD27" s="216"/>
      <c r="AE27" s="209"/>
      <c r="AF27" s="209"/>
      <c r="AG27" s="209"/>
      <c r="AH27" s="209"/>
      <c r="AI27" s="209"/>
      <c r="AJ27" s="142"/>
      <c r="AK27" s="56"/>
      <c r="AL27" s="56"/>
      <c r="AM27" s="56"/>
      <c r="AN27" s="56"/>
      <c r="AO27" s="56"/>
      <c r="AP27" s="56"/>
      <c r="AQ27" s="56"/>
      <c r="AR27" s="56"/>
    </row>
    <row r="28" spans="1:44" s="129" customFormat="1" ht="14.25" customHeight="1">
      <c r="A28" s="1499" t="s">
        <v>123</v>
      </c>
      <c r="B28" s="1500"/>
      <c r="C28" s="1500"/>
      <c r="D28" s="1500"/>
      <c r="E28" s="1500"/>
      <c r="F28" s="1502" t="s">
        <v>332</v>
      </c>
      <c r="G28" s="1503"/>
      <c r="H28" s="191">
        <f>H25*$I$18</f>
        <v>0.42</v>
      </c>
      <c r="I28" s="191">
        <f>I25*$I$18</f>
        <v>0.14000000000000001</v>
      </c>
      <c r="J28" s="191"/>
      <c r="K28" s="191"/>
      <c r="L28" s="191">
        <f t="shared" si="0"/>
        <v>0.56000000000000005</v>
      </c>
      <c r="M28" s="214"/>
      <c r="N28" s="214"/>
      <c r="O28" s="214"/>
      <c r="P28" s="208"/>
      <c r="Q28" s="209"/>
      <c r="R28" s="1505"/>
      <c r="S28" s="1506"/>
      <c r="T28" s="1506"/>
      <c r="U28" s="1506"/>
      <c r="V28" s="1506"/>
      <c r="W28" s="1506"/>
      <c r="X28" s="1506"/>
      <c r="Y28" s="1506"/>
      <c r="Z28" s="142"/>
      <c r="AA28" s="216"/>
      <c r="AB28" s="216"/>
      <c r="AC28" s="216"/>
      <c r="AD28" s="216"/>
      <c r="AE28" s="209"/>
      <c r="AF28" s="209"/>
      <c r="AG28" s="209"/>
      <c r="AH28" s="209"/>
      <c r="AI28" s="209"/>
      <c r="AJ28" s="142"/>
      <c r="AK28" s="56"/>
      <c r="AL28" s="56"/>
      <c r="AM28" s="56"/>
      <c r="AN28" s="56"/>
      <c r="AO28" s="56"/>
      <c r="AP28" s="56"/>
      <c r="AQ28" s="56"/>
      <c r="AR28" s="56"/>
    </row>
    <row r="29" spans="1:44" s="129" customFormat="1" ht="14.25" customHeight="1">
      <c r="A29" s="1499" t="s">
        <v>124</v>
      </c>
      <c r="B29" s="1500"/>
      <c r="C29" s="1500"/>
      <c r="D29" s="1500"/>
      <c r="E29" s="1500"/>
      <c r="F29" s="1502" t="s">
        <v>332</v>
      </c>
      <c r="G29" s="1503"/>
      <c r="H29" s="191">
        <f>H25*$I$19</f>
        <v>0.43680000000000002</v>
      </c>
      <c r="I29" s="191">
        <f>I25*$I$19</f>
        <v>0.14560000000000001</v>
      </c>
      <c r="J29" s="191"/>
      <c r="K29" s="191"/>
      <c r="L29" s="191">
        <f t="shared" si="0"/>
        <v>0.58240000000000003</v>
      </c>
      <c r="M29" s="214"/>
      <c r="N29" s="214"/>
      <c r="O29" s="214"/>
      <c r="P29" s="208"/>
      <c r="Q29" s="209"/>
      <c r="R29" s="1506"/>
      <c r="S29" s="1506"/>
      <c r="T29" s="1506"/>
      <c r="U29" s="1506"/>
      <c r="V29" s="1506"/>
      <c r="W29" s="1506"/>
      <c r="X29" s="1506"/>
      <c r="Y29" s="1506"/>
      <c r="Z29" s="142"/>
      <c r="AA29" s="216"/>
      <c r="AB29" s="216"/>
      <c r="AC29" s="216"/>
      <c r="AD29" s="216"/>
      <c r="AE29" s="209"/>
      <c r="AF29" s="209"/>
      <c r="AG29" s="209"/>
      <c r="AH29" s="209"/>
      <c r="AI29" s="209"/>
      <c r="AJ29" s="142"/>
      <c r="AK29" s="56"/>
      <c r="AL29" s="56"/>
      <c r="AM29" s="56"/>
      <c r="AN29" s="56"/>
      <c r="AO29" s="56"/>
      <c r="AP29" s="56"/>
      <c r="AQ29" s="56"/>
      <c r="AR29" s="56"/>
    </row>
    <row r="30" spans="1:44" s="129" customFormat="1" ht="14.25" customHeight="1">
      <c r="A30" s="1499" t="s">
        <v>126</v>
      </c>
      <c r="B30" s="1500"/>
      <c r="C30" s="1500"/>
      <c r="D30" s="1500"/>
      <c r="E30" s="1500"/>
      <c r="F30" s="1502" t="s">
        <v>332</v>
      </c>
      <c r="G30" s="1503"/>
      <c r="H30" s="191">
        <f>H25*$I$20</f>
        <v>769.43999999999994</v>
      </c>
      <c r="I30" s="191">
        <f>I25*$I$20</f>
        <v>256.48</v>
      </c>
      <c r="J30" s="191"/>
      <c r="K30" s="191"/>
      <c r="L30" s="191">
        <f t="shared" si="0"/>
        <v>1025.92</v>
      </c>
      <c r="M30" s="214"/>
      <c r="N30" s="214"/>
      <c r="O30" s="214"/>
      <c r="P30" s="208"/>
      <c r="Q30" s="209"/>
      <c r="R30" s="1507"/>
      <c r="S30" s="1507"/>
      <c r="T30" s="1507"/>
      <c r="U30" s="1507"/>
      <c r="V30" s="1507"/>
      <c r="W30" s="1507"/>
      <c r="X30" s="1507"/>
      <c r="Y30" s="1507"/>
      <c r="Z30" s="186"/>
      <c r="AA30" s="209"/>
      <c r="AB30" s="209"/>
      <c r="AC30" s="209"/>
      <c r="AD30" s="209"/>
      <c r="AE30" s="209"/>
      <c r="AF30" s="209"/>
      <c r="AG30" s="209"/>
      <c r="AH30" s="209"/>
      <c r="AI30" s="209"/>
      <c r="AJ30" s="142"/>
      <c r="AK30" s="56"/>
      <c r="AL30" s="56"/>
      <c r="AM30" s="56"/>
      <c r="AN30" s="56"/>
      <c r="AO30" s="56"/>
      <c r="AP30" s="56"/>
      <c r="AQ30" s="56"/>
      <c r="AR30" s="56"/>
    </row>
    <row r="31" spans="1:44" s="129" customFormat="1" ht="14.25" customHeight="1">
      <c r="A31" s="1508"/>
      <c r="B31" s="1509"/>
      <c r="C31" s="1509"/>
      <c r="D31" s="1509"/>
      <c r="E31" s="1509"/>
      <c r="F31" s="1495"/>
      <c r="G31" s="1495"/>
      <c r="H31" s="214"/>
      <c r="I31" s="214"/>
      <c r="J31" s="214"/>
      <c r="K31" s="214"/>
      <c r="L31" s="214"/>
      <c r="M31" s="214"/>
      <c r="N31" s="214"/>
      <c r="O31" s="214"/>
      <c r="P31" s="215"/>
      <c r="Q31" s="216"/>
      <c r="R31" s="216"/>
      <c r="S31" s="216"/>
      <c r="T31" s="216"/>
      <c r="U31" s="216"/>
      <c r="V31" s="216"/>
      <c r="W31" s="412"/>
      <c r="X31" s="216"/>
      <c r="Y31" s="216"/>
      <c r="Z31" s="216"/>
      <c r="AA31" s="216"/>
      <c r="AB31" s="216"/>
      <c r="AC31" s="216"/>
      <c r="AD31" s="216"/>
      <c r="AE31" s="216"/>
      <c r="AF31" s="216"/>
      <c r="AG31" s="216"/>
      <c r="AH31" s="216"/>
      <c r="AI31" s="216"/>
      <c r="AJ31" s="142"/>
      <c r="AK31" s="56"/>
      <c r="AL31" s="56"/>
      <c r="AM31" s="56"/>
      <c r="AN31" s="56"/>
      <c r="AO31" s="56"/>
      <c r="AP31" s="56"/>
      <c r="AQ31" s="56"/>
      <c r="AR31" s="56"/>
    </row>
    <row r="32" spans="1:44" s="129" customFormat="1" ht="14.25" customHeight="1">
      <c r="A32" s="217"/>
      <c r="B32" s="218"/>
      <c r="C32" s="31"/>
      <c r="D32" s="218"/>
      <c r="E32" s="218"/>
      <c r="F32" s="334"/>
      <c r="G32" s="334"/>
      <c r="H32" s="31"/>
      <c r="I32" s="31"/>
      <c r="J32" s="214"/>
      <c r="K32" s="214"/>
      <c r="L32" s="214"/>
      <c r="M32" s="214"/>
      <c r="N32" s="214"/>
      <c r="O32" s="214"/>
      <c r="P32" s="215"/>
      <c r="Q32" s="216"/>
      <c r="R32" s="216"/>
      <c r="S32" s="216"/>
      <c r="T32" s="216"/>
      <c r="U32" s="216"/>
      <c r="V32" s="216"/>
      <c r="W32" s="412"/>
      <c r="X32" s="216"/>
      <c r="Y32" s="216"/>
      <c r="Z32" s="216"/>
      <c r="AA32" s="216"/>
      <c r="AB32" s="216"/>
      <c r="AC32" s="216"/>
      <c r="AD32" s="216"/>
      <c r="AE32" s="216"/>
      <c r="AF32" s="216"/>
      <c r="AG32" s="216"/>
      <c r="AH32" s="216"/>
      <c r="AI32" s="216"/>
      <c r="AJ32" s="142"/>
      <c r="AK32" s="56"/>
      <c r="AL32" s="56"/>
      <c r="AM32" s="56"/>
      <c r="AN32" s="56"/>
      <c r="AO32" s="56"/>
      <c r="AP32" s="56"/>
      <c r="AQ32" s="56"/>
      <c r="AR32" s="56"/>
    </row>
    <row r="33" spans="1:43" s="129" customFormat="1" ht="14.25" customHeight="1">
      <c r="A33" s="219"/>
      <c r="B33" s="139"/>
      <c r="C33" s="31"/>
      <c r="D33" s="218"/>
      <c r="E33" s="218"/>
      <c r="F33" s="334"/>
      <c r="G33" s="334"/>
      <c r="H33" s="31"/>
      <c r="I33" s="31"/>
      <c r="J33" s="156"/>
      <c r="K33" s="156"/>
      <c r="L33" s="156"/>
      <c r="M33" s="156"/>
      <c r="N33" s="156"/>
      <c r="O33" s="156"/>
      <c r="P33" s="32"/>
      <c r="Q33" s="220"/>
      <c r="R33" s="220"/>
      <c r="U33" s="220"/>
      <c r="V33" s="220"/>
      <c r="W33" s="150"/>
      <c r="X33" s="150"/>
      <c r="AI33" s="142"/>
      <c r="AJ33" s="56"/>
      <c r="AK33" s="56"/>
      <c r="AL33" s="56"/>
      <c r="AM33" s="56"/>
      <c r="AN33" s="56"/>
      <c r="AO33" s="56"/>
      <c r="AP33" s="56"/>
      <c r="AQ33" s="56"/>
    </row>
    <row r="34" spans="1:43" s="129" customFormat="1" ht="14.25" customHeight="1">
      <c r="A34" s="221"/>
      <c r="B34" s="140"/>
      <c r="C34" s="1496" t="s">
        <v>782</v>
      </c>
      <c r="D34" s="1497"/>
      <c r="E34" s="1497"/>
      <c r="F34" s="1497"/>
      <c r="G34" s="1497"/>
      <c r="H34" s="140">
        <v>860</v>
      </c>
      <c r="I34" s="140" t="s">
        <v>783</v>
      </c>
      <c r="J34" s="140" t="s">
        <v>784</v>
      </c>
      <c r="K34" s="31"/>
      <c r="L34" s="31"/>
      <c r="M34" s="31"/>
      <c r="N34" s="222"/>
      <c r="O34" s="222"/>
      <c r="P34" s="32"/>
      <c r="Q34" s="220"/>
      <c r="R34" s="220"/>
      <c r="U34" s="220"/>
      <c r="V34" s="220"/>
      <c r="W34" s="150"/>
      <c r="X34" s="150"/>
      <c r="AI34" s="142"/>
      <c r="AJ34" s="56"/>
      <c r="AK34" s="56"/>
      <c r="AL34" s="56"/>
      <c r="AM34" s="56"/>
      <c r="AN34" s="56"/>
      <c r="AO34" s="56"/>
      <c r="AP34" s="56"/>
      <c r="AQ34" s="56"/>
    </row>
    <row r="35" spans="1:43" s="129" customFormat="1" ht="14.25" customHeight="1">
      <c r="A35" s="1501"/>
      <c r="B35" s="1181"/>
      <c r="C35" s="1181"/>
      <c r="D35" s="1181"/>
      <c r="E35" s="1181"/>
      <c r="F35" s="1181"/>
      <c r="G35" s="1181"/>
      <c r="H35" s="1181"/>
      <c r="I35" s="1181"/>
      <c r="J35" s="1181"/>
      <c r="K35" s="31"/>
      <c r="L35" s="31"/>
      <c r="M35" s="31"/>
      <c r="N35" s="222"/>
      <c r="O35" s="222"/>
      <c r="P35" s="32"/>
      <c r="Q35" s="1493"/>
      <c r="R35" s="1493"/>
      <c r="U35" s="1493"/>
      <c r="V35" s="1493"/>
      <c r="W35" s="1494"/>
      <c r="X35" s="1494"/>
      <c r="AI35" s="142"/>
      <c r="AJ35" s="56"/>
      <c r="AK35" s="56"/>
      <c r="AL35" s="56"/>
      <c r="AM35" s="56"/>
      <c r="AN35" s="56"/>
      <c r="AO35" s="56"/>
      <c r="AP35" s="56"/>
      <c r="AQ35" s="56"/>
    </row>
    <row r="36" spans="1:43" s="129" customFormat="1" ht="14.25" customHeight="1">
      <c r="A36" s="223"/>
      <c r="B36" s="147"/>
      <c r="C36" s="31"/>
      <c r="D36" s="31"/>
      <c r="E36" s="31"/>
      <c r="F36" s="31"/>
      <c r="G36" s="31"/>
      <c r="H36" s="31"/>
      <c r="I36" s="31"/>
      <c r="J36" s="31"/>
      <c r="K36" s="31"/>
      <c r="L36" s="31"/>
      <c r="M36" s="31"/>
      <c r="N36" s="222"/>
      <c r="O36" s="222"/>
      <c r="P36" s="32"/>
      <c r="Q36" s="220"/>
      <c r="R36" s="220"/>
      <c r="U36" s="220"/>
      <c r="V36" s="220"/>
      <c r="W36" s="150"/>
      <c r="X36" s="150"/>
      <c r="AI36" s="142"/>
      <c r="AJ36" s="56"/>
      <c r="AK36" s="56"/>
      <c r="AL36" s="56"/>
      <c r="AM36" s="56"/>
      <c r="AN36" s="56"/>
      <c r="AO36" s="56"/>
      <c r="AP36" s="56"/>
      <c r="AQ36" s="56"/>
    </row>
    <row r="37" spans="1:43" s="129" customFormat="1" ht="14.25" customHeight="1">
      <c r="A37" s="224" t="s">
        <v>678</v>
      </c>
      <c r="B37" s="31"/>
      <c r="C37" s="27"/>
      <c r="D37" s="27"/>
      <c r="E37" s="27"/>
      <c r="F37" s="27"/>
      <c r="G37" s="27"/>
      <c r="H37" s="27"/>
      <c r="I37" s="27"/>
      <c r="J37" s="27"/>
      <c r="K37" s="27"/>
      <c r="L37" s="27"/>
      <c r="M37" s="27"/>
      <c r="N37" s="1491"/>
      <c r="O37" s="1491"/>
      <c r="P37" s="226"/>
      <c r="Q37" s="220"/>
      <c r="R37" s="220"/>
      <c r="U37" s="220"/>
      <c r="V37" s="220"/>
      <c r="W37" s="150"/>
      <c r="X37" s="150"/>
      <c r="AJ37" s="56"/>
      <c r="AK37" s="56"/>
      <c r="AL37" s="56"/>
      <c r="AM37" s="56"/>
      <c r="AN37" s="56"/>
      <c r="AO37" s="56"/>
      <c r="AP37" s="56"/>
      <c r="AQ37" s="56"/>
    </row>
    <row r="38" spans="1:43" s="129" customFormat="1" ht="14.25" customHeight="1">
      <c r="A38" s="227" t="s">
        <v>31</v>
      </c>
      <c r="B38" s="31" t="s">
        <v>785</v>
      </c>
      <c r="C38" s="31"/>
      <c r="D38" s="31"/>
      <c r="E38" s="31"/>
      <c r="F38" s="31"/>
      <c r="G38" s="31"/>
      <c r="H38" s="31"/>
      <c r="I38" s="31"/>
      <c r="J38" s="31"/>
      <c r="K38" s="31"/>
      <c r="L38" s="31"/>
      <c r="M38" s="31"/>
      <c r="N38" s="222"/>
      <c r="O38" s="222"/>
      <c r="P38" s="32"/>
      <c r="Q38" s="1492"/>
      <c r="R38" s="1492"/>
      <c r="U38" s="1493"/>
      <c r="V38" s="1493"/>
      <c r="W38" s="1494"/>
      <c r="X38" s="1494"/>
      <c r="AJ38" s="56"/>
      <c r="AK38" s="56"/>
      <c r="AL38" s="56"/>
      <c r="AM38" s="56"/>
      <c r="AN38" s="56"/>
      <c r="AO38" s="56"/>
      <c r="AP38" s="56"/>
      <c r="AQ38" s="56"/>
    </row>
    <row r="39" spans="1:43" s="129" customFormat="1" ht="14.25" customHeight="1">
      <c r="A39" s="227" t="s">
        <v>33</v>
      </c>
      <c r="B39" s="31" t="s">
        <v>786</v>
      </c>
      <c r="C39" s="31"/>
      <c r="D39" s="31"/>
      <c r="E39" s="31"/>
      <c r="F39" s="31"/>
      <c r="G39" s="31"/>
      <c r="H39" s="31"/>
      <c r="I39" s="31"/>
      <c r="J39" s="31"/>
      <c r="K39" s="31"/>
      <c r="L39" s="31"/>
      <c r="M39" s="31"/>
      <c r="N39" s="222"/>
      <c r="O39" s="222"/>
      <c r="P39" s="32"/>
      <c r="Q39" s="228"/>
      <c r="R39" s="228"/>
      <c r="U39" s="220"/>
      <c r="V39" s="220"/>
      <c r="W39" s="150"/>
      <c r="X39" s="150"/>
      <c r="AJ39" s="56"/>
      <c r="AK39" s="56"/>
      <c r="AL39" s="56"/>
      <c r="AM39" s="56"/>
      <c r="AN39" s="56"/>
      <c r="AO39" s="56"/>
      <c r="AP39" s="56"/>
      <c r="AQ39" s="56"/>
    </row>
    <row r="40" spans="1:43" s="129" customFormat="1" ht="14.25" customHeight="1">
      <c r="A40" s="227" t="s">
        <v>752</v>
      </c>
      <c r="B40" s="1489" t="s">
        <v>367</v>
      </c>
      <c r="C40" s="1490"/>
      <c r="D40" s="1490"/>
      <c r="E40" s="1490"/>
      <c r="F40" s="1490"/>
      <c r="G40" s="1490"/>
      <c r="H40" s="1490"/>
      <c r="I40" s="1490"/>
      <c r="J40" s="1490"/>
      <c r="K40" s="1490"/>
      <c r="L40" s="1490"/>
      <c r="M40" s="1490"/>
      <c r="N40" s="1490"/>
      <c r="O40" s="1490"/>
      <c r="P40" s="231"/>
      <c r="Q40" s="228"/>
      <c r="R40" s="228"/>
      <c r="U40" s="220"/>
      <c r="V40" s="220"/>
      <c r="W40" s="150"/>
      <c r="X40" s="150"/>
      <c r="AJ40" s="56"/>
      <c r="AK40" s="56"/>
      <c r="AL40" s="56"/>
      <c r="AM40" s="56"/>
      <c r="AN40" s="56"/>
      <c r="AO40" s="56"/>
      <c r="AP40" s="56"/>
      <c r="AQ40" s="56"/>
    </row>
    <row r="41" spans="1:43" s="129" customFormat="1" ht="14.25" customHeight="1">
      <c r="A41" s="227" t="s">
        <v>787</v>
      </c>
      <c r="B41" s="1489" t="s">
        <v>788</v>
      </c>
      <c r="C41" s="1490"/>
      <c r="D41" s="1490"/>
      <c r="E41" s="1490"/>
      <c r="F41" s="1490"/>
      <c r="G41" s="1490"/>
      <c r="H41" s="1490"/>
      <c r="I41" s="1490"/>
      <c r="J41" s="1490"/>
      <c r="K41" s="1490"/>
      <c r="L41" s="1490"/>
      <c r="M41" s="1490"/>
      <c r="N41" s="1490"/>
      <c r="O41" s="1490"/>
      <c r="P41" s="231"/>
      <c r="Q41" s="228"/>
      <c r="R41" s="228"/>
      <c r="U41" s="220"/>
      <c r="V41" s="220"/>
      <c r="W41" s="150"/>
      <c r="X41" s="150"/>
      <c r="AJ41" s="56"/>
      <c r="AK41" s="56"/>
      <c r="AL41" s="56"/>
      <c r="AM41" s="56"/>
      <c r="AN41" s="56"/>
      <c r="AO41" s="56"/>
      <c r="AP41" s="56"/>
      <c r="AQ41" s="56"/>
    </row>
    <row r="42" spans="1:43" s="129" customFormat="1" ht="14.25" customHeight="1">
      <c r="A42" s="227" t="s">
        <v>819</v>
      </c>
      <c r="B42" s="1489" t="s">
        <v>824</v>
      </c>
      <c r="C42" s="1490"/>
      <c r="D42" s="1490"/>
      <c r="E42" s="1490"/>
      <c r="F42" s="1490"/>
      <c r="G42" s="1490"/>
      <c r="H42" s="1490"/>
      <c r="I42" s="1490"/>
      <c r="J42" s="1490"/>
      <c r="K42" s="1490"/>
      <c r="L42" s="1490"/>
      <c r="M42" s="1490"/>
      <c r="N42" s="1490"/>
      <c r="O42" s="1490"/>
      <c r="P42" s="231"/>
      <c r="Q42" s="228"/>
      <c r="R42" s="228"/>
      <c r="U42" s="220"/>
      <c r="V42" s="220"/>
      <c r="W42" s="150"/>
      <c r="X42" s="150"/>
      <c r="AJ42" s="56"/>
      <c r="AK42" s="56"/>
      <c r="AL42" s="56"/>
      <c r="AM42" s="56"/>
      <c r="AN42" s="56"/>
      <c r="AO42" s="56"/>
      <c r="AP42" s="56"/>
      <c r="AQ42" s="56"/>
    </row>
    <row r="43" spans="1:43" s="129" customFormat="1" ht="14.25" customHeight="1">
      <c r="A43" s="227"/>
      <c r="B43" s="1489"/>
      <c r="C43" s="1490"/>
      <c r="D43" s="1490"/>
      <c r="E43" s="1490"/>
      <c r="F43" s="1490"/>
      <c r="G43" s="1490"/>
      <c r="H43" s="1490"/>
      <c r="I43" s="1490"/>
      <c r="J43" s="1490"/>
      <c r="K43" s="1490"/>
      <c r="L43" s="1490"/>
      <c r="M43" s="1490"/>
      <c r="N43" s="1490"/>
      <c r="O43" s="1490"/>
      <c r="P43" s="32"/>
      <c r="Q43" s="228"/>
      <c r="R43" s="228"/>
      <c r="U43" s="220"/>
      <c r="V43" s="220"/>
      <c r="W43" s="150"/>
      <c r="X43" s="150"/>
      <c r="AJ43" s="56"/>
      <c r="AK43" s="56"/>
      <c r="AL43" s="56"/>
      <c r="AM43" s="56"/>
      <c r="AN43" s="56"/>
      <c r="AO43" s="56"/>
      <c r="AP43" s="56"/>
      <c r="AQ43" s="56"/>
    </row>
    <row r="44" spans="1:43" ht="14.25" customHeight="1">
      <c r="A44" s="227"/>
      <c r="B44" s="1489"/>
      <c r="C44" s="1490"/>
      <c r="D44" s="1490"/>
      <c r="E44" s="1490"/>
      <c r="F44" s="1490"/>
      <c r="G44" s="1490"/>
      <c r="H44" s="1490"/>
      <c r="I44" s="1490"/>
      <c r="J44" s="1490"/>
      <c r="K44" s="1490"/>
      <c r="L44" s="1490"/>
      <c r="M44" s="1490"/>
      <c r="N44" s="1490"/>
      <c r="O44" s="1490"/>
      <c r="P44" s="234"/>
      <c r="Q44" s="136"/>
      <c r="R44" s="136"/>
      <c r="S44" s="136"/>
      <c r="T44" s="136"/>
      <c r="U44" s="136"/>
      <c r="V44" s="136"/>
      <c r="W44" s="235"/>
      <c r="X44" s="136"/>
      <c r="Y44" s="136"/>
      <c r="Z44" s="136"/>
      <c r="AA44" s="136"/>
      <c r="AB44" s="136"/>
      <c r="AC44" s="136"/>
      <c r="AJ44" s="105"/>
      <c r="AK44" s="105"/>
      <c r="AL44" s="105"/>
      <c r="AM44" s="105"/>
      <c r="AN44" s="105"/>
      <c r="AO44" s="105"/>
      <c r="AP44" s="105"/>
      <c r="AQ44" s="105"/>
    </row>
    <row r="45" spans="1:43">
      <c r="A45" s="236"/>
      <c r="B45" s="236"/>
      <c r="C45" s="236"/>
      <c r="D45" s="236"/>
      <c r="E45" s="236"/>
      <c r="F45" s="236"/>
      <c r="G45" s="236"/>
      <c r="H45" s="236"/>
      <c r="I45" s="236"/>
      <c r="J45" s="236"/>
      <c r="K45" s="236"/>
      <c r="L45" s="236"/>
      <c r="M45" s="236"/>
      <c r="N45" s="236"/>
      <c r="O45" s="236"/>
      <c r="P45" s="236"/>
      <c r="Q45" s="236"/>
      <c r="R45" s="236"/>
      <c r="S45" s="236"/>
      <c r="T45" s="236"/>
      <c r="U45" s="236"/>
      <c r="V45" s="236"/>
      <c r="W45" s="237"/>
      <c r="X45" s="236"/>
      <c r="Y45" s="236"/>
      <c r="Z45" s="236"/>
      <c r="AA45" s="236"/>
      <c r="AB45" s="136"/>
      <c r="AC45" s="136"/>
      <c r="AJ45" s="105"/>
      <c r="AK45" s="105"/>
      <c r="AL45" s="105"/>
      <c r="AM45" s="105"/>
      <c r="AN45" s="105"/>
      <c r="AO45" s="105"/>
      <c r="AP45" s="105"/>
      <c r="AQ45" s="105"/>
    </row>
    <row r="46" spans="1:43">
      <c r="A46" s="236"/>
      <c r="B46" s="236"/>
      <c r="C46" s="236"/>
      <c r="D46" s="236"/>
      <c r="E46" s="236"/>
      <c r="F46" s="236"/>
      <c r="G46" s="236"/>
      <c r="H46" s="236"/>
      <c r="I46" s="236"/>
      <c r="J46" s="236"/>
      <c r="K46" s="236"/>
      <c r="L46" s="236"/>
      <c r="M46" s="236"/>
      <c r="N46" s="236"/>
      <c r="O46" s="236"/>
      <c r="P46" s="236"/>
      <c r="Q46" s="236"/>
      <c r="R46" s="236"/>
      <c r="S46" s="236"/>
      <c r="T46" s="236"/>
      <c r="U46" s="236"/>
      <c r="V46" s="236"/>
      <c r="W46" s="237"/>
      <c r="X46" s="236"/>
      <c r="Y46" s="236"/>
      <c r="Z46" s="236"/>
      <c r="AA46" s="236"/>
      <c r="AB46" s="236"/>
      <c r="AC46" s="236"/>
      <c r="AD46" s="105"/>
      <c r="AE46" s="105"/>
      <c r="AF46" s="105"/>
      <c r="AG46" s="105"/>
      <c r="AH46" s="105"/>
      <c r="AI46" s="105"/>
      <c r="AJ46" s="105"/>
      <c r="AK46" s="105"/>
      <c r="AL46" s="105"/>
      <c r="AM46" s="105"/>
      <c r="AN46" s="105"/>
      <c r="AO46" s="105"/>
      <c r="AP46" s="105"/>
      <c r="AQ46" s="105"/>
    </row>
    <row r="47" spans="1:43">
      <c r="A47" s="236"/>
      <c r="B47" s="236"/>
      <c r="C47" s="236"/>
      <c r="D47" s="236"/>
      <c r="E47" s="236"/>
      <c r="F47" s="236"/>
      <c r="G47" s="236"/>
      <c r="H47" s="236"/>
      <c r="I47" s="236"/>
      <c r="J47" s="236"/>
      <c r="K47" s="236"/>
      <c r="L47" s="236"/>
      <c r="M47" s="236"/>
      <c r="N47" s="236"/>
      <c r="O47" s="236"/>
      <c r="P47" s="236"/>
      <c r="Q47" s="236"/>
      <c r="R47" s="236"/>
      <c r="S47" s="236"/>
      <c r="T47" s="236"/>
      <c r="U47" s="236"/>
      <c r="V47" s="236"/>
      <c r="W47" s="237"/>
      <c r="X47" s="236"/>
      <c r="Y47" s="236"/>
      <c r="Z47" s="236"/>
      <c r="AA47" s="236"/>
      <c r="AB47" s="236"/>
      <c r="AC47" s="105"/>
      <c r="AD47" s="105"/>
      <c r="AE47" s="105"/>
      <c r="AF47" s="105"/>
      <c r="AG47" s="105"/>
      <c r="AH47" s="105"/>
      <c r="AI47" s="105"/>
      <c r="AJ47" s="105"/>
      <c r="AK47" s="105"/>
      <c r="AL47" s="105"/>
      <c r="AM47" s="105"/>
      <c r="AN47" s="105"/>
      <c r="AO47" s="105"/>
      <c r="AP47" s="105"/>
      <c r="AQ47" s="105"/>
    </row>
    <row r="48" spans="1:43">
      <c r="A48" s="236"/>
      <c r="B48" s="236"/>
      <c r="C48" s="236"/>
      <c r="D48" s="236"/>
      <c r="E48" s="236"/>
      <c r="F48" s="236"/>
      <c r="G48" s="236"/>
      <c r="H48" s="236"/>
      <c r="I48" s="236"/>
      <c r="J48" s="236"/>
      <c r="K48" s="236"/>
      <c r="L48" s="236"/>
      <c r="M48" s="236"/>
      <c r="N48" s="236"/>
      <c r="O48" s="236"/>
      <c r="P48" s="236"/>
      <c r="Q48" s="236"/>
      <c r="R48" s="236"/>
      <c r="S48" s="236"/>
      <c r="T48" s="236"/>
      <c r="U48" s="236"/>
      <c r="V48" s="236"/>
      <c r="W48" s="237"/>
      <c r="X48" s="236"/>
      <c r="Y48" s="236"/>
      <c r="Z48" s="236"/>
      <c r="AA48" s="236"/>
      <c r="AB48" s="236"/>
      <c r="AC48" s="105"/>
      <c r="AD48" s="105"/>
      <c r="AE48" s="105"/>
      <c r="AF48" s="105"/>
      <c r="AG48" s="105"/>
      <c r="AH48" s="105"/>
      <c r="AI48" s="105"/>
      <c r="AJ48" s="105"/>
      <c r="AK48" s="105"/>
      <c r="AL48" s="105"/>
      <c r="AM48" s="105"/>
      <c r="AN48" s="105"/>
      <c r="AO48" s="105"/>
      <c r="AP48" s="105"/>
      <c r="AQ48" s="105"/>
    </row>
    <row r="49" spans="1:43">
      <c r="A49" s="236"/>
      <c r="B49" s="236"/>
      <c r="C49" s="236"/>
      <c r="D49" s="236"/>
      <c r="E49" s="236"/>
      <c r="F49" s="236"/>
      <c r="G49" s="236"/>
      <c r="H49" s="236"/>
      <c r="I49" s="236"/>
      <c r="J49" s="236"/>
      <c r="K49" s="236"/>
      <c r="L49" s="236"/>
      <c r="M49" s="236"/>
      <c r="N49" s="236"/>
      <c r="O49" s="236"/>
      <c r="P49" s="236"/>
      <c r="Q49" s="236"/>
      <c r="R49" s="236"/>
      <c r="S49" s="236"/>
      <c r="T49" s="236"/>
      <c r="U49" s="236"/>
      <c r="V49" s="236"/>
      <c r="W49" s="237"/>
      <c r="X49" s="236"/>
      <c r="Y49" s="236"/>
      <c r="Z49" s="236"/>
      <c r="AA49" s="236"/>
      <c r="AB49" s="236"/>
      <c r="AC49" s="105"/>
      <c r="AD49" s="105"/>
      <c r="AE49" s="105"/>
      <c r="AF49" s="105"/>
      <c r="AG49" s="105"/>
      <c r="AH49" s="105"/>
      <c r="AI49" s="105"/>
      <c r="AJ49" s="105"/>
      <c r="AK49" s="105"/>
      <c r="AL49" s="105"/>
      <c r="AM49" s="105"/>
      <c r="AN49" s="105"/>
      <c r="AO49" s="105"/>
      <c r="AP49" s="105"/>
      <c r="AQ49" s="105"/>
    </row>
    <row r="50" spans="1:43">
      <c r="A50" s="236"/>
      <c r="B50" s="236"/>
      <c r="C50" s="236"/>
      <c r="D50" s="236"/>
      <c r="E50" s="236"/>
      <c r="F50" s="236"/>
      <c r="G50" s="236"/>
      <c r="H50" s="236"/>
      <c r="I50" s="236"/>
      <c r="J50" s="236"/>
      <c r="K50" s="236"/>
      <c r="L50" s="236"/>
      <c r="M50" s="236"/>
      <c r="N50" s="236"/>
      <c r="O50" s="236"/>
      <c r="P50" s="236"/>
      <c r="Q50" s="236"/>
      <c r="R50" s="236"/>
      <c r="S50" s="236"/>
      <c r="T50" s="236"/>
      <c r="U50" s="236"/>
      <c r="V50" s="236"/>
      <c r="W50" s="237"/>
      <c r="X50" s="236"/>
      <c r="Y50" s="236"/>
      <c r="Z50" s="236"/>
      <c r="AA50" s="236"/>
      <c r="AB50" s="236"/>
      <c r="AC50" s="105"/>
      <c r="AD50" s="105"/>
      <c r="AE50" s="105"/>
      <c r="AF50" s="105"/>
      <c r="AG50" s="105"/>
      <c r="AH50" s="105"/>
      <c r="AI50" s="105"/>
      <c r="AJ50" s="105"/>
      <c r="AK50" s="105"/>
      <c r="AL50" s="105"/>
      <c r="AM50" s="105"/>
      <c r="AN50" s="105"/>
      <c r="AO50" s="105"/>
      <c r="AP50" s="105"/>
      <c r="AQ50" s="105"/>
    </row>
    <row r="51" spans="1:43">
      <c r="A51" s="236"/>
      <c r="B51" s="236"/>
      <c r="C51" s="236"/>
      <c r="D51" s="236"/>
      <c r="E51" s="236"/>
      <c r="F51" s="236"/>
      <c r="G51" s="236"/>
      <c r="H51" s="236"/>
      <c r="I51" s="236"/>
      <c r="J51" s="236"/>
      <c r="K51" s="236"/>
      <c r="L51" s="236"/>
      <c r="M51" s="236"/>
      <c r="N51" s="236"/>
      <c r="O51" s="236"/>
      <c r="P51" s="236"/>
      <c r="Q51" s="236"/>
      <c r="R51" s="236"/>
      <c r="S51" s="236"/>
      <c r="T51" s="236"/>
      <c r="U51" s="236"/>
      <c r="V51" s="236"/>
      <c r="W51" s="237"/>
      <c r="X51" s="236"/>
      <c r="Y51" s="236"/>
      <c r="Z51" s="236"/>
      <c r="AA51" s="236"/>
      <c r="AB51" s="236"/>
      <c r="AC51" s="105"/>
      <c r="AD51" s="105"/>
      <c r="AE51" s="105"/>
      <c r="AF51" s="105"/>
      <c r="AG51" s="105"/>
      <c r="AH51" s="105"/>
      <c r="AI51" s="105"/>
      <c r="AJ51" s="105"/>
      <c r="AK51" s="105"/>
      <c r="AL51" s="105"/>
      <c r="AM51" s="105"/>
      <c r="AN51" s="105"/>
      <c r="AO51" s="105"/>
      <c r="AP51" s="105"/>
      <c r="AQ51" s="105"/>
    </row>
    <row r="52" spans="1:43">
      <c r="A52" s="236"/>
      <c r="B52" s="236"/>
      <c r="C52" s="236"/>
      <c r="D52" s="236"/>
      <c r="E52" s="236"/>
      <c r="F52" s="236"/>
      <c r="G52" s="236"/>
      <c r="H52" s="236"/>
      <c r="I52" s="236"/>
      <c r="J52" s="236"/>
      <c r="K52" s="236"/>
      <c r="L52" s="236"/>
      <c r="M52" s="236"/>
      <c r="N52" s="236"/>
      <c r="O52" s="236"/>
      <c r="P52" s="236"/>
      <c r="Q52" s="236"/>
      <c r="R52" s="236"/>
      <c r="S52" s="236"/>
      <c r="T52" s="236"/>
      <c r="U52" s="236"/>
      <c r="V52" s="236"/>
      <c r="W52" s="237"/>
      <c r="X52" s="236"/>
      <c r="Y52" s="236"/>
      <c r="Z52" s="236"/>
      <c r="AA52" s="236"/>
      <c r="AB52" s="236"/>
      <c r="AC52" s="105"/>
      <c r="AD52" s="105"/>
      <c r="AE52" s="105"/>
      <c r="AF52" s="105"/>
      <c r="AG52" s="105"/>
      <c r="AH52" s="105"/>
      <c r="AI52" s="105"/>
      <c r="AJ52" s="105"/>
      <c r="AK52" s="105"/>
      <c r="AL52" s="105"/>
      <c r="AM52" s="105"/>
      <c r="AN52" s="105"/>
      <c r="AO52" s="105"/>
      <c r="AP52" s="105"/>
      <c r="AQ52" s="105"/>
    </row>
    <row r="53" spans="1:43">
      <c r="A53" s="236"/>
      <c r="B53" s="236"/>
      <c r="C53" s="236"/>
      <c r="D53" s="236"/>
      <c r="E53" s="236"/>
      <c r="F53" s="236"/>
      <c r="G53" s="236"/>
      <c r="H53" s="236"/>
      <c r="I53" s="236"/>
      <c r="J53" s="236"/>
      <c r="K53" s="236"/>
      <c r="L53" s="236"/>
      <c r="M53" s="236"/>
      <c r="N53" s="236"/>
      <c r="O53" s="236"/>
      <c r="P53" s="236"/>
      <c r="Q53" s="236"/>
      <c r="R53" s="236"/>
      <c r="S53" s="236"/>
      <c r="T53" s="236"/>
      <c r="U53" s="236"/>
      <c r="V53" s="236"/>
      <c r="W53" s="237"/>
      <c r="X53" s="236"/>
      <c r="Y53" s="236"/>
      <c r="Z53" s="236"/>
      <c r="AA53" s="236"/>
      <c r="AB53" s="236"/>
      <c r="AC53" s="105"/>
      <c r="AD53" s="105"/>
      <c r="AE53" s="105"/>
      <c r="AF53" s="105"/>
      <c r="AG53" s="105"/>
      <c r="AH53" s="105"/>
      <c r="AI53" s="105"/>
      <c r="AJ53" s="105"/>
      <c r="AK53" s="105"/>
      <c r="AL53" s="105"/>
      <c r="AM53" s="105"/>
      <c r="AN53" s="105"/>
      <c r="AO53" s="105"/>
      <c r="AP53" s="105"/>
      <c r="AQ53" s="105"/>
    </row>
    <row r="54" spans="1:43">
      <c r="A54" s="236"/>
      <c r="B54" s="236"/>
      <c r="C54" s="236"/>
      <c r="D54" s="236"/>
      <c r="E54" s="236"/>
      <c r="F54" s="236"/>
      <c r="G54" s="236"/>
      <c r="H54" s="236"/>
      <c r="I54" s="236"/>
      <c r="J54" s="236"/>
      <c r="K54" s="236"/>
      <c r="L54" s="236"/>
      <c r="M54" s="236"/>
      <c r="N54" s="236"/>
      <c r="O54" s="236"/>
      <c r="P54" s="236"/>
      <c r="Q54" s="236"/>
      <c r="R54" s="236"/>
      <c r="S54" s="236"/>
      <c r="T54" s="236"/>
      <c r="U54" s="236"/>
      <c r="V54" s="236"/>
      <c r="W54" s="237"/>
      <c r="X54" s="236"/>
      <c r="Y54" s="236"/>
      <c r="Z54" s="236"/>
      <c r="AA54" s="236"/>
      <c r="AB54" s="236"/>
      <c r="AC54" s="105"/>
      <c r="AD54" s="105"/>
      <c r="AE54" s="105"/>
      <c r="AF54" s="105"/>
      <c r="AG54" s="105"/>
      <c r="AH54" s="105"/>
      <c r="AI54" s="105"/>
      <c r="AJ54" s="105"/>
      <c r="AK54" s="105"/>
      <c r="AL54" s="105"/>
      <c r="AM54" s="105"/>
      <c r="AN54" s="105"/>
      <c r="AO54" s="105"/>
      <c r="AP54" s="105"/>
      <c r="AQ54" s="105"/>
    </row>
    <row r="55" spans="1:43" s="137" customFormat="1">
      <c r="A55" s="236"/>
      <c r="B55" s="236"/>
      <c r="C55" s="236"/>
      <c r="D55" s="236"/>
      <c r="E55" s="236"/>
      <c r="F55" s="236"/>
      <c r="G55" s="236"/>
      <c r="H55" s="236"/>
      <c r="I55" s="236"/>
      <c r="J55" s="236"/>
      <c r="K55" s="236"/>
      <c r="L55" s="236"/>
      <c r="M55" s="236"/>
      <c r="N55" s="236"/>
      <c r="O55" s="236"/>
      <c r="P55" s="236"/>
      <c r="Q55" s="236"/>
      <c r="R55" s="236"/>
      <c r="S55" s="236"/>
      <c r="T55" s="236"/>
      <c r="U55" s="236"/>
      <c r="V55" s="236"/>
      <c r="W55" s="237"/>
      <c r="X55" s="236"/>
      <c r="Y55" s="236"/>
      <c r="Z55" s="236"/>
      <c r="AA55" s="236"/>
      <c r="AB55" s="236"/>
      <c r="AC55" s="105"/>
      <c r="AD55" s="105"/>
      <c r="AE55" s="105"/>
      <c r="AF55" s="105"/>
      <c r="AG55" s="105"/>
      <c r="AH55" s="105"/>
      <c r="AI55" s="105"/>
      <c r="AJ55" s="105"/>
      <c r="AK55" s="105"/>
      <c r="AL55" s="105"/>
      <c r="AM55" s="105"/>
      <c r="AN55" s="105"/>
      <c r="AO55" s="105"/>
      <c r="AP55" s="105"/>
      <c r="AQ55" s="105"/>
    </row>
    <row r="56" spans="1:43" s="137" customFormat="1">
      <c r="A56" s="236"/>
      <c r="B56" s="236"/>
      <c r="C56" s="236"/>
      <c r="D56" s="236"/>
      <c r="E56" s="236"/>
      <c r="F56" s="236"/>
      <c r="G56" s="236"/>
      <c r="H56" s="236"/>
      <c r="I56" s="236"/>
      <c r="J56" s="236"/>
      <c r="K56" s="236"/>
      <c r="L56" s="236"/>
      <c r="M56" s="236"/>
      <c r="N56" s="236"/>
      <c r="O56" s="236"/>
      <c r="P56" s="236"/>
      <c r="Q56" s="236"/>
      <c r="R56" s="236"/>
      <c r="S56" s="236"/>
      <c r="T56" s="236"/>
      <c r="U56" s="236"/>
      <c r="V56" s="236"/>
      <c r="W56" s="237"/>
      <c r="X56" s="236"/>
      <c r="Y56" s="236"/>
      <c r="Z56" s="236"/>
      <c r="AA56" s="236"/>
      <c r="AB56" s="236"/>
      <c r="AC56" s="105"/>
      <c r="AD56" s="105"/>
      <c r="AE56" s="105"/>
      <c r="AF56" s="105"/>
      <c r="AG56" s="105"/>
      <c r="AH56" s="105"/>
      <c r="AI56" s="105"/>
      <c r="AJ56" s="105"/>
      <c r="AK56" s="105"/>
      <c r="AL56" s="105"/>
      <c r="AM56" s="105"/>
      <c r="AN56" s="105"/>
      <c r="AO56" s="105"/>
      <c r="AP56" s="105"/>
      <c r="AQ56" s="105"/>
    </row>
    <row r="57" spans="1:43" s="137" customFormat="1">
      <c r="A57" s="236"/>
      <c r="B57" s="236"/>
      <c r="C57" s="236"/>
      <c r="D57" s="236"/>
      <c r="E57" s="236"/>
      <c r="F57" s="236"/>
      <c r="G57" s="236"/>
      <c r="H57" s="236"/>
      <c r="I57" s="236"/>
      <c r="J57" s="236"/>
      <c r="K57" s="236"/>
      <c r="L57" s="236"/>
      <c r="M57" s="236"/>
      <c r="N57" s="236"/>
      <c r="O57" s="236"/>
      <c r="P57" s="236"/>
      <c r="Q57" s="236"/>
      <c r="R57" s="236"/>
      <c r="S57" s="236"/>
      <c r="T57" s="236"/>
      <c r="U57" s="236"/>
      <c r="V57" s="236"/>
      <c r="W57" s="237"/>
      <c r="X57" s="236"/>
      <c r="Y57" s="236"/>
      <c r="Z57" s="236"/>
      <c r="AA57" s="236"/>
      <c r="AB57" s="236"/>
      <c r="AC57" s="105"/>
      <c r="AD57" s="105"/>
      <c r="AE57" s="105"/>
      <c r="AF57" s="105"/>
      <c r="AG57" s="105"/>
      <c r="AH57" s="105"/>
      <c r="AI57" s="105"/>
      <c r="AJ57" s="105"/>
      <c r="AK57" s="105"/>
      <c r="AL57" s="105"/>
      <c r="AM57" s="105"/>
      <c r="AN57" s="105"/>
      <c r="AO57" s="105"/>
      <c r="AP57" s="105"/>
      <c r="AQ57" s="105"/>
    </row>
    <row r="58" spans="1:43" s="137" customFormat="1">
      <c r="A58" s="236"/>
      <c r="B58" s="236"/>
      <c r="C58" s="236"/>
      <c r="D58" s="236"/>
      <c r="E58" s="236"/>
      <c r="F58" s="236"/>
      <c r="G58" s="236"/>
      <c r="H58" s="236"/>
      <c r="I58" s="236"/>
      <c r="J58" s="236"/>
      <c r="K58" s="236"/>
      <c r="L58" s="236"/>
      <c r="M58" s="236"/>
      <c r="N58" s="236"/>
      <c r="O58" s="236"/>
      <c r="P58" s="236"/>
      <c r="Q58" s="236"/>
      <c r="R58" s="236"/>
      <c r="S58" s="236"/>
      <c r="T58" s="236"/>
      <c r="U58" s="236"/>
      <c r="V58" s="236"/>
      <c r="W58" s="237"/>
      <c r="X58" s="236"/>
      <c r="Y58" s="236"/>
      <c r="Z58" s="236"/>
      <c r="AA58" s="236"/>
      <c r="AB58" s="236"/>
      <c r="AC58" s="105"/>
      <c r="AD58" s="105"/>
      <c r="AE58" s="105"/>
      <c r="AF58" s="105"/>
      <c r="AG58" s="105"/>
      <c r="AH58" s="105"/>
      <c r="AI58" s="105"/>
      <c r="AJ58" s="105"/>
      <c r="AK58" s="105"/>
      <c r="AL58" s="105"/>
      <c r="AM58" s="105"/>
      <c r="AN58" s="105"/>
      <c r="AO58" s="105"/>
      <c r="AP58" s="105"/>
      <c r="AQ58" s="105"/>
    </row>
    <row r="59" spans="1:43" s="137" customFormat="1">
      <c r="A59" s="236"/>
      <c r="B59" s="236"/>
      <c r="C59" s="236"/>
      <c r="D59" s="236"/>
      <c r="E59" s="236"/>
      <c r="F59" s="236"/>
      <c r="G59" s="236"/>
      <c r="H59" s="236"/>
      <c r="I59" s="236"/>
      <c r="J59" s="236"/>
      <c r="K59" s="236"/>
      <c r="L59" s="236"/>
      <c r="M59" s="236"/>
      <c r="N59" s="236"/>
      <c r="O59" s="236"/>
      <c r="P59" s="236"/>
      <c r="Q59" s="236"/>
      <c r="R59" s="236"/>
      <c r="S59" s="236"/>
      <c r="T59" s="236"/>
      <c r="U59" s="236"/>
      <c r="V59" s="236"/>
      <c r="W59" s="237"/>
      <c r="X59" s="236"/>
      <c r="Y59" s="236"/>
      <c r="Z59" s="236"/>
      <c r="AA59" s="236"/>
      <c r="AB59" s="236"/>
      <c r="AC59" s="105"/>
      <c r="AD59" s="105"/>
      <c r="AE59" s="105"/>
      <c r="AF59" s="105"/>
      <c r="AG59" s="105"/>
      <c r="AH59" s="105"/>
      <c r="AI59" s="105"/>
      <c r="AJ59" s="105"/>
      <c r="AK59" s="105"/>
      <c r="AL59" s="105"/>
      <c r="AM59" s="105"/>
      <c r="AN59" s="105"/>
      <c r="AO59" s="105"/>
      <c r="AP59" s="105"/>
      <c r="AQ59" s="105"/>
    </row>
    <row r="60" spans="1:43" s="137" customFormat="1">
      <c r="A60" s="236"/>
      <c r="B60" s="236"/>
      <c r="C60" s="236"/>
      <c r="D60" s="236"/>
      <c r="E60" s="236"/>
      <c r="F60" s="236"/>
      <c r="G60" s="236"/>
      <c r="H60" s="236"/>
      <c r="I60" s="236"/>
      <c r="J60" s="236"/>
      <c r="K60" s="236"/>
      <c r="L60" s="236"/>
      <c r="M60" s="236"/>
      <c r="N60" s="236"/>
      <c r="O60" s="236"/>
      <c r="P60" s="236"/>
      <c r="Q60" s="236"/>
      <c r="R60" s="236"/>
      <c r="S60" s="236"/>
      <c r="T60" s="236"/>
      <c r="U60" s="236"/>
      <c r="V60" s="236"/>
      <c r="W60" s="237"/>
      <c r="X60" s="236"/>
      <c r="Y60" s="236"/>
      <c r="Z60" s="236"/>
      <c r="AA60" s="236"/>
      <c r="AB60" s="236"/>
      <c r="AC60" s="105"/>
      <c r="AD60" s="105"/>
      <c r="AE60" s="105"/>
      <c r="AF60" s="105"/>
      <c r="AG60" s="105"/>
      <c r="AH60" s="105"/>
      <c r="AI60" s="105"/>
      <c r="AJ60" s="105"/>
      <c r="AK60" s="105"/>
      <c r="AL60" s="105"/>
      <c r="AM60" s="105"/>
      <c r="AN60" s="105"/>
      <c r="AO60" s="105"/>
      <c r="AP60" s="105"/>
      <c r="AQ60" s="105"/>
    </row>
    <row r="61" spans="1:43" s="137" customFormat="1">
      <c r="A61" s="236"/>
      <c r="B61" s="236"/>
      <c r="C61" s="236"/>
      <c r="D61" s="236"/>
      <c r="E61" s="236"/>
      <c r="F61" s="236"/>
      <c r="G61" s="236"/>
      <c r="H61" s="236"/>
      <c r="I61" s="236"/>
      <c r="J61" s="236"/>
      <c r="K61" s="236"/>
      <c r="L61" s="236"/>
      <c r="M61" s="236"/>
      <c r="N61" s="236"/>
      <c r="O61" s="236"/>
      <c r="P61" s="236"/>
      <c r="Q61" s="236"/>
      <c r="R61" s="236"/>
      <c r="S61" s="236"/>
      <c r="T61" s="236"/>
      <c r="U61" s="236"/>
      <c r="V61" s="236"/>
      <c r="W61" s="237"/>
      <c r="X61" s="236"/>
      <c r="Y61" s="236"/>
      <c r="Z61" s="236"/>
      <c r="AA61" s="236"/>
      <c r="AB61" s="236"/>
      <c r="AC61" s="105"/>
      <c r="AD61" s="105"/>
      <c r="AE61" s="105"/>
      <c r="AF61" s="105"/>
      <c r="AG61" s="105"/>
      <c r="AH61" s="105"/>
      <c r="AI61" s="105"/>
      <c r="AJ61" s="105"/>
      <c r="AK61" s="105"/>
      <c r="AL61" s="105"/>
      <c r="AM61" s="105"/>
      <c r="AN61" s="105"/>
      <c r="AO61" s="105"/>
      <c r="AP61" s="105"/>
      <c r="AQ61" s="105"/>
    </row>
    <row r="62" spans="1:43" s="137" customFormat="1">
      <c r="A62" s="236"/>
      <c r="B62" s="236"/>
      <c r="C62" s="236"/>
      <c r="D62" s="236"/>
      <c r="E62" s="236"/>
      <c r="F62" s="236"/>
      <c r="G62" s="236"/>
      <c r="H62" s="236"/>
      <c r="I62" s="236"/>
      <c r="J62" s="236"/>
      <c r="K62" s="236"/>
      <c r="L62" s="236"/>
      <c r="M62" s="236"/>
      <c r="N62" s="236"/>
      <c r="O62" s="236"/>
      <c r="P62" s="236"/>
      <c r="Q62" s="236"/>
      <c r="R62" s="236"/>
      <c r="S62" s="236"/>
      <c r="T62" s="236"/>
      <c r="U62" s="236"/>
      <c r="V62" s="236"/>
      <c r="W62" s="237"/>
      <c r="X62" s="236"/>
      <c r="Y62" s="236"/>
      <c r="Z62" s="236"/>
      <c r="AA62" s="236"/>
      <c r="AB62" s="236"/>
      <c r="AC62" s="105"/>
      <c r="AD62" s="105"/>
      <c r="AE62" s="105"/>
      <c r="AF62" s="105"/>
      <c r="AG62" s="105"/>
      <c r="AH62" s="105"/>
      <c r="AI62" s="105"/>
      <c r="AJ62" s="105"/>
      <c r="AK62" s="105"/>
      <c r="AL62" s="105"/>
      <c r="AM62" s="105"/>
      <c r="AN62" s="105"/>
      <c r="AO62" s="105"/>
      <c r="AP62" s="105"/>
      <c r="AQ62" s="105"/>
    </row>
    <row r="63" spans="1:43" s="137" customFormat="1">
      <c r="A63" s="236"/>
      <c r="B63" s="236"/>
      <c r="C63" s="236"/>
      <c r="D63" s="236"/>
      <c r="E63" s="236"/>
      <c r="F63" s="236"/>
      <c r="G63" s="236"/>
      <c r="H63" s="236"/>
      <c r="I63" s="236"/>
      <c r="J63" s="236"/>
      <c r="K63" s="236"/>
      <c r="L63" s="236"/>
      <c r="M63" s="236"/>
      <c r="N63" s="236"/>
      <c r="O63" s="236"/>
      <c r="P63" s="236"/>
      <c r="Q63" s="236"/>
      <c r="R63" s="236"/>
      <c r="S63" s="236"/>
      <c r="T63" s="236"/>
      <c r="U63" s="236"/>
      <c r="V63" s="236"/>
      <c r="W63" s="237"/>
      <c r="X63" s="236"/>
      <c r="Y63" s="236"/>
      <c r="Z63" s="236"/>
      <c r="AA63" s="236"/>
      <c r="AB63" s="236"/>
      <c r="AC63" s="105"/>
      <c r="AD63" s="105"/>
      <c r="AE63" s="105"/>
      <c r="AF63" s="105"/>
      <c r="AG63" s="105"/>
      <c r="AH63" s="105"/>
      <c r="AI63" s="105"/>
      <c r="AJ63" s="105"/>
      <c r="AK63" s="105"/>
      <c r="AL63" s="105"/>
      <c r="AM63" s="105"/>
      <c r="AN63" s="105"/>
      <c r="AO63" s="105"/>
      <c r="AP63" s="105"/>
      <c r="AQ63" s="105"/>
    </row>
    <row r="64" spans="1:43" s="137" customFormat="1">
      <c r="A64" s="236"/>
      <c r="B64" s="236"/>
      <c r="C64" s="236"/>
      <c r="D64" s="236"/>
      <c r="E64" s="236"/>
      <c r="F64" s="236"/>
      <c r="G64" s="236"/>
      <c r="H64" s="236"/>
      <c r="I64" s="236"/>
      <c r="J64" s="236"/>
      <c r="K64" s="236"/>
      <c r="L64" s="236"/>
      <c r="M64" s="236"/>
      <c r="N64" s="236"/>
      <c r="O64" s="236"/>
      <c r="P64" s="236"/>
      <c r="Q64" s="236"/>
      <c r="R64" s="236"/>
      <c r="S64" s="236"/>
      <c r="T64" s="236"/>
      <c r="U64" s="236"/>
      <c r="V64" s="236"/>
      <c r="W64" s="237"/>
      <c r="X64" s="236"/>
      <c r="Y64" s="236"/>
      <c r="Z64" s="236"/>
      <c r="AA64" s="236"/>
      <c r="AB64" s="236"/>
      <c r="AC64" s="105"/>
      <c r="AD64" s="105"/>
      <c r="AE64" s="105"/>
      <c r="AF64" s="105"/>
      <c r="AG64" s="105"/>
      <c r="AH64" s="105"/>
      <c r="AI64" s="105"/>
      <c r="AJ64" s="105"/>
      <c r="AK64" s="105"/>
      <c r="AL64" s="105"/>
      <c r="AM64" s="105"/>
      <c r="AN64" s="105"/>
      <c r="AO64" s="105"/>
      <c r="AP64" s="105"/>
      <c r="AQ64" s="105"/>
    </row>
    <row r="65" spans="1:43" s="137" customFormat="1">
      <c r="A65" s="236"/>
      <c r="B65" s="236"/>
      <c r="C65" s="236"/>
      <c r="D65" s="236"/>
      <c r="E65" s="236"/>
      <c r="F65" s="236"/>
      <c r="G65" s="236"/>
      <c r="H65" s="236"/>
      <c r="I65" s="236"/>
      <c r="J65" s="236"/>
      <c r="K65" s="236"/>
      <c r="L65" s="236"/>
      <c r="M65" s="236"/>
      <c r="N65" s="236"/>
      <c r="O65" s="236"/>
      <c r="P65" s="236"/>
      <c r="Q65" s="236"/>
      <c r="R65" s="236"/>
      <c r="S65" s="236"/>
      <c r="T65" s="236"/>
      <c r="U65" s="236"/>
      <c r="V65" s="236"/>
      <c r="W65" s="237"/>
      <c r="X65" s="236"/>
      <c r="Y65" s="236"/>
      <c r="Z65" s="236"/>
      <c r="AA65" s="236"/>
      <c r="AB65" s="236"/>
      <c r="AC65" s="105"/>
      <c r="AD65" s="105"/>
      <c r="AE65" s="105"/>
      <c r="AF65" s="105"/>
      <c r="AG65" s="105"/>
      <c r="AH65" s="105"/>
      <c r="AI65" s="105"/>
      <c r="AJ65" s="105"/>
      <c r="AK65" s="105"/>
      <c r="AL65" s="105"/>
      <c r="AM65" s="105"/>
      <c r="AN65" s="105"/>
      <c r="AO65" s="105"/>
      <c r="AP65" s="105"/>
      <c r="AQ65" s="105"/>
    </row>
    <row r="66" spans="1:43" s="137" customFormat="1">
      <c r="A66" s="236"/>
      <c r="B66" s="236"/>
      <c r="C66" s="236"/>
      <c r="D66" s="236"/>
      <c r="E66" s="236"/>
      <c r="F66" s="236"/>
      <c r="G66" s="236"/>
      <c r="H66" s="236"/>
      <c r="I66" s="236"/>
      <c r="J66" s="236"/>
      <c r="K66" s="236"/>
      <c r="L66" s="236"/>
      <c r="M66" s="236"/>
      <c r="N66" s="236"/>
      <c r="O66" s="236"/>
      <c r="P66" s="236"/>
      <c r="Q66" s="236"/>
      <c r="R66" s="236"/>
      <c r="S66" s="236"/>
      <c r="T66" s="236"/>
      <c r="U66" s="236"/>
      <c r="V66" s="236"/>
      <c r="W66" s="237"/>
      <c r="X66" s="236"/>
      <c r="Y66" s="236"/>
      <c r="Z66" s="236"/>
      <c r="AA66" s="236"/>
      <c r="AB66" s="236"/>
      <c r="AC66" s="105"/>
      <c r="AD66" s="105"/>
      <c r="AE66" s="105"/>
      <c r="AF66" s="105"/>
      <c r="AG66" s="105"/>
      <c r="AH66" s="105"/>
      <c r="AI66" s="105"/>
      <c r="AJ66" s="105"/>
      <c r="AK66" s="105"/>
      <c r="AL66" s="105"/>
      <c r="AM66" s="105"/>
      <c r="AN66" s="105"/>
      <c r="AO66" s="105"/>
      <c r="AP66" s="105"/>
      <c r="AQ66" s="105"/>
    </row>
    <row r="67" spans="1:43" s="137" customFormat="1">
      <c r="A67" s="236"/>
      <c r="B67" s="236"/>
      <c r="C67" s="236"/>
      <c r="D67" s="236"/>
      <c r="E67" s="236"/>
      <c r="F67" s="236"/>
      <c r="G67" s="236"/>
      <c r="H67" s="236"/>
      <c r="I67" s="236"/>
      <c r="J67" s="236"/>
      <c r="K67" s="236"/>
      <c r="L67" s="236"/>
      <c r="M67" s="236"/>
      <c r="N67" s="236"/>
      <c r="O67" s="236"/>
      <c r="P67" s="236"/>
      <c r="Q67" s="236"/>
      <c r="R67" s="236"/>
      <c r="S67" s="236"/>
      <c r="T67" s="236"/>
      <c r="U67" s="236"/>
      <c r="V67" s="236"/>
      <c r="W67" s="237"/>
      <c r="X67" s="236"/>
      <c r="Y67" s="236"/>
      <c r="Z67" s="236"/>
      <c r="AA67" s="236"/>
      <c r="AB67" s="236"/>
      <c r="AC67" s="105"/>
      <c r="AD67" s="105"/>
      <c r="AE67" s="105"/>
      <c r="AF67" s="105"/>
      <c r="AG67" s="105"/>
      <c r="AH67" s="105"/>
      <c r="AI67" s="105"/>
      <c r="AJ67" s="105"/>
      <c r="AK67" s="105"/>
      <c r="AL67" s="105"/>
      <c r="AM67" s="105"/>
      <c r="AN67" s="105"/>
      <c r="AO67" s="105"/>
      <c r="AP67" s="105"/>
      <c r="AQ67" s="105"/>
    </row>
    <row r="68" spans="1:43" s="137" customFormat="1">
      <c r="A68" s="236"/>
      <c r="B68" s="236"/>
      <c r="C68" s="236"/>
      <c r="D68" s="236"/>
      <c r="E68" s="236"/>
      <c r="F68" s="236"/>
      <c r="G68" s="236"/>
      <c r="H68" s="236"/>
      <c r="I68" s="236"/>
      <c r="J68" s="236"/>
      <c r="K68" s="236"/>
      <c r="L68" s="236"/>
      <c r="M68" s="236"/>
      <c r="N68" s="236"/>
      <c r="O68" s="236"/>
      <c r="P68" s="236"/>
      <c r="Q68" s="236"/>
      <c r="R68" s="236"/>
      <c r="S68" s="236"/>
      <c r="T68" s="236"/>
      <c r="U68" s="236"/>
      <c r="V68" s="236"/>
      <c r="W68" s="237"/>
      <c r="X68" s="236"/>
      <c r="Y68" s="236"/>
      <c r="Z68" s="236"/>
      <c r="AA68" s="236"/>
      <c r="AB68" s="236"/>
      <c r="AC68" s="105"/>
      <c r="AD68" s="105"/>
      <c r="AE68" s="105"/>
      <c r="AF68" s="105"/>
      <c r="AG68" s="105"/>
      <c r="AH68" s="105"/>
      <c r="AI68" s="105"/>
      <c r="AJ68" s="105"/>
      <c r="AK68" s="105"/>
      <c r="AL68" s="105"/>
      <c r="AM68" s="105"/>
      <c r="AN68" s="105"/>
      <c r="AO68" s="105"/>
      <c r="AP68" s="105"/>
      <c r="AQ68" s="105"/>
    </row>
    <row r="69" spans="1:43" s="137" customFormat="1">
      <c r="A69" s="236"/>
      <c r="B69" s="236"/>
      <c r="C69" s="236"/>
      <c r="D69" s="236"/>
      <c r="E69" s="236"/>
      <c r="F69" s="236"/>
      <c r="G69" s="236"/>
      <c r="H69" s="236"/>
      <c r="I69" s="236"/>
      <c r="J69" s="236"/>
      <c r="K69" s="236"/>
      <c r="L69" s="236"/>
      <c r="M69" s="236"/>
      <c r="N69" s="236"/>
      <c r="O69" s="236"/>
      <c r="P69" s="236"/>
      <c r="Q69" s="236"/>
      <c r="R69" s="236"/>
      <c r="S69" s="236"/>
      <c r="T69" s="236"/>
      <c r="U69" s="236"/>
      <c r="V69" s="236"/>
      <c r="W69" s="237"/>
      <c r="X69" s="236"/>
      <c r="Y69" s="236"/>
      <c r="Z69" s="236"/>
      <c r="AA69" s="236"/>
      <c r="AB69" s="236"/>
      <c r="AC69" s="105"/>
      <c r="AD69" s="105"/>
      <c r="AE69" s="105"/>
      <c r="AF69" s="105"/>
      <c r="AG69" s="105"/>
      <c r="AH69" s="105"/>
      <c r="AI69" s="105"/>
      <c r="AJ69" s="105"/>
      <c r="AK69" s="105"/>
      <c r="AL69" s="105"/>
      <c r="AM69" s="105"/>
      <c r="AN69" s="105"/>
      <c r="AO69" s="105"/>
      <c r="AP69" s="105"/>
      <c r="AQ69" s="105"/>
    </row>
    <row r="70" spans="1:43" s="137" customFormat="1">
      <c r="A70" s="236"/>
      <c r="B70" s="236"/>
      <c r="C70" s="236"/>
      <c r="D70" s="236"/>
      <c r="E70" s="236"/>
      <c r="F70" s="236"/>
      <c r="G70" s="236"/>
      <c r="H70" s="236"/>
      <c r="I70" s="236"/>
      <c r="J70" s="236"/>
      <c r="K70" s="236"/>
      <c r="L70" s="236"/>
      <c r="M70" s="236"/>
      <c r="N70" s="236"/>
      <c r="O70" s="236"/>
      <c r="P70" s="236"/>
      <c r="Q70" s="236"/>
      <c r="R70" s="236"/>
      <c r="S70" s="236"/>
      <c r="T70" s="236"/>
      <c r="U70" s="236"/>
      <c r="V70" s="236"/>
      <c r="W70" s="237"/>
      <c r="X70" s="236"/>
      <c r="Y70" s="236"/>
      <c r="Z70" s="236"/>
      <c r="AA70" s="236"/>
      <c r="AB70" s="236"/>
      <c r="AC70" s="105"/>
      <c r="AD70" s="105"/>
      <c r="AE70" s="105"/>
      <c r="AF70" s="105"/>
      <c r="AG70" s="105"/>
      <c r="AH70" s="105"/>
      <c r="AI70" s="105"/>
      <c r="AJ70" s="105"/>
      <c r="AK70" s="105"/>
      <c r="AL70" s="105"/>
      <c r="AM70" s="105"/>
      <c r="AN70" s="105"/>
      <c r="AO70" s="105"/>
      <c r="AP70" s="105"/>
      <c r="AQ70" s="105"/>
    </row>
    <row r="71" spans="1:43">
      <c r="A71" s="236"/>
      <c r="B71" s="236"/>
      <c r="C71" s="236"/>
      <c r="D71" s="236"/>
      <c r="E71" s="236"/>
      <c r="F71" s="236"/>
      <c r="G71" s="236"/>
      <c r="H71" s="236"/>
      <c r="I71" s="236"/>
      <c r="J71" s="236"/>
      <c r="K71" s="236"/>
      <c r="L71" s="236"/>
      <c r="M71" s="236"/>
      <c r="N71" s="236"/>
      <c r="O71" s="236"/>
      <c r="P71" s="236"/>
      <c r="Q71" s="236"/>
      <c r="R71" s="236"/>
      <c r="S71" s="236"/>
      <c r="T71" s="236"/>
      <c r="U71" s="236"/>
      <c r="V71" s="236"/>
      <c r="W71" s="237"/>
      <c r="X71" s="236"/>
      <c r="Y71" s="236"/>
      <c r="Z71" s="236"/>
      <c r="AA71" s="236"/>
      <c r="AB71" s="236"/>
      <c r="AC71" s="105"/>
      <c r="AD71" s="105"/>
      <c r="AE71" s="105"/>
      <c r="AF71" s="105"/>
      <c r="AG71" s="105"/>
      <c r="AH71" s="105"/>
      <c r="AI71" s="105"/>
      <c r="AJ71" s="105"/>
      <c r="AK71" s="105"/>
      <c r="AL71" s="105"/>
      <c r="AM71" s="105"/>
      <c r="AN71" s="105"/>
      <c r="AO71" s="105"/>
      <c r="AP71" s="105"/>
      <c r="AQ71" s="105"/>
    </row>
    <row r="72" spans="1:43">
      <c r="A72" s="236"/>
      <c r="B72" s="236"/>
      <c r="C72" s="236"/>
      <c r="D72" s="236"/>
      <c r="E72" s="236"/>
      <c r="F72" s="236"/>
      <c r="G72" s="236"/>
      <c r="H72" s="236"/>
      <c r="I72" s="236"/>
      <c r="J72" s="236"/>
      <c r="K72" s="236"/>
      <c r="L72" s="236"/>
      <c r="M72" s="236"/>
      <c r="N72" s="236"/>
      <c r="O72" s="236"/>
      <c r="P72" s="236"/>
      <c r="Q72" s="236"/>
      <c r="R72" s="236"/>
      <c r="S72" s="236"/>
      <c r="T72" s="236"/>
      <c r="U72" s="236"/>
      <c r="V72" s="236"/>
      <c r="W72" s="237"/>
      <c r="X72" s="236"/>
      <c r="Y72" s="236"/>
      <c r="Z72" s="236"/>
      <c r="AA72" s="236"/>
      <c r="AB72" s="236"/>
      <c r="AC72" s="105"/>
      <c r="AD72" s="105"/>
      <c r="AE72" s="105"/>
      <c r="AF72" s="105"/>
      <c r="AG72" s="105"/>
      <c r="AH72" s="105"/>
      <c r="AI72" s="105"/>
      <c r="AJ72" s="105"/>
      <c r="AK72" s="105"/>
      <c r="AL72" s="105"/>
      <c r="AM72" s="105"/>
      <c r="AN72" s="105"/>
      <c r="AO72" s="105"/>
      <c r="AP72" s="105"/>
      <c r="AQ72" s="105"/>
    </row>
    <row r="73" spans="1:43">
      <c r="A73" s="236"/>
      <c r="B73" s="236"/>
      <c r="C73" s="236"/>
      <c r="D73" s="236"/>
      <c r="E73" s="236"/>
      <c r="F73" s="236"/>
      <c r="G73" s="236"/>
      <c r="H73" s="236"/>
      <c r="I73" s="236"/>
      <c r="J73" s="236"/>
      <c r="K73" s="236"/>
      <c r="L73" s="236"/>
      <c r="M73" s="236"/>
      <c r="N73" s="236"/>
      <c r="O73" s="236"/>
      <c r="P73" s="236"/>
      <c r="Q73" s="236"/>
      <c r="R73" s="236"/>
      <c r="S73" s="236"/>
      <c r="T73" s="236"/>
      <c r="U73" s="236"/>
      <c r="V73" s="236"/>
      <c r="W73" s="237"/>
      <c r="X73" s="236"/>
      <c r="Y73" s="236"/>
      <c r="Z73" s="236"/>
      <c r="AA73" s="236"/>
      <c r="AB73" s="236"/>
      <c r="AC73" s="105"/>
      <c r="AD73" s="105"/>
      <c r="AE73" s="105"/>
      <c r="AF73" s="105"/>
      <c r="AG73" s="105"/>
      <c r="AH73" s="105"/>
      <c r="AI73" s="105"/>
      <c r="AJ73" s="105"/>
      <c r="AK73" s="105"/>
      <c r="AL73" s="105"/>
      <c r="AM73" s="105"/>
      <c r="AN73" s="105"/>
      <c r="AO73" s="105"/>
      <c r="AP73" s="105"/>
      <c r="AQ73" s="105"/>
    </row>
    <row r="74" spans="1:43">
      <c r="A74" s="236"/>
      <c r="B74" s="236"/>
      <c r="C74" s="236"/>
      <c r="D74" s="236"/>
      <c r="E74" s="236"/>
      <c r="F74" s="236"/>
      <c r="G74" s="236"/>
      <c r="H74" s="236"/>
      <c r="I74" s="236"/>
      <c r="J74" s="236"/>
      <c r="K74" s="236"/>
      <c r="L74" s="236"/>
      <c r="M74" s="236"/>
      <c r="N74" s="236"/>
      <c r="O74" s="236"/>
      <c r="P74" s="236"/>
      <c r="Q74" s="236"/>
      <c r="R74" s="236"/>
      <c r="S74" s="236"/>
      <c r="T74" s="236"/>
      <c r="U74" s="236"/>
      <c r="V74" s="236"/>
      <c r="W74" s="237"/>
      <c r="X74" s="236"/>
      <c r="Y74" s="236"/>
      <c r="Z74" s="236"/>
      <c r="AA74" s="236"/>
      <c r="AB74" s="236"/>
      <c r="AC74" s="105"/>
      <c r="AD74" s="105"/>
      <c r="AE74" s="105"/>
      <c r="AF74" s="105"/>
      <c r="AG74" s="105"/>
      <c r="AH74" s="105"/>
      <c r="AI74" s="105"/>
      <c r="AJ74" s="105"/>
      <c r="AK74" s="105"/>
      <c r="AL74" s="105"/>
      <c r="AM74" s="105"/>
      <c r="AN74" s="105"/>
      <c r="AO74" s="105"/>
      <c r="AP74" s="105"/>
      <c r="AQ74" s="105"/>
    </row>
    <row r="75" spans="1:43">
      <c r="A75" s="236"/>
      <c r="B75" s="236"/>
      <c r="C75" s="236"/>
      <c r="D75" s="236"/>
      <c r="E75" s="236"/>
      <c r="F75" s="236"/>
      <c r="G75" s="236"/>
      <c r="H75" s="236"/>
      <c r="I75" s="236"/>
      <c r="J75" s="236"/>
      <c r="K75" s="236"/>
      <c r="L75" s="236"/>
      <c r="M75" s="236"/>
      <c r="N75" s="236"/>
      <c r="O75" s="236"/>
      <c r="P75" s="236"/>
      <c r="Q75" s="236"/>
      <c r="R75" s="236"/>
      <c r="S75" s="236"/>
      <c r="T75" s="236"/>
      <c r="U75" s="236"/>
      <c r="V75" s="236"/>
      <c r="W75" s="237"/>
      <c r="X75" s="236"/>
      <c r="Y75" s="236"/>
      <c r="Z75" s="236"/>
      <c r="AA75" s="236"/>
      <c r="AB75" s="236"/>
      <c r="AC75" s="105"/>
      <c r="AD75" s="105"/>
      <c r="AE75" s="105"/>
      <c r="AF75" s="105"/>
      <c r="AG75" s="105"/>
      <c r="AH75" s="105"/>
      <c r="AI75" s="105"/>
      <c r="AJ75" s="105"/>
      <c r="AK75" s="105"/>
      <c r="AL75" s="105"/>
      <c r="AM75" s="105"/>
      <c r="AN75" s="105"/>
      <c r="AO75" s="105"/>
      <c r="AP75" s="105"/>
      <c r="AQ75" s="105"/>
    </row>
    <row r="76" spans="1:43">
      <c r="A76" s="236"/>
      <c r="B76" s="236"/>
      <c r="C76" s="236"/>
      <c r="D76" s="236"/>
      <c r="E76" s="236"/>
      <c r="F76" s="236"/>
      <c r="G76" s="236"/>
      <c r="H76" s="236"/>
      <c r="I76" s="236"/>
      <c r="J76" s="236"/>
      <c r="K76" s="236"/>
      <c r="L76" s="236"/>
      <c r="M76" s="236"/>
      <c r="N76" s="236"/>
      <c r="O76" s="236"/>
      <c r="P76" s="236"/>
      <c r="Q76" s="236"/>
      <c r="R76" s="236"/>
      <c r="S76" s="236"/>
      <c r="T76" s="236"/>
      <c r="U76" s="236"/>
      <c r="V76" s="236"/>
      <c r="W76" s="237"/>
      <c r="X76" s="236"/>
      <c r="Y76" s="236"/>
      <c r="Z76" s="236"/>
      <c r="AA76" s="236"/>
      <c r="AB76" s="236"/>
      <c r="AC76" s="105"/>
      <c r="AD76" s="105"/>
      <c r="AE76" s="105"/>
      <c r="AF76" s="105"/>
      <c r="AG76" s="105"/>
      <c r="AH76" s="105"/>
      <c r="AI76" s="105"/>
      <c r="AJ76" s="105"/>
      <c r="AK76" s="105"/>
      <c r="AL76" s="105"/>
      <c r="AM76" s="105"/>
      <c r="AN76" s="105"/>
      <c r="AO76" s="105"/>
      <c r="AP76" s="105"/>
      <c r="AQ76" s="105"/>
    </row>
    <row r="77" spans="1:43">
      <c r="A77" s="236"/>
      <c r="B77" s="236"/>
      <c r="C77" s="236"/>
      <c r="D77" s="236"/>
      <c r="E77" s="236"/>
      <c r="F77" s="236"/>
      <c r="G77" s="236"/>
      <c r="H77" s="236"/>
      <c r="I77" s="236"/>
      <c r="J77" s="236"/>
      <c r="K77" s="236"/>
      <c r="L77" s="236"/>
      <c r="M77" s="236"/>
      <c r="N77" s="236"/>
      <c r="O77" s="236"/>
      <c r="P77" s="236"/>
      <c r="Q77" s="236"/>
      <c r="R77" s="236"/>
      <c r="S77" s="236"/>
      <c r="T77" s="236"/>
      <c r="U77" s="236"/>
      <c r="V77" s="236"/>
      <c r="W77" s="237"/>
      <c r="X77" s="236"/>
      <c r="Y77" s="236"/>
      <c r="Z77" s="236"/>
      <c r="AA77" s="236"/>
      <c r="AB77" s="236"/>
      <c r="AC77" s="105"/>
      <c r="AD77" s="105"/>
      <c r="AE77" s="105"/>
      <c r="AF77" s="105"/>
      <c r="AG77" s="105"/>
      <c r="AH77" s="105"/>
      <c r="AI77" s="105"/>
      <c r="AJ77" s="105"/>
      <c r="AK77" s="105"/>
      <c r="AL77" s="105"/>
      <c r="AM77" s="105"/>
      <c r="AN77" s="105"/>
      <c r="AO77" s="105"/>
      <c r="AP77" s="105"/>
      <c r="AQ77" s="105"/>
    </row>
    <row r="78" spans="1:43">
      <c r="A78" s="236"/>
      <c r="B78" s="236"/>
      <c r="C78" s="236"/>
      <c r="D78" s="236"/>
      <c r="E78" s="236"/>
      <c r="F78" s="236"/>
      <c r="G78" s="236"/>
      <c r="H78" s="236"/>
      <c r="I78" s="236"/>
      <c r="J78" s="236"/>
      <c r="K78" s="236"/>
      <c r="L78" s="236"/>
      <c r="M78" s="236"/>
      <c r="N78" s="236"/>
      <c r="O78" s="236"/>
      <c r="P78" s="236"/>
      <c r="Q78" s="236"/>
      <c r="R78" s="236"/>
      <c r="S78" s="236"/>
      <c r="T78" s="236"/>
      <c r="U78" s="236"/>
      <c r="V78" s="236"/>
      <c r="W78" s="237"/>
      <c r="X78" s="236"/>
      <c r="Y78" s="236"/>
      <c r="Z78" s="236"/>
      <c r="AA78" s="236"/>
      <c r="AB78" s="236"/>
      <c r="AC78" s="105"/>
      <c r="AD78" s="105"/>
      <c r="AE78" s="105"/>
      <c r="AF78" s="105"/>
      <c r="AG78" s="105"/>
      <c r="AH78" s="105"/>
      <c r="AI78" s="105"/>
      <c r="AJ78" s="105"/>
      <c r="AK78" s="105"/>
      <c r="AL78" s="105"/>
      <c r="AM78" s="105"/>
      <c r="AN78" s="105"/>
      <c r="AO78" s="105"/>
      <c r="AP78" s="105"/>
      <c r="AQ78" s="105"/>
    </row>
    <row r="79" spans="1:43">
      <c r="A79" s="236"/>
      <c r="B79" s="236"/>
      <c r="C79" s="236"/>
      <c r="D79" s="236"/>
      <c r="E79" s="236"/>
      <c r="F79" s="236"/>
      <c r="G79" s="236"/>
      <c r="H79" s="236"/>
      <c r="I79" s="236"/>
      <c r="J79" s="236"/>
      <c r="K79" s="236"/>
      <c r="L79" s="236"/>
      <c r="M79" s="236"/>
      <c r="N79" s="236"/>
      <c r="O79" s="236"/>
      <c r="P79" s="236"/>
      <c r="Q79" s="236"/>
      <c r="R79" s="236"/>
      <c r="S79" s="236"/>
      <c r="T79" s="236"/>
      <c r="U79" s="236"/>
      <c r="V79" s="236"/>
      <c r="W79" s="237"/>
      <c r="X79" s="236"/>
      <c r="Y79" s="236"/>
      <c r="Z79" s="236"/>
      <c r="AA79" s="236"/>
      <c r="AB79" s="236"/>
      <c r="AC79" s="105"/>
      <c r="AD79" s="105"/>
      <c r="AE79" s="105"/>
      <c r="AF79" s="105"/>
      <c r="AG79" s="105"/>
      <c r="AH79" s="105"/>
      <c r="AI79" s="105"/>
      <c r="AJ79" s="105"/>
      <c r="AK79" s="105"/>
      <c r="AL79" s="105"/>
      <c r="AM79" s="105"/>
      <c r="AN79" s="105"/>
      <c r="AO79" s="105"/>
      <c r="AP79" s="105"/>
      <c r="AQ79" s="105"/>
    </row>
    <row r="80" spans="1:43">
      <c r="A80" s="236"/>
      <c r="B80" s="236"/>
      <c r="C80" s="236"/>
      <c r="D80" s="236"/>
      <c r="E80" s="236"/>
      <c r="F80" s="236"/>
      <c r="G80" s="236"/>
      <c r="H80" s="236"/>
      <c r="I80" s="236"/>
      <c r="J80" s="236"/>
      <c r="K80" s="236"/>
      <c r="L80" s="236"/>
      <c r="M80" s="236"/>
      <c r="N80" s="236"/>
      <c r="O80" s="236"/>
      <c r="P80" s="236"/>
      <c r="Q80" s="236"/>
      <c r="R80" s="236"/>
      <c r="S80" s="236"/>
      <c r="T80" s="236"/>
      <c r="U80" s="236"/>
      <c r="V80" s="236"/>
      <c r="W80" s="237"/>
      <c r="X80" s="236"/>
      <c r="Y80" s="236"/>
      <c r="Z80" s="236"/>
      <c r="AA80" s="236"/>
      <c r="AB80" s="236"/>
      <c r="AC80" s="105"/>
      <c r="AD80" s="105"/>
      <c r="AE80" s="105"/>
      <c r="AF80" s="105"/>
      <c r="AG80" s="105"/>
      <c r="AH80" s="105"/>
      <c r="AI80" s="105"/>
      <c r="AJ80" s="105"/>
      <c r="AK80" s="105"/>
      <c r="AL80" s="105"/>
      <c r="AM80" s="105"/>
      <c r="AN80" s="105"/>
      <c r="AO80" s="105"/>
      <c r="AP80" s="105"/>
      <c r="AQ80" s="105"/>
    </row>
    <row r="81" spans="1:43">
      <c r="A81" s="236"/>
      <c r="B81" s="236"/>
      <c r="C81" s="236"/>
      <c r="D81" s="236"/>
      <c r="E81" s="236"/>
      <c r="F81" s="236"/>
      <c r="G81" s="236"/>
      <c r="H81" s="236"/>
      <c r="I81" s="236"/>
      <c r="J81" s="236"/>
      <c r="K81" s="236"/>
      <c r="L81" s="236"/>
      <c r="M81" s="236"/>
      <c r="N81" s="236"/>
      <c r="O81" s="236"/>
      <c r="P81" s="236"/>
      <c r="Q81" s="236"/>
      <c r="R81" s="236"/>
      <c r="S81" s="236"/>
      <c r="T81" s="236"/>
      <c r="U81" s="236"/>
      <c r="V81" s="236"/>
      <c r="W81" s="237"/>
      <c r="X81" s="236"/>
      <c r="Y81" s="236"/>
      <c r="Z81" s="236"/>
      <c r="AA81" s="236"/>
      <c r="AB81" s="236"/>
      <c r="AC81" s="105"/>
      <c r="AD81" s="105"/>
      <c r="AE81" s="105"/>
      <c r="AF81" s="105"/>
      <c r="AG81" s="105"/>
      <c r="AH81" s="105"/>
      <c r="AI81" s="105"/>
      <c r="AJ81" s="105"/>
      <c r="AK81" s="105"/>
      <c r="AL81" s="105"/>
      <c r="AM81" s="105"/>
      <c r="AN81" s="105"/>
      <c r="AO81" s="105"/>
      <c r="AP81" s="105"/>
      <c r="AQ81" s="105"/>
    </row>
    <row r="82" spans="1:43">
      <c r="A82" s="236"/>
      <c r="B82" s="236"/>
      <c r="C82" s="236"/>
      <c r="D82" s="236"/>
      <c r="E82" s="236"/>
      <c r="F82" s="236"/>
      <c r="G82" s="236"/>
      <c r="H82" s="236"/>
      <c r="I82" s="236"/>
      <c r="J82" s="236"/>
      <c r="K82" s="236"/>
      <c r="L82" s="236"/>
      <c r="M82" s="236"/>
      <c r="N82" s="236"/>
      <c r="O82" s="236"/>
      <c r="P82" s="236"/>
      <c r="Q82" s="236"/>
      <c r="R82" s="236"/>
      <c r="S82" s="236"/>
      <c r="T82" s="236"/>
      <c r="U82" s="236"/>
      <c r="V82" s="236"/>
      <c r="W82" s="237"/>
      <c r="X82" s="236"/>
      <c r="Y82" s="236"/>
      <c r="Z82" s="236"/>
      <c r="AA82" s="236"/>
      <c r="AB82" s="236"/>
      <c r="AC82" s="105"/>
      <c r="AD82" s="105"/>
      <c r="AE82" s="105"/>
      <c r="AF82" s="105"/>
      <c r="AG82" s="105"/>
      <c r="AH82" s="105"/>
      <c r="AI82" s="105"/>
      <c r="AJ82" s="105"/>
      <c r="AK82" s="105"/>
      <c r="AL82" s="105"/>
      <c r="AM82" s="105"/>
      <c r="AN82" s="105"/>
      <c r="AO82" s="105"/>
      <c r="AP82" s="105"/>
      <c r="AQ82" s="105"/>
    </row>
    <row r="83" spans="1:43">
      <c r="A83" s="236"/>
      <c r="B83" s="236"/>
      <c r="C83" s="236"/>
      <c r="D83" s="236"/>
      <c r="E83" s="236"/>
      <c r="F83" s="236"/>
      <c r="G83" s="236"/>
      <c r="H83" s="236"/>
      <c r="I83" s="236"/>
      <c r="J83" s="236"/>
      <c r="K83" s="236"/>
      <c r="L83" s="236"/>
      <c r="M83" s="236"/>
      <c r="N83" s="236"/>
      <c r="O83" s="236"/>
      <c r="P83" s="236"/>
      <c r="Q83" s="236"/>
      <c r="R83" s="236"/>
      <c r="S83" s="236"/>
      <c r="T83" s="236"/>
      <c r="U83" s="236"/>
      <c r="V83" s="236"/>
      <c r="W83" s="237"/>
      <c r="X83" s="236"/>
      <c r="Y83" s="236"/>
      <c r="Z83" s="236"/>
      <c r="AA83" s="236"/>
      <c r="AB83" s="236"/>
      <c r="AC83" s="105"/>
      <c r="AD83" s="105"/>
      <c r="AE83" s="105"/>
      <c r="AF83" s="105"/>
      <c r="AG83" s="105"/>
      <c r="AH83" s="105"/>
      <c r="AI83" s="105"/>
      <c r="AJ83" s="105"/>
      <c r="AK83" s="105"/>
      <c r="AL83" s="105"/>
      <c r="AM83" s="105"/>
      <c r="AN83" s="105"/>
      <c r="AO83" s="105"/>
      <c r="AP83" s="105"/>
      <c r="AQ83" s="105"/>
    </row>
    <row r="84" spans="1:43">
      <c r="A84" s="236"/>
      <c r="B84" s="236"/>
      <c r="C84" s="236"/>
      <c r="D84" s="236"/>
      <c r="E84" s="236"/>
      <c r="F84" s="236"/>
      <c r="G84" s="236"/>
      <c r="H84" s="236"/>
      <c r="I84" s="236"/>
      <c r="J84" s="236"/>
      <c r="K84" s="236"/>
      <c r="L84" s="236"/>
      <c r="M84" s="236"/>
      <c r="N84" s="236"/>
      <c r="O84" s="236"/>
      <c r="P84" s="236"/>
      <c r="Q84" s="236"/>
      <c r="R84" s="236"/>
      <c r="S84" s="236"/>
      <c r="T84" s="236"/>
      <c r="U84" s="236"/>
      <c r="V84" s="236"/>
      <c r="W84" s="237"/>
      <c r="X84" s="236"/>
      <c r="Y84" s="236"/>
      <c r="Z84" s="236"/>
      <c r="AA84" s="236"/>
      <c r="AB84" s="236"/>
      <c r="AC84" s="105"/>
      <c r="AD84" s="105"/>
      <c r="AE84" s="105"/>
      <c r="AF84" s="105"/>
      <c r="AG84" s="105"/>
      <c r="AH84" s="105"/>
      <c r="AI84" s="105"/>
      <c r="AJ84" s="105"/>
      <c r="AK84" s="105"/>
      <c r="AL84" s="105"/>
      <c r="AM84" s="105"/>
      <c r="AN84" s="105"/>
      <c r="AO84" s="105"/>
      <c r="AP84" s="105"/>
      <c r="AQ84" s="105"/>
    </row>
    <row r="85" spans="1:43">
      <c r="A85" s="236"/>
      <c r="B85" s="236"/>
      <c r="C85" s="236"/>
      <c r="D85" s="236"/>
      <c r="E85" s="236"/>
      <c r="F85" s="236"/>
      <c r="G85" s="236"/>
      <c r="H85" s="236"/>
      <c r="I85" s="236"/>
      <c r="J85" s="236"/>
      <c r="K85" s="236"/>
      <c r="L85" s="236"/>
      <c r="M85" s="236"/>
      <c r="N85" s="236"/>
      <c r="O85" s="236"/>
      <c r="P85" s="236"/>
      <c r="Q85" s="236"/>
      <c r="R85" s="236"/>
      <c r="S85" s="236"/>
      <c r="T85" s="236"/>
      <c r="U85" s="236"/>
      <c r="V85" s="236"/>
      <c r="W85" s="237"/>
      <c r="X85" s="236"/>
      <c r="Y85" s="236"/>
      <c r="Z85" s="236"/>
      <c r="AA85" s="236"/>
      <c r="AB85" s="236"/>
      <c r="AC85" s="105"/>
      <c r="AD85" s="105"/>
      <c r="AE85" s="105"/>
      <c r="AF85" s="105"/>
      <c r="AG85" s="105"/>
      <c r="AH85" s="105"/>
      <c r="AI85" s="105"/>
      <c r="AJ85" s="105"/>
      <c r="AK85" s="105"/>
      <c r="AL85" s="105"/>
      <c r="AM85" s="105"/>
      <c r="AN85" s="105"/>
      <c r="AO85" s="105"/>
      <c r="AP85" s="105"/>
      <c r="AQ85" s="105"/>
    </row>
    <row r="86" spans="1:43">
      <c r="A86" s="236"/>
      <c r="B86" s="236"/>
      <c r="C86" s="236"/>
      <c r="D86" s="236"/>
      <c r="E86" s="236"/>
      <c r="F86" s="236"/>
      <c r="G86" s="236"/>
      <c r="H86" s="236"/>
      <c r="I86" s="236"/>
      <c r="J86" s="236"/>
      <c r="K86" s="236"/>
      <c r="L86" s="236"/>
      <c r="M86" s="236"/>
      <c r="N86" s="236"/>
      <c r="O86" s="236"/>
      <c r="P86" s="236"/>
      <c r="Q86" s="236"/>
      <c r="R86" s="236"/>
      <c r="S86" s="236"/>
      <c r="T86" s="236"/>
      <c r="U86" s="236"/>
      <c r="V86" s="236"/>
      <c r="W86" s="237"/>
      <c r="X86" s="236"/>
      <c r="Y86" s="236"/>
      <c r="Z86" s="236"/>
      <c r="AA86" s="236"/>
      <c r="AB86" s="236"/>
      <c r="AC86" s="105"/>
      <c r="AD86" s="105"/>
      <c r="AE86" s="105"/>
      <c r="AF86" s="105"/>
      <c r="AG86" s="105"/>
      <c r="AH86" s="105"/>
      <c r="AI86" s="105"/>
      <c r="AJ86" s="105"/>
      <c r="AK86" s="105"/>
      <c r="AL86" s="105"/>
      <c r="AM86" s="105"/>
      <c r="AN86" s="105"/>
      <c r="AO86" s="105"/>
      <c r="AP86" s="105"/>
      <c r="AQ86" s="105"/>
    </row>
    <row r="87" spans="1:43">
      <c r="A87" s="236"/>
      <c r="B87" s="236"/>
      <c r="C87" s="236"/>
      <c r="D87" s="236"/>
      <c r="E87" s="236"/>
      <c r="F87" s="236"/>
      <c r="G87" s="236"/>
      <c r="H87" s="236"/>
      <c r="I87" s="236"/>
      <c r="J87" s="236"/>
      <c r="K87" s="236"/>
      <c r="L87" s="236"/>
      <c r="M87" s="236"/>
      <c r="N87" s="236"/>
      <c r="O87" s="236"/>
      <c r="P87" s="236"/>
      <c r="Q87" s="236"/>
      <c r="R87" s="236"/>
      <c r="S87" s="236"/>
      <c r="T87" s="236"/>
      <c r="U87" s="236"/>
      <c r="V87" s="236"/>
      <c r="W87" s="237"/>
      <c r="X87" s="236"/>
      <c r="Y87" s="236"/>
      <c r="Z87" s="236"/>
      <c r="AA87" s="236"/>
      <c r="AB87" s="236"/>
      <c r="AC87" s="105"/>
      <c r="AD87" s="105"/>
      <c r="AE87" s="105"/>
      <c r="AF87" s="105"/>
      <c r="AG87" s="105"/>
      <c r="AH87" s="105"/>
      <c r="AI87" s="105"/>
      <c r="AJ87" s="105"/>
      <c r="AK87" s="105"/>
      <c r="AL87" s="105"/>
      <c r="AM87" s="105"/>
      <c r="AN87" s="105"/>
      <c r="AO87" s="105"/>
      <c r="AP87" s="105"/>
      <c r="AQ87" s="105"/>
    </row>
    <row r="88" spans="1:43">
      <c r="A88" s="236"/>
      <c r="B88" s="236"/>
      <c r="C88" s="236"/>
      <c r="D88" s="236"/>
      <c r="E88" s="236"/>
      <c r="F88" s="236"/>
      <c r="G88" s="236"/>
      <c r="H88" s="236"/>
      <c r="I88" s="236"/>
      <c r="J88" s="236"/>
      <c r="K88" s="236"/>
      <c r="L88" s="236"/>
      <c r="M88" s="236"/>
      <c r="N88" s="236"/>
      <c r="O88" s="236"/>
      <c r="P88" s="236"/>
      <c r="Q88" s="236"/>
      <c r="R88" s="236"/>
      <c r="S88" s="236"/>
      <c r="T88" s="236"/>
      <c r="U88" s="236"/>
      <c r="V88" s="236"/>
      <c r="W88" s="237"/>
      <c r="X88" s="236"/>
      <c r="Y88" s="236"/>
      <c r="Z88" s="236"/>
      <c r="AA88" s="236"/>
      <c r="AB88" s="236"/>
      <c r="AC88" s="105"/>
      <c r="AD88" s="105"/>
      <c r="AE88" s="105"/>
      <c r="AF88" s="105"/>
      <c r="AG88" s="105"/>
      <c r="AH88" s="105"/>
      <c r="AI88" s="105"/>
      <c r="AJ88" s="105"/>
      <c r="AK88" s="105"/>
      <c r="AL88" s="105"/>
      <c r="AM88" s="105"/>
      <c r="AN88" s="105"/>
      <c r="AO88" s="105"/>
      <c r="AP88" s="105"/>
      <c r="AQ88" s="105"/>
    </row>
    <row r="89" spans="1:43">
      <c r="A89" s="236"/>
      <c r="B89" s="236"/>
      <c r="C89" s="236"/>
      <c r="D89" s="236"/>
      <c r="E89" s="236"/>
      <c r="F89" s="236"/>
      <c r="G89" s="236"/>
      <c r="H89" s="236"/>
      <c r="I89" s="236"/>
      <c r="J89" s="236"/>
      <c r="K89" s="236"/>
      <c r="L89" s="236"/>
      <c r="M89" s="236"/>
      <c r="N89" s="236"/>
      <c r="O89" s="236"/>
      <c r="P89" s="236"/>
      <c r="Q89" s="236"/>
      <c r="R89" s="236"/>
      <c r="S89" s="236"/>
      <c r="T89" s="236"/>
      <c r="U89" s="236"/>
      <c r="V89" s="236"/>
      <c r="W89" s="237"/>
      <c r="X89" s="236"/>
      <c r="Y89" s="236"/>
      <c r="Z89" s="236"/>
      <c r="AA89" s="236"/>
      <c r="AB89" s="236"/>
      <c r="AC89" s="105"/>
      <c r="AD89" s="105"/>
      <c r="AE89" s="105"/>
      <c r="AF89" s="105"/>
      <c r="AG89" s="105"/>
      <c r="AH89" s="105"/>
      <c r="AI89" s="105"/>
      <c r="AJ89" s="105"/>
      <c r="AK89" s="105"/>
      <c r="AL89" s="105"/>
      <c r="AM89" s="105"/>
      <c r="AN89" s="105"/>
      <c r="AO89" s="105"/>
      <c r="AP89" s="105"/>
      <c r="AQ89" s="105"/>
    </row>
    <row r="90" spans="1:43">
      <c r="A90" s="236"/>
      <c r="B90" s="236"/>
      <c r="C90" s="236"/>
      <c r="D90" s="236"/>
      <c r="E90" s="236"/>
      <c r="F90" s="236"/>
      <c r="G90" s="236"/>
      <c r="H90" s="236"/>
      <c r="I90" s="236"/>
      <c r="J90" s="236"/>
      <c r="K90" s="236"/>
      <c r="L90" s="236"/>
      <c r="M90" s="236"/>
      <c r="N90" s="236"/>
      <c r="O90" s="236"/>
      <c r="P90" s="236"/>
      <c r="Q90" s="236"/>
      <c r="R90" s="236"/>
      <c r="S90" s="236"/>
      <c r="T90" s="236"/>
      <c r="U90" s="236"/>
      <c r="V90" s="236"/>
      <c r="W90" s="237"/>
      <c r="X90" s="236"/>
      <c r="Y90" s="236"/>
      <c r="Z90" s="236"/>
      <c r="AA90" s="236"/>
      <c r="AB90" s="236"/>
      <c r="AC90" s="105"/>
      <c r="AD90" s="105"/>
      <c r="AE90" s="105"/>
      <c r="AF90" s="105"/>
      <c r="AG90" s="105"/>
      <c r="AH90" s="105"/>
      <c r="AI90" s="105"/>
      <c r="AJ90" s="105"/>
      <c r="AK90" s="105"/>
      <c r="AL90" s="105"/>
      <c r="AM90" s="105"/>
      <c r="AN90" s="105"/>
      <c r="AO90" s="105"/>
      <c r="AP90" s="105"/>
      <c r="AQ90" s="105"/>
    </row>
    <row r="91" spans="1:43">
      <c r="A91" s="236"/>
      <c r="B91" s="236"/>
      <c r="C91" s="236"/>
      <c r="D91" s="236"/>
      <c r="E91" s="236"/>
      <c r="F91" s="236"/>
      <c r="G91" s="236"/>
      <c r="H91" s="236"/>
      <c r="I91" s="236"/>
      <c r="J91" s="236"/>
      <c r="K91" s="236"/>
      <c r="L91" s="236"/>
      <c r="M91" s="236"/>
      <c r="N91" s="236"/>
      <c r="O91" s="236"/>
      <c r="P91" s="236"/>
      <c r="Q91" s="236"/>
      <c r="R91" s="236"/>
      <c r="S91" s="236"/>
      <c r="T91" s="236"/>
      <c r="U91" s="236"/>
      <c r="V91" s="236"/>
      <c r="W91" s="237"/>
      <c r="X91" s="236"/>
      <c r="Y91" s="236"/>
      <c r="Z91" s="236"/>
      <c r="AA91" s="236"/>
      <c r="AB91" s="236"/>
      <c r="AC91" s="105"/>
      <c r="AD91" s="105"/>
      <c r="AE91" s="105"/>
      <c r="AF91" s="105"/>
      <c r="AG91" s="105"/>
      <c r="AH91" s="105"/>
      <c r="AI91" s="105"/>
      <c r="AJ91" s="105"/>
      <c r="AK91" s="105"/>
      <c r="AL91" s="105"/>
      <c r="AM91" s="105"/>
      <c r="AN91" s="105"/>
      <c r="AO91" s="105"/>
      <c r="AP91" s="105"/>
      <c r="AQ91" s="105"/>
    </row>
    <row r="92" spans="1:43">
      <c r="A92" s="236"/>
      <c r="B92" s="236"/>
      <c r="C92" s="236"/>
      <c r="D92" s="236"/>
      <c r="E92" s="236"/>
      <c r="F92" s="236"/>
      <c r="G92" s="236"/>
      <c r="H92" s="236"/>
      <c r="I92" s="236"/>
      <c r="J92" s="236"/>
      <c r="K92" s="236"/>
      <c r="L92" s="236"/>
      <c r="M92" s="236"/>
      <c r="N92" s="236"/>
      <c r="O92" s="236"/>
      <c r="P92" s="236"/>
      <c r="Q92" s="236"/>
      <c r="R92" s="236"/>
      <c r="S92" s="236"/>
      <c r="T92" s="236"/>
      <c r="U92" s="236"/>
      <c r="V92" s="236"/>
      <c r="W92" s="237"/>
      <c r="X92" s="236"/>
      <c r="Y92" s="236"/>
      <c r="Z92" s="236"/>
      <c r="AA92" s="236"/>
      <c r="AB92" s="236"/>
      <c r="AC92" s="105"/>
      <c r="AD92" s="105"/>
      <c r="AE92" s="105"/>
      <c r="AF92" s="105"/>
      <c r="AG92" s="105"/>
      <c r="AH92" s="105"/>
      <c r="AI92" s="105"/>
      <c r="AJ92" s="105"/>
      <c r="AK92" s="105"/>
      <c r="AL92" s="105"/>
      <c r="AM92" s="105"/>
      <c r="AN92" s="105"/>
      <c r="AO92" s="105"/>
      <c r="AP92" s="105"/>
      <c r="AQ92" s="105"/>
    </row>
    <row r="93" spans="1:43">
      <c r="A93" s="236"/>
      <c r="B93" s="236"/>
      <c r="C93" s="236"/>
      <c r="D93" s="236"/>
      <c r="E93" s="236"/>
      <c r="F93" s="236"/>
      <c r="G93" s="236"/>
      <c r="H93" s="236"/>
      <c r="I93" s="236"/>
      <c r="J93" s="236"/>
      <c r="K93" s="236"/>
      <c r="L93" s="236"/>
      <c r="M93" s="236"/>
      <c r="N93" s="236"/>
      <c r="O93" s="236"/>
      <c r="P93" s="236"/>
      <c r="Q93" s="236"/>
      <c r="R93" s="236"/>
      <c r="S93" s="236"/>
      <c r="T93" s="236"/>
      <c r="U93" s="236"/>
      <c r="V93" s="236"/>
      <c r="W93" s="237"/>
      <c r="X93" s="236"/>
      <c r="Y93" s="236"/>
      <c r="Z93" s="236"/>
      <c r="AA93" s="236"/>
      <c r="AB93" s="236"/>
      <c r="AC93" s="105"/>
      <c r="AD93" s="105"/>
      <c r="AE93" s="105"/>
      <c r="AF93" s="105"/>
      <c r="AG93" s="105"/>
      <c r="AH93" s="105"/>
      <c r="AI93" s="105"/>
      <c r="AJ93" s="105"/>
      <c r="AK93" s="105"/>
      <c r="AL93" s="105"/>
      <c r="AM93" s="105"/>
      <c r="AN93" s="105"/>
      <c r="AO93" s="105"/>
      <c r="AP93" s="105"/>
      <c r="AQ93" s="105"/>
    </row>
    <row r="94" spans="1:43">
      <c r="A94" s="236"/>
      <c r="B94" s="236"/>
      <c r="C94" s="236"/>
      <c r="D94" s="236"/>
      <c r="E94" s="236"/>
      <c r="F94" s="236"/>
      <c r="G94" s="236"/>
      <c r="H94" s="236"/>
      <c r="I94" s="236"/>
      <c r="J94" s="236"/>
      <c r="K94" s="236"/>
      <c r="L94" s="236"/>
      <c r="M94" s="236"/>
      <c r="N94" s="236"/>
      <c r="O94" s="236"/>
      <c r="P94" s="236"/>
      <c r="Q94" s="236"/>
      <c r="R94" s="236"/>
      <c r="S94" s="236"/>
      <c r="T94" s="236"/>
      <c r="U94" s="236"/>
      <c r="V94" s="236"/>
      <c r="W94" s="237"/>
      <c r="X94" s="236"/>
      <c r="Y94" s="236"/>
      <c r="Z94" s="236"/>
      <c r="AA94" s="236"/>
      <c r="AB94" s="236"/>
      <c r="AC94" s="105"/>
      <c r="AD94" s="105"/>
      <c r="AE94" s="105"/>
      <c r="AF94" s="105"/>
      <c r="AG94" s="105"/>
      <c r="AH94" s="105"/>
      <c r="AI94" s="105"/>
      <c r="AJ94" s="105"/>
      <c r="AK94" s="105"/>
      <c r="AL94" s="105"/>
      <c r="AM94" s="105"/>
      <c r="AN94" s="105"/>
      <c r="AO94" s="105"/>
      <c r="AP94" s="105"/>
      <c r="AQ94" s="105"/>
    </row>
    <row r="95" spans="1:43">
      <c r="A95" s="236"/>
      <c r="B95" s="236"/>
      <c r="C95" s="236"/>
      <c r="D95" s="236"/>
      <c r="E95" s="236"/>
      <c r="F95" s="236"/>
      <c r="G95" s="236"/>
      <c r="H95" s="236"/>
      <c r="I95" s="236"/>
      <c r="J95" s="236"/>
      <c r="K95" s="236"/>
      <c r="L95" s="236"/>
      <c r="M95" s="236"/>
      <c r="N95" s="236"/>
      <c r="O95" s="236"/>
      <c r="P95" s="236"/>
      <c r="Q95" s="236"/>
      <c r="R95" s="236"/>
      <c r="S95" s="236"/>
      <c r="T95" s="236"/>
      <c r="U95" s="236"/>
      <c r="V95" s="236"/>
      <c r="W95" s="237"/>
      <c r="X95" s="236"/>
      <c r="Y95" s="236"/>
      <c r="Z95" s="236"/>
      <c r="AA95" s="236"/>
      <c r="AB95" s="236"/>
      <c r="AC95" s="105"/>
      <c r="AD95" s="105"/>
      <c r="AE95" s="105"/>
      <c r="AF95" s="105"/>
      <c r="AG95" s="105"/>
      <c r="AH95" s="105"/>
      <c r="AI95" s="105"/>
      <c r="AJ95" s="105"/>
      <c r="AK95" s="105"/>
      <c r="AL95" s="105"/>
      <c r="AM95" s="105"/>
      <c r="AN95" s="105"/>
      <c r="AO95" s="105"/>
      <c r="AP95" s="105"/>
      <c r="AQ95" s="105"/>
    </row>
    <row r="96" spans="1:43">
      <c r="A96" s="236"/>
      <c r="B96" s="236"/>
      <c r="C96" s="236"/>
      <c r="D96" s="236"/>
      <c r="E96" s="236"/>
      <c r="F96" s="236"/>
      <c r="G96" s="236"/>
      <c r="H96" s="236"/>
      <c r="I96" s="236"/>
      <c r="J96" s="236"/>
      <c r="K96" s="236"/>
      <c r="L96" s="236"/>
      <c r="M96" s="236"/>
      <c r="N96" s="236"/>
      <c r="O96" s="236"/>
      <c r="P96" s="236"/>
      <c r="Q96" s="236"/>
      <c r="R96" s="236"/>
      <c r="S96" s="236"/>
      <c r="T96" s="236"/>
      <c r="U96" s="236"/>
      <c r="V96" s="236"/>
      <c r="W96" s="237"/>
      <c r="X96" s="236"/>
      <c r="Y96" s="236"/>
      <c r="Z96" s="236"/>
      <c r="AA96" s="236"/>
      <c r="AB96" s="236"/>
      <c r="AC96" s="105"/>
      <c r="AD96" s="105"/>
      <c r="AE96" s="105"/>
      <c r="AF96" s="105"/>
      <c r="AG96" s="105"/>
      <c r="AH96" s="105"/>
      <c r="AI96" s="105"/>
      <c r="AJ96" s="105"/>
      <c r="AK96" s="105"/>
      <c r="AL96" s="105"/>
      <c r="AM96" s="105"/>
      <c r="AN96" s="105"/>
      <c r="AO96" s="105"/>
      <c r="AP96" s="105"/>
      <c r="AQ96" s="105"/>
    </row>
    <row r="97" spans="1:43">
      <c r="A97" s="236"/>
      <c r="B97" s="236"/>
      <c r="C97" s="236"/>
      <c r="D97" s="236"/>
      <c r="E97" s="236"/>
      <c r="F97" s="236"/>
      <c r="G97" s="236"/>
      <c r="H97" s="236"/>
      <c r="I97" s="236"/>
      <c r="J97" s="236"/>
      <c r="K97" s="236"/>
      <c r="L97" s="236"/>
      <c r="M97" s="236"/>
      <c r="N97" s="236"/>
      <c r="O97" s="236"/>
      <c r="P97" s="236"/>
      <c r="Q97" s="236"/>
      <c r="R97" s="236"/>
      <c r="S97" s="236"/>
      <c r="T97" s="236"/>
      <c r="U97" s="236"/>
      <c r="V97" s="236"/>
      <c r="W97" s="237"/>
      <c r="X97" s="236"/>
      <c r="Y97" s="236"/>
      <c r="Z97" s="236"/>
      <c r="AA97" s="236"/>
      <c r="AB97" s="236"/>
      <c r="AC97" s="105"/>
      <c r="AD97" s="105"/>
      <c r="AE97" s="105"/>
      <c r="AF97" s="105"/>
      <c r="AG97" s="105"/>
      <c r="AH97" s="105"/>
      <c r="AI97" s="105"/>
      <c r="AJ97" s="105"/>
      <c r="AK97" s="105"/>
      <c r="AL97" s="105"/>
      <c r="AM97" s="105"/>
      <c r="AN97" s="105"/>
      <c r="AO97" s="105"/>
      <c r="AP97" s="105"/>
      <c r="AQ97" s="105"/>
    </row>
    <row r="98" spans="1:43">
      <c r="A98" s="236"/>
      <c r="B98" s="236"/>
      <c r="C98" s="236"/>
      <c r="D98" s="236"/>
      <c r="E98" s="236"/>
      <c r="F98" s="236"/>
      <c r="G98" s="236"/>
      <c r="H98" s="236"/>
      <c r="I98" s="236"/>
      <c r="J98" s="236"/>
      <c r="K98" s="236"/>
      <c r="L98" s="236"/>
      <c r="M98" s="236"/>
      <c r="N98" s="236"/>
      <c r="O98" s="236"/>
      <c r="P98" s="236"/>
      <c r="Q98" s="236"/>
      <c r="R98" s="236"/>
      <c r="S98" s="236"/>
      <c r="T98" s="236"/>
      <c r="U98" s="236"/>
      <c r="V98" s="236"/>
      <c r="W98" s="237"/>
      <c r="X98" s="236"/>
      <c r="Y98" s="236"/>
      <c r="Z98" s="236"/>
      <c r="AA98" s="236"/>
      <c r="AB98" s="236"/>
      <c r="AC98" s="105"/>
      <c r="AD98" s="105"/>
      <c r="AE98" s="105"/>
      <c r="AF98" s="105"/>
      <c r="AG98" s="105"/>
      <c r="AH98" s="105"/>
      <c r="AI98" s="105"/>
      <c r="AJ98" s="105"/>
      <c r="AK98" s="105"/>
      <c r="AL98" s="105"/>
      <c r="AM98" s="105"/>
      <c r="AN98" s="105"/>
      <c r="AO98" s="105"/>
      <c r="AP98" s="105"/>
      <c r="AQ98" s="105"/>
    </row>
    <row r="99" spans="1:43">
      <c r="A99" s="236"/>
      <c r="B99" s="236"/>
      <c r="C99" s="236"/>
      <c r="D99" s="236"/>
      <c r="E99" s="236"/>
      <c r="F99" s="236"/>
      <c r="G99" s="236"/>
      <c r="H99" s="236"/>
      <c r="I99" s="236"/>
      <c r="J99" s="236"/>
      <c r="K99" s="236"/>
      <c r="L99" s="236"/>
      <c r="M99" s="236"/>
      <c r="N99" s="236"/>
      <c r="O99" s="236"/>
      <c r="P99" s="236"/>
      <c r="Q99" s="236"/>
      <c r="R99" s="236"/>
      <c r="S99" s="236"/>
      <c r="T99" s="236"/>
      <c r="U99" s="236"/>
      <c r="V99" s="236"/>
      <c r="W99" s="237"/>
      <c r="X99" s="236"/>
      <c r="Y99" s="236"/>
      <c r="Z99" s="236"/>
      <c r="AA99" s="236"/>
      <c r="AB99" s="236"/>
      <c r="AC99" s="105"/>
      <c r="AD99" s="105"/>
      <c r="AE99" s="105"/>
      <c r="AF99" s="105"/>
      <c r="AG99" s="105"/>
      <c r="AH99" s="105"/>
      <c r="AI99" s="105"/>
      <c r="AJ99" s="105"/>
      <c r="AK99" s="105"/>
      <c r="AL99" s="105"/>
      <c r="AM99" s="105"/>
      <c r="AN99" s="105"/>
      <c r="AO99" s="105"/>
      <c r="AP99" s="105"/>
      <c r="AQ99" s="105"/>
    </row>
    <row r="100" spans="1:43">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7"/>
      <c r="X100" s="236"/>
      <c r="Y100" s="236"/>
      <c r="Z100" s="236"/>
      <c r="AA100" s="236"/>
      <c r="AB100" s="236"/>
      <c r="AC100" s="105"/>
      <c r="AD100" s="105"/>
      <c r="AE100" s="105"/>
      <c r="AF100" s="105"/>
      <c r="AG100" s="105"/>
      <c r="AH100" s="105"/>
      <c r="AI100" s="105"/>
      <c r="AJ100" s="105"/>
      <c r="AK100" s="105"/>
      <c r="AL100" s="105"/>
      <c r="AM100" s="105"/>
      <c r="AN100" s="105"/>
      <c r="AO100" s="105"/>
      <c r="AP100" s="105"/>
      <c r="AQ100" s="105"/>
    </row>
    <row r="101" spans="1:43">
      <c r="A101" s="236"/>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7"/>
      <c r="X101" s="236"/>
      <c r="Y101" s="236"/>
      <c r="Z101" s="236"/>
      <c r="AA101" s="236"/>
      <c r="AB101" s="236"/>
      <c r="AC101" s="105"/>
      <c r="AD101" s="105"/>
      <c r="AE101" s="105"/>
      <c r="AF101" s="105"/>
      <c r="AG101" s="105"/>
      <c r="AH101" s="105"/>
      <c r="AI101" s="105"/>
      <c r="AJ101" s="105"/>
      <c r="AK101" s="105"/>
      <c r="AL101" s="105"/>
      <c r="AM101" s="105"/>
      <c r="AN101" s="105"/>
      <c r="AO101" s="105"/>
      <c r="AP101" s="105"/>
      <c r="AQ101" s="105"/>
    </row>
    <row r="102" spans="1:43">
      <c r="A102" s="236"/>
      <c r="B102" s="236"/>
      <c r="C102" s="236"/>
      <c r="D102" s="236"/>
      <c r="E102" s="236"/>
      <c r="F102" s="236"/>
      <c r="G102" s="236"/>
      <c r="H102" s="236"/>
      <c r="I102" s="236"/>
      <c r="J102" s="236"/>
      <c r="K102" s="236"/>
      <c r="L102" s="236"/>
      <c r="M102" s="236"/>
      <c r="N102" s="236"/>
      <c r="O102" s="236"/>
      <c r="Q102" s="236"/>
      <c r="R102" s="236"/>
      <c r="S102" s="236"/>
      <c r="T102" s="236"/>
      <c r="U102" s="236"/>
      <c r="V102" s="236"/>
      <c r="W102" s="237"/>
      <c r="X102" s="236"/>
      <c r="Y102" s="236"/>
      <c r="Z102" s="236"/>
      <c r="AA102" s="236"/>
      <c r="AB102" s="236"/>
      <c r="AC102" s="105"/>
      <c r="AD102" s="105"/>
      <c r="AE102" s="105"/>
      <c r="AF102" s="105"/>
      <c r="AG102" s="105"/>
      <c r="AH102" s="105"/>
      <c r="AI102" s="105"/>
      <c r="AJ102" s="105"/>
      <c r="AK102" s="105"/>
      <c r="AL102" s="105"/>
      <c r="AM102" s="105"/>
      <c r="AN102" s="105"/>
      <c r="AO102" s="105"/>
      <c r="AP102" s="105"/>
      <c r="AQ102" s="105"/>
    </row>
    <row r="103" spans="1:43">
      <c r="A103" s="236"/>
      <c r="B103" s="236"/>
      <c r="C103" s="236"/>
      <c r="D103" s="236"/>
      <c r="E103" s="236"/>
      <c r="F103" s="236"/>
      <c r="G103" s="236"/>
      <c r="H103" s="236"/>
      <c r="I103" s="236"/>
      <c r="J103" s="236"/>
      <c r="K103" s="236"/>
      <c r="L103" s="236"/>
      <c r="M103" s="236"/>
      <c r="N103" s="236"/>
      <c r="O103" s="236"/>
      <c r="Q103" s="236"/>
      <c r="R103" s="236"/>
      <c r="S103" s="236"/>
      <c r="T103" s="236"/>
      <c r="U103" s="236"/>
      <c r="V103" s="236"/>
      <c r="W103" s="237"/>
      <c r="X103" s="236"/>
      <c r="Y103" s="236"/>
      <c r="Z103" s="236"/>
      <c r="AA103" s="236"/>
      <c r="AB103" s="236"/>
      <c r="AC103" s="105"/>
      <c r="AD103" s="105"/>
      <c r="AE103" s="105"/>
      <c r="AF103" s="105"/>
      <c r="AG103" s="105"/>
      <c r="AH103" s="105"/>
      <c r="AI103" s="105"/>
      <c r="AJ103" s="105"/>
      <c r="AK103" s="105"/>
      <c r="AL103" s="105"/>
      <c r="AM103" s="105"/>
      <c r="AN103" s="105"/>
      <c r="AO103" s="105"/>
      <c r="AP103" s="105"/>
      <c r="AQ103" s="105"/>
    </row>
  </sheetData>
  <sheetProtection algorithmName="SHA-512" hashValue="fVqxjwwqIEFZTgofQmmo4l1/sGez9UiR9BzSXRwpnfCLRb79CMn2BxckrptrBJKBjc6rRYczLz3AmBRh5eQnyw==" saltValue="NCUUS5x2v8GuFveqPsViDg==" spinCount="100000" sheet="1" objects="1" scenarios="1" selectLockedCells="1" selectUnlockedCells="1"/>
  <mergeCells count="56">
    <mergeCell ref="A14:G15"/>
    <mergeCell ref="H14:O14"/>
    <mergeCell ref="A1:P4"/>
    <mergeCell ref="A5:E5"/>
    <mergeCell ref="AA5:AI5"/>
    <mergeCell ref="A6:E6"/>
    <mergeCell ref="AA6:AI6"/>
    <mergeCell ref="A7:E7"/>
    <mergeCell ref="AA7:AI7"/>
    <mergeCell ref="A8:E8"/>
    <mergeCell ref="AA10:AC10"/>
    <mergeCell ref="AD10:AF10"/>
    <mergeCell ref="AG10:AI10"/>
    <mergeCell ref="A11:O12"/>
    <mergeCell ref="A24:E24"/>
    <mergeCell ref="F24:G24"/>
    <mergeCell ref="A16:E16"/>
    <mergeCell ref="F16:G16"/>
    <mergeCell ref="F17:G17"/>
    <mergeCell ref="A18:E18"/>
    <mergeCell ref="F18:G18"/>
    <mergeCell ref="A19:E19"/>
    <mergeCell ref="F19:G19"/>
    <mergeCell ref="A20:E20"/>
    <mergeCell ref="F20:G20"/>
    <mergeCell ref="A22:G22"/>
    <mergeCell ref="R22:Y22"/>
    <mergeCell ref="A23:E23"/>
    <mergeCell ref="A35:J35"/>
    <mergeCell ref="A26:E26"/>
    <mergeCell ref="F26:G26"/>
    <mergeCell ref="R26:Y26"/>
    <mergeCell ref="F27:G27"/>
    <mergeCell ref="R27:Y27"/>
    <mergeCell ref="A28:E28"/>
    <mergeCell ref="F28:G28"/>
    <mergeCell ref="R28:Y30"/>
    <mergeCell ref="A29:E29"/>
    <mergeCell ref="F29:G29"/>
    <mergeCell ref="A30:E30"/>
    <mergeCell ref="F30:G30"/>
    <mergeCell ref="A31:E31"/>
    <mergeCell ref="Q38:R38"/>
    <mergeCell ref="U38:V38"/>
    <mergeCell ref="W38:X38"/>
    <mergeCell ref="B40:O40"/>
    <mergeCell ref="F31:G31"/>
    <mergeCell ref="C34:G34"/>
    <mergeCell ref="Q35:R35"/>
    <mergeCell ref="U35:V35"/>
    <mergeCell ref="W35:X35"/>
    <mergeCell ref="B41:O41"/>
    <mergeCell ref="B42:O42"/>
    <mergeCell ref="B43:O43"/>
    <mergeCell ref="B44:O44"/>
    <mergeCell ref="N37:O37"/>
  </mergeCells>
  <conditionalFormatting sqref="Q33:Q43 U33:V43 N37:N39">
    <cfRule type="expression" dxfId="178" priority="1" stopIfTrue="1">
      <formula>N33=0</formula>
    </cfRule>
  </conditionalFormatting>
  <pageMargins left="0.74803149606299213" right="0.19685039370078741" top="0.39370078740157483" bottom="0.39370078740157483" header="0.19685039370078741" footer="0.19685039370078741"/>
  <pageSetup paperSize="9" scale="90"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D4B05-8EF1-4BC4-9F34-CE2182334024}">
  <sheetPr>
    <tabColor rgb="FFFFC000"/>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14" width="3.7109375" style="404"/>
    <col min="15" max="15" width="6.7109375" style="404" customWidth="1"/>
    <col min="16" max="18" width="3.7109375" style="404"/>
    <col min="19" max="19" width="5.42578125" style="404" bestFit="1" customWidth="1"/>
    <col min="20" max="23" width="3.7109375" style="404"/>
    <col min="24" max="24" width="6.28515625" style="404"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'ESD CR'!$AC$5</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
        <v>97</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117</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5.737756714060031E-17</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588</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'Diesel F'!G20</f>
        <v>44.890193469756099</v>
      </c>
      <c r="R16" s="1144"/>
      <c r="S16" s="1145"/>
      <c r="T16" s="1073">
        <f>'Diesel F'!H5</f>
        <v>55161.599999999999</v>
      </c>
      <c r="U16" s="1109"/>
      <c r="V16" s="1074"/>
      <c r="W16" s="1076" t="s">
        <v>604</v>
      </c>
      <c r="X16" s="1075"/>
      <c r="Y16" s="1077"/>
      <c r="Z16" s="1073">
        <f>'Diesel F'!H6</f>
        <v>14652.3</v>
      </c>
      <c r="AA16" s="1109"/>
      <c r="AB16" s="1074"/>
      <c r="AC16" s="1076" t="s">
        <v>604</v>
      </c>
      <c r="AD16" s="1075"/>
      <c r="AE16" s="1077"/>
      <c r="AF16" s="1146">
        <f>'Diesel F'!H8</f>
        <v>1723.8</v>
      </c>
      <c r="AG16" s="1147"/>
      <c r="AH16" s="1148"/>
      <c r="AI16" s="1076" t="s">
        <v>604</v>
      </c>
      <c r="AJ16" s="1075"/>
      <c r="AK16" s="1077"/>
      <c r="AL16" s="303"/>
      <c r="AM16" s="303" t="s">
        <v>605</v>
      </c>
      <c r="AN16" s="303"/>
      <c r="AO16" s="303"/>
      <c r="AP16" s="351">
        <v>1020</v>
      </c>
      <c r="AQ16" s="352">
        <f>AP16/$AR$9/$AR$7 * ((AN18+273.15)/(AN19+273.15))</f>
        <v>37.956295834166582</v>
      </c>
      <c r="AR16" s="353">
        <f>AX4</f>
        <v>0.13333333333333333</v>
      </c>
      <c r="AS16" s="354">
        <f>AR16*$AR$6/1055.06</f>
        <v>5.7374304146999541E-5</v>
      </c>
      <c r="AT16" s="355">
        <f>AS16*$Q$16*1000000</f>
        <v>2575.543613351439</v>
      </c>
      <c r="AU16" s="356">
        <f>AX5</f>
        <v>3.3333333333333333E-2</v>
      </c>
      <c r="AV16" s="354">
        <f>AU16*$AR$6/1055.06</f>
        <v>1.4343576036749885E-5</v>
      </c>
      <c r="AW16" s="355">
        <f>AV16*$Q$16*1000000</f>
        <v>643.88590333785976</v>
      </c>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1">
        <v>305.24099999999999</v>
      </c>
      <c r="I17" s="1132"/>
      <c r="J17" s="1133"/>
      <c r="K17" s="1134">
        <v>832.5</v>
      </c>
      <c r="L17" s="1135"/>
      <c r="M17" s="1136"/>
      <c r="N17" s="1137">
        <v>42.588000000000001</v>
      </c>
      <c r="O17" s="1138"/>
      <c r="P17" s="1139"/>
      <c r="Q17" s="1137">
        <v>45.612000000000002</v>
      </c>
      <c r="R17" s="1138"/>
      <c r="S17" s="1139"/>
      <c r="T17" s="1066">
        <f>$Q$17/$Q$16*T16</f>
        <v>56048.564390686515</v>
      </c>
      <c r="U17" s="1110"/>
      <c r="V17" s="1067"/>
      <c r="W17" s="1114">
        <f>T17/1000000/K17</f>
        <v>6.7325602871695514E-5</v>
      </c>
      <c r="X17" s="1115"/>
      <c r="Y17" s="1116"/>
      <c r="Z17" s="1066">
        <f>$Q$17/$Q$16*Z16</f>
        <v>14887.899916276105</v>
      </c>
      <c r="AA17" s="1110"/>
      <c r="AB17" s="1067"/>
      <c r="AC17" s="1114">
        <f>Z17/1000000/K17</f>
        <v>1.7883363262794121E-5</v>
      </c>
      <c r="AD17" s="1115"/>
      <c r="AE17" s="1116"/>
      <c r="AF17" s="1066">
        <f>$Q$17/$Q$16*AF16</f>
        <v>1751.5176372089536</v>
      </c>
      <c r="AG17" s="1110"/>
      <c r="AH17" s="1067"/>
      <c r="AI17" s="1114">
        <f>AF17/1000000/K17</f>
        <v>2.1039250897404848E-6</v>
      </c>
      <c r="AJ17" s="1115"/>
      <c r="AK17" s="1116"/>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123"/>
      <c r="O18" s="1069"/>
      <c r="P18" s="1124"/>
      <c r="Q18" s="1125"/>
      <c r="R18" s="1126"/>
      <c r="S18" s="112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125</v>
      </c>
      <c r="AA19" s="1118"/>
      <c r="AB19" s="1119"/>
      <c r="AC19" s="1117" t="s">
        <v>125</v>
      </c>
      <c r="AD19" s="1118"/>
      <c r="AE19" s="1119"/>
      <c r="AF19" s="358" t="s">
        <v>610</v>
      </c>
      <c r="AG19" s="31"/>
      <c r="AH19" s="31"/>
      <c r="AI19" s="31"/>
      <c r="AJ19" s="31"/>
      <c r="AK19" s="226"/>
      <c r="AL19" s="303"/>
      <c r="AM19" s="24" t="s">
        <v>699</v>
      </c>
      <c r="AN19" s="24">
        <v>15.6</v>
      </c>
      <c r="AO19" s="23" t="s">
        <v>609</v>
      </c>
      <c r="AP19" s="303"/>
      <c r="AQ19" s="303"/>
      <c r="AR19" s="356">
        <f>AX6</f>
        <v>4.6666666666666669E-2</v>
      </c>
      <c r="AS19" s="354">
        <f>AR19*$AR$6/1055.06</f>
        <v>2.0081006451449841E-5</v>
      </c>
      <c r="AT19" s="355">
        <f>AS19*$Q$16*1000000</f>
        <v>901.44026467300375</v>
      </c>
      <c r="AU19" s="351">
        <v>0.37446000000000002</v>
      </c>
      <c r="AV19" s="354">
        <f>AU19*$AR$6/1055.06</f>
        <v>1.6113286448164087E-4</v>
      </c>
      <c r="AW19" s="355">
        <f>AV19*$Q$16*1000000</f>
        <v>7233.2854609168498</v>
      </c>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c r="I21" s="1109"/>
      <c r="J21" s="1074"/>
      <c r="K21" s="1076" t="s">
        <v>604</v>
      </c>
      <c r="L21" s="1075"/>
      <c r="M21" s="1077"/>
      <c r="N21" s="1073">
        <f>'Diesel F'!H7</f>
        <v>17410.38</v>
      </c>
      <c r="O21" s="1109"/>
      <c r="P21" s="1074"/>
      <c r="Q21" s="1076" t="s">
        <v>604</v>
      </c>
      <c r="R21" s="1075"/>
      <c r="S21" s="1077"/>
      <c r="T21" s="1073"/>
      <c r="U21" s="1109"/>
      <c r="V21" s="1074"/>
      <c r="W21" s="1214" t="s">
        <v>604</v>
      </c>
      <c r="X21" s="1215"/>
      <c r="Y21" s="1216"/>
      <c r="Z21" s="1073"/>
      <c r="AA21" s="1109"/>
      <c r="AB21" s="1074"/>
      <c r="AC21" s="1076" t="s">
        <v>604</v>
      </c>
      <c r="AD21" s="1075"/>
      <c r="AE21" s="1077"/>
      <c r="AF21" s="300"/>
      <c r="AG21" s="31"/>
      <c r="AH21" s="302"/>
      <c r="AI21" s="31"/>
      <c r="AJ21" s="31"/>
      <c r="AK21" s="32"/>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6"/>
      <c r="I22" s="1110"/>
      <c r="J22" s="1067"/>
      <c r="K22" s="1114"/>
      <c r="L22" s="1115"/>
      <c r="M22" s="1116"/>
      <c r="N22" s="1066">
        <f>$Q$17/$Q$16*N21</f>
        <v>17690.328135810432</v>
      </c>
      <c r="O22" s="1110"/>
      <c r="P22" s="1067"/>
      <c r="Q22" s="1114">
        <f>N22/1000000/K17</f>
        <v>2.1249643406378895E-5</v>
      </c>
      <c r="R22" s="1115"/>
      <c r="S22" s="1116"/>
      <c r="T22" s="1099"/>
      <c r="U22" s="1048"/>
      <c r="V22" s="1058"/>
      <c r="W22" s="1211"/>
      <c r="X22" s="1212"/>
      <c r="Y22" s="1213"/>
      <c r="Z22" s="1066"/>
      <c r="AA22" s="1110"/>
      <c r="AB22" s="1067"/>
      <c r="AC22" s="1114"/>
      <c r="AD22" s="1115"/>
      <c r="AE22" s="1116"/>
      <c r="AF22" s="31"/>
      <c r="AG22" s="31"/>
      <c r="AH22" s="31"/>
      <c r="AI22" s="31"/>
      <c r="AJ22" s="31"/>
      <c r="AK22" s="32"/>
      <c r="AL22" s="303"/>
      <c r="AM22" s="303"/>
      <c r="AN22" s="303"/>
      <c r="AO22" s="303"/>
      <c r="AP22" s="303"/>
      <c r="AQ22" s="303"/>
      <c r="AR22" s="356">
        <f>AX8</f>
        <v>6.9333333333333339E-3</v>
      </c>
      <c r="AS22" s="354">
        <f>AR22*$AR$6/1055.06</f>
        <v>2.9834638156439767E-6</v>
      </c>
      <c r="AT22" s="355">
        <f>AS22*$Q$16*1000000</f>
        <v>133.92826789427485</v>
      </c>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045"/>
      <c r="I23" s="1033"/>
      <c r="J23" s="1046"/>
      <c r="K23" s="1089"/>
      <c r="L23" s="1090"/>
      <c r="M23" s="1091"/>
      <c r="N23" s="1045"/>
      <c r="O23" s="1033"/>
      <c r="P23" s="1046"/>
      <c r="Q23" s="1096"/>
      <c r="R23" s="1097"/>
      <c r="S23" s="1098"/>
      <c r="T23" s="1099"/>
      <c r="U23" s="1048"/>
      <c r="V23" s="1058"/>
      <c r="W23" s="1096"/>
      <c r="X23" s="1097"/>
      <c r="Y23" s="1098"/>
      <c r="Z23" s="1086"/>
      <c r="AA23" s="1087"/>
      <c r="AB23" s="1088"/>
      <c r="AC23" s="1089"/>
      <c r="AD23" s="1090"/>
      <c r="AE23" s="1091"/>
      <c r="AF23" s="31"/>
      <c r="AG23" s="31"/>
      <c r="AH23" s="31"/>
      <c r="AI23" s="31"/>
      <c r="AJ23" s="31"/>
      <c r="AK23" s="32"/>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v>1</v>
      </c>
      <c r="I25" s="31" t="s">
        <v>590</v>
      </c>
      <c r="J25" s="31"/>
      <c r="K25" s="31"/>
      <c r="L25" s="31" t="s">
        <v>615</v>
      </c>
      <c r="M25" s="31"/>
      <c r="N25" s="31"/>
      <c r="O25" s="31"/>
      <c r="P25" s="31"/>
      <c r="Q25" s="31"/>
      <c r="R25" s="31"/>
      <c r="S25" s="32" t="s">
        <v>616</v>
      </c>
      <c r="T25" s="1092" t="str">
        <f>A17</f>
        <v>Diesel</v>
      </c>
      <c r="U25" s="1093"/>
      <c r="V25" s="1093"/>
      <c r="W25" s="1093"/>
      <c r="X25" s="1094">
        <v>208.125</v>
      </c>
      <c r="Y25" s="1094"/>
      <c r="Z25" s="1094"/>
      <c r="AA25" s="1093" t="s">
        <v>617</v>
      </c>
      <c r="AB25" s="1093"/>
      <c r="AC25" s="1095">
        <f>X25/H17</f>
        <v>0.68183828515828482</v>
      </c>
      <c r="AD25" s="1095"/>
      <c r="AE25" s="1093" t="s">
        <v>618</v>
      </c>
      <c r="AF25" s="1093"/>
      <c r="AG25" s="1093"/>
      <c r="AH25" s="1198">
        <f>X25*N17/3600</f>
        <v>2.4621187500000001</v>
      </c>
      <c r="AI25" s="1198"/>
      <c r="AJ25" s="361" t="s">
        <v>590</v>
      </c>
      <c r="AK25" s="362"/>
      <c r="AL25" s="303"/>
      <c r="AM25" s="363">
        <f>X25*W22</f>
        <v>0</v>
      </c>
      <c r="AN25" s="303"/>
      <c r="AO25" s="303"/>
      <c r="AP25" s="303"/>
      <c r="AQ25" s="303"/>
      <c r="AR25" s="351">
        <f>AX7</f>
        <v>0.01</v>
      </c>
      <c r="AS25" s="354">
        <f>AR25*$AR$6/1055.06</f>
        <v>4.3030728110249664E-6</v>
      </c>
      <c r="AT25" s="355">
        <f>AS25*$Q$16*1000000</f>
        <v>193.16577100135797</v>
      </c>
      <c r="AU25" s="356">
        <f>AX9</f>
        <v>3.5333333333333336E-3</v>
      </c>
      <c r="AV25" s="354">
        <f>AU25*$AR$6/1055.06</f>
        <v>1.5204190598954882E-6</v>
      </c>
      <c r="AW25" s="355">
        <f>AV25*$Q$16*1000000</f>
        <v>68.251905753813148</v>
      </c>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0</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c r="B27" s="1081"/>
      <c r="C27" s="1081"/>
      <c r="D27" s="1081"/>
      <c r="E27" s="1081"/>
      <c r="F27" s="1042" t="str">
        <f>A17</f>
        <v>Diesel</v>
      </c>
      <c r="G27" s="1043"/>
      <c r="H27" s="1043"/>
      <c r="I27" s="1043"/>
      <c r="J27" s="1043"/>
      <c r="K27" s="1043"/>
      <c r="L27" s="1043"/>
      <c r="M27" s="1043"/>
      <c r="N27" s="1043"/>
      <c r="O27" s="1043"/>
      <c r="P27" s="1043"/>
      <c r="Q27" s="1043"/>
      <c r="R27" s="1043"/>
      <c r="S27" s="1043"/>
      <c r="T27" s="1043"/>
      <c r="U27" s="1080"/>
      <c r="V27" s="31"/>
      <c r="W27" s="31"/>
      <c r="X27" s="270">
        <f>AH25</f>
        <v>2.4621187500000001</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1">
        <v>2880</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1">
        <f>X27*X28</f>
        <v>7090.902</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1">
        <f>X29*3600/1000</f>
        <v>25527.247199999998</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196">
        <v>0</v>
      </c>
      <c r="G31" s="1197"/>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BF33</f>
        <v>3.7672634101823899E-6</v>
      </c>
      <c r="G32" s="1195"/>
      <c r="H32" s="1051">
        <f>F32*$AC$25</f>
        <v>2.5686644233383129E-6</v>
      </c>
      <c r="I32" s="1052"/>
      <c r="J32" s="1059"/>
      <c r="K32" s="1059"/>
      <c r="L32" s="1060"/>
      <c r="M32" s="1059"/>
      <c r="N32" s="1054">
        <f t="shared" si="2"/>
        <v>4.1206514679193217E-5</v>
      </c>
      <c r="O32" s="1055"/>
      <c r="P32" s="1061">
        <f>R32/$R$53</f>
        <v>0</v>
      </c>
      <c r="Q32" s="1062"/>
      <c r="R32" s="1060">
        <f>T32/$AR32</f>
        <v>0</v>
      </c>
      <c r="S32" s="1059"/>
      <c r="T32" s="1064">
        <f>$K$22*$X$25</f>
        <v>0</v>
      </c>
      <c r="U32" s="1065"/>
      <c r="V32" s="31"/>
      <c r="W32" s="1402" t="s">
        <v>825</v>
      </c>
      <c r="X32" s="1184"/>
      <c r="Y32" s="1184"/>
      <c r="Z32" s="1184"/>
      <c r="AA32" s="1184"/>
      <c r="AB32" s="1184"/>
      <c r="AC32" s="1184"/>
      <c r="AD32" s="1184"/>
      <c r="AE32" s="1184"/>
      <c r="AF32" s="1184"/>
      <c r="AG32" s="1184"/>
      <c r="AH32" s="1184"/>
      <c r="AI32" s="1184"/>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31"/>
      <c r="W33" s="1184"/>
      <c r="X33" s="1184"/>
      <c r="Y33" s="1184"/>
      <c r="Z33" s="1184"/>
      <c r="AA33" s="1184"/>
      <c r="AB33" s="1184"/>
      <c r="AC33" s="1184"/>
      <c r="AD33" s="1184"/>
      <c r="AE33" s="1184"/>
      <c r="AF33" s="1184"/>
      <c r="AG33" s="1184"/>
      <c r="AH33" s="1184"/>
      <c r="AI33" s="1184"/>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BF34</f>
        <v>2.32021919756754E-4</v>
      </c>
      <c r="G34" s="1050"/>
      <c r="H34" s="1051">
        <f t="shared" si="1"/>
        <v>1.5820142788607831E-4</v>
      </c>
      <c r="I34" s="1052"/>
      <c r="J34" s="1059"/>
      <c r="K34" s="1059"/>
      <c r="L34" s="1060"/>
      <c r="M34" s="1059"/>
      <c r="N34" s="1054">
        <f t="shared" si="2"/>
        <v>4.7568005336786024E-3</v>
      </c>
      <c r="O34" s="1055"/>
      <c r="P34" s="1061">
        <f t="shared" si="10"/>
        <v>0</v>
      </c>
      <c r="Q34" s="1062"/>
      <c r="R34" s="1059">
        <f>T34/$AR34</f>
        <v>0</v>
      </c>
      <c r="S34" s="1059"/>
      <c r="T34" s="1061">
        <f t="shared" si="11"/>
        <v>0</v>
      </c>
      <c r="U34" s="1062"/>
      <c r="V34" s="31"/>
      <c r="W34" s="1184"/>
      <c r="X34" s="1184"/>
      <c r="Y34" s="1184"/>
      <c r="Z34" s="1184"/>
      <c r="AA34" s="1184"/>
      <c r="AB34" s="1184"/>
      <c r="AC34" s="1184"/>
      <c r="AD34" s="1184"/>
      <c r="AE34" s="1184"/>
      <c r="AF34" s="1184"/>
      <c r="AG34" s="1184"/>
      <c r="AH34" s="1184"/>
      <c r="AI34" s="1184"/>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31"/>
      <c r="W35" s="1184"/>
      <c r="X35" s="1184"/>
      <c r="Y35" s="1184"/>
      <c r="Z35" s="1184"/>
      <c r="AA35" s="1184"/>
      <c r="AB35" s="1184"/>
      <c r="AC35" s="1184"/>
      <c r="AD35" s="1184"/>
      <c r="AE35" s="1184"/>
      <c r="AF35" s="1184"/>
      <c r="AG35" s="1184"/>
      <c r="AH35" s="1184"/>
      <c r="AI35" s="1184"/>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BF35</f>
        <v>4.1140406723645098E-3</v>
      </c>
      <c r="G36" s="1050"/>
      <c r="H36" s="1051">
        <f t="shared" si="1"/>
        <v>2.8051104371164546E-3</v>
      </c>
      <c r="I36" s="1052"/>
      <c r="J36" s="1059"/>
      <c r="K36" s="1059"/>
      <c r="L36" s="1060"/>
      <c r="M36" s="1059"/>
      <c r="N36" s="1054">
        <f t="shared" si="2"/>
        <v>0.12368853961421294</v>
      </c>
      <c r="O36" s="1055"/>
      <c r="P36" s="1061">
        <f t="shared" si="10"/>
        <v>0</v>
      </c>
      <c r="Q36" s="1062"/>
      <c r="R36" s="1059">
        <f t="shared" si="12"/>
        <v>0</v>
      </c>
      <c r="S36" s="1059"/>
      <c r="T36" s="1061">
        <f t="shared" si="11"/>
        <v>0</v>
      </c>
      <c r="U36" s="1062"/>
      <c r="V36" s="31"/>
      <c r="W36" s="1184"/>
      <c r="X36" s="1184"/>
      <c r="Y36" s="1184"/>
      <c r="Z36" s="1184"/>
      <c r="AA36" s="1184"/>
      <c r="AB36" s="1184"/>
      <c r="AC36" s="1184"/>
      <c r="AD36" s="1184"/>
      <c r="AE36" s="1184"/>
      <c r="AF36" s="1184"/>
      <c r="AG36" s="1184"/>
      <c r="AH36" s="1184"/>
      <c r="AI36" s="1184"/>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31"/>
      <c r="W37" s="31"/>
      <c r="X37" s="272"/>
      <c r="Y37" s="272"/>
      <c r="Z37" s="31"/>
      <c r="AA37" s="31"/>
      <c r="AB37" s="31"/>
      <c r="AC37" s="31"/>
      <c r="AD37" s="31"/>
      <c r="AE37" s="31"/>
      <c r="AF37" s="31"/>
      <c r="AG37" s="31"/>
      <c r="AH37" s="379"/>
      <c r="AI37" s="31"/>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BF36</f>
        <v>4.2987554978870402E-3</v>
      </c>
      <c r="G38" s="1050"/>
      <c r="H38" s="1051">
        <f t="shared" si="1"/>
        <v>2.9310560769940483E-3</v>
      </c>
      <c r="I38" s="1052"/>
      <c r="J38" s="1059"/>
      <c r="K38" s="1059"/>
      <c r="L38" s="1060"/>
      <c r="M38" s="1059"/>
      <c r="N38" s="1054">
        <f t="shared" si="2"/>
        <v>0.17035297919489409</v>
      </c>
      <c r="O38" s="1055"/>
      <c r="P38" s="1061">
        <f t="shared" si="10"/>
        <v>0</v>
      </c>
      <c r="Q38" s="1062"/>
      <c r="R38" s="1059">
        <f t="shared" si="12"/>
        <v>0</v>
      </c>
      <c r="S38" s="1059"/>
      <c r="T38" s="1061">
        <f t="shared" si="11"/>
        <v>0</v>
      </c>
      <c r="U38" s="1062"/>
      <c r="V38" s="31"/>
      <c r="W38" s="31"/>
      <c r="X38" s="272"/>
      <c r="Y38" s="272"/>
      <c r="Z38" s="31"/>
      <c r="AA38" s="31"/>
      <c r="AB38" s="31"/>
      <c r="AC38" s="31"/>
      <c r="AD38" s="272"/>
      <c r="AE38" s="272"/>
      <c r="AF38" s="382"/>
      <c r="AG38" s="382"/>
      <c r="AH38" s="31"/>
      <c r="AI38" s="31"/>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f>BF37</f>
        <v>1.33109664079022E-2</v>
      </c>
      <c r="G39" s="1050"/>
      <c r="H39" s="1051">
        <f t="shared" si="1"/>
        <v>9.0759265093635702E-3</v>
      </c>
      <c r="I39" s="1052"/>
      <c r="J39" s="1059"/>
      <c r="K39" s="1059"/>
      <c r="L39" s="1060"/>
      <c r="M39" s="1059"/>
      <c r="N39" s="1054">
        <f t="shared" si="2"/>
        <v>0.52749284872421065</v>
      </c>
      <c r="O39" s="1055"/>
      <c r="P39" s="1061">
        <f t="shared" si="10"/>
        <v>0</v>
      </c>
      <c r="Q39" s="1062"/>
      <c r="R39" s="1059">
        <f t="shared" si="12"/>
        <v>0</v>
      </c>
      <c r="S39" s="1059"/>
      <c r="T39" s="1061">
        <f t="shared" si="11"/>
        <v>0</v>
      </c>
      <c r="U39" s="1062"/>
      <c r="V39" s="31"/>
      <c r="W39" s="31"/>
      <c r="X39" s="272"/>
      <c r="Y39" s="272"/>
      <c r="Z39" s="31"/>
      <c r="AA39" s="31"/>
      <c r="AB39" s="31"/>
      <c r="AC39" s="31"/>
      <c r="AD39" s="272"/>
      <c r="AE39" s="272"/>
      <c r="AF39" s="382"/>
      <c r="AG39" s="382"/>
      <c r="AH39" s="31"/>
      <c r="AI39" s="31"/>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BF38</f>
        <v>1.4450640107125301E-2</v>
      </c>
      <c r="G40" s="1050"/>
      <c r="H40" s="1051">
        <f t="shared" si="1"/>
        <v>9.8529996700818488E-3</v>
      </c>
      <c r="I40" s="1052"/>
      <c r="J40" s="1059"/>
      <c r="K40" s="1059"/>
      <c r="L40" s="1060"/>
      <c r="M40" s="1059"/>
      <c r="N40" s="1054">
        <f t="shared" si="2"/>
        <v>0.71085451419772505</v>
      </c>
      <c r="O40" s="1055"/>
      <c r="P40" s="1061">
        <f t="shared" si="10"/>
        <v>0</v>
      </c>
      <c r="Q40" s="1062"/>
      <c r="R40" s="1059">
        <f t="shared" si="12"/>
        <v>0</v>
      </c>
      <c r="S40" s="1059"/>
      <c r="T40" s="1061">
        <f t="shared" si="11"/>
        <v>0</v>
      </c>
      <c r="U40" s="1062"/>
      <c r="V40" s="1032"/>
      <c r="W40" s="1032"/>
      <c r="X40" s="1033"/>
      <c r="Y40" s="1033"/>
      <c r="Z40" s="1032"/>
      <c r="AA40" s="1032"/>
      <c r="AB40" s="1032"/>
      <c r="AC40" s="1032"/>
      <c r="AD40" s="1033"/>
      <c r="AE40" s="1033"/>
      <c r="AF40" s="1047"/>
      <c r="AG40" s="1047"/>
      <c r="AH40" s="1032"/>
      <c r="AI40" s="1032"/>
      <c r="AJ40" s="1069"/>
      <c r="AK40" s="1124"/>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BF40</f>
        <v>1.8657920075756399E-2</v>
      </c>
      <c r="G41" s="1050"/>
      <c r="H41" s="1051">
        <f t="shared" si="1"/>
        <v>1.272168422907408E-2</v>
      </c>
      <c r="I41" s="1052"/>
      <c r="J41" s="1059"/>
      <c r="K41" s="1059"/>
      <c r="L41" s="1060"/>
      <c r="M41" s="1059"/>
      <c r="N41" s="1054">
        <f t="shared" si="2"/>
        <v>0.9178186303907786</v>
      </c>
      <c r="O41" s="1055"/>
      <c r="P41" s="1061">
        <f t="shared" si="10"/>
        <v>0</v>
      </c>
      <c r="Q41" s="1062"/>
      <c r="R41" s="1059">
        <f t="shared" si="12"/>
        <v>0</v>
      </c>
      <c r="S41" s="1059"/>
      <c r="T41" s="1061">
        <f t="shared" si="11"/>
        <v>0</v>
      </c>
      <c r="U41" s="1062"/>
      <c r="V41" s="1032"/>
      <c r="W41" s="1032"/>
      <c r="X41" s="1033"/>
      <c r="Y41" s="1033"/>
      <c r="Z41" s="1032"/>
      <c r="AA41" s="1032"/>
      <c r="AB41" s="1032"/>
      <c r="AC41" s="1032"/>
      <c r="AD41" s="1033"/>
      <c r="AE41" s="1033"/>
      <c r="AF41" s="1047"/>
      <c r="AG41" s="1047"/>
      <c r="AH41" s="1032"/>
      <c r="AI41" s="1032"/>
      <c r="AJ41" s="1069"/>
      <c r="AK41" s="1124"/>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425</v>
      </c>
      <c r="B42" s="376"/>
      <c r="C42" s="376"/>
      <c r="D42" s="376"/>
      <c r="E42" s="377"/>
      <c r="F42" s="1049">
        <f>SUM(BF41:BF75)</f>
        <v>0.94337200608568694</v>
      </c>
      <c r="G42" s="1050"/>
      <c r="H42" s="1064">
        <f t="shared" si="1"/>
        <v>0.64322715089579585</v>
      </c>
      <c r="I42" s="1065"/>
      <c r="J42" s="1059"/>
      <c r="K42" s="1059"/>
      <c r="L42" s="1060"/>
      <c r="M42" s="1059"/>
      <c r="N42" s="1054">
        <f t="shared" si="2"/>
        <v>205.64287195442532</v>
      </c>
      <c r="O42" s="1055"/>
      <c r="P42" s="1061">
        <f t="shared" si="10"/>
        <v>0</v>
      </c>
      <c r="Q42" s="1062"/>
      <c r="R42" s="1059">
        <f t="shared" si="12"/>
        <v>0</v>
      </c>
      <c r="S42" s="1059"/>
      <c r="T42" s="1061">
        <f t="shared" si="11"/>
        <v>0</v>
      </c>
      <c r="U42" s="1062"/>
      <c r="V42" s="1032"/>
      <c r="W42" s="1032"/>
      <c r="X42" s="1033"/>
      <c r="Y42" s="1033"/>
      <c r="Z42" s="1032"/>
      <c r="AA42" s="1032"/>
      <c r="AB42" s="1032"/>
      <c r="AC42" s="1032"/>
      <c r="AD42" s="1033"/>
      <c r="AE42" s="1033"/>
      <c r="AF42" s="1047"/>
      <c r="AG42" s="1047"/>
      <c r="AH42" s="1032"/>
      <c r="AI42" s="1032"/>
      <c r="AJ42" s="1048"/>
      <c r="AK42" s="105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22.44848327964916</v>
      </c>
      <c r="K45" s="1070"/>
      <c r="L45" s="1060">
        <f>0.15*J45</f>
        <v>3.3672724919473738</v>
      </c>
      <c r="M45" s="1059"/>
      <c r="N45" s="1066">
        <f t="shared" si="2"/>
        <v>826.10418469108913</v>
      </c>
      <c r="O45" s="1067"/>
      <c r="P45" s="1061">
        <f t="shared" si="10"/>
        <v>2.6677875190595293E-2</v>
      </c>
      <c r="Q45" s="1062"/>
      <c r="R45" s="1059">
        <f>L45+SUMPRODUCT(R32:R44,$AS32:$AS44)</f>
        <v>3.3672724919473738</v>
      </c>
      <c r="S45" s="1059"/>
      <c r="T45" s="1071">
        <f>R45*$AR45</f>
        <v>107.75271974231596</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BF31</f>
        <v>1.4415226502516399E-10</v>
      </c>
      <c r="G46" s="1195"/>
      <c r="H46" s="1061">
        <f t="shared" si="1"/>
        <v>9.8288533186440413E-11</v>
      </c>
      <c r="I46" s="1062"/>
      <c r="J46" s="1059">
        <f>0.79/0.21*J45</f>
        <v>84.449056147251611</v>
      </c>
      <c r="K46" s="1063"/>
      <c r="L46" s="1060">
        <f>0.71/0.29*L45</f>
        <v>8.2440119630435706</v>
      </c>
      <c r="M46" s="1059"/>
      <c r="N46" s="1066">
        <f>SUM(H46,J46,L46)*AR46</f>
        <v>2595.4059070910171</v>
      </c>
      <c r="O46" s="1067"/>
      <c r="P46" s="1064">
        <f t="shared" si="10"/>
        <v>0.73437655598158169</v>
      </c>
      <c r="Q46" s="1065"/>
      <c r="R46" s="1064">
        <f>$H46+J46+L46-R49</f>
        <v>92.69276349863047</v>
      </c>
      <c r="S46" s="1065"/>
      <c r="T46" s="1066">
        <f>R46*$AR46</f>
        <v>2595.3973779616531</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1.0527695483520144E-6</v>
      </c>
      <c r="Q47" s="1062"/>
      <c r="R47" s="1059">
        <f>T47/$AR$47</f>
        <v>1.3288022060225013E-4</v>
      </c>
      <c r="S47" s="1059"/>
      <c r="T47" s="1064">
        <f>$AC17*$X25</f>
        <v>3.7219749790690262E-3</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BF32</f>
        <v>1.04835044112351E-6</v>
      </c>
      <c r="G48" s="1195"/>
      <c r="H48" s="1061">
        <f t="shared" si="1"/>
        <v>7.148054670205855E-7</v>
      </c>
      <c r="I48" s="1062"/>
      <c r="J48" s="1059"/>
      <c r="K48" s="1059"/>
      <c r="L48" s="1060"/>
      <c r="M48" s="1059"/>
      <c r="N48" s="1061">
        <f t="shared" si="2"/>
        <v>3.1458588603575964E-5</v>
      </c>
      <c r="O48" s="1062"/>
      <c r="P48" s="1064">
        <f t="shared" si="10"/>
        <v>0.11676943015700557</v>
      </c>
      <c r="Q48" s="1065"/>
      <c r="R48" s="1068">
        <f>SUMPRODUCT($H31:$H52,$AU31:$AU52)+$H48-R47-SUMPRODUCT(R32:R42,$AU32:$AU42)</f>
        <v>14.738598455047393</v>
      </c>
      <c r="S48" s="1059"/>
      <c r="T48" s="1066">
        <f>R48*$AR48</f>
        <v>648.64571800663578</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2.413346295598152E-6</v>
      </c>
      <c r="Q49" s="1062"/>
      <c r="R49" s="1060">
        <f>T49/$AR49</f>
        <v>3.0461176299286148E-4</v>
      </c>
      <c r="S49" s="1063"/>
      <c r="T49" s="1064">
        <f>$W17*$X25</f>
        <v>1.4012141097671628E-2</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5.4748080514399484E-7</v>
      </c>
      <c r="Q51" s="1062"/>
      <c r="R51" s="1066">
        <f>T51/$AR51</f>
        <v>6.9102844280509494E-5</v>
      </c>
      <c r="S51" s="1067"/>
      <c r="T51" s="1060">
        <f>Q22*X25</f>
        <v>4.4225820339526076E-3</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193">
        <f>BF76</f>
        <v>1.4951987737782399E-3</v>
      </c>
      <c r="G52" s="1194"/>
      <c r="H52" s="1051">
        <f t="shared" si="1"/>
        <v>1.0194837678837254E-3</v>
      </c>
      <c r="I52" s="1052"/>
      <c r="J52" s="1032"/>
      <c r="K52" s="1032"/>
      <c r="L52" s="1053"/>
      <c r="M52" s="1032"/>
      <c r="N52" s="1054">
        <f t="shared" si="2"/>
        <v>1.8367019562193197E-2</v>
      </c>
      <c r="O52" s="1055"/>
      <c r="P52" s="1056">
        <f t="shared" si="10"/>
        <v>0.12217212507416825</v>
      </c>
      <c r="Q52" s="1057"/>
      <c r="R52" s="1044">
        <f>SUMPRODUCT(H31:H52,$AV31:$AV52)+H52-SUMPRODUCT(R32:R42,$AV32:$AV42)</f>
        <v>15.420524802141149</v>
      </c>
      <c r="S52" s="1044"/>
      <c r="T52" s="1045">
        <f>R52*$AR52</f>
        <v>277.81617483537491</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0.99993636529826091</v>
      </c>
      <c r="G53" s="1038"/>
      <c r="H53" s="1039">
        <f>SUM(H31:H52)</f>
        <v>0.68179489658237458</v>
      </c>
      <c r="I53" s="1040"/>
      <c r="J53" s="1041">
        <f>SUM(J31:J52)</f>
        <v>106.89753942690078</v>
      </c>
      <c r="K53" s="1041"/>
      <c r="L53" s="1042">
        <f>SUM(L31:L52)</f>
        <v>11.611284454990944</v>
      </c>
      <c r="M53" s="1043"/>
      <c r="N53" s="1030">
        <f>SUM(N31:N52)</f>
        <v>3629.626367733852</v>
      </c>
      <c r="O53" s="1031"/>
      <c r="P53" s="1028">
        <f>SUM(P31:P52)</f>
        <v>0.99999999999999978</v>
      </c>
      <c r="Q53" s="1029"/>
      <c r="R53" s="1030">
        <f>SUM(R31:R52)</f>
        <v>126.21966584259427</v>
      </c>
      <c r="S53" s="1031"/>
      <c r="T53" s="1030">
        <f>SUM(T31:T52)</f>
        <v>3629.6341472440909</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3.8922614160198971E-3</v>
      </c>
      <c r="M55" s="1186"/>
      <c r="N55" s="1192">
        <f>W17*$X$25</f>
        <v>1.4012141097671628E-2</v>
      </c>
      <c r="O55" s="1192"/>
      <c r="P55" s="31" t="s">
        <v>617</v>
      </c>
      <c r="Q55" s="31"/>
      <c r="R55" s="1291">
        <f>N55*120*24/1000</f>
        <v>4.0354966361294285E-2</v>
      </c>
      <c r="S55" s="1291"/>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436">
        <f t="shared" ref="L56:L61" si="13">N56*1000/3600</f>
        <v>1.033881938630285E-3</v>
      </c>
      <c r="M56" s="1437"/>
      <c r="N56" s="1192">
        <f>AC17*$X$25</f>
        <v>3.7219749790690262E-3</v>
      </c>
      <c r="O56" s="1192"/>
      <c r="P56" s="31" t="s">
        <v>617</v>
      </c>
      <c r="Q56" s="31"/>
      <c r="R56" s="1291">
        <f t="shared" ref="R56:R61" si="14">N56*120*24/1000</f>
        <v>1.0719287939718797E-2</v>
      </c>
      <c r="S56" s="1291"/>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436">
        <f t="shared" si="13"/>
        <v>1.2163316925062178E-4</v>
      </c>
      <c r="M57" s="1437"/>
      <c r="N57" s="1192">
        <f>AI17*$X$25</f>
        <v>4.3787940930223838E-4</v>
      </c>
      <c r="O57" s="1192"/>
      <c r="P57" s="31" t="s">
        <v>617</v>
      </c>
      <c r="Q57" s="31"/>
      <c r="R57" s="1291">
        <f t="shared" si="14"/>
        <v>1.2610926987904464E-3</v>
      </c>
      <c r="S57" s="1291"/>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436">
        <f t="shared" si="13"/>
        <v>0</v>
      </c>
      <c r="M58" s="1437"/>
      <c r="N58" s="1191">
        <f>K22*$X$25</f>
        <v>0</v>
      </c>
      <c r="O58" s="1191"/>
      <c r="P58" s="31" t="s">
        <v>617</v>
      </c>
      <c r="Q58" s="31"/>
      <c r="R58" s="1291">
        <f t="shared" si="14"/>
        <v>0</v>
      </c>
      <c r="S58" s="1291"/>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436">
        <f t="shared" si="13"/>
        <v>0</v>
      </c>
      <c r="M59" s="1437"/>
      <c r="N59" s="1192">
        <f>X25*W22</f>
        <v>0</v>
      </c>
      <c r="O59" s="1192"/>
      <c r="P59" s="31" t="s">
        <v>617</v>
      </c>
      <c r="Q59" s="31"/>
      <c r="R59" s="1291">
        <f t="shared" si="14"/>
        <v>0</v>
      </c>
      <c r="S59" s="1291"/>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1.22849500943128E-3</v>
      </c>
      <c r="M60" s="1186"/>
      <c r="N60" s="1191">
        <f>Q22*$X$25</f>
        <v>4.4225820339526076E-3</v>
      </c>
      <c r="O60" s="1191"/>
      <c r="P60" s="31" t="s">
        <v>617</v>
      </c>
      <c r="Q60" s="31"/>
      <c r="R60" s="1291">
        <f t="shared" si="14"/>
        <v>1.2737036257783508E-2</v>
      </c>
      <c r="S60" s="1291"/>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0</v>
      </c>
      <c r="M61" s="1186"/>
      <c r="N61" s="1191">
        <f>AC22*$X$25</f>
        <v>0</v>
      </c>
      <c r="O61" s="1191"/>
      <c r="P61" s="31" t="s">
        <v>617</v>
      </c>
      <c r="Q61" s="31"/>
      <c r="R61" s="1291">
        <f t="shared" si="14"/>
        <v>0</v>
      </c>
      <c r="S61" s="1291"/>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436">
        <f>O62*1000/3600</f>
        <v>175.01785370602406</v>
      </c>
      <c r="M62" s="1437"/>
      <c r="N62" s="31"/>
      <c r="O62" s="428">
        <f>'Diesel F'!I56*X25</f>
        <v>630.06427334168654</v>
      </c>
      <c r="P62" s="395" t="s">
        <v>617</v>
      </c>
      <c r="Q62" s="395"/>
      <c r="R62" s="1585">
        <f>O62*120*24/1000</f>
        <v>1814.5851072240575</v>
      </c>
      <c r="S62" s="1585"/>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680</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682</v>
      </c>
      <c r="B65" s="31" t="s">
        <v>689</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701</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232"/>
      <c r="B67" s="147"/>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2"/>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32"/>
      <c r="B68" s="147"/>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gL9VZiPzC7/tQmyqXbONA0eTPqC8krESJpGoARD25kG1/OdyyYmTMpPTZ7oY1WU08Qio8woZx5WKOTvTPy4i8g==" saltValue="1k5Ycb6x9AH/Arf2q/RC9g==" spinCount="100000" sheet="1" objects="1" scenarios="1" selectLockedCells="1" selectUnlockedCells="1"/>
  <mergeCells count="473">
    <mergeCell ref="L60:M60"/>
    <mergeCell ref="L61:M61"/>
    <mergeCell ref="L62:M62"/>
    <mergeCell ref="L54:M54"/>
    <mergeCell ref="L55:M55"/>
    <mergeCell ref="L56:M56"/>
    <mergeCell ref="L57:M57"/>
    <mergeCell ref="L58:M58"/>
    <mergeCell ref="L59:M59"/>
    <mergeCell ref="N60:O60"/>
    <mergeCell ref="R60:S60"/>
    <mergeCell ref="N61:O61"/>
    <mergeCell ref="R61:S61"/>
    <mergeCell ref="R62:S62"/>
    <mergeCell ref="W32:AI36"/>
    <mergeCell ref="AC57:AD57"/>
    <mergeCell ref="AE57:AF57"/>
    <mergeCell ref="N58:O58"/>
    <mergeCell ref="R58:S58"/>
    <mergeCell ref="N59:O59"/>
    <mergeCell ref="R59:S59"/>
    <mergeCell ref="T59:U59"/>
    <mergeCell ref="Y59:Z59"/>
    <mergeCell ref="AC59:AD59"/>
    <mergeCell ref="AE59:AF59"/>
    <mergeCell ref="N56:O56"/>
    <mergeCell ref="R56:S56"/>
    <mergeCell ref="N57:O57"/>
    <mergeCell ref="R57:S57"/>
    <mergeCell ref="T57:U57"/>
    <mergeCell ref="Y57:Z57"/>
    <mergeCell ref="AF53:AG53"/>
    <mergeCell ref="AH53:AI53"/>
    <mergeCell ref="N55:O55"/>
    <mergeCell ref="R55:S55"/>
    <mergeCell ref="T55:U55"/>
    <mergeCell ref="Y55:Z55"/>
    <mergeCell ref="AC55:AD55"/>
    <mergeCell ref="AE55:AF55"/>
    <mergeCell ref="T53:U53"/>
    <mergeCell ref="V53:W53"/>
    <mergeCell ref="X53:Y53"/>
    <mergeCell ref="Z53:AA53"/>
    <mergeCell ref="AB53:AC53"/>
    <mergeCell ref="AD53:AE53"/>
    <mergeCell ref="AH52:AI52"/>
    <mergeCell ref="AJ52:AK52"/>
    <mergeCell ref="A53:E53"/>
    <mergeCell ref="F53:G53"/>
    <mergeCell ref="H53:I53"/>
    <mergeCell ref="J53:K53"/>
    <mergeCell ref="L53:M53"/>
    <mergeCell ref="N53:O53"/>
    <mergeCell ref="P53:Q53"/>
    <mergeCell ref="R53:S53"/>
    <mergeCell ref="V52:W52"/>
    <mergeCell ref="X52:Y52"/>
    <mergeCell ref="Z52:AA52"/>
    <mergeCell ref="AB52:AC52"/>
    <mergeCell ref="AD52:AE52"/>
    <mergeCell ref="AF52:AG52"/>
    <mergeCell ref="AJ53:AK53"/>
    <mergeCell ref="F52:G52"/>
    <mergeCell ref="H52:I52"/>
    <mergeCell ref="J52:K52"/>
    <mergeCell ref="L52:M52"/>
    <mergeCell ref="N52:O52"/>
    <mergeCell ref="P52:Q52"/>
    <mergeCell ref="R52:S52"/>
    <mergeCell ref="T52:U52"/>
    <mergeCell ref="V51:W51"/>
    <mergeCell ref="AH50:AI50"/>
    <mergeCell ref="AJ50:AK50"/>
    <mergeCell ref="F51:G51"/>
    <mergeCell ref="H51:I51"/>
    <mergeCell ref="J51:K51"/>
    <mergeCell ref="L51:M51"/>
    <mergeCell ref="N51:O51"/>
    <mergeCell ref="P51:Q51"/>
    <mergeCell ref="R51:S51"/>
    <mergeCell ref="T51:U51"/>
    <mergeCell ref="V50:W50"/>
    <mergeCell ref="X50:Y50"/>
    <mergeCell ref="Z50:AA50"/>
    <mergeCell ref="AB50:AC50"/>
    <mergeCell ref="AD50:AE50"/>
    <mergeCell ref="AF50:AG50"/>
    <mergeCell ref="AH51:AI51"/>
    <mergeCell ref="AJ51:AK51"/>
    <mergeCell ref="X51:Y51"/>
    <mergeCell ref="Z51:AA51"/>
    <mergeCell ref="AB51:AC51"/>
    <mergeCell ref="AD51:AE51"/>
    <mergeCell ref="AF51:AG51"/>
    <mergeCell ref="F50:G50"/>
    <mergeCell ref="H50:I50"/>
    <mergeCell ref="J50:K50"/>
    <mergeCell ref="L50:M50"/>
    <mergeCell ref="N50:O50"/>
    <mergeCell ref="P50:Q50"/>
    <mergeCell ref="R50:S50"/>
    <mergeCell ref="T50:U50"/>
    <mergeCell ref="V49:W49"/>
    <mergeCell ref="AH48:AI48"/>
    <mergeCell ref="AJ48:AK48"/>
    <mergeCell ref="F49:G49"/>
    <mergeCell ref="H49:I49"/>
    <mergeCell ref="J49:K49"/>
    <mergeCell ref="L49:M49"/>
    <mergeCell ref="N49:O49"/>
    <mergeCell ref="P49:Q49"/>
    <mergeCell ref="R49:S49"/>
    <mergeCell ref="T49:U49"/>
    <mergeCell ref="V48:W48"/>
    <mergeCell ref="X48:Y48"/>
    <mergeCell ref="Z48:AA48"/>
    <mergeCell ref="AB48:AC48"/>
    <mergeCell ref="AD48:AE48"/>
    <mergeCell ref="AF48:AG48"/>
    <mergeCell ref="AH49:AI49"/>
    <mergeCell ref="AJ49:AK49"/>
    <mergeCell ref="X49:Y49"/>
    <mergeCell ref="Z49:AA49"/>
    <mergeCell ref="AB49:AC49"/>
    <mergeCell ref="AD49:AE49"/>
    <mergeCell ref="AF49:AG49"/>
    <mergeCell ref="F48:G48"/>
    <mergeCell ref="H48:I48"/>
    <mergeCell ref="J48:K48"/>
    <mergeCell ref="L48:M48"/>
    <mergeCell ref="N48:O48"/>
    <mergeCell ref="P48:Q48"/>
    <mergeCell ref="R48:S48"/>
    <mergeCell ref="T48:U48"/>
    <mergeCell ref="V47:W47"/>
    <mergeCell ref="AJ46:AK46"/>
    <mergeCell ref="F47:G47"/>
    <mergeCell ref="H47:I47"/>
    <mergeCell ref="J47:K47"/>
    <mergeCell ref="L47:M47"/>
    <mergeCell ref="N47:O47"/>
    <mergeCell ref="P47:Q47"/>
    <mergeCell ref="R47:S47"/>
    <mergeCell ref="T47:U47"/>
    <mergeCell ref="V46:W46"/>
    <mergeCell ref="X46:Y46"/>
    <mergeCell ref="Z46:AA46"/>
    <mergeCell ref="AB46:AC46"/>
    <mergeCell ref="AD46:AE46"/>
    <mergeCell ref="AF46:AG46"/>
    <mergeCell ref="AH47:AI47"/>
    <mergeCell ref="AJ47:AK47"/>
    <mergeCell ref="X47:Y47"/>
    <mergeCell ref="Z47:AA47"/>
    <mergeCell ref="AB47:AC47"/>
    <mergeCell ref="AD47:AE47"/>
    <mergeCell ref="AF47:AG47"/>
    <mergeCell ref="F46:G46"/>
    <mergeCell ref="H46:I46"/>
    <mergeCell ref="J46:K46"/>
    <mergeCell ref="L46:M46"/>
    <mergeCell ref="N46:O46"/>
    <mergeCell ref="P46:Q46"/>
    <mergeCell ref="R46:S46"/>
    <mergeCell ref="T46:U46"/>
    <mergeCell ref="V45:W45"/>
    <mergeCell ref="AH44:AI44"/>
    <mergeCell ref="J44:K44"/>
    <mergeCell ref="L44:M44"/>
    <mergeCell ref="N44:O44"/>
    <mergeCell ref="P44:Q44"/>
    <mergeCell ref="R44:S44"/>
    <mergeCell ref="T44:U44"/>
    <mergeCell ref="AH46:AI46"/>
    <mergeCell ref="AJ44:AK44"/>
    <mergeCell ref="F45:G45"/>
    <mergeCell ref="H45:I45"/>
    <mergeCell ref="J45:K45"/>
    <mergeCell ref="L45:M45"/>
    <mergeCell ref="N45:O45"/>
    <mergeCell ref="P45:Q45"/>
    <mergeCell ref="R45:S45"/>
    <mergeCell ref="T45:U45"/>
    <mergeCell ref="V44:W44"/>
    <mergeCell ref="X44:Y44"/>
    <mergeCell ref="Z44:AA44"/>
    <mergeCell ref="AB44:AC44"/>
    <mergeCell ref="AD44:AE44"/>
    <mergeCell ref="AF44:AG44"/>
    <mergeCell ref="AH45:AI45"/>
    <mergeCell ref="AJ45:AK45"/>
    <mergeCell ref="X45:Y45"/>
    <mergeCell ref="Z45:AA45"/>
    <mergeCell ref="AB45:AC45"/>
    <mergeCell ref="AD45:AE45"/>
    <mergeCell ref="AF45:AG45"/>
    <mergeCell ref="F44:G44"/>
    <mergeCell ref="H44:I44"/>
    <mergeCell ref="V43:W43"/>
    <mergeCell ref="AH42:AI42"/>
    <mergeCell ref="AJ42:AK42"/>
    <mergeCell ref="F43:G43"/>
    <mergeCell ref="H43:I43"/>
    <mergeCell ref="J43:K43"/>
    <mergeCell ref="L43:M43"/>
    <mergeCell ref="N43:O43"/>
    <mergeCell ref="P43:Q43"/>
    <mergeCell ref="R43:S43"/>
    <mergeCell ref="T43:U43"/>
    <mergeCell ref="V42:W42"/>
    <mergeCell ref="X42:Y42"/>
    <mergeCell ref="Z42:AA42"/>
    <mergeCell ref="AB42:AC42"/>
    <mergeCell ref="AD42:AE42"/>
    <mergeCell ref="AF42:AG42"/>
    <mergeCell ref="AH43:AI43"/>
    <mergeCell ref="AJ43:AK43"/>
    <mergeCell ref="X43:Y43"/>
    <mergeCell ref="Z43:AA43"/>
    <mergeCell ref="AB43:AC43"/>
    <mergeCell ref="AD43:AE43"/>
    <mergeCell ref="AF43:AG43"/>
    <mergeCell ref="F42:G42"/>
    <mergeCell ref="H42:I42"/>
    <mergeCell ref="J42:K42"/>
    <mergeCell ref="L42:M42"/>
    <mergeCell ref="N42:O42"/>
    <mergeCell ref="P42:Q42"/>
    <mergeCell ref="R42:S42"/>
    <mergeCell ref="T42:U42"/>
    <mergeCell ref="V41:W41"/>
    <mergeCell ref="AH40:AI40"/>
    <mergeCell ref="AJ40:AK40"/>
    <mergeCell ref="F41:G41"/>
    <mergeCell ref="H41:I41"/>
    <mergeCell ref="J41:K41"/>
    <mergeCell ref="L41:M41"/>
    <mergeCell ref="N41:O41"/>
    <mergeCell ref="P41:Q41"/>
    <mergeCell ref="R41:S41"/>
    <mergeCell ref="T41:U41"/>
    <mergeCell ref="V40:W40"/>
    <mergeCell ref="X40:Y40"/>
    <mergeCell ref="Z40:AA40"/>
    <mergeCell ref="AB40:AC40"/>
    <mergeCell ref="AD40:AE40"/>
    <mergeCell ref="AF40:AG40"/>
    <mergeCell ref="AH41:AI41"/>
    <mergeCell ref="AJ41:AK41"/>
    <mergeCell ref="X41:Y41"/>
    <mergeCell ref="Z41:AA41"/>
    <mergeCell ref="AB41:AC41"/>
    <mergeCell ref="AD41:AE41"/>
    <mergeCell ref="AF41:AG41"/>
    <mergeCell ref="R39:S39"/>
    <mergeCell ref="T39:U39"/>
    <mergeCell ref="F40:G40"/>
    <mergeCell ref="H40:I40"/>
    <mergeCell ref="J40:K40"/>
    <mergeCell ref="L40:M40"/>
    <mergeCell ref="N40:O40"/>
    <mergeCell ref="P40:Q40"/>
    <mergeCell ref="R40:S40"/>
    <mergeCell ref="T40:U40"/>
    <mergeCell ref="F39:G39"/>
    <mergeCell ref="H39:I39"/>
    <mergeCell ref="J39:K39"/>
    <mergeCell ref="L39:M39"/>
    <mergeCell ref="N39:O39"/>
    <mergeCell ref="P39:Q39"/>
    <mergeCell ref="R37:S37"/>
    <mergeCell ref="T37:U37"/>
    <mergeCell ref="F38:G38"/>
    <mergeCell ref="H38:I38"/>
    <mergeCell ref="J38:K38"/>
    <mergeCell ref="L38:M38"/>
    <mergeCell ref="N38:O38"/>
    <mergeCell ref="P38:Q38"/>
    <mergeCell ref="R38:S38"/>
    <mergeCell ref="T38:U38"/>
    <mergeCell ref="F37:G37"/>
    <mergeCell ref="H37:I37"/>
    <mergeCell ref="J37:K37"/>
    <mergeCell ref="L37:M37"/>
    <mergeCell ref="N37:O37"/>
    <mergeCell ref="P37:Q37"/>
    <mergeCell ref="R35:S35"/>
    <mergeCell ref="T35:U35"/>
    <mergeCell ref="F36:G36"/>
    <mergeCell ref="H36:I36"/>
    <mergeCell ref="J36:K36"/>
    <mergeCell ref="L36:M36"/>
    <mergeCell ref="N36:O36"/>
    <mergeCell ref="P36:Q36"/>
    <mergeCell ref="R36:S36"/>
    <mergeCell ref="T36:U36"/>
    <mergeCell ref="F35:G35"/>
    <mergeCell ref="H35:I35"/>
    <mergeCell ref="J35:K35"/>
    <mergeCell ref="L35:M35"/>
    <mergeCell ref="N35:O35"/>
    <mergeCell ref="P35:Q35"/>
    <mergeCell ref="R33:S33"/>
    <mergeCell ref="T33:U33"/>
    <mergeCell ref="F34:G34"/>
    <mergeCell ref="H34:I34"/>
    <mergeCell ref="J34:K34"/>
    <mergeCell ref="L34:M34"/>
    <mergeCell ref="N34:O34"/>
    <mergeCell ref="P34:Q34"/>
    <mergeCell ref="R34:S34"/>
    <mergeCell ref="T34:U34"/>
    <mergeCell ref="F33:G33"/>
    <mergeCell ref="H33:I33"/>
    <mergeCell ref="J33:K33"/>
    <mergeCell ref="L33:M33"/>
    <mergeCell ref="N33:O33"/>
    <mergeCell ref="P33:Q33"/>
    <mergeCell ref="F31:G31"/>
    <mergeCell ref="H31:I31"/>
    <mergeCell ref="J31:K31"/>
    <mergeCell ref="L31:M31"/>
    <mergeCell ref="N31:O31"/>
    <mergeCell ref="P31:Q31"/>
    <mergeCell ref="R31:S31"/>
    <mergeCell ref="T31:U31"/>
    <mergeCell ref="F32:G32"/>
    <mergeCell ref="H32:I32"/>
    <mergeCell ref="J32:K32"/>
    <mergeCell ref="L32:M32"/>
    <mergeCell ref="N32:O32"/>
    <mergeCell ref="P32:Q32"/>
    <mergeCell ref="R32:S32"/>
    <mergeCell ref="T32:U32"/>
    <mergeCell ref="A30:E30"/>
    <mergeCell ref="F30:G30"/>
    <mergeCell ref="H30:I30"/>
    <mergeCell ref="J30:K30"/>
    <mergeCell ref="L30:M30"/>
    <mergeCell ref="N30:O30"/>
    <mergeCell ref="A27:E27"/>
    <mergeCell ref="F27:U27"/>
    <mergeCell ref="F28:I29"/>
    <mergeCell ref="J28:M28"/>
    <mergeCell ref="N28:O29"/>
    <mergeCell ref="P28:U29"/>
    <mergeCell ref="J29:K29"/>
    <mergeCell ref="L29:M29"/>
    <mergeCell ref="P30:Q30"/>
    <mergeCell ref="R30:S30"/>
    <mergeCell ref="T30:U30"/>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F31:U52">
    <cfRule type="expression" dxfId="177" priority="2">
      <formula>F31=0</formula>
    </cfRule>
  </conditionalFormatting>
  <conditionalFormatting sqref="R55:S62">
    <cfRule type="expression" dxfId="176" priority="1" stopIfTrue="1">
      <formula>R55=0</formula>
    </cfRule>
  </conditionalFormatting>
  <conditionalFormatting sqref="V31:AK31 V32:V36 AJ32:AK36 V37:AK52">
    <cfRule type="expression" dxfId="175" priority="4">
      <formula>V31=0</formula>
    </cfRule>
  </conditionalFormatting>
  <conditionalFormatting sqref="V53:AK53">
    <cfRule type="expression" dxfId="174" priority="5" stopIfTrue="1">
      <formula>V53=0</formula>
    </cfRule>
  </conditionalFormatting>
  <conditionalFormatting sqref="Y56:Y62 AC56:AD62 N57 N59">
    <cfRule type="expression" dxfId="173" priority="7" stopIfTrue="1">
      <formula>N56=0</formula>
    </cfRule>
  </conditionalFormatting>
  <pageMargins left="0.7" right="0.7" top="0.75" bottom="0.75" header="0.3" footer="0.3"/>
  <pageSetup paperSize="9" scale="61" orientation="portrait" r:id="rId1"/>
  <headerFooter>
    <oddFooter>&amp;C_x000D_&amp;1#&amp;"Calibri"&amp;10&amp;K000000 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2A39C-F433-4F34-92D3-8AA3E64E7EA2}">
  <sheetPr>
    <tabColor rgb="FFFFC000"/>
    <pageSetUpPr fitToPage="1"/>
  </sheetPr>
  <dimension ref="A1:CP123"/>
  <sheetViews>
    <sheetView showGridLines="0" view="pageBreakPreview" topLeftCell="A20" zoomScaleNormal="100" zoomScaleSheetLayoutView="100" workbookViewId="0">
      <selection activeCell="A6" sqref="A6:G6"/>
    </sheetView>
  </sheetViews>
  <sheetFormatPr defaultColWidth="9.28515625" defaultRowHeight="15.75"/>
  <cols>
    <col min="1" max="14" width="3.7109375" style="585" customWidth="1"/>
    <col min="15" max="15" width="6.7109375" style="585" customWidth="1"/>
    <col min="16" max="18" width="3.7109375" style="585" customWidth="1"/>
    <col min="19" max="19" width="5.42578125" style="585" customWidth="1"/>
    <col min="20" max="23" width="3.7109375" style="585" customWidth="1"/>
    <col min="24" max="24" width="8" style="585" customWidth="1"/>
    <col min="25" max="37" width="3.7109375" style="585" customWidth="1"/>
    <col min="38" max="38" width="6.28515625" style="576" customWidth="1"/>
    <col min="39" max="50" width="11.42578125" style="508" customWidth="1"/>
    <col min="51" max="16384" width="9.28515625" style="508"/>
  </cols>
  <sheetData>
    <row r="1" spans="1:94" s="494"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491"/>
      <c r="AM1" s="492"/>
      <c r="AN1" s="492"/>
      <c r="AO1" s="492"/>
      <c r="AP1" s="492"/>
      <c r="AQ1" s="492"/>
      <c r="AR1" s="492"/>
      <c r="AS1" s="492"/>
      <c r="AT1" s="492"/>
      <c r="AU1" s="492"/>
      <c r="AV1" s="492"/>
      <c r="AW1" s="492"/>
      <c r="AX1" s="492"/>
      <c r="AY1" s="492"/>
      <c r="AZ1" s="492"/>
      <c r="BA1" s="492"/>
      <c r="BB1" s="492"/>
      <c r="BC1" s="492"/>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row>
    <row r="2" spans="1:94" s="494"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491"/>
      <c r="AM2" s="492"/>
      <c r="AN2" s="492"/>
      <c r="AO2" s="492"/>
      <c r="AP2" s="492"/>
      <c r="AQ2" s="492"/>
      <c r="AR2" s="492"/>
      <c r="AS2" s="492"/>
      <c r="AT2" s="492"/>
      <c r="AU2" s="492"/>
      <c r="AV2" s="492"/>
      <c r="AW2" s="492"/>
      <c r="AX2" s="492"/>
      <c r="AY2" s="492"/>
      <c r="AZ2" s="492"/>
      <c r="BA2" s="492"/>
      <c r="BB2" s="492"/>
      <c r="BC2" s="492"/>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c r="CG2" s="493"/>
      <c r="CH2" s="493"/>
      <c r="CI2" s="493"/>
      <c r="CJ2" s="493"/>
      <c r="CK2" s="493"/>
      <c r="CL2" s="493"/>
      <c r="CM2" s="493"/>
      <c r="CN2" s="493"/>
      <c r="CO2" s="493"/>
      <c r="CP2" s="493"/>
    </row>
    <row r="3" spans="1:94" s="494"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491"/>
      <c r="AM3" s="492"/>
      <c r="AN3" s="492"/>
      <c r="AO3" s="492"/>
      <c r="AP3" s="492"/>
      <c r="AQ3" s="492"/>
      <c r="AR3" s="492"/>
      <c r="AS3" s="492"/>
      <c r="AT3" s="492"/>
      <c r="AU3" s="492"/>
      <c r="AV3" s="492"/>
      <c r="AW3" s="492"/>
      <c r="AX3" s="492"/>
      <c r="AY3" s="492"/>
      <c r="AZ3" s="492"/>
      <c r="BA3" s="492"/>
      <c r="BB3" s="492"/>
      <c r="BC3" s="492"/>
      <c r="BD3" s="493"/>
      <c r="BE3" s="493"/>
      <c r="BF3" s="493"/>
      <c r="BG3" s="493"/>
      <c r="BH3" s="493"/>
      <c r="BI3" s="493"/>
      <c r="BJ3" s="493"/>
      <c r="BK3" s="493"/>
      <c r="BL3" s="493"/>
      <c r="BM3" s="493"/>
      <c r="BN3" s="493"/>
      <c r="BO3" s="493"/>
      <c r="BP3" s="493"/>
      <c r="BQ3" s="493"/>
      <c r="BR3" s="493"/>
      <c r="BS3" s="493"/>
      <c r="BT3" s="493"/>
      <c r="BU3" s="493"/>
      <c r="BV3" s="493"/>
      <c r="BW3" s="493"/>
      <c r="BX3" s="493"/>
      <c r="BY3" s="493"/>
      <c r="BZ3" s="493"/>
      <c r="CA3" s="493"/>
      <c r="CB3" s="493"/>
      <c r="CC3" s="493"/>
      <c r="CD3" s="493"/>
      <c r="CE3" s="493"/>
      <c r="CF3" s="493"/>
      <c r="CG3" s="493"/>
      <c r="CH3" s="493"/>
      <c r="CI3" s="493"/>
      <c r="CJ3" s="493"/>
      <c r="CK3" s="493"/>
      <c r="CL3" s="493"/>
      <c r="CM3" s="493"/>
      <c r="CN3" s="493"/>
      <c r="CO3" s="493"/>
      <c r="CP3" s="493"/>
    </row>
    <row r="4" spans="1:94" s="494"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491"/>
      <c r="AM4" s="492"/>
      <c r="AN4" s="492"/>
      <c r="AO4" s="492"/>
      <c r="AP4" s="495" t="s">
        <v>576</v>
      </c>
      <c r="AQ4" s="495" t="s">
        <v>577</v>
      </c>
      <c r="AR4" s="495" t="s">
        <v>578</v>
      </c>
      <c r="AS4" s="56"/>
      <c r="AT4" s="496" t="s">
        <v>702</v>
      </c>
      <c r="AU4" s="497">
        <v>24</v>
      </c>
      <c r="AV4" s="136" t="s">
        <v>590</v>
      </c>
      <c r="AW4" s="136"/>
      <c r="AX4" s="136"/>
      <c r="AY4" s="498"/>
      <c r="AZ4" s="498"/>
      <c r="BA4" s="498"/>
      <c r="BB4" s="498"/>
      <c r="BC4" s="499"/>
      <c r="BD4" s="498"/>
      <c r="BE4" s="498"/>
      <c r="BF4" s="498"/>
      <c r="BG4" s="493"/>
      <c r="BH4" s="493"/>
      <c r="BI4" s="493"/>
      <c r="BJ4" s="493"/>
      <c r="BK4" s="493"/>
      <c r="BL4" s="493"/>
      <c r="BM4" s="493"/>
      <c r="BN4" s="493"/>
      <c r="BO4" s="493"/>
      <c r="BP4" s="493"/>
      <c r="BQ4" s="493"/>
      <c r="BR4" s="493"/>
      <c r="BS4" s="493"/>
      <c r="BT4" s="493"/>
      <c r="BU4" s="493"/>
      <c r="BV4" s="493"/>
      <c r="BW4" s="493"/>
      <c r="BX4" s="493"/>
      <c r="BY4" s="493"/>
      <c r="BZ4" s="493"/>
      <c r="CA4" s="493"/>
      <c r="CB4" s="493"/>
      <c r="CC4" s="493"/>
      <c r="CD4" s="493"/>
      <c r="CE4" s="493"/>
      <c r="CF4" s="493"/>
      <c r="CG4" s="493"/>
      <c r="CH4" s="493"/>
      <c r="CI4" s="493"/>
      <c r="CJ4" s="493"/>
      <c r="CK4" s="493"/>
      <c r="CL4" s="493"/>
      <c r="CM4" s="49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'ESD CR'!$AC$5</f>
        <v>PRJ-001030</v>
      </c>
      <c r="AD5" s="1169"/>
      <c r="AE5" s="1169"/>
      <c r="AF5" s="1169"/>
      <c r="AG5" s="1169"/>
      <c r="AH5" s="1169"/>
      <c r="AI5" s="1169"/>
      <c r="AJ5" s="1169"/>
      <c r="AK5" s="1170"/>
      <c r="AL5" s="500"/>
      <c r="AM5" s="501">
        <f>9249/8260</f>
        <v>1.1197336561743341</v>
      </c>
      <c r="AN5" s="501"/>
      <c r="AO5" s="501"/>
      <c r="AP5" s="502" t="s">
        <v>386</v>
      </c>
      <c r="AQ5" s="502" t="s">
        <v>405</v>
      </c>
      <c r="AR5" s="495">
        <v>1020</v>
      </c>
      <c r="AS5" s="105"/>
      <c r="AT5" s="503" t="s">
        <v>703</v>
      </c>
      <c r="AU5" s="504">
        <v>0.34</v>
      </c>
      <c r="AV5" s="505" t="s">
        <v>608</v>
      </c>
      <c r="AW5" s="506">
        <v>0.34</v>
      </c>
      <c r="AX5" s="136"/>
      <c r="AY5" s="498"/>
      <c r="AZ5" s="498"/>
      <c r="BA5" s="498"/>
      <c r="BB5" s="498"/>
      <c r="BC5" s="499"/>
      <c r="BD5" s="498"/>
      <c r="BE5" s="498"/>
      <c r="BF5" s="498"/>
      <c r="BG5" s="507"/>
      <c r="BH5" s="507"/>
      <c r="BI5" s="507"/>
      <c r="BJ5" s="507"/>
      <c r="BK5" s="507"/>
      <c r="BL5" s="507"/>
      <c r="BM5" s="507"/>
      <c r="BN5" s="507"/>
      <c r="BO5" s="507"/>
      <c r="BP5" s="507"/>
      <c r="BQ5" s="507"/>
      <c r="BR5" s="507"/>
      <c r="BS5" s="507"/>
      <c r="BT5" s="507"/>
      <c r="BU5" s="507"/>
      <c r="BV5" s="507"/>
      <c r="BW5" s="507"/>
      <c r="BX5" s="507"/>
      <c r="BY5" s="507"/>
      <c r="BZ5" s="507"/>
      <c r="CA5" s="507"/>
      <c r="CB5" s="507"/>
      <c r="CC5" s="507"/>
      <c r="CD5" s="507"/>
      <c r="CE5" s="507"/>
      <c r="CF5" s="507"/>
      <c r="CG5" s="507"/>
      <c r="CH5" s="507"/>
      <c r="CI5" s="507"/>
      <c r="CJ5" s="507"/>
      <c r="CK5" s="507"/>
      <c r="CL5" s="507"/>
      <c r="CM5" s="507"/>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500"/>
      <c r="AM6" s="501"/>
      <c r="AN6" s="501"/>
      <c r="AO6" s="509"/>
      <c r="AP6" s="502" t="s">
        <v>406</v>
      </c>
      <c r="AQ6" s="502" t="s">
        <v>339</v>
      </c>
      <c r="AR6" s="502">
        <v>0.45400000000000001</v>
      </c>
      <c r="AS6" s="495"/>
      <c r="AT6" s="1228" t="s">
        <v>704</v>
      </c>
      <c r="AU6" s="510">
        <f>AU4</f>
        <v>24</v>
      </c>
      <c r="AV6" s="505" t="s">
        <v>608</v>
      </c>
      <c r="AW6" s="511">
        <f>AU6/AU7</f>
        <v>70.588235294117638</v>
      </c>
      <c r="AX6" s="136" t="s">
        <v>590</v>
      </c>
      <c r="BA6" s="498"/>
      <c r="BB6" s="498"/>
      <c r="BC6" s="499"/>
      <c r="BD6" s="498"/>
      <c r="BE6" s="498"/>
      <c r="BF6" s="498"/>
      <c r="BG6" s="507"/>
      <c r="BH6" s="507"/>
      <c r="BI6" s="507"/>
      <c r="BJ6" s="507"/>
      <c r="BK6" s="507"/>
      <c r="BL6" s="507"/>
      <c r="BM6" s="507"/>
      <c r="BN6" s="507"/>
      <c r="BO6" s="507"/>
      <c r="BP6" s="507"/>
      <c r="BQ6" s="507"/>
      <c r="BR6" s="507"/>
      <c r="BS6" s="507"/>
      <c r="BT6" s="507"/>
      <c r="BU6" s="507"/>
      <c r="BV6" s="507"/>
      <c r="BW6" s="507"/>
      <c r="BX6" s="507"/>
      <c r="BY6" s="507"/>
      <c r="BZ6" s="507"/>
      <c r="CA6" s="507"/>
      <c r="CB6" s="507"/>
      <c r="CC6" s="507"/>
      <c r="CD6" s="507"/>
      <c r="CE6" s="507"/>
      <c r="CF6" s="507"/>
      <c r="CG6" s="507"/>
      <c r="CH6" s="507"/>
      <c r="CI6" s="507"/>
      <c r="CJ6" s="507"/>
      <c r="CK6" s="507"/>
      <c r="CL6" s="507"/>
      <c r="CM6" s="507"/>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
        <v>97</v>
      </c>
      <c r="AD7" s="31"/>
      <c r="AE7" s="31"/>
      <c r="AF7" s="31"/>
      <c r="AG7" s="31"/>
      <c r="AH7" s="31"/>
      <c r="AI7" s="31"/>
      <c r="AJ7" s="31"/>
      <c r="AK7" s="32"/>
      <c r="AL7" s="500"/>
      <c r="AM7" s="501"/>
      <c r="AN7" s="501"/>
      <c r="AO7" s="509"/>
      <c r="AP7" s="502" t="s">
        <v>407</v>
      </c>
      <c r="AQ7" s="502" t="s">
        <v>408</v>
      </c>
      <c r="AR7" s="512">
        <f>0.305^3</f>
        <v>2.8372624999999999E-2</v>
      </c>
      <c r="AS7" s="495"/>
      <c r="AT7" s="1228"/>
      <c r="AU7" s="513">
        <f>AW5</f>
        <v>0.34</v>
      </c>
      <c r="AV7" s="136"/>
      <c r="AW7" s="506"/>
      <c r="AX7" s="136"/>
      <c r="AY7" s="498"/>
      <c r="AZ7" s="498"/>
      <c r="BA7" s="498"/>
      <c r="BB7" s="498"/>
      <c r="BC7" s="499"/>
      <c r="BD7" s="498"/>
      <c r="BE7" s="498"/>
      <c r="BF7" s="498"/>
      <c r="BG7" s="507"/>
      <c r="BH7" s="507"/>
      <c r="BI7" s="507"/>
      <c r="BJ7" s="507"/>
      <c r="BK7" s="507"/>
      <c r="BL7" s="507"/>
      <c r="BM7" s="507"/>
      <c r="BN7" s="507"/>
      <c r="BO7" s="507"/>
      <c r="BP7" s="507"/>
      <c r="BQ7" s="507"/>
      <c r="BR7" s="507"/>
      <c r="BS7" s="507"/>
      <c r="BT7" s="507"/>
      <c r="BU7" s="507"/>
      <c r="BV7" s="507"/>
      <c r="BW7" s="507"/>
      <c r="BX7" s="507"/>
      <c r="BY7" s="507"/>
      <c r="BZ7" s="507"/>
      <c r="CA7" s="507"/>
      <c r="CB7" s="507"/>
      <c r="CC7" s="507"/>
      <c r="CD7" s="507"/>
      <c r="CE7" s="507"/>
      <c r="CF7" s="507"/>
      <c r="CG7" s="507"/>
      <c r="CH7" s="507"/>
      <c r="CI7" s="507"/>
      <c r="CJ7" s="507"/>
      <c r="CK7" s="507"/>
      <c r="CL7" s="507"/>
      <c r="CM7" s="507"/>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500"/>
      <c r="AM8" s="501"/>
      <c r="AN8" s="501"/>
      <c r="AO8" s="509"/>
      <c r="AP8" s="502" t="s">
        <v>405</v>
      </c>
      <c r="AQ8" s="502" t="s">
        <v>705</v>
      </c>
      <c r="AR8" s="514">
        <f>AR6/AR7 * ((AN18+273.15)/(AN20+273.15))</f>
        <v>16.912595854908194</v>
      </c>
      <c r="AS8" s="495"/>
      <c r="AT8" s="136" t="s">
        <v>706</v>
      </c>
      <c r="AU8" s="515" t="s">
        <v>707</v>
      </c>
      <c r="AV8" s="505" t="s">
        <v>608</v>
      </c>
      <c r="AW8" s="516">
        <f>AW6*3600</f>
        <v>254117.6470588235</v>
      </c>
      <c r="AX8" s="517" t="s">
        <v>608</v>
      </c>
      <c r="AY8" s="511">
        <f>0.9*AW8/AW9</f>
        <v>4594.3327109871661</v>
      </c>
      <c r="BA8" s="498"/>
      <c r="BB8" s="498"/>
      <c r="BC8" s="499"/>
      <c r="BD8" s="498"/>
      <c r="BE8" s="498"/>
      <c r="BF8" s="498"/>
      <c r="BG8" s="507"/>
      <c r="BH8" s="507"/>
      <c r="BI8" s="507"/>
      <c r="BJ8" s="507"/>
      <c r="BK8" s="507"/>
      <c r="BL8" s="507"/>
      <c r="BM8" s="507"/>
      <c r="BN8" s="507"/>
      <c r="BO8" s="507"/>
      <c r="BP8" s="507"/>
      <c r="BQ8" s="507"/>
      <c r="BR8" s="507"/>
      <c r="BS8" s="507"/>
      <c r="BT8" s="507"/>
      <c r="BU8" s="507"/>
      <c r="BV8" s="507"/>
      <c r="BW8" s="507"/>
      <c r="BX8" s="507"/>
      <c r="BY8" s="507"/>
      <c r="BZ8" s="507"/>
      <c r="CA8" s="507"/>
      <c r="CB8" s="507"/>
      <c r="CC8" s="507"/>
      <c r="CD8" s="507"/>
      <c r="CE8" s="507"/>
      <c r="CF8" s="507"/>
      <c r="CG8" s="507"/>
      <c r="CH8" s="507"/>
      <c r="CI8" s="507"/>
      <c r="CJ8" s="507"/>
      <c r="CK8" s="507"/>
      <c r="CL8" s="507"/>
      <c r="CM8" s="507"/>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500"/>
      <c r="AM9" s="501"/>
      <c r="AN9" s="501"/>
      <c r="AO9" s="509"/>
      <c r="AP9" s="495" t="s">
        <v>409</v>
      </c>
      <c r="AQ9" s="495" t="s">
        <v>410</v>
      </c>
      <c r="AR9" s="495">
        <v>947</v>
      </c>
      <c r="AS9" s="495"/>
      <c r="AT9" s="136"/>
      <c r="AU9" s="518" t="s">
        <v>708</v>
      </c>
      <c r="AV9" s="136"/>
      <c r="AW9" s="519">
        <f>N17</f>
        <v>49.78</v>
      </c>
      <c r="AX9" s="136"/>
      <c r="BA9" s="498"/>
      <c r="BB9" s="498"/>
      <c r="BC9" s="499"/>
      <c r="BD9" s="498"/>
      <c r="BE9" s="498"/>
      <c r="BF9" s="498"/>
      <c r="BG9" s="507"/>
      <c r="BH9" s="507"/>
      <c r="BI9" s="507"/>
      <c r="BJ9" s="507"/>
      <c r="BK9" s="507"/>
      <c r="BL9" s="507"/>
      <c r="BM9" s="507"/>
      <c r="BN9" s="507"/>
      <c r="BO9" s="507"/>
      <c r="BP9" s="507"/>
      <c r="BQ9" s="507"/>
      <c r="BR9" s="507"/>
      <c r="BS9" s="507"/>
      <c r="BT9" s="507"/>
      <c r="BU9" s="507"/>
      <c r="BV9" s="507"/>
      <c r="BW9" s="507"/>
      <c r="BX9" s="507"/>
      <c r="BY9" s="507"/>
      <c r="BZ9" s="507"/>
      <c r="CA9" s="507"/>
      <c r="CB9" s="507"/>
      <c r="CC9" s="507"/>
      <c r="CD9" s="507"/>
      <c r="CE9" s="507"/>
      <c r="CF9" s="507"/>
      <c r="CG9" s="507"/>
      <c r="CH9" s="507"/>
      <c r="CI9" s="507"/>
      <c r="CJ9" s="507"/>
      <c r="CK9" s="507"/>
      <c r="CL9" s="507"/>
      <c r="CM9" s="507"/>
    </row>
    <row r="10" spans="1:94" s="494"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491"/>
      <c r="AM10" s="492"/>
      <c r="AN10" s="492"/>
      <c r="AO10" s="520"/>
      <c r="AP10" s="502" t="s">
        <v>709</v>
      </c>
      <c r="AQ10" s="502" t="s">
        <v>710</v>
      </c>
      <c r="AR10" s="502"/>
      <c r="AS10" s="502"/>
      <c r="AT10" s="129"/>
      <c r="AU10" s="129"/>
      <c r="AV10" s="521" t="s">
        <v>608</v>
      </c>
      <c r="AX10" s="129"/>
      <c r="BC10" s="499"/>
      <c r="BD10" s="522" t="s">
        <v>608</v>
      </c>
      <c r="BE10" s="498" t="e">
        <f>AW8/BC11</f>
        <v>#DIV/0!</v>
      </c>
      <c r="BF10" s="498" t="s">
        <v>826</v>
      </c>
      <c r="BG10" s="493"/>
      <c r="BH10" s="493"/>
      <c r="BI10" s="493"/>
      <c r="BJ10" s="493"/>
      <c r="BK10" s="493"/>
      <c r="BL10" s="493"/>
      <c r="BM10" s="493"/>
      <c r="BN10" s="493"/>
      <c r="BO10" s="493"/>
      <c r="BP10" s="493"/>
      <c r="BQ10" s="493"/>
      <c r="BR10" s="493"/>
      <c r="BS10" s="493"/>
      <c r="BT10" s="493"/>
      <c r="BU10" s="493"/>
      <c r="BV10" s="493"/>
      <c r="BW10" s="493"/>
      <c r="BX10" s="493"/>
      <c r="BY10" s="493"/>
      <c r="BZ10" s="493"/>
      <c r="CA10" s="493"/>
      <c r="CB10" s="493"/>
      <c r="CC10" s="493"/>
      <c r="CD10" s="493"/>
      <c r="CE10" s="493"/>
      <c r="CF10" s="493"/>
      <c r="CG10" s="493"/>
      <c r="CH10" s="493"/>
      <c r="CI10" s="493"/>
      <c r="CJ10" s="493"/>
      <c r="CK10" s="493"/>
      <c r="CL10" s="493"/>
      <c r="CM10" s="493"/>
    </row>
    <row r="11" spans="1:94" s="494" customFormat="1" ht="14.25" customHeight="1">
      <c r="A11" s="1117" t="s">
        <v>127</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491"/>
      <c r="AM11" s="492"/>
      <c r="AN11" s="492"/>
      <c r="AO11" s="520"/>
      <c r="AP11" s="502"/>
      <c r="AQ11" s="502"/>
      <c r="AR11" s="502"/>
      <c r="AS11" s="502"/>
      <c r="AT11" s="136"/>
      <c r="AU11" s="136"/>
      <c r="AV11" s="136"/>
      <c r="AW11" s="136"/>
      <c r="AX11" s="129"/>
      <c r="BB11" s="523"/>
      <c r="BC11" s="1226">
        <f>BK7</f>
        <v>0</v>
      </c>
      <c r="BD11" s="1227"/>
      <c r="BE11" s="498" t="s">
        <v>596</v>
      </c>
      <c r="BF11" s="499"/>
      <c r="BG11" s="498"/>
      <c r="BH11" s="498"/>
      <c r="BI11" s="498"/>
      <c r="BJ11" s="493"/>
      <c r="BK11" s="493"/>
      <c r="BL11" s="493"/>
      <c r="BM11" s="493"/>
      <c r="BN11" s="493"/>
      <c r="BO11" s="493"/>
      <c r="BP11" s="493"/>
      <c r="BQ11" s="493"/>
      <c r="BR11" s="493"/>
      <c r="BS11" s="493"/>
      <c r="BT11" s="493"/>
      <c r="BU11" s="493"/>
      <c r="BV11" s="493"/>
      <c r="BW11" s="493"/>
      <c r="BX11" s="493"/>
      <c r="BY11" s="493"/>
      <c r="BZ11" s="493"/>
      <c r="CA11" s="493"/>
      <c r="CB11" s="493"/>
      <c r="CC11" s="493"/>
      <c r="CD11" s="493"/>
      <c r="CE11" s="493"/>
      <c r="CF11" s="493"/>
      <c r="CG11" s="493"/>
      <c r="CH11" s="493"/>
      <c r="CI11" s="493"/>
      <c r="CJ11" s="493"/>
      <c r="CK11" s="493"/>
      <c r="CL11" s="493"/>
      <c r="CM11" s="493"/>
      <c r="CN11" s="493"/>
      <c r="CO11" s="493"/>
      <c r="CP11" s="493"/>
    </row>
    <row r="12" spans="1:94" s="494"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491"/>
      <c r="AM12" s="492"/>
      <c r="AN12" s="492"/>
      <c r="AO12" s="520"/>
      <c r="AP12" s="520"/>
      <c r="AQ12" s="520"/>
      <c r="AR12" s="520"/>
      <c r="AS12" s="520"/>
      <c r="AT12" s="492"/>
      <c r="AU12" s="492"/>
      <c r="AV12" s="492"/>
      <c r="AW12" s="492"/>
      <c r="AX12" s="492"/>
      <c r="AY12" s="492"/>
      <c r="AZ12" s="492"/>
      <c r="BA12" s="492"/>
      <c r="BB12" s="492"/>
      <c r="BC12" s="492"/>
      <c r="BD12" s="493"/>
      <c r="BE12" s="493"/>
      <c r="BF12" s="493"/>
      <c r="BG12" s="493"/>
      <c r="BH12" s="493"/>
      <c r="BI12" s="493"/>
      <c r="BJ12" s="493"/>
      <c r="BK12" s="493"/>
      <c r="BL12" s="493"/>
      <c r="BM12" s="493"/>
      <c r="BN12" s="493"/>
      <c r="BO12" s="493"/>
      <c r="BP12" s="493"/>
      <c r="BQ12" s="493"/>
      <c r="BR12" s="493"/>
      <c r="BS12" s="493"/>
      <c r="BT12" s="493"/>
      <c r="BU12" s="493"/>
      <c r="BV12" s="493"/>
      <c r="BW12" s="493"/>
      <c r="BX12" s="493"/>
      <c r="BY12" s="493"/>
      <c r="BZ12" s="493"/>
      <c r="CA12" s="493"/>
      <c r="CB12" s="493"/>
      <c r="CC12" s="493"/>
      <c r="CD12" s="493"/>
      <c r="CE12" s="493"/>
      <c r="CF12" s="493"/>
      <c r="CG12" s="493"/>
      <c r="CH12" s="493"/>
      <c r="CI12" s="493"/>
      <c r="CJ12" s="493"/>
      <c r="CK12" s="493"/>
      <c r="CL12" s="493"/>
      <c r="CM12" s="493"/>
      <c r="CN12" s="493"/>
      <c r="CO12" s="493"/>
      <c r="CP12" s="493"/>
    </row>
    <row r="13" spans="1:94" s="494" customFormat="1" ht="14.25" customHeight="1">
      <c r="A13" s="1152" t="s">
        <v>587</v>
      </c>
      <c r="B13" s="1153"/>
      <c r="C13" s="1153"/>
      <c r="D13" s="1153"/>
      <c r="E13" s="1153"/>
      <c r="F13" s="1153"/>
      <c r="G13" s="1154"/>
      <c r="H13" s="1155" t="s">
        <v>712</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491"/>
      <c r="AM13" s="492"/>
      <c r="AN13" s="492"/>
      <c r="AO13" s="492"/>
      <c r="AP13" s="492"/>
      <c r="AQ13" s="524"/>
      <c r="AR13" s="492"/>
      <c r="AS13" s="492"/>
      <c r="AT13" s="492"/>
      <c r="AU13" s="492"/>
      <c r="AV13" s="492"/>
      <c r="AW13" s="492"/>
      <c r="AX13" s="492"/>
      <c r="AY13" s="492"/>
      <c r="AZ13" s="492"/>
      <c r="BA13" s="492"/>
      <c r="BB13" s="492"/>
      <c r="BC13" s="492"/>
      <c r="BD13" s="493"/>
      <c r="BE13" s="493"/>
      <c r="BF13" s="493"/>
      <c r="BG13" s="493"/>
      <c r="BH13" s="493"/>
      <c r="BI13" s="493"/>
      <c r="BJ13" s="493"/>
      <c r="BK13" s="493"/>
      <c r="BL13" s="493"/>
      <c r="BM13" s="493"/>
      <c r="BN13" s="493"/>
      <c r="BO13" s="493"/>
      <c r="BP13" s="493"/>
      <c r="BQ13" s="493"/>
      <c r="BR13" s="493"/>
      <c r="BS13" s="493"/>
      <c r="BT13" s="493"/>
      <c r="BU13" s="493"/>
      <c r="BV13" s="493"/>
      <c r="BW13" s="493"/>
      <c r="BX13" s="493"/>
      <c r="BY13" s="493"/>
      <c r="BZ13" s="493"/>
      <c r="CA13" s="493"/>
      <c r="CB13" s="493"/>
      <c r="CC13" s="493"/>
      <c r="CD13" s="493"/>
      <c r="CE13" s="493"/>
      <c r="CF13" s="493"/>
      <c r="CG13" s="493"/>
      <c r="CH13" s="493"/>
      <c r="CI13" s="493"/>
      <c r="CJ13" s="493"/>
      <c r="CK13" s="493"/>
      <c r="CL13" s="493"/>
      <c r="CM13" s="493"/>
      <c r="CN13" s="493"/>
      <c r="CO13" s="493"/>
      <c r="CP13" s="493"/>
    </row>
    <row r="14" spans="1:94" s="494"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491"/>
      <c r="AM14" s="492"/>
      <c r="AN14" s="492"/>
      <c r="AO14" s="492"/>
      <c r="AP14" s="525" t="s">
        <v>400</v>
      </c>
      <c r="AQ14" s="526"/>
      <c r="AR14" s="525" t="s">
        <v>393</v>
      </c>
      <c r="AS14" s="527"/>
      <c r="AT14" s="528"/>
      <c r="AU14" s="525" t="s">
        <v>115</v>
      </c>
      <c r="AV14" s="527"/>
      <c r="AW14" s="528"/>
      <c r="AX14" s="492"/>
      <c r="AY14" s="492"/>
      <c r="AZ14" s="492"/>
      <c r="BA14" s="492"/>
      <c r="BB14" s="492"/>
      <c r="BC14" s="492"/>
      <c r="BD14" s="493"/>
      <c r="BE14" s="493"/>
      <c r="BF14" s="493"/>
      <c r="BG14" s="493"/>
      <c r="BH14" s="493"/>
      <c r="BI14" s="493"/>
      <c r="BJ14" s="493"/>
      <c r="BK14" s="493"/>
      <c r="BL14" s="493"/>
      <c r="BM14" s="493"/>
      <c r="BN14" s="493"/>
      <c r="BO14" s="493"/>
      <c r="BP14" s="493"/>
      <c r="BQ14" s="493"/>
      <c r="BR14" s="493"/>
      <c r="BS14" s="493"/>
      <c r="BT14" s="493"/>
      <c r="BU14" s="493"/>
      <c r="BV14" s="493"/>
      <c r="BW14" s="493"/>
      <c r="BX14" s="493"/>
      <c r="BY14" s="493"/>
      <c r="BZ14" s="493"/>
      <c r="CA14" s="493"/>
      <c r="CB14" s="493"/>
      <c r="CC14" s="493"/>
      <c r="CD14" s="493"/>
      <c r="CE14" s="493"/>
      <c r="CF14" s="493"/>
      <c r="CG14" s="493"/>
      <c r="CH14" s="493"/>
      <c r="CI14" s="493"/>
      <c r="CJ14" s="493"/>
      <c r="CK14" s="493"/>
      <c r="CL14" s="493"/>
      <c r="CM14" s="493"/>
      <c r="CN14" s="493"/>
      <c r="CO14" s="493"/>
      <c r="CP14" s="493"/>
    </row>
    <row r="15" spans="1:94" s="494"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491"/>
      <c r="AM15" s="492"/>
      <c r="AN15" s="492"/>
      <c r="AO15" s="492"/>
      <c r="AP15" s="529" t="s">
        <v>600</v>
      </c>
      <c r="AQ15" s="529" t="s">
        <v>713</v>
      </c>
      <c r="AR15" s="529" t="s">
        <v>386</v>
      </c>
      <c r="AS15" s="530" t="s">
        <v>714</v>
      </c>
      <c r="AT15" s="530" t="s">
        <v>715</v>
      </c>
      <c r="AU15" s="529" t="s">
        <v>386</v>
      </c>
      <c r="AV15" s="530" t="s">
        <v>714</v>
      </c>
      <c r="AW15" s="530" t="s">
        <v>715</v>
      </c>
      <c r="AX15" s="492"/>
      <c r="AY15" s="492"/>
      <c r="AZ15" s="492"/>
      <c r="BA15" s="492"/>
      <c r="BB15" s="492"/>
      <c r="BC15" s="492"/>
      <c r="BD15" s="493"/>
      <c r="BE15" s="493"/>
      <c r="BF15" s="493"/>
      <c r="BG15" s="493"/>
      <c r="BH15" s="493"/>
      <c r="BI15" s="493"/>
      <c r="BJ15" s="493"/>
      <c r="BK15" s="493"/>
      <c r="BL15" s="493"/>
      <c r="BM15" s="493"/>
      <c r="BN15" s="493"/>
      <c r="BO15" s="493"/>
      <c r="BP15" s="493"/>
      <c r="BQ15" s="493"/>
      <c r="BR15" s="493"/>
      <c r="BS15" s="493"/>
      <c r="BT15" s="493"/>
      <c r="BU15" s="493"/>
      <c r="BV15" s="493"/>
      <c r="BW15" s="493"/>
      <c r="BX15" s="493"/>
      <c r="BY15" s="493"/>
      <c r="BZ15" s="493"/>
      <c r="CA15" s="493"/>
      <c r="CB15" s="493"/>
      <c r="CC15" s="493"/>
      <c r="CD15" s="493"/>
      <c r="CE15" s="493"/>
      <c r="CF15" s="493"/>
      <c r="CG15" s="493"/>
      <c r="CH15" s="493"/>
      <c r="CI15" s="493"/>
      <c r="CJ15" s="493"/>
      <c r="CK15" s="493"/>
      <c r="CL15" s="493"/>
      <c r="CM15" s="493"/>
      <c r="CN15" s="493"/>
      <c r="CO15" s="493"/>
      <c r="CP15" s="493"/>
    </row>
    <row r="16" spans="1:94" s="494" customFormat="1" ht="14.25" customHeight="1">
      <c r="A16" s="293" t="s">
        <v>603</v>
      </c>
      <c r="B16" s="294"/>
      <c r="C16" s="294"/>
      <c r="D16" s="294"/>
      <c r="E16" s="294"/>
      <c r="F16" s="294"/>
      <c r="G16" s="295"/>
      <c r="H16" s="1076"/>
      <c r="I16" s="1075"/>
      <c r="J16" s="1077"/>
      <c r="K16" s="1140"/>
      <c r="L16" s="1141"/>
      <c r="M16" s="1142"/>
      <c r="N16" s="1076"/>
      <c r="O16" s="1075"/>
      <c r="P16" s="1077"/>
      <c r="Q16" s="1143">
        <f>AQ16</f>
        <v>37.956295834166582</v>
      </c>
      <c r="R16" s="1144"/>
      <c r="S16" s="1145"/>
      <c r="T16" s="1073">
        <f>$AT$16</f>
        <v>5519.4216060358513</v>
      </c>
      <c r="U16" s="1109"/>
      <c r="V16" s="1074"/>
      <c r="W16" s="1076" t="s">
        <v>604</v>
      </c>
      <c r="X16" s="1075"/>
      <c r="Y16" s="1077"/>
      <c r="Z16" s="1073">
        <f>$AW$16</f>
        <v>1414.3517865466868</v>
      </c>
      <c r="AA16" s="1109"/>
      <c r="AB16" s="1074"/>
      <c r="AC16" s="1076" t="s">
        <v>604</v>
      </c>
      <c r="AD16" s="1075"/>
      <c r="AE16" s="1077"/>
      <c r="AF16" s="1146">
        <f>AT19</f>
        <v>113.83807062448945</v>
      </c>
      <c r="AG16" s="1147"/>
      <c r="AH16" s="1148"/>
      <c r="AI16" s="1076" t="s">
        <v>604</v>
      </c>
      <c r="AJ16" s="1075"/>
      <c r="AK16" s="1077"/>
      <c r="AL16" s="491"/>
      <c r="AM16" s="492" t="s">
        <v>605</v>
      </c>
      <c r="AN16" s="492"/>
      <c r="AO16" s="492"/>
      <c r="AP16" s="531">
        <v>1020</v>
      </c>
      <c r="AQ16" s="532">
        <f>AP16/$AR$9/$AR$7 * ((AN18+273.15)/(AN19+273.15))</f>
        <v>37.956295834166582</v>
      </c>
      <c r="AR16" s="531">
        <v>0.32</v>
      </c>
      <c r="AS16" s="533">
        <f>AR16*$AR$5</f>
        <v>326.40000000000003</v>
      </c>
      <c r="AT16" s="534">
        <f>$AR$8*AS16 * (($AN$18+273.15)/($AN$19+273.15))</f>
        <v>5519.4216060358513</v>
      </c>
      <c r="AU16" s="531">
        <v>8.2000000000000003E-2</v>
      </c>
      <c r="AV16" s="533">
        <f>AU16*$AR$5</f>
        <v>83.64</v>
      </c>
      <c r="AW16" s="534">
        <f>$AR$8*AV16 * (($AN$18+273.15)/($AN$19+273.15))</f>
        <v>1414.3517865466868</v>
      </c>
      <c r="AX16" s="492"/>
      <c r="AY16" s="492"/>
      <c r="AZ16" s="492"/>
      <c r="BA16" s="492"/>
      <c r="BB16" s="492"/>
      <c r="BC16" s="492"/>
      <c r="BD16" s="493"/>
      <c r="BE16" s="493"/>
      <c r="BF16" s="493"/>
      <c r="BG16" s="493"/>
      <c r="BH16" s="493"/>
      <c r="BI16" s="493"/>
      <c r="BJ16" s="493"/>
      <c r="BK16" s="493"/>
      <c r="BL16" s="493"/>
      <c r="BM16" s="493"/>
      <c r="BN16" s="493"/>
      <c r="BO16" s="493"/>
      <c r="BP16" s="493"/>
      <c r="BQ16" s="493"/>
      <c r="BR16" s="493"/>
      <c r="BS16" s="493"/>
      <c r="BT16" s="493"/>
      <c r="BU16" s="493"/>
      <c r="BV16" s="493"/>
      <c r="BW16" s="493"/>
      <c r="BX16" s="493"/>
      <c r="BY16" s="493"/>
      <c r="BZ16" s="493"/>
      <c r="CA16" s="493"/>
      <c r="CB16" s="493"/>
      <c r="CC16" s="493"/>
      <c r="CD16" s="493"/>
      <c r="CE16" s="493"/>
      <c r="CF16" s="493"/>
      <c r="CG16" s="493"/>
      <c r="CH16" s="493"/>
      <c r="CI16" s="493"/>
      <c r="CJ16" s="493"/>
      <c r="CK16" s="493"/>
      <c r="CL16" s="493"/>
      <c r="CM16" s="493"/>
      <c r="CN16" s="493"/>
      <c r="CO16" s="493"/>
      <c r="CP16" s="493"/>
    </row>
    <row r="17" spans="1:94" s="494" customFormat="1" ht="14.25" customHeight="1">
      <c r="A17" s="296" t="s">
        <v>128</v>
      </c>
      <c r="B17" s="297"/>
      <c r="C17" s="297"/>
      <c r="D17" s="297"/>
      <c r="E17" s="297"/>
      <c r="F17" s="297"/>
      <c r="G17" s="298"/>
      <c r="H17" s="1134">
        <f>CO2eEF!M16</f>
        <v>16.2</v>
      </c>
      <c r="I17" s="1135"/>
      <c r="J17" s="1136"/>
      <c r="K17" s="1231">
        <f>CO2eEF!M12</f>
        <v>0.68300000000000005</v>
      </c>
      <c r="L17" s="1232"/>
      <c r="M17" s="1233"/>
      <c r="N17" s="1137">
        <f>CO2eEF!M19</f>
        <v>49.78</v>
      </c>
      <c r="O17" s="1138"/>
      <c r="P17" s="1139"/>
      <c r="Q17" s="1137">
        <f>CO2eEF!M21</f>
        <v>37.770000000000003</v>
      </c>
      <c r="R17" s="1138"/>
      <c r="S17" s="1139"/>
      <c r="T17" s="1066">
        <f>$Q17/$Q$16*T$16</f>
        <v>5492.331363702775</v>
      </c>
      <c r="U17" s="1110"/>
      <c r="V17" s="1067"/>
      <c r="W17" s="1114">
        <f>T17/1000000/$K17</f>
        <v>8.0414807667683382E-3</v>
      </c>
      <c r="X17" s="1115"/>
      <c r="Y17" s="1116"/>
      <c r="Z17" s="1066">
        <f>$Q17/$Q$16*Z$16</f>
        <v>1407.409911948836</v>
      </c>
      <c r="AA17" s="1110"/>
      <c r="AB17" s="1067"/>
      <c r="AC17" s="1114">
        <f>Z17/1000000/$K17</f>
        <v>2.0606294464843864E-3</v>
      </c>
      <c r="AD17" s="1115"/>
      <c r="AE17" s="1116"/>
      <c r="AF17" s="1071">
        <f>$Q17/$Q$16*AF$16</f>
        <v>113.27933437636976</v>
      </c>
      <c r="AG17" s="1044"/>
      <c r="AH17" s="1072"/>
      <c r="AI17" s="1060">
        <f>AF17/1000000/$K17</f>
        <v>1.6585554081459701E-4</v>
      </c>
      <c r="AJ17" s="1059"/>
      <c r="AK17" s="1063"/>
      <c r="AL17" s="491"/>
      <c r="AM17" s="535" t="s">
        <v>606</v>
      </c>
      <c r="AN17" s="535">
        <v>60</v>
      </c>
      <c r="AO17" s="129" t="s">
        <v>607</v>
      </c>
      <c r="AP17" s="492"/>
      <c r="AQ17" s="492"/>
      <c r="AR17" s="525" t="s">
        <v>116</v>
      </c>
      <c r="AS17" s="527"/>
      <c r="AT17" s="528"/>
      <c r="AU17" s="525" t="s">
        <v>122</v>
      </c>
      <c r="AV17" s="527"/>
      <c r="AW17" s="528"/>
      <c r="AX17" s="492"/>
      <c r="AY17" s="492"/>
      <c r="AZ17" s="492"/>
      <c r="BA17" s="492"/>
      <c r="BB17" s="492"/>
      <c r="BC17" s="492"/>
      <c r="BD17" s="493"/>
      <c r="BE17" s="493"/>
      <c r="BF17" s="493"/>
      <c r="BG17" s="493"/>
      <c r="BH17" s="493"/>
      <c r="BI17" s="493"/>
      <c r="BJ17" s="493"/>
      <c r="BK17" s="493"/>
      <c r="BL17" s="493"/>
      <c r="BM17" s="493"/>
      <c r="BN17" s="493"/>
      <c r="BO17" s="493"/>
      <c r="BP17" s="493"/>
      <c r="BQ17" s="493"/>
      <c r="BR17" s="493"/>
      <c r="BS17" s="493"/>
      <c r="BT17" s="493"/>
      <c r="BU17" s="493"/>
      <c r="BV17" s="493"/>
      <c r="BW17" s="493"/>
      <c r="BX17" s="493"/>
      <c r="BY17" s="493"/>
      <c r="BZ17" s="493"/>
      <c r="CA17" s="493"/>
      <c r="CB17" s="493"/>
      <c r="CC17" s="493"/>
      <c r="CD17" s="493"/>
      <c r="CE17" s="493"/>
      <c r="CF17" s="493"/>
      <c r="CG17" s="493"/>
      <c r="CH17" s="493"/>
      <c r="CI17" s="493"/>
      <c r="CJ17" s="493"/>
      <c r="CK17" s="493"/>
      <c r="CL17" s="493"/>
      <c r="CM17" s="493"/>
      <c r="CN17" s="493"/>
      <c r="CO17" s="493"/>
      <c r="CP17" s="493"/>
    </row>
    <row r="18" spans="1:94" s="494" customFormat="1" ht="14.25" customHeight="1">
      <c r="A18" s="299"/>
      <c r="B18" s="147"/>
      <c r="C18" s="147"/>
      <c r="D18" s="147"/>
      <c r="E18" s="147"/>
      <c r="F18" s="147"/>
      <c r="G18" s="147"/>
      <c r="H18" s="1053"/>
      <c r="I18" s="1032"/>
      <c r="J18" s="1034"/>
      <c r="K18" s="1120"/>
      <c r="L18" s="1121"/>
      <c r="M18" s="1122"/>
      <c r="N18" s="1632"/>
      <c r="O18" s="1633"/>
      <c r="P18" s="1634"/>
      <c r="Q18" s="1635"/>
      <c r="R18" s="1636"/>
      <c r="S18" s="1637"/>
      <c r="T18" s="1086"/>
      <c r="U18" s="1087"/>
      <c r="V18" s="1088"/>
      <c r="W18" s="1089"/>
      <c r="X18" s="1090"/>
      <c r="Y18" s="1091"/>
      <c r="Z18" s="1086"/>
      <c r="AA18" s="1087"/>
      <c r="AB18" s="1088"/>
      <c r="AC18" s="1089"/>
      <c r="AD18" s="1090"/>
      <c r="AE18" s="1091"/>
      <c r="AF18" s="1128"/>
      <c r="AG18" s="1129"/>
      <c r="AH18" s="1130"/>
      <c r="AI18" s="1089"/>
      <c r="AJ18" s="1090"/>
      <c r="AK18" s="1091"/>
      <c r="AL18" s="491"/>
      <c r="AM18" s="535" t="s">
        <v>608</v>
      </c>
      <c r="AN18" s="228">
        <f>(AN17 - 32) * 5/9</f>
        <v>15.555555555555555</v>
      </c>
      <c r="AO18" s="129" t="s">
        <v>609</v>
      </c>
      <c r="AP18" s="492"/>
      <c r="AQ18" s="492"/>
      <c r="AR18" s="529" t="s">
        <v>386</v>
      </c>
      <c r="AS18" s="530" t="s">
        <v>714</v>
      </c>
      <c r="AT18" s="530" t="s">
        <v>715</v>
      </c>
      <c r="AU18" s="529" t="s">
        <v>386</v>
      </c>
      <c r="AV18" s="530" t="s">
        <v>714</v>
      </c>
      <c r="AW18" s="530" t="s">
        <v>715</v>
      </c>
      <c r="AX18" s="492"/>
      <c r="AY18" s="492"/>
      <c r="AZ18" s="492"/>
      <c r="BA18" s="492"/>
      <c r="BB18" s="492"/>
      <c r="BC18" s="492"/>
      <c r="BD18" s="493"/>
      <c r="BE18" s="493"/>
      <c r="BF18" s="493"/>
      <c r="BG18" s="493"/>
      <c r="BH18" s="493"/>
      <c r="BI18" s="493"/>
      <c r="BJ18" s="493"/>
      <c r="BK18" s="493"/>
      <c r="BL18" s="493"/>
      <c r="BM18" s="493"/>
      <c r="BN18" s="493"/>
      <c r="BO18" s="493"/>
      <c r="BP18" s="493"/>
      <c r="BQ18" s="493"/>
      <c r="BR18" s="493"/>
      <c r="BS18" s="493"/>
      <c r="BT18" s="493"/>
      <c r="BU18" s="493"/>
      <c r="BV18" s="493"/>
      <c r="BW18" s="493"/>
      <c r="BX18" s="493"/>
      <c r="BY18" s="493"/>
      <c r="BZ18" s="493"/>
      <c r="CA18" s="493"/>
      <c r="CB18" s="493"/>
      <c r="CC18" s="493"/>
      <c r="CD18" s="493"/>
      <c r="CE18" s="493"/>
      <c r="CF18" s="493"/>
      <c r="CG18" s="493"/>
      <c r="CH18" s="493"/>
      <c r="CI18" s="493"/>
      <c r="CJ18" s="493"/>
      <c r="CK18" s="493"/>
      <c r="CL18" s="493"/>
      <c r="CM18" s="493"/>
      <c r="CN18" s="493"/>
      <c r="CO18" s="493"/>
      <c r="CP18" s="493"/>
    </row>
    <row r="19" spans="1:94" s="494"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716</v>
      </c>
      <c r="AA19" s="1118"/>
      <c r="AB19" s="1119"/>
      <c r="AC19" s="1117" t="s">
        <v>125</v>
      </c>
      <c r="AD19" s="1118"/>
      <c r="AE19" s="1119"/>
      <c r="AF19" s="31"/>
      <c r="AG19" s="31"/>
      <c r="AH19" s="31"/>
      <c r="AI19" s="31"/>
      <c r="AJ19" s="31"/>
      <c r="AK19" s="226"/>
      <c r="AL19" s="491"/>
      <c r="AM19" s="535" t="s">
        <v>611</v>
      </c>
      <c r="AN19" s="535">
        <v>15.6</v>
      </c>
      <c r="AO19" s="129" t="s">
        <v>609</v>
      </c>
      <c r="AP19" s="492"/>
      <c r="AQ19" s="492"/>
      <c r="AR19" s="531">
        <v>6.6E-3</v>
      </c>
      <c r="AS19" s="533">
        <f>AR19*$AR$5</f>
        <v>6.7320000000000002</v>
      </c>
      <c r="AT19" s="534">
        <f>$AR$8*AS19 * (($AN$18+273.15)/($AN$19+273.15))</f>
        <v>113.83807062448945</v>
      </c>
      <c r="AU19" s="531">
        <v>8.6E-3</v>
      </c>
      <c r="AV19" s="533">
        <f>AU19*$AR$5</f>
        <v>8.7720000000000002</v>
      </c>
      <c r="AW19" s="534">
        <f>$AR$8*AV19 * (($AN$18+273.15)/($AN$19+273.15))</f>
        <v>148.33445566221351</v>
      </c>
      <c r="AX19" s="492"/>
      <c r="AY19" s="492"/>
      <c r="AZ19" s="492"/>
      <c r="BA19" s="492"/>
      <c r="BB19" s="492"/>
      <c r="BC19" s="492"/>
      <c r="BD19" s="493"/>
      <c r="BE19" s="493"/>
      <c r="BF19" s="493"/>
      <c r="BG19" s="493"/>
      <c r="BH19" s="493"/>
      <c r="BI19" s="493"/>
      <c r="BJ19" s="493"/>
      <c r="BK19" s="493"/>
      <c r="BL19" s="493"/>
      <c r="BM19" s="493"/>
      <c r="BN19" s="493"/>
      <c r="BO19" s="493"/>
      <c r="BP19" s="493"/>
      <c r="BQ19" s="493"/>
      <c r="BR19" s="493"/>
      <c r="BS19" s="493"/>
      <c r="BT19" s="493"/>
      <c r="BU19" s="493"/>
      <c r="BV19" s="493"/>
      <c r="BW19" s="493"/>
      <c r="BX19" s="493"/>
      <c r="BY19" s="493"/>
      <c r="BZ19" s="493"/>
      <c r="CA19" s="493"/>
      <c r="CB19" s="493"/>
      <c r="CC19" s="493"/>
      <c r="CD19" s="493"/>
      <c r="CE19" s="493"/>
      <c r="CF19" s="493"/>
      <c r="CG19" s="493"/>
      <c r="CH19" s="493"/>
      <c r="CI19" s="493"/>
      <c r="CJ19" s="493"/>
      <c r="CK19" s="493"/>
      <c r="CL19" s="493"/>
      <c r="CM19" s="493"/>
      <c r="CN19" s="493"/>
      <c r="CO19" s="493"/>
      <c r="CP19" s="493"/>
    </row>
    <row r="20" spans="1:94" s="494"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491"/>
      <c r="AM20" s="536"/>
      <c r="AN20" s="492"/>
      <c r="AO20" s="492"/>
      <c r="AP20" s="492"/>
      <c r="AQ20" s="492"/>
      <c r="AR20" s="525" t="s">
        <v>123</v>
      </c>
      <c r="AS20" s="527"/>
      <c r="AT20" s="528"/>
      <c r="AU20" s="525" t="s">
        <v>115</v>
      </c>
      <c r="AV20" s="527"/>
      <c r="AW20" s="528"/>
      <c r="AX20" s="492"/>
      <c r="AY20" s="492"/>
      <c r="AZ20" s="492"/>
      <c r="BA20" s="492"/>
      <c r="BB20" s="492"/>
      <c r="BC20" s="492"/>
      <c r="BD20" s="493"/>
      <c r="BE20" s="493"/>
      <c r="BF20" s="493"/>
      <c r="BG20" s="493"/>
      <c r="BH20" s="493"/>
      <c r="BI20" s="493"/>
      <c r="BJ20" s="493"/>
      <c r="BK20" s="493"/>
      <c r="BL20" s="493"/>
      <c r="BM20" s="493"/>
      <c r="BN20" s="493"/>
      <c r="BO20" s="493"/>
      <c r="BP20" s="493"/>
      <c r="BQ20" s="493"/>
      <c r="BR20" s="493"/>
      <c r="BS20" s="493"/>
      <c r="BT20" s="493"/>
      <c r="BU20" s="493"/>
      <c r="BV20" s="493"/>
      <c r="BW20" s="493"/>
      <c r="BX20" s="493"/>
      <c r="BY20" s="493"/>
      <c r="BZ20" s="493"/>
      <c r="CA20" s="493"/>
      <c r="CB20" s="493"/>
      <c r="CC20" s="493"/>
      <c r="CD20" s="493"/>
      <c r="CE20" s="493"/>
      <c r="CF20" s="493"/>
      <c r="CG20" s="493"/>
      <c r="CH20" s="493"/>
      <c r="CI20" s="493"/>
      <c r="CJ20" s="493"/>
      <c r="CK20" s="493"/>
      <c r="CL20" s="493"/>
      <c r="CM20" s="493"/>
      <c r="CN20" s="493"/>
      <c r="CO20" s="493"/>
      <c r="CP20" s="493"/>
    </row>
    <row r="21" spans="1:94" s="494" customFormat="1" ht="14.25" customHeight="1">
      <c r="A21" s="293" t="str">
        <f>A16</f>
        <v>Reference Gas</v>
      </c>
      <c r="B21" s="294"/>
      <c r="C21" s="294"/>
      <c r="D21" s="294"/>
      <c r="E21" s="294"/>
      <c r="F21" s="294"/>
      <c r="G21" s="295"/>
      <c r="H21" s="1073">
        <f>AW19</f>
        <v>148.33445566221351</v>
      </c>
      <c r="I21" s="1109"/>
      <c r="J21" s="1074"/>
      <c r="K21" s="1076" t="s">
        <v>604</v>
      </c>
      <c r="L21" s="1075"/>
      <c r="M21" s="1077"/>
      <c r="N21" s="1073">
        <f>AT25</f>
        <v>58.643854564130919</v>
      </c>
      <c r="O21" s="1109"/>
      <c r="P21" s="1074"/>
      <c r="Q21" s="1076" t="s">
        <v>604</v>
      </c>
      <c r="R21" s="1075"/>
      <c r="S21" s="1077"/>
      <c r="T21" s="1073">
        <f>AT22</f>
        <v>36.22120428961027</v>
      </c>
      <c r="U21" s="1109"/>
      <c r="V21" s="1074"/>
      <c r="W21" s="1214" t="s">
        <v>604</v>
      </c>
      <c r="X21" s="1215"/>
      <c r="Y21" s="1216"/>
      <c r="Z21" s="1073">
        <f>$AW$25</f>
        <v>51.744577556586108</v>
      </c>
      <c r="AA21" s="1109"/>
      <c r="AB21" s="1074"/>
      <c r="AC21" s="1076" t="s">
        <v>604</v>
      </c>
      <c r="AD21" s="1075"/>
      <c r="AE21" s="1077"/>
      <c r="AF21" s="300"/>
      <c r="AG21" s="31"/>
      <c r="AH21" s="302"/>
      <c r="AI21" s="31"/>
      <c r="AJ21" s="31"/>
      <c r="AK21" s="32"/>
      <c r="AL21" s="491"/>
      <c r="AM21" s="492"/>
      <c r="AN21" s="492"/>
      <c r="AO21" s="492"/>
      <c r="AP21" s="492"/>
      <c r="AQ21" s="492"/>
      <c r="AR21" s="529" t="s">
        <v>386</v>
      </c>
      <c r="AS21" s="530" t="s">
        <v>714</v>
      </c>
      <c r="AT21" s="530" t="s">
        <v>715</v>
      </c>
      <c r="AU21" s="529" t="s">
        <v>386</v>
      </c>
      <c r="AV21" s="530" t="s">
        <v>714</v>
      </c>
      <c r="AW21" s="530" t="s">
        <v>715</v>
      </c>
      <c r="AX21" s="492"/>
      <c r="AY21" s="492"/>
      <c r="AZ21" s="492"/>
      <c r="BA21" s="492"/>
      <c r="BB21" s="492"/>
      <c r="BC21" s="492"/>
      <c r="BD21" s="493"/>
      <c r="BE21" s="493"/>
      <c r="BF21" s="493"/>
      <c r="BG21" s="493"/>
      <c r="BH21" s="493"/>
      <c r="BI21" s="493"/>
      <c r="BJ21" s="493"/>
      <c r="BK21" s="493"/>
      <c r="BL21" s="493"/>
      <c r="BM21" s="493"/>
      <c r="BN21" s="493"/>
      <c r="BO21" s="493"/>
      <c r="BP21" s="493"/>
      <c r="BQ21" s="493"/>
      <c r="BR21" s="493"/>
      <c r="BS21" s="493"/>
      <c r="BT21" s="493"/>
      <c r="BU21" s="493"/>
      <c r="BV21" s="493"/>
      <c r="BW21" s="493"/>
      <c r="BX21" s="493"/>
      <c r="BY21" s="493"/>
      <c r="BZ21" s="493"/>
      <c r="CA21" s="493"/>
      <c r="CB21" s="493"/>
      <c r="CC21" s="493"/>
      <c r="CD21" s="493"/>
      <c r="CE21" s="493"/>
      <c r="CF21" s="493"/>
      <c r="CG21" s="493"/>
      <c r="CH21" s="493"/>
      <c r="CI21" s="493"/>
      <c r="CJ21" s="493"/>
      <c r="CK21" s="493"/>
      <c r="CL21" s="493"/>
      <c r="CM21" s="493"/>
      <c r="CN21" s="493"/>
      <c r="CO21" s="493"/>
      <c r="CP21" s="493"/>
    </row>
    <row r="22" spans="1:94" s="494" customFormat="1" ht="14.25" customHeight="1">
      <c r="A22" s="296" t="str">
        <f>A17</f>
        <v>Fuel Gas</v>
      </c>
      <c r="B22" s="297"/>
      <c r="C22" s="297"/>
      <c r="D22" s="297"/>
      <c r="E22" s="297"/>
      <c r="F22" s="297"/>
      <c r="G22" s="298"/>
      <c r="H22" s="1064">
        <f>$Q17/$Q$16*H$21</f>
        <v>147.60640539951208</v>
      </c>
      <c r="I22" s="1230"/>
      <c r="J22" s="1065"/>
      <c r="K22" s="1111">
        <f>H22/1000000/$K17</f>
        <v>2.1611479560689907E-4</v>
      </c>
      <c r="L22" s="1112"/>
      <c r="M22" s="1113"/>
      <c r="N22" s="1064">
        <f>$Q17/$Q$16*N$21</f>
        <v>58.356020739341986</v>
      </c>
      <c r="O22" s="1230"/>
      <c r="P22" s="1065"/>
      <c r="Q22" s="1638">
        <v>0</v>
      </c>
      <c r="R22" s="1639"/>
      <c r="S22" s="1640"/>
      <c r="T22" s="1123">
        <f>$Q17/$Q$16*T$21</f>
        <v>36.043424574299458</v>
      </c>
      <c r="U22" s="1069"/>
      <c r="V22" s="1124"/>
      <c r="W22" s="1641">
        <f>T22/1000000/$K17</f>
        <v>5.2772217531917212E-5</v>
      </c>
      <c r="X22" s="1642"/>
      <c r="Y22" s="1643"/>
      <c r="Z22" s="1064">
        <f>$Q17/$Q$16*Z$21</f>
        <v>51.490606534713521</v>
      </c>
      <c r="AA22" s="1230"/>
      <c r="AB22" s="1065"/>
      <c r="AC22" s="1638">
        <f>Z22/1000000/$K17</f>
        <v>7.5388882188453179E-5</v>
      </c>
      <c r="AD22" s="1639"/>
      <c r="AE22" s="1640"/>
      <c r="AF22" s="31"/>
      <c r="AG22" s="31"/>
      <c r="AH22" s="31"/>
      <c r="AI22" s="31"/>
      <c r="AJ22" s="31"/>
      <c r="AK22" s="32"/>
      <c r="AL22" s="491"/>
      <c r="AM22" s="492"/>
      <c r="AN22" s="492"/>
      <c r="AO22" s="492"/>
      <c r="AP22" s="492"/>
      <c r="AQ22" s="492"/>
      <c r="AR22" s="531">
        <v>2.0999999999999999E-3</v>
      </c>
      <c r="AS22" s="533">
        <f>AR22*$AR$5</f>
        <v>2.1419999999999999</v>
      </c>
      <c r="AT22" s="534">
        <f>$AR$8*AS22 * (($AN$18+273.15)/($AN$19+273.15))</f>
        <v>36.22120428961027</v>
      </c>
      <c r="AU22" s="531">
        <v>8.2000000000000003E-2</v>
      </c>
      <c r="AV22" s="533">
        <f>AU22*$AR$5</f>
        <v>83.64</v>
      </c>
      <c r="AW22" s="534">
        <f>$AR$8*AV22 * (($AN$18+273.15)/($AN$19+273.15))</f>
        <v>1414.3517865466868</v>
      </c>
      <c r="AX22" s="492"/>
      <c r="AY22" s="492"/>
      <c r="AZ22" s="492"/>
      <c r="BA22" s="492"/>
      <c r="BB22" s="492"/>
      <c r="BC22" s="492"/>
      <c r="BD22" s="493"/>
      <c r="BE22" s="493"/>
      <c r="BF22" s="493"/>
      <c r="BG22" s="493"/>
      <c r="BH22" s="493"/>
      <c r="BI22" s="493"/>
      <c r="BJ22" s="493"/>
      <c r="BK22" s="493"/>
      <c r="BL22" s="493"/>
      <c r="BM22" s="493"/>
      <c r="BN22" s="493"/>
      <c r="BO22" s="493"/>
      <c r="BP22" s="493"/>
      <c r="BQ22" s="493"/>
      <c r="BR22" s="493"/>
      <c r="BS22" s="493"/>
      <c r="BT22" s="493"/>
      <c r="BU22" s="493"/>
      <c r="BV22" s="493"/>
      <c r="BW22" s="493"/>
      <c r="BX22" s="493"/>
      <c r="BY22" s="493"/>
      <c r="BZ22" s="493"/>
      <c r="CA22" s="493"/>
      <c r="CB22" s="493"/>
      <c r="CC22" s="493"/>
      <c r="CD22" s="493"/>
      <c r="CE22" s="493"/>
      <c r="CF22" s="493"/>
      <c r="CG22" s="493"/>
      <c r="CH22" s="493"/>
      <c r="CI22" s="493"/>
      <c r="CJ22" s="493"/>
      <c r="CK22" s="493"/>
      <c r="CL22" s="493"/>
      <c r="CM22" s="493"/>
      <c r="CN22" s="493"/>
      <c r="CO22" s="493"/>
      <c r="CP22" s="493"/>
    </row>
    <row r="23" spans="1:94" s="494" customFormat="1" ht="14.25" customHeight="1">
      <c r="A23" s="299"/>
      <c r="B23" s="31"/>
      <c r="C23" s="31"/>
      <c r="D23" s="31"/>
      <c r="E23" s="31"/>
      <c r="F23" s="31"/>
      <c r="G23" s="32"/>
      <c r="H23" s="1123"/>
      <c r="I23" s="1069"/>
      <c r="J23" s="1124"/>
      <c r="K23" s="1125"/>
      <c r="L23" s="1126"/>
      <c r="M23" s="1127"/>
      <c r="N23" s="1123"/>
      <c r="O23" s="1069"/>
      <c r="P23" s="1124"/>
      <c r="Q23" s="1125"/>
      <c r="R23" s="1126"/>
      <c r="S23" s="1127"/>
      <c r="T23" s="1123"/>
      <c r="U23" s="1069"/>
      <c r="V23" s="1124"/>
      <c r="W23" s="1125"/>
      <c r="X23" s="1126"/>
      <c r="Y23" s="1127"/>
      <c r="Z23" s="1125"/>
      <c r="AA23" s="1126"/>
      <c r="AB23" s="1127"/>
      <c r="AC23" s="1125"/>
      <c r="AD23" s="1126"/>
      <c r="AE23" s="1127"/>
      <c r="AF23" s="31"/>
      <c r="AG23" s="31"/>
      <c r="AH23" s="31"/>
      <c r="AI23" s="31"/>
      <c r="AJ23" s="31"/>
      <c r="AK23" s="32"/>
      <c r="AL23" s="491"/>
      <c r="AM23" s="492"/>
      <c r="AN23" s="492"/>
      <c r="AO23" s="492"/>
      <c r="AP23" s="492"/>
      <c r="AQ23" s="492"/>
      <c r="AR23" s="525" t="s">
        <v>124</v>
      </c>
      <c r="AS23" s="527"/>
      <c r="AT23" s="528"/>
      <c r="AU23" s="525" t="s">
        <v>125</v>
      </c>
      <c r="AV23" s="527"/>
      <c r="AW23" s="528"/>
      <c r="AX23" s="492"/>
      <c r="AY23" s="492"/>
      <c r="AZ23" s="492"/>
      <c r="BA23" s="492"/>
      <c r="BB23" s="492"/>
      <c r="BC23" s="492"/>
      <c r="BD23" s="493"/>
      <c r="BE23" s="493"/>
      <c r="BF23" s="493"/>
      <c r="BG23" s="493"/>
      <c r="BH23" s="493"/>
      <c r="BI23" s="493"/>
      <c r="BJ23" s="493"/>
      <c r="BK23" s="493"/>
      <c r="BL23" s="493"/>
      <c r="BM23" s="493"/>
      <c r="BN23" s="493"/>
      <c r="BO23" s="493"/>
      <c r="BP23" s="493"/>
      <c r="BQ23" s="493"/>
      <c r="BR23" s="493"/>
      <c r="BS23" s="493"/>
      <c r="BT23" s="493"/>
      <c r="BU23" s="493"/>
      <c r="BV23" s="493"/>
      <c r="BW23" s="493"/>
      <c r="BX23" s="493"/>
      <c r="BY23" s="493"/>
      <c r="BZ23" s="493"/>
      <c r="CA23" s="493"/>
      <c r="CB23" s="493"/>
      <c r="CC23" s="493"/>
      <c r="CD23" s="493"/>
      <c r="CE23" s="493"/>
      <c r="CF23" s="493"/>
      <c r="CG23" s="493"/>
      <c r="CH23" s="493"/>
      <c r="CI23" s="493"/>
      <c r="CJ23" s="493"/>
      <c r="CK23" s="493"/>
      <c r="CL23" s="493"/>
      <c r="CM23" s="493"/>
      <c r="CN23" s="493"/>
      <c r="CO23" s="493"/>
      <c r="CP23" s="493"/>
    </row>
    <row r="24" spans="1:94" s="494"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537"/>
      <c r="AA24" s="27"/>
      <c r="AB24" s="27"/>
      <c r="AC24" s="27"/>
      <c r="AD24" s="27"/>
      <c r="AE24" s="27"/>
      <c r="AF24" s="27"/>
      <c r="AG24" s="27"/>
      <c r="AH24" s="27"/>
      <c r="AI24" s="27"/>
      <c r="AJ24" s="27"/>
      <c r="AK24" s="226"/>
      <c r="AL24" s="491"/>
      <c r="AM24" s="492"/>
      <c r="AN24" s="492"/>
      <c r="AO24" s="492"/>
      <c r="AP24" s="492"/>
      <c r="AQ24" s="492"/>
      <c r="AR24" s="529" t="s">
        <v>386</v>
      </c>
      <c r="AS24" s="530" t="s">
        <v>714</v>
      </c>
      <c r="AT24" s="530" t="s">
        <v>715</v>
      </c>
      <c r="AU24" s="529" t="s">
        <v>386</v>
      </c>
      <c r="AV24" s="530" t="s">
        <v>714</v>
      </c>
      <c r="AW24" s="530" t="s">
        <v>715</v>
      </c>
      <c r="AX24" s="492"/>
      <c r="AY24" s="492"/>
      <c r="AZ24" s="492"/>
      <c r="BA24" s="492"/>
      <c r="BB24" s="492"/>
      <c r="BC24" s="492"/>
      <c r="BD24" s="493"/>
      <c r="BE24" s="493"/>
      <c r="BF24" s="493"/>
      <c r="BG24" s="493"/>
      <c r="BH24" s="493"/>
      <c r="BI24" s="493"/>
      <c r="BJ24" s="493"/>
      <c r="BK24" s="493"/>
      <c r="BL24" s="493"/>
      <c r="BM24" s="493"/>
      <c r="BN24" s="493"/>
      <c r="BO24" s="493"/>
      <c r="BP24" s="493"/>
      <c r="BQ24" s="493"/>
      <c r="BR24" s="493"/>
      <c r="BS24" s="493"/>
      <c r="BT24" s="493"/>
      <c r="BU24" s="493"/>
      <c r="BV24" s="493"/>
      <c r="BW24" s="493"/>
      <c r="BX24" s="493"/>
      <c r="BY24" s="493"/>
      <c r="BZ24" s="493"/>
      <c r="CA24" s="493"/>
      <c r="CB24" s="493"/>
      <c r="CC24" s="493"/>
      <c r="CD24" s="493"/>
      <c r="CE24" s="493"/>
      <c r="CF24" s="493"/>
      <c r="CG24" s="493"/>
      <c r="CH24" s="493"/>
      <c r="CI24" s="493"/>
      <c r="CJ24" s="493"/>
      <c r="CK24" s="493"/>
      <c r="CL24" s="493"/>
      <c r="CM24" s="493"/>
      <c r="CN24" s="493"/>
      <c r="CO24" s="493"/>
      <c r="CP24" s="493"/>
    </row>
    <row r="25" spans="1:94" s="494" customFormat="1" ht="14.25" customHeight="1">
      <c r="A25" s="299" t="s">
        <v>614</v>
      </c>
      <c r="B25" s="31"/>
      <c r="C25" s="31"/>
      <c r="D25" s="31"/>
      <c r="E25" s="31"/>
      <c r="F25" s="31"/>
      <c r="G25" s="31"/>
      <c r="H25" s="538"/>
      <c r="I25" s="31" t="s">
        <v>590</v>
      </c>
      <c r="J25" s="31"/>
      <c r="K25" s="31"/>
      <c r="L25" s="31" t="s">
        <v>615</v>
      </c>
      <c r="M25" s="31"/>
      <c r="N25" s="31"/>
      <c r="O25" s="31"/>
      <c r="P25" s="31"/>
      <c r="Q25" s="539">
        <v>30</v>
      </c>
      <c r="R25" s="31"/>
      <c r="S25" s="32" t="s">
        <v>616</v>
      </c>
      <c r="T25" s="1092" t="str">
        <f>A17</f>
        <v>Fuel Gas</v>
      </c>
      <c r="U25" s="1093"/>
      <c r="V25" s="1093"/>
      <c r="W25" s="1093"/>
      <c r="X25" s="1234">
        <v>2200</v>
      </c>
      <c r="Y25" s="1234"/>
      <c r="Z25" s="1234"/>
      <c r="AA25" s="1093" t="s">
        <v>617</v>
      </c>
      <c r="AB25" s="1093"/>
      <c r="AC25" s="1235">
        <f>X25/H17</f>
        <v>135.80246913580248</v>
      </c>
      <c r="AD25" s="1235"/>
      <c r="AE25" s="1093" t="s">
        <v>618</v>
      </c>
      <c r="AF25" s="1093"/>
      <c r="AG25" s="1093"/>
      <c r="AH25" s="1235">
        <f>G26/(Q25/100)</f>
        <v>15.350000000000001</v>
      </c>
      <c r="AI25" s="1235"/>
      <c r="AJ25" s="361" t="s">
        <v>590</v>
      </c>
      <c r="AK25" s="362"/>
      <c r="AL25" s="491"/>
      <c r="AM25" s="540">
        <f>X25*W22</f>
        <v>0.11609887857021786</v>
      </c>
      <c r="AN25" s="492"/>
      <c r="AO25" s="492"/>
      <c r="AP25" s="492"/>
      <c r="AQ25" s="492"/>
      <c r="AR25" s="541">
        <v>3.3999999999999998E-3</v>
      </c>
      <c r="AS25" s="533">
        <f>AR25*$AR$5</f>
        <v>3.468</v>
      </c>
      <c r="AT25" s="534">
        <f>$AR$8*AS25 * (($AN$18+273.15)/($AN$19+273.15))</f>
        <v>58.643854564130919</v>
      </c>
      <c r="AU25" s="531">
        <v>3.0000000000000001E-3</v>
      </c>
      <c r="AV25" s="533">
        <f>AU25*$AR$5</f>
        <v>3.06</v>
      </c>
      <c r="AW25" s="534">
        <f>$AR$8*AV25 * (($AN$18+273.15)/($AN$19+273.15))</f>
        <v>51.744577556586108</v>
      </c>
      <c r="AX25" s="492"/>
      <c r="AY25" s="492"/>
      <c r="AZ25" s="492"/>
      <c r="BA25" s="492"/>
      <c r="BB25" s="492"/>
      <c r="BC25" s="492"/>
      <c r="BD25" s="493"/>
      <c r="BE25" s="493"/>
      <c r="BF25" s="493"/>
      <c r="BG25" s="493"/>
      <c r="BH25" s="493"/>
      <c r="BI25" s="493"/>
      <c r="BJ25" s="493"/>
      <c r="BK25" s="493"/>
      <c r="BL25" s="493"/>
      <c r="BM25" s="493"/>
      <c r="BN25" s="493"/>
      <c r="BO25" s="493"/>
      <c r="BP25" s="493"/>
      <c r="BQ25" s="493"/>
      <c r="BR25" s="493"/>
      <c r="BS25" s="493"/>
      <c r="BT25" s="493"/>
      <c r="BU25" s="493"/>
      <c r="BV25" s="493"/>
      <c r="BW25" s="493"/>
      <c r="BX25" s="493"/>
      <c r="BY25" s="493"/>
      <c r="BZ25" s="493"/>
      <c r="CA25" s="493"/>
      <c r="CB25" s="493"/>
      <c r="CC25" s="493"/>
      <c r="CD25" s="493"/>
      <c r="CE25" s="493"/>
      <c r="CF25" s="493"/>
      <c r="CG25" s="493"/>
      <c r="CH25" s="493"/>
      <c r="CI25" s="493"/>
      <c r="CJ25" s="493"/>
      <c r="CK25" s="493"/>
      <c r="CL25" s="493"/>
      <c r="CM25" s="493"/>
      <c r="CN25" s="493"/>
      <c r="CO25" s="493"/>
      <c r="CP25" s="493"/>
    </row>
    <row r="26" spans="1:94" s="494" customFormat="1" ht="14.25" customHeight="1">
      <c r="A26" s="292" t="s">
        <v>619</v>
      </c>
      <c r="B26" s="147"/>
      <c r="C26" s="147"/>
      <c r="D26" s="147"/>
      <c r="E26" s="147"/>
      <c r="F26" s="147"/>
      <c r="G26" s="542">
        <v>4.6050000000000004</v>
      </c>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491"/>
      <c r="AM26" s="540">
        <f>W22*SUM(N33:O42)</f>
        <v>4.8261300497997597E-4</v>
      </c>
      <c r="AN26" s="492"/>
      <c r="AO26" s="492"/>
      <c r="AP26" s="492"/>
      <c r="AQ26" s="492"/>
      <c r="AR26" s="492"/>
      <c r="AS26" s="492"/>
      <c r="AT26" s="492"/>
      <c r="AU26" s="492"/>
      <c r="AV26" s="492"/>
      <c r="AW26" s="492"/>
      <c r="AX26" s="492"/>
      <c r="AY26" s="492"/>
      <c r="AZ26" s="492"/>
      <c r="BA26" s="492"/>
      <c r="BB26" s="492"/>
      <c r="BC26" s="492"/>
      <c r="BD26" s="493"/>
      <c r="BE26" s="493"/>
      <c r="BF26" s="493"/>
      <c r="BG26" s="493"/>
      <c r="BH26" s="493"/>
      <c r="BI26" s="493"/>
      <c r="BJ26" s="493"/>
      <c r="BK26" s="493"/>
      <c r="BL26" s="493"/>
      <c r="BM26" s="493"/>
      <c r="BN26" s="493"/>
      <c r="BO26" s="493"/>
      <c r="BP26" s="493"/>
      <c r="BQ26" s="493"/>
      <c r="BR26" s="493"/>
      <c r="BS26" s="493"/>
      <c r="BT26" s="493"/>
      <c r="BU26" s="493"/>
      <c r="BV26" s="493"/>
      <c r="BW26" s="493"/>
      <c r="BX26" s="493"/>
      <c r="BY26" s="493"/>
      <c r="BZ26" s="493"/>
      <c r="CA26" s="493"/>
      <c r="CB26" s="493"/>
      <c r="CC26" s="493"/>
      <c r="CD26" s="493"/>
      <c r="CE26" s="493"/>
      <c r="CF26" s="493"/>
      <c r="CG26" s="493"/>
      <c r="CH26" s="493"/>
      <c r="CI26" s="493"/>
      <c r="CJ26" s="493"/>
      <c r="CK26" s="493"/>
      <c r="CL26" s="493"/>
      <c r="CM26" s="493"/>
      <c r="CN26" s="493"/>
      <c r="CO26" s="493"/>
      <c r="CP26" s="493"/>
    </row>
    <row r="27" spans="1:94" s="494" customFormat="1" ht="14.25" customHeight="1">
      <c r="A27" s="1081" t="s">
        <v>718</v>
      </c>
      <c r="B27" s="1081"/>
      <c r="C27" s="1081"/>
      <c r="D27" s="1081"/>
      <c r="E27" s="1081"/>
      <c r="F27" s="1042" t="str">
        <f>A17</f>
        <v>Fuel Gas</v>
      </c>
      <c r="G27" s="1043"/>
      <c r="H27" s="1043"/>
      <c r="I27" s="1043"/>
      <c r="J27" s="1043"/>
      <c r="K27" s="1043"/>
      <c r="L27" s="1043"/>
      <c r="M27" s="1043"/>
      <c r="N27" s="1043"/>
      <c r="O27" s="1043"/>
      <c r="P27" s="1043"/>
      <c r="Q27" s="1043"/>
      <c r="R27" s="1043"/>
      <c r="S27" s="1043"/>
      <c r="T27" s="1043"/>
      <c r="U27" s="1080"/>
      <c r="V27" s="1644" t="s">
        <v>129</v>
      </c>
      <c r="W27" s="1645"/>
      <c r="X27" s="1645"/>
      <c r="Y27" s="1645"/>
      <c r="Z27" s="1645"/>
      <c r="AA27" s="1645"/>
      <c r="AB27" s="1645"/>
      <c r="AC27" s="1645"/>
      <c r="AD27" s="1645"/>
      <c r="AE27" s="1645"/>
      <c r="AF27" s="1645"/>
      <c r="AG27" s="1645"/>
      <c r="AH27" s="1645"/>
      <c r="AI27" s="1645"/>
      <c r="AJ27" s="1645"/>
      <c r="AK27" s="1646"/>
      <c r="AL27" s="491"/>
      <c r="AM27" s="492"/>
      <c r="AN27" s="492"/>
      <c r="AO27" s="492"/>
      <c r="AP27" s="492"/>
      <c r="AQ27" s="492"/>
      <c r="AR27" s="492"/>
      <c r="AS27" s="492"/>
      <c r="AT27" s="492"/>
      <c r="AU27" s="492"/>
      <c r="AV27" s="492"/>
      <c r="AW27" s="492"/>
      <c r="AX27" s="492"/>
      <c r="AY27" s="492"/>
      <c r="AZ27" s="492"/>
      <c r="BA27" s="492"/>
      <c r="BB27" s="492"/>
      <c r="BC27" s="492"/>
      <c r="BD27" s="493"/>
      <c r="BE27" s="493"/>
      <c r="BF27" s="493"/>
      <c r="BG27" s="493"/>
      <c r="BH27" s="493"/>
      <c r="BI27" s="493"/>
      <c r="BJ27" s="493"/>
      <c r="BK27" s="493"/>
      <c r="BL27" s="493"/>
      <c r="BM27" s="493"/>
      <c r="BN27" s="493"/>
      <c r="BO27" s="493"/>
      <c r="BP27" s="493"/>
      <c r="BQ27" s="493"/>
      <c r="BR27" s="493"/>
      <c r="BS27" s="493"/>
      <c r="BT27" s="493"/>
      <c r="BU27" s="493"/>
      <c r="BV27" s="493"/>
      <c r="BW27" s="493"/>
      <c r="BX27" s="493"/>
      <c r="BY27" s="493"/>
      <c r="BZ27" s="493"/>
      <c r="CA27" s="493"/>
      <c r="CB27" s="493"/>
      <c r="CC27" s="493"/>
      <c r="CD27" s="493"/>
      <c r="CE27" s="493"/>
      <c r="CF27" s="493"/>
      <c r="CG27" s="493"/>
      <c r="CH27" s="493"/>
      <c r="CI27" s="493"/>
      <c r="CJ27" s="493"/>
      <c r="CK27" s="493"/>
      <c r="CL27" s="493"/>
      <c r="CM27" s="493"/>
      <c r="CN27" s="493"/>
      <c r="CO27" s="493"/>
      <c r="CP27" s="493"/>
    </row>
    <row r="28" spans="1:94" s="494"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1644"/>
      <c r="W28" s="1645"/>
      <c r="X28" s="1645"/>
      <c r="Y28" s="1645"/>
      <c r="Z28" s="1645"/>
      <c r="AA28" s="1645"/>
      <c r="AB28" s="1645"/>
      <c r="AC28" s="1645"/>
      <c r="AD28" s="1645"/>
      <c r="AE28" s="1645"/>
      <c r="AF28" s="1645"/>
      <c r="AG28" s="1645"/>
      <c r="AH28" s="1645"/>
      <c r="AI28" s="1645"/>
      <c r="AJ28" s="1645"/>
      <c r="AK28" s="1646"/>
      <c r="AL28" s="491"/>
      <c r="AM28" s="56"/>
      <c r="AN28" s="56"/>
      <c r="AO28" s="56"/>
      <c r="AP28" s="56"/>
      <c r="AQ28" s="56"/>
      <c r="AR28" s="56"/>
      <c r="AS28" s="56"/>
      <c r="AT28" s="56"/>
      <c r="AU28" s="56"/>
      <c r="AV28" s="56"/>
      <c r="AW28" s="56"/>
      <c r="AX28" s="56"/>
      <c r="AY28" s="56"/>
      <c r="AZ28" s="493"/>
      <c r="BA28" s="493"/>
      <c r="BB28" s="493"/>
      <c r="BC28" s="493"/>
      <c r="BD28" s="493"/>
      <c r="BE28" s="493"/>
      <c r="BF28" s="493"/>
      <c r="BG28" s="493"/>
      <c r="BH28" s="493"/>
      <c r="BI28" s="493"/>
      <c r="BJ28" s="493"/>
      <c r="BK28" s="493"/>
      <c r="BL28" s="493"/>
      <c r="BM28" s="493"/>
      <c r="BN28" s="493"/>
      <c r="BO28" s="493"/>
      <c r="BP28" s="493"/>
      <c r="BQ28" s="493"/>
      <c r="BR28" s="493"/>
      <c r="BS28" s="493"/>
      <c r="BT28" s="493"/>
      <c r="BU28" s="493"/>
      <c r="BV28" s="493"/>
      <c r="BW28" s="493"/>
      <c r="BX28" s="493"/>
      <c r="BY28" s="493"/>
      <c r="BZ28" s="493"/>
      <c r="CA28" s="493"/>
      <c r="CB28" s="493"/>
      <c r="CC28" s="493"/>
      <c r="CD28" s="493"/>
      <c r="CE28" s="493"/>
      <c r="CF28" s="493"/>
      <c r="CG28" s="493"/>
      <c r="CH28" s="493"/>
      <c r="CI28" s="493"/>
      <c r="CJ28" s="493"/>
      <c r="CK28" s="493"/>
      <c r="CL28" s="493"/>
      <c r="CM28" s="493"/>
      <c r="CN28" s="493"/>
      <c r="CO28" s="493"/>
      <c r="CP28" s="493"/>
    </row>
    <row r="29" spans="1:94" s="494"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1644"/>
      <c r="W29" s="1645"/>
      <c r="X29" s="1645"/>
      <c r="Y29" s="1645"/>
      <c r="Z29" s="1645"/>
      <c r="AA29" s="1645"/>
      <c r="AB29" s="1645"/>
      <c r="AC29" s="1645"/>
      <c r="AD29" s="1645"/>
      <c r="AE29" s="1645"/>
      <c r="AF29" s="1645"/>
      <c r="AG29" s="1645"/>
      <c r="AH29" s="1645"/>
      <c r="AI29" s="1645"/>
      <c r="AJ29" s="1645"/>
      <c r="AK29" s="1646"/>
      <c r="AL29" s="543"/>
      <c r="AM29" s="544" t="s">
        <v>627</v>
      </c>
      <c r="AN29" s="545"/>
      <c r="AO29" s="545"/>
      <c r="AP29" s="545"/>
      <c r="AQ29" s="545"/>
      <c r="AR29" s="546"/>
      <c r="AS29" s="544" t="s">
        <v>628</v>
      </c>
      <c r="AT29" s="546"/>
      <c r="AU29" s="544" t="s">
        <v>629</v>
      </c>
      <c r="AV29" s="545"/>
      <c r="AW29" s="545"/>
      <c r="AX29" s="546"/>
      <c r="AY29" s="547"/>
      <c r="AZ29" s="493"/>
      <c r="BA29" s="493"/>
      <c r="BB29" s="493"/>
      <c r="BC29" s="493"/>
      <c r="BD29" s="493"/>
      <c r="BE29" s="493"/>
      <c r="BF29" s="493"/>
      <c r="BG29" s="493"/>
      <c r="BH29" s="493"/>
      <c r="BI29" s="493"/>
      <c r="BJ29" s="493"/>
      <c r="BK29" s="493"/>
      <c r="BL29" s="493"/>
      <c r="BM29" s="493"/>
      <c r="BN29" s="493"/>
      <c r="BO29" s="493"/>
      <c r="BP29" s="493"/>
      <c r="BQ29" s="493"/>
      <c r="BR29" s="493"/>
      <c r="BS29" s="493"/>
      <c r="BT29" s="493"/>
      <c r="BU29" s="493"/>
      <c r="BV29" s="493"/>
      <c r="BW29" s="493"/>
      <c r="BX29" s="493"/>
      <c r="BY29" s="493"/>
      <c r="BZ29" s="493"/>
      <c r="CA29" s="493"/>
      <c r="CB29" s="493"/>
      <c r="CC29" s="493"/>
      <c r="CD29" s="493"/>
      <c r="CE29" s="493"/>
      <c r="CF29" s="493"/>
      <c r="CG29" s="493"/>
      <c r="CH29" s="493"/>
      <c r="CI29" s="493"/>
      <c r="CJ29" s="493"/>
      <c r="CK29" s="493"/>
      <c r="CL29" s="493"/>
      <c r="CM29" s="493"/>
      <c r="CN29" s="493"/>
      <c r="CO29" s="493"/>
      <c r="CP29" s="493"/>
    </row>
    <row r="30" spans="1:94" s="494" customFormat="1" ht="14.25" customHeight="1">
      <c r="A30" s="1078" t="s">
        <v>630</v>
      </c>
      <c r="B30" s="1078"/>
      <c r="C30" s="1078"/>
      <c r="D30" s="1078"/>
      <c r="E30" s="1078"/>
      <c r="F30" s="1240" t="s">
        <v>631</v>
      </c>
      <c r="G30" s="1240"/>
      <c r="H30" s="1079" t="s">
        <v>618</v>
      </c>
      <c r="I30" s="1079"/>
      <c r="J30" s="1080" t="s">
        <v>618</v>
      </c>
      <c r="K30" s="1079"/>
      <c r="L30" s="1079" t="s">
        <v>618</v>
      </c>
      <c r="M30" s="1079"/>
      <c r="N30" s="1079" t="s">
        <v>617</v>
      </c>
      <c r="O30" s="1079"/>
      <c r="P30" s="1079" t="s">
        <v>631</v>
      </c>
      <c r="Q30" s="1079"/>
      <c r="R30" s="1042" t="s">
        <v>618</v>
      </c>
      <c r="S30" s="1080"/>
      <c r="T30" s="1042" t="s">
        <v>617</v>
      </c>
      <c r="U30" s="1080"/>
      <c r="V30" s="1644"/>
      <c r="W30" s="1645"/>
      <c r="X30" s="1645"/>
      <c r="Y30" s="1645"/>
      <c r="Z30" s="1645"/>
      <c r="AA30" s="1645"/>
      <c r="AB30" s="1645"/>
      <c r="AC30" s="1645"/>
      <c r="AD30" s="1645"/>
      <c r="AE30" s="1645"/>
      <c r="AF30" s="1645"/>
      <c r="AG30" s="1645"/>
      <c r="AH30" s="1645"/>
      <c r="AI30" s="1645"/>
      <c r="AJ30" s="1645"/>
      <c r="AK30" s="1646"/>
      <c r="AL30" s="543"/>
      <c r="AM30" s="548" t="s">
        <v>633</v>
      </c>
      <c r="AN30" s="548" t="s">
        <v>634</v>
      </c>
      <c r="AO30" s="548" t="s">
        <v>635</v>
      </c>
      <c r="AP30" s="548" t="s">
        <v>636</v>
      </c>
      <c r="AQ30" s="548" t="s">
        <v>637</v>
      </c>
      <c r="AR30" s="548" t="s">
        <v>590</v>
      </c>
      <c r="AS30" s="548" t="s">
        <v>428</v>
      </c>
      <c r="AT30" s="548" t="s">
        <v>429</v>
      </c>
      <c r="AU30" s="548" t="s">
        <v>126</v>
      </c>
      <c r="AV30" s="548" t="s">
        <v>431</v>
      </c>
      <c r="AW30" s="548" t="s">
        <v>429</v>
      </c>
      <c r="AX30" s="548" t="s">
        <v>124</v>
      </c>
      <c r="AY30" s="547"/>
      <c r="AZ30" s="493"/>
      <c r="BA30" s="493"/>
      <c r="BB30" s="493"/>
      <c r="BC30" s="493"/>
      <c r="BD30" s="493"/>
      <c r="BE30" s="493"/>
      <c r="BF30" s="493"/>
      <c r="BG30" s="493"/>
      <c r="BH30" s="493"/>
      <c r="BI30" s="493"/>
      <c r="BJ30" s="493"/>
      <c r="BK30" s="493"/>
      <c r="BL30" s="493"/>
      <c r="BM30" s="493"/>
      <c r="BN30" s="493"/>
      <c r="BO30" s="493"/>
      <c r="BP30" s="493"/>
      <c r="BQ30" s="493"/>
      <c r="BR30" s="493"/>
      <c r="BS30" s="493"/>
      <c r="BT30" s="493"/>
      <c r="BU30" s="493"/>
      <c r="BV30" s="493"/>
      <c r="BW30" s="493"/>
      <c r="BX30" s="493"/>
      <c r="BY30" s="493"/>
      <c r="BZ30" s="493"/>
      <c r="CA30" s="493"/>
      <c r="CB30" s="493"/>
      <c r="CC30" s="493"/>
      <c r="CD30" s="493"/>
      <c r="CE30" s="493"/>
      <c r="CF30" s="493"/>
      <c r="CG30" s="493"/>
      <c r="CH30" s="493"/>
      <c r="CI30" s="493"/>
      <c r="CJ30" s="493"/>
      <c r="CK30" s="493"/>
      <c r="CL30" s="493"/>
      <c r="CM30" s="493"/>
      <c r="CN30" s="493"/>
      <c r="CO30" s="493"/>
      <c r="CP30" s="493"/>
    </row>
    <row r="31" spans="1:94" s="494" customFormat="1" ht="14.25" customHeight="1">
      <c r="A31" s="370" t="s">
        <v>638</v>
      </c>
      <c r="B31" s="371"/>
      <c r="C31" s="371"/>
      <c r="D31" s="371"/>
      <c r="E31" s="371"/>
      <c r="F31" s="1049">
        <f>'LPF P&amp;P'!F31:G31</f>
        <v>0</v>
      </c>
      <c r="G31" s="1050"/>
      <c r="H31" s="1147">
        <f t="shared" ref="H31:H52" si="0">F31*$AC$25</f>
        <v>0</v>
      </c>
      <c r="I31" s="1148"/>
      <c r="J31" s="1147"/>
      <c r="K31" s="1147"/>
      <c r="L31" s="1146"/>
      <c r="M31" s="1147"/>
      <c r="N31" s="1146">
        <f t="shared" ref="N31:N52" si="1">SUM(H31,J31,L31)*AR31</f>
        <v>0</v>
      </c>
      <c r="O31" s="1147"/>
      <c r="P31" s="1146">
        <f>R31/$R$53</f>
        <v>0</v>
      </c>
      <c r="Q31" s="1148"/>
      <c r="R31" s="1146">
        <v>0</v>
      </c>
      <c r="S31" s="1147"/>
      <c r="T31" s="1146">
        <v>0</v>
      </c>
      <c r="U31" s="1148"/>
      <c r="V31" s="1644"/>
      <c r="W31" s="1645"/>
      <c r="X31" s="1645"/>
      <c r="Y31" s="1645"/>
      <c r="Z31" s="1645"/>
      <c r="AA31" s="1645"/>
      <c r="AB31" s="1645"/>
      <c r="AC31" s="1645"/>
      <c r="AD31" s="1645"/>
      <c r="AE31" s="1645"/>
      <c r="AF31" s="1645"/>
      <c r="AG31" s="1645"/>
      <c r="AH31" s="1645"/>
      <c r="AI31" s="1645"/>
      <c r="AJ31" s="1645"/>
      <c r="AK31" s="1646"/>
      <c r="AL31" s="543"/>
      <c r="AM31" s="549"/>
      <c r="AN31" s="549">
        <v>2</v>
      </c>
      <c r="AO31" s="549"/>
      <c r="AP31" s="549"/>
      <c r="AQ31" s="549"/>
      <c r="AR31" s="550">
        <f>AM31*12.01+AN31*1.008+AO31*16+AP31*14+AQ31*32</f>
        <v>2.016</v>
      </c>
      <c r="AS31" s="550">
        <f>AM31*1+AN31*0.25+AQ31*1</f>
        <v>0.5</v>
      </c>
      <c r="AT31" s="550">
        <f>0.79/0.21*AS31</f>
        <v>1.8809523809523812</v>
      </c>
      <c r="AU31" s="550">
        <f>1*AM31</f>
        <v>0</v>
      </c>
      <c r="AV31" s="550">
        <f>AN31/2</f>
        <v>1</v>
      </c>
      <c r="AW31" s="550">
        <f>AP31*0.5+AT31</f>
        <v>1.8809523809523812</v>
      </c>
      <c r="AX31" s="550">
        <f>AQ31*1</f>
        <v>0</v>
      </c>
      <c r="AY31" s="547"/>
      <c r="AZ31" s="493"/>
      <c r="BA31" s="493"/>
      <c r="BB31" s="493"/>
      <c r="BC31" s="493"/>
      <c r="BD31" s="493"/>
      <c r="BE31" s="493"/>
      <c r="BF31" s="493"/>
      <c r="BG31" s="493"/>
      <c r="BH31" s="493"/>
      <c r="BI31" s="493"/>
      <c r="BJ31" s="493"/>
      <c r="BK31" s="493"/>
      <c r="BL31" s="493"/>
      <c r="BM31" s="493"/>
      <c r="BN31" s="493"/>
      <c r="BO31" s="493"/>
      <c r="BP31" s="493"/>
      <c r="BQ31" s="493"/>
      <c r="BR31" s="493"/>
      <c r="BS31" s="493"/>
      <c r="BT31" s="493"/>
      <c r="BU31" s="493"/>
      <c r="BV31" s="493"/>
      <c r="BW31" s="493"/>
      <c r="BX31" s="493"/>
      <c r="BY31" s="493"/>
      <c r="BZ31" s="493"/>
      <c r="CA31" s="493"/>
      <c r="CB31" s="493"/>
      <c r="CC31" s="493"/>
      <c r="CD31" s="493"/>
      <c r="CE31" s="493"/>
      <c r="CF31" s="493"/>
      <c r="CG31" s="493"/>
      <c r="CH31" s="493"/>
      <c r="CI31" s="493"/>
      <c r="CJ31" s="493"/>
      <c r="CK31" s="493"/>
      <c r="CL31" s="493"/>
      <c r="CM31" s="493"/>
      <c r="CN31" s="493"/>
      <c r="CO31" s="493"/>
      <c r="CP31" s="493"/>
    </row>
    <row r="32" spans="1:94" s="494" customFormat="1" ht="14.25" customHeight="1">
      <c r="A32" s="375" t="s">
        <v>122</v>
      </c>
      <c r="B32" s="376"/>
      <c r="C32" s="376"/>
      <c r="D32" s="376"/>
      <c r="E32" s="376"/>
      <c r="F32" s="1049">
        <f>CO2eEF!M26</f>
        <v>0.99629999999999996</v>
      </c>
      <c r="G32" s="1050"/>
      <c r="H32" s="1044">
        <f>F32*$AC$25</f>
        <v>135.30000000000001</v>
      </c>
      <c r="I32" s="1072"/>
      <c r="J32" s="1044"/>
      <c r="K32" s="1044"/>
      <c r="L32" s="1071"/>
      <c r="M32" s="1044"/>
      <c r="N32" s="1071">
        <f t="shared" si="1"/>
        <v>2170.4826000000003</v>
      </c>
      <c r="O32" s="1072"/>
      <c r="P32" s="1071">
        <f>R32/$R$53</f>
        <v>1.825524431099922E-5</v>
      </c>
      <c r="Q32" s="1072"/>
      <c r="R32" s="1071">
        <f>T32/$AR32</f>
        <v>2.9637984686147482E-2</v>
      </c>
      <c r="S32" s="1044"/>
      <c r="T32" s="1071">
        <f>$K$22*$X$25</f>
        <v>0.47545255033517797</v>
      </c>
      <c r="U32" s="1072"/>
      <c r="V32" s="551"/>
      <c r="W32" s="270"/>
      <c r="X32" s="270"/>
      <c r="Y32" s="270"/>
      <c r="Z32" s="270"/>
      <c r="AA32" s="270"/>
      <c r="AB32" s="270"/>
      <c r="AC32" s="270"/>
      <c r="AD32" s="270"/>
      <c r="AE32" s="270"/>
      <c r="AF32" s="270"/>
      <c r="AG32" s="270"/>
      <c r="AH32" s="270"/>
      <c r="AI32" s="270"/>
      <c r="AJ32" s="270"/>
      <c r="AK32" s="378"/>
      <c r="AL32" s="543"/>
      <c r="AM32" s="549">
        <v>1</v>
      </c>
      <c r="AN32" s="549">
        <v>4</v>
      </c>
      <c r="AO32" s="549"/>
      <c r="AP32" s="549"/>
      <c r="AQ32" s="549"/>
      <c r="AR32" s="550">
        <f t="shared" ref="AR32:AR47" si="2">AM32*12.01+AN32*1.008+AO32*16+AP32*14+AQ32*32</f>
        <v>16.042000000000002</v>
      </c>
      <c r="AS32" s="550">
        <f t="shared" ref="AS32:AS46" si="3">AM32*1+AN32*0.25+AQ32*1</f>
        <v>2</v>
      </c>
      <c r="AT32" s="550">
        <f t="shared" ref="AT32:AT46" si="4">0.79/0.21*AS32</f>
        <v>7.5238095238095246</v>
      </c>
      <c r="AU32" s="550">
        <f t="shared" ref="AU32:AU46" si="5">1*AM32</f>
        <v>1</v>
      </c>
      <c r="AV32" s="550">
        <f t="shared" ref="AV32:AV46" si="6">AN32/2</f>
        <v>2</v>
      </c>
      <c r="AW32" s="550">
        <f t="shared" ref="AW32:AW46" si="7">AP32*0.5+AT32</f>
        <v>7.5238095238095246</v>
      </c>
      <c r="AX32" s="550">
        <f t="shared" ref="AX32:AX46" si="8">AQ32*1</f>
        <v>0</v>
      </c>
      <c r="AY32" s="547"/>
      <c r="AZ32" s="493"/>
      <c r="BA32" s="493"/>
      <c r="BB32" s="493"/>
      <c r="BC32" s="493"/>
      <c r="BD32" s="493"/>
      <c r="BE32" s="493"/>
      <c r="BF32" s="493"/>
      <c r="BG32" s="493"/>
      <c r="BH32" s="493"/>
      <c r="BI32" s="493"/>
      <c r="BJ32" s="493"/>
      <c r="BK32" s="493"/>
      <c r="BL32" s="493"/>
      <c r="BM32" s="493"/>
      <c r="BN32" s="493"/>
      <c r="BO32" s="493"/>
      <c r="BP32" s="493"/>
      <c r="BQ32" s="493"/>
      <c r="BR32" s="493"/>
      <c r="BS32" s="493"/>
      <c r="BT32" s="493"/>
      <c r="BU32" s="493"/>
      <c r="BV32" s="493"/>
      <c r="BW32" s="493"/>
      <c r="BX32" s="493"/>
      <c r="BY32" s="493"/>
      <c r="BZ32" s="493"/>
      <c r="CA32" s="493"/>
      <c r="CB32" s="493"/>
      <c r="CC32" s="493"/>
      <c r="CD32" s="493"/>
      <c r="CE32" s="493"/>
      <c r="CF32" s="493"/>
      <c r="CG32" s="493"/>
      <c r="CH32" s="493"/>
      <c r="CI32" s="493"/>
      <c r="CJ32" s="493"/>
      <c r="CK32" s="493"/>
      <c r="CL32" s="493"/>
      <c r="CM32" s="493"/>
      <c r="CN32" s="493"/>
      <c r="CO32" s="493"/>
      <c r="CP32" s="493"/>
    </row>
    <row r="33" spans="1:94" s="494" customFormat="1" ht="14.25" customHeight="1">
      <c r="A33" s="375" t="s">
        <v>641</v>
      </c>
      <c r="B33" s="376"/>
      <c r="C33" s="376"/>
      <c r="D33" s="376"/>
      <c r="E33" s="376"/>
      <c r="F33" s="1049">
        <f>'LPF P&amp;P'!F33:G33</f>
        <v>0</v>
      </c>
      <c r="G33" s="1050"/>
      <c r="H33" s="1044">
        <f t="shared" si="0"/>
        <v>0</v>
      </c>
      <c r="I33" s="1072"/>
      <c r="J33" s="1044"/>
      <c r="K33" s="1044"/>
      <c r="L33" s="1071"/>
      <c r="M33" s="1044"/>
      <c r="N33" s="1071">
        <f t="shared" si="1"/>
        <v>0</v>
      </c>
      <c r="O33" s="1072"/>
      <c r="P33" s="1071">
        <f t="shared" ref="P33:P52" si="9">R33/$R$53</f>
        <v>0</v>
      </c>
      <c r="Q33" s="1072"/>
      <c r="R33" s="1044">
        <f>T33/$AR33</f>
        <v>0</v>
      </c>
      <c r="S33" s="1044"/>
      <c r="T33" s="1071">
        <f t="shared" ref="T33:T42" si="10">$W$22*N33</f>
        <v>0</v>
      </c>
      <c r="U33" s="1072"/>
      <c r="V33" s="551"/>
      <c r="W33" s="270"/>
      <c r="X33" s="270">
        <f>AH25</f>
        <v>15.350000000000001</v>
      </c>
      <c r="Y33" s="31" t="s">
        <v>590</v>
      </c>
      <c r="Z33" s="270"/>
      <c r="AA33" s="270"/>
      <c r="AB33" s="270"/>
      <c r="AC33" s="270"/>
      <c r="AD33" s="270"/>
      <c r="AE33" s="270"/>
      <c r="AF33" s="270"/>
      <c r="AG33" s="270"/>
      <c r="AH33" s="270"/>
      <c r="AI33" s="270"/>
      <c r="AJ33" s="270"/>
      <c r="AK33" s="378"/>
      <c r="AL33" s="543"/>
      <c r="AM33" s="549">
        <v>2</v>
      </c>
      <c r="AN33" s="549">
        <v>4</v>
      </c>
      <c r="AO33" s="549"/>
      <c r="AP33" s="549"/>
      <c r="AQ33" s="549"/>
      <c r="AR33" s="550">
        <f t="shared" si="2"/>
        <v>28.052</v>
      </c>
      <c r="AS33" s="550">
        <f t="shared" si="3"/>
        <v>3</v>
      </c>
      <c r="AT33" s="550">
        <f>0.79/0.21*AS33</f>
        <v>11.285714285714286</v>
      </c>
      <c r="AU33" s="550">
        <f t="shared" si="5"/>
        <v>2</v>
      </c>
      <c r="AV33" s="550">
        <f t="shared" si="6"/>
        <v>2</v>
      </c>
      <c r="AW33" s="550">
        <f t="shared" si="7"/>
        <v>11.285714285714286</v>
      </c>
      <c r="AX33" s="550">
        <f t="shared" si="8"/>
        <v>0</v>
      </c>
      <c r="AY33" s="547"/>
      <c r="AZ33" s="493"/>
      <c r="BA33" s="493"/>
      <c r="BB33" s="493"/>
      <c r="BC33" s="493"/>
      <c r="BD33" s="493"/>
      <c r="BE33" s="493"/>
      <c r="BF33" s="493"/>
      <c r="BG33" s="493"/>
      <c r="BH33" s="493"/>
      <c r="BI33" s="493"/>
      <c r="BJ33" s="493"/>
      <c r="BK33" s="493"/>
      <c r="BL33" s="493"/>
      <c r="BM33" s="493"/>
      <c r="BN33" s="493"/>
      <c r="BO33" s="493"/>
      <c r="BP33" s="493"/>
      <c r="BQ33" s="493"/>
      <c r="BR33" s="493"/>
      <c r="BS33" s="493"/>
      <c r="BT33" s="493"/>
      <c r="BU33" s="493"/>
      <c r="BV33" s="493"/>
      <c r="BW33" s="493"/>
      <c r="BX33" s="493"/>
      <c r="BY33" s="493"/>
      <c r="BZ33" s="493"/>
      <c r="CA33" s="493"/>
      <c r="CB33" s="493"/>
      <c r="CC33" s="493"/>
      <c r="CD33" s="493"/>
      <c r="CE33" s="493"/>
      <c r="CF33" s="493"/>
      <c r="CG33" s="493"/>
      <c r="CH33" s="493"/>
      <c r="CI33" s="493"/>
      <c r="CJ33" s="493"/>
      <c r="CK33" s="493"/>
      <c r="CL33" s="493"/>
      <c r="CM33" s="493"/>
      <c r="CN33" s="493"/>
      <c r="CO33" s="493"/>
      <c r="CP33" s="493"/>
    </row>
    <row r="34" spans="1:94" s="494" customFormat="1" ht="14.25" customHeight="1">
      <c r="A34" s="375" t="s">
        <v>643</v>
      </c>
      <c r="B34" s="376"/>
      <c r="C34" s="376"/>
      <c r="D34" s="376"/>
      <c r="E34" s="376"/>
      <c r="F34" s="1049">
        <f>CO2eEF!M27</f>
        <v>7.000000000000001E-4</v>
      </c>
      <c r="G34" s="1050"/>
      <c r="H34" s="1044">
        <f>F34*$AC$25</f>
        <v>9.5061728395061745E-2</v>
      </c>
      <c r="I34" s="1072"/>
      <c r="J34" s="1044"/>
      <c r="K34" s="1044"/>
      <c r="L34" s="1071"/>
      <c r="M34" s="1044"/>
      <c r="N34" s="1071">
        <f t="shared" si="1"/>
        <v>2.8583160493827164</v>
      </c>
      <c r="O34" s="1072"/>
      <c r="P34" s="1071">
        <f t="shared" si="9"/>
        <v>3.0899398864374306E-9</v>
      </c>
      <c r="Q34" s="1072"/>
      <c r="R34" s="1044">
        <f>T34/$AR34</f>
        <v>5.0166182098242298E-6</v>
      </c>
      <c r="S34" s="1044"/>
      <c r="T34" s="1071">
        <f t="shared" si="10"/>
        <v>1.5083967633299492E-4</v>
      </c>
      <c r="U34" s="1072"/>
      <c r="V34" s="551"/>
      <c r="W34" s="270"/>
      <c r="X34" s="31">
        <f>7*24</f>
        <v>168</v>
      </c>
      <c r="Y34" s="31" t="s">
        <v>623</v>
      </c>
      <c r="Z34" s="270"/>
      <c r="AA34" s="270"/>
      <c r="AB34" s="270"/>
      <c r="AC34" s="270"/>
      <c r="AD34" s="270"/>
      <c r="AE34" s="270"/>
      <c r="AF34" s="270"/>
      <c r="AG34" s="270"/>
      <c r="AH34" s="270"/>
      <c r="AI34" s="270"/>
      <c r="AJ34" s="270"/>
      <c r="AK34" s="378"/>
      <c r="AL34" s="543"/>
      <c r="AM34" s="549">
        <v>2</v>
      </c>
      <c r="AN34" s="549">
        <v>6</v>
      </c>
      <c r="AO34" s="549"/>
      <c r="AP34" s="549"/>
      <c r="AQ34" s="549"/>
      <c r="AR34" s="550">
        <f t="shared" si="2"/>
        <v>30.067999999999998</v>
      </c>
      <c r="AS34" s="550">
        <f t="shared" si="3"/>
        <v>3.5</v>
      </c>
      <c r="AT34" s="550">
        <f t="shared" si="4"/>
        <v>13.166666666666668</v>
      </c>
      <c r="AU34" s="550">
        <f t="shared" si="5"/>
        <v>2</v>
      </c>
      <c r="AV34" s="550">
        <f t="shared" si="6"/>
        <v>3</v>
      </c>
      <c r="AW34" s="550">
        <f t="shared" si="7"/>
        <v>13.166666666666668</v>
      </c>
      <c r="AX34" s="550">
        <f t="shared" si="8"/>
        <v>0</v>
      </c>
      <c r="AY34" s="547"/>
      <c r="AZ34" s="493"/>
      <c r="BA34" s="493"/>
      <c r="BB34" s="493"/>
      <c r="BC34" s="493"/>
      <c r="BD34" s="493"/>
      <c r="BE34" s="493"/>
      <c r="BF34" s="493"/>
      <c r="BG34" s="493"/>
      <c r="BH34" s="493"/>
      <c r="BI34" s="493"/>
      <c r="BJ34" s="493"/>
      <c r="BK34" s="493"/>
      <c r="BL34" s="493"/>
      <c r="BM34" s="493"/>
      <c r="BN34" s="493"/>
      <c r="BO34" s="493"/>
      <c r="BP34" s="493"/>
      <c r="BQ34" s="493"/>
      <c r="BR34" s="493"/>
      <c r="BS34" s="493"/>
      <c r="BT34" s="493"/>
      <c r="BU34" s="493"/>
      <c r="BV34" s="493"/>
      <c r="BW34" s="493"/>
      <c r="BX34" s="493"/>
      <c r="BY34" s="493"/>
      <c r="BZ34" s="493"/>
      <c r="CA34" s="493"/>
      <c r="CB34" s="493"/>
      <c r="CC34" s="493"/>
      <c r="CD34" s="493"/>
      <c r="CE34" s="493"/>
      <c r="CF34" s="493"/>
      <c r="CG34" s="493"/>
      <c r="CH34" s="493"/>
      <c r="CI34" s="493"/>
      <c r="CJ34" s="493"/>
      <c r="CK34" s="493"/>
      <c r="CL34" s="493"/>
      <c r="CM34" s="493"/>
      <c r="CN34" s="493"/>
      <c r="CO34" s="493"/>
      <c r="CP34" s="493"/>
    </row>
    <row r="35" spans="1:94" s="494" customFormat="1" ht="14.25" customHeight="1">
      <c r="A35" s="375" t="s">
        <v>418</v>
      </c>
      <c r="B35" s="376"/>
      <c r="C35" s="376"/>
      <c r="D35" s="376"/>
      <c r="E35" s="376"/>
      <c r="F35" s="1049">
        <f>'LPF P&amp;P'!F35:G35</f>
        <v>0</v>
      </c>
      <c r="G35" s="1050"/>
      <c r="H35" s="1044">
        <f t="shared" si="0"/>
        <v>0</v>
      </c>
      <c r="I35" s="1072"/>
      <c r="J35" s="1044"/>
      <c r="K35" s="1044"/>
      <c r="L35" s="1071"/>
      <c r="M35" s="1044"/>
      <c r="N35" s="1071">
        <f t="shared" si="1"/>
        <v>0</v>
      </c>
      <c r="O35" s="1072"/>
      <c r="P35" s="1071">
        <f t="shared" si="9"/>
        <v>0</v>
      </c>
      <c r="Q35" s="1072"/>
      <c r="R35" s="1044">
        <f t="shared" ref="R35:R41" si="11">T35/$AR35</f>
        <v>0</v>
      </c>
      <c r="S35" s="1044"/>
      <c r="T35" s="1071">
        <f t="shared" si="10"/>
        <v>0</v>
      </c>
      <c r="U35" s="1072"/>
      <c r="V35" s="551"/>
      <c r="W35" s="270"/>
      <c r="X35" s="272">
        <f>X33*X34</f>
        <v>2578.8000000000002</v>
      </c>
      <c r="Y35" s="31" t="s">
        <v>626</v>
      </c>
      <c r="Z35" s="270"/>
      <c r="AA35" s="270"/>
      <c r="AB35" s="270"/>
      <c r="AC35" s="270"/>
      <c r="AD35" s="270"/>
      <c r="AE35" s="270"/>
      <c r="AF35" s="270"/>
      <c r="AG35" s="270"/>
      <c r="AH35" s="270"/>
      <c r="AI35" s="270"/>
      <c r="AJ35" s="270"/>
      <c r="AK35" s="378"/>
      <c r="AL35" s="543"/>
      <c r="AM35" s="549">
        <v>3</v>
      </c>
      <c r="AN35" s="549">
        <v>6</v>
      </c>
      <c r="AO35" s="549"/>
      <c r="AP35" s="549"/>
      <c r="AQ35" s="549"/>
      <c r="AR35" s="550">
        <f t="shared" si="2"/>
        <v>42.078000000000003</v>
      </c>
      <c r="AS35" s="550">
        <f t="shared" si="3"/>
        <v>4.5</v>
      </c>
      <c r="AT35" s="550">
        <f t="shared" si="4"/>
        <v>16.928571428571431</v>
      </c>
      <c r="AU35" s="550">
        <f t="shared" si="5"/>
        <v>3</v>
      </c>
      <c r="AV35" s="550">
        <f t="shared" si="6"/>
        <v>3</v>
      </c>
      <c r="AW35" s="550">
        <f t="shared" si="7"/>
        <v>16.928571428571431</v>
      </c>
      <c r="AX35" s="550">
        <f t="shared" si="8"/>
        <v>0</v>
      </c>
      <c r="AY35" s="547"/>
      <c r="AZ35" s="493"/>
      <c r="BA35" s="493"/>
      <c r="BB35" s="493"/>
      <c r="BC35" s="493"/>
      <c r="BD35" s="493"/>
      <c r="BE35" s="493"/>
      <c r="BF35" s="493"/>
      <c r="BG35" s="493"/>
      <c r="BH35" s="493"/>
      <c r="BI35" s="493"/>
      <c r="BJ35" s="493"/>
      <c r="BK35" s="493"/>
      <c r="BL35" s="493"/>
      <c r="BM35" s="493"/>
      <c r="BN35" s="493"/>
      <c r="BO35" s="493"/>
      <c r="BP35" s="493"/>
      <c r="BQ35" s="493"/>
      <c r="BR35" s="493"/>
      <c r="BS35" s="493"/>
      <c r="BT35" s="493"/>
      <c r="BU35" s="493"/>
      <c r="BV35" s="493"/>
      <c r="BW35" s="493"/>
      <c r="BX35" s="493"/>
      <c r="BY35" s="493"/>
      <c r="BZ35" s="493"/>
      <c r="CA35" s="493"/>
      <c r="CB35" s="493"/>
      <c r="CC35" s="493"/>
      <c r="CD35" s="493"/>
      <c r="CE35" s="493"/>
      <c r="CF35" s="493"/>
      <c r="CG35" s="493"/>
      <c r="CH35" s="493"/>
      <c r="CI35" s="493"/>
      <c r="CJ35" s="493"/>
      <c r="CK35" s="493"/>
      <c r="CL35" s="493"/>
      <c r="CM35" s="493"/>
      <c r="CN35" s="493"/>
      <c r="CO35" s="493"/>
      <c r="CP35" s="493"/>
    </row>
    <row r="36" spans="1:94" s="494" customFormat="1" ht="14.25" customHeight="1">
      <c r="A36" s="375" t="s">
        <v>419</v>
      </c>
      <c r="B36" s="376"/>
      <c r="C36" s="376"/>
      <c r="D36" s="376"/>
      <c r="E36" s="376"/>
      <c r="F36" s="1049">
        <f>CO2eEF!M28</f>
        <v>2.0000000000000001E-4</v>
      </c>
      <c r="G36" s="1050"/>
      <c r="H36" s="1044">
        <f t="shared" si="0"/>
        <v>2.7160493827160497E-2</v>
      </c>
      <c r="I36" s="1072"/>
      <c r="J36" s="1044"/>
      <c r="K36" s="1044"/>
      <c r="L36" s="1071"/>
      <c r="M36" s="1044"/>
      <c r="N36" s="1071">
        <f t="shared" si="1"/>
        <v>1.1976148148148149</v>
      </c>
      <c r="O36" s="1072"/>
      <c r="P36" s="1071">
        <f t="shared" si="9"/>
        <v>8.828399675535516E-10</v>
      </c>
      <c r="Q36" s="1072"/>
      <c r="R36" s="1044">
        <f t="shared" si="11"/>
        <v>1.4333194885212085E-6</v>
      </c>
      <c r="S36" s="1044"/>
      <c r="T36" s="1071">
        <f t="shared" si="10"/>
        <v>6.3200789526854164E-5</v>
      </c>
      <c r="U36" s="1072"/>
      <c r="V36" s="551"/>
      <c r="W36" s="270"/>
      <c r="X36" s="272">
        <f>X35*3600/1000</f>
        <v>9283.68</v>
      </c>
      <c r="Y36" s="31" t="s">
        <v>632</v>
      </c>
      <c r="Z36" s="270"/>
      <c r="AA36" s="270"/>
      <c r="AB36" s="270"/>
      <c r="AC36" s="270"/>
      <c r="AD36" s="270"/>
      <c r="AE36" s="270"/>
      <c r="AF36" s="270"/>
      <c r="AG36" s="270"/>
      <c r="AH36" s="270"/>
      <c r="AI36" s="270"/>
      <c r="AJ36" s="270"/>
      <c r="AK36" s="378"/>
      <c r="AL36" s="543"/>
      <c r="AM36" s="549">
        <v>3</v>
      </c>
      <c r="AN36" s="549">
        <v>8</v>
      </c>
      <c r="AO36" s="549"/>
      <c r="AP36" s="549"/>
      <c r="AQ36" s="549"/>
      <c r="AR36" s="550">
        <f t="shared" si="2"/>
        <v>44.094000000000001</v>
      </c>
      <c r="AS36" s="550">
        <f t="shared" si="3"/>
        <v>5</v>
      </c>
      <c r="AT36" s="550">
        <f t="shared" si="4"/>
        <v>18.80952380952381</v>
      </c>
      <c r="AU36" s="550">
        <f t="shared" si="5"/>
        <v>3</v>
      </c>
      <c r="AV36" s="550">
        <f t="shared" si="6"/>
        <v>4</v>
      </c>
      <c r="AW36" s="550">
        <f t="shared" si="7"/>
        <v>18.80952380952381</v>
      </c>
      <c r="AX36" s="550">
        <f t="shared" si="8"/>
        <v>0</v>
      </c>
      <c r="AY36" s="547"/>
      <c r="AZ36" s="493"/>
      <c r="BA36" s="493"/>
      <c r="BB36" s="493"/>
      <c r="BC36" s="493"/>
      <c r="BD36" s="493"/>
      <c r="BE36" s="493"/>
      <c r="BF36" s="493"/>
      <c r="BG36" s="493"/>
      <c r="BH36" s="493"/>
      <c r="BI36" s="493"/>
      <c r="BJ36" s="493"/>
      <c r="BK36" s="493"/>
      <c r="BL36" s="493"/>
      <c r="BM36" s="493"/>
      <c r="BN36" s="493"/>
      <c r="BO36" s="493"/>
      <c r="BP36" s="493"/>
      <c r="BQ36" s="493"/>
      <c r="BR36" s="493"/>
      <c r="BS36" s="493"/>
      <c r="BT36" s="493"/>
      <c r="BU36" s="493"/>
      <c r="BV36" s="493"/>
      <c r="BW36" s="493"/>
      <c r="BX36" s="493"/>
      <c r="BY36" s="493"/>
      <c r="BZ36" s="493"/>
      <c r="CA36" s="493"/>
      <c r="CB36" s="493"/>
      <c r="CC36" s="493"/>
      <c r="CD36" s="493"/>
      <c r="CE36" s="493"/>
      <c r="CF36" s="493"/>
      <c r="CG36" s="493"/>
      <c r="CH36" s="493"/>
      <c r="CI36" s="493"/>
      <c r="CJ36" s="493"/>
      <c r="CK36" s="493"/>
      <c r="CL36" s="493"/>
      <c r="CM36" s="493"/>
      <c r="CN36" s="493"/>
      <c r="CO36" s="493"/>
      <c r="CP36" s="493"/>
    </row>
    <row r="37" spans="1:94" s="494" customFormat="1" ht="14.25" customHeight="1">
      <c r="A37" s="375" t="s">
        <v>420</v>
      </c>
      <c r="B37" s="376"/>
      <c r="C37" s="376"/>
      <c r="D37" s="376"/>
      <c r="E37" s="376"/>
      <c r="F37" s="1049">
        <f>'LPF P&amp;P'!F37:G37</f>
        <v>0</v>
      </c>
      <c r="G37" s="1050"/>
      <c r="H37" s="1044">
        <f t="shared" si="0"/>
        <v>0</v>
      </c>
      <c r="I37" s="1072"/>
      <c r="J37" s="1044"/>
      <c r="K37" s="1044"/>
      <c r="L37" s="1071"/>
      <c r="M37" s="1044"/>
      <c r="N37" s="1071">
        <f t="shared" si="1"/>
        <v>0</v>
      </c>
      <c r="O37" s="1072"/>
      <c r="P37" s="1071">
        <f t="shared" si="9"/>
        <v>0</v>
      </c>
      <c r="Q37" s="1072"/>
      <c r="R37" s="1044">
        <f t="shared" si="11"/>
        <v>0</v>
      </c>
      <c r="S37" s="1044"/>
      <c r="T37" s="1071">
        <f t="shared" si="10"/>
        <v>0</v>
      </c>
      <c r="U37" s="1072"/>
      <c r="V37" s="551"/>
      <c r="W37" s="270"/>
      <c r="X37" s="270"/>
      <c r="Y37" s="270"/>
      <c r="Z37" s="270"/>
      <c r="AA37" s="270"/>
      <c r="AB37" s="270"/>
      <c r="AC37" s="270"/>
      <c r="AD37" s="270"/>
      <c r="AE37" s="270"/>
      <c r="AF37" s="270"/>
      <c r="AG37" s="270"/>
      <c r="AH37" s="270"/>
      <c r="AI37" s="270"/>
      <c r="AJ37" s="270"/>
      <c r="AK37" s="378"/>
      <c r="AL37" s="543"/>
      <c r="AM37" s="549">
        <v>4</v>
      </c>
      <c r="AN37" s="549">
        <v>8</v>
      </c>
      <c r="AO37" s="549"/>
      <c r="AP37" s="549"/>
      <c r="AQ37" s="549"/>
      <c r="AR37" s="550">
        <f t="shared" si="2"/>
        <v>56.103999999999999</v>
      </c>
      <c r="AS37" s="550">
        <f t="shared" si="3"/>
        <v>6</v>
      </c>
      <c r="AT37" s="550">
        <f t="shared" si="4"/>
        <v>22.571428571428573</v>
      </c>
      <c r="AU37" s="550">
        <f t="shared" si="5"/>
        <v>4</v>
      </c>
      <c r="AV37" s="550">
        <f t="shared" si="6"/>
        <v>4</v>
      </c>
      <c r="AW37" s="550">
        <f t="shared" si="7"/>
        <v>22.571428571428573</v>
      </c>
      <c r="AX37" s="550">
        <f t="shared" si="8"/>
        <v>0</v>
      </c>
      <c r="AY37" s="547"/>
      <c r="AZ37" s="493"/>
      <c r="BA37" s="493"/>
      <c r="BB37" s="493"/>
      <c r="BC37" s="493"/>
      <c r="BD37" s="493"/>
      <c r="BE37" s="493"/>
      <c r="BF37" s="493"/>
      <c r="BG37" s="493"/>
      <c r="BH37" s="493"/>
      <c r="BI37" s="493"/>
      <c r="BJ37" s="493"/>
      <c r="BK37" s="493"/>
      <c r="BL37" s="493"/>
      <c r="BM37" s="493"/>
      <c r="BN37" s="493"/>
      <c r="BO37" s="493"/>
      <c r="BP37" s="493"/>
      <c r="BQ37" s="493"/>
      <c r="BR37" s="493"/>
      <c r="BS37" s="493"/>
      <c r="BT37" s="493"/>
      <c r="BU37" s="493"/>
      <c r="BV37" s="493"/>
      <c r="BW37" s="493"/>
      <c r="BX37" s="493"/>
      <c r="BY37" s="493"/>
      <c r="BZ37" s="493"/>
      <c r="CA37" s="493"/>
      <c r="CB37" s="493"/>
      <c r="CC37" s="493"/>
      <c r="CD37" s="493"/>
      <c r="CE37" s="493"/>
      <c r="CF37" s="493"/>
      <c r="CG37" s="493"/>
      <c r="CH37" s="493"/>
      <c r="CI37" s="493"/>
      <c r="CJ37" s="493"/>
      <c r="CK37" s="493"/>
      <c r="CL37" s="493"/>
      <c r="CM37" s="493"/>
      <c r="CN37" s="493"/>
      <c r="CO37" s="493"/>
      <c r="CP37" s="493"/>
    </row>
    <row r="38" spans="1:94" s="494" customFormat="1" ht="14.25" customHeight="1">
      <c r="A38" s="375" t="s">
        <v>421</v>
      </c>
      <c r="B38" s="376"/>
      <c r="C38" s="376"/>
      <c r="D38" s="376"/>
      <c r="E38" s="376"/>
      <c r="F38" s="1049">
        <f>CO2eEF!M29</f>
        <v>1E-4</v>
      </c>
      <c r="G38" s="1050"/>
      <c r="H38" s="1044">
        <f t="shared" si="0"/>
        <v>1.3580246913580249E-2</v>
      </c>
      <c r="I38" s="1072"/>
      <c r="J38" s="1044"/>
      <c r="K38" s="1044"/>
      <c r="L38" s="1071"/>
      <c r="M38" s="1044"/>
      <c r="N38" s="1071">
        <f t="shared" si="1"/>
        <v>0.78928395061728396</v>
      </c>
      <c r="O38" s="1072"/>
      <c r="P38" s="1071">
        <f t="shared" si="9"/>
        <v>4.414199837767757E-10</v>
      </c>
      <c r="Q38" s="1072"/>
      <c r="R38" s="1044">
        <f t="shared" si="11"/>
        <v>7.1665974426060412E-7</v>
      </c>
      <c r="S38" s="1044"/>
      <c r="T38" s="1071">
        <f>$W$22*N38</f>
        <v>4.165226433642631E-5</v>
      </c>
      <c r="U38" s="1072"/>
      <c r="V38" s="270"/>
      <c r="W38" s="270"/>
      <c r="X38" s="270"/>
      <c r="Y38" s="270"/>
      <c r="Z38" s="270"/>
      <c r="AA38" s="270"/>
      <c r="AB38" s="270"/>
      <c r="AC38" s="270"/>
      <c r="AD38" s="270"/>
      <c r="AE38" s="270"/>
      <c r="AF38" s="270"/>
      <c r="AG38" s="270"/>
      <c r="AH38" s="270"/>
      <c r="AI38" s="270"/>
      <c r="AJ38" s="270"/>
      <c r="AK38" s="378"/>
      <c r="AL38" s="543"/>
      <c r="AM38" s="549">
        <v>4</v>
      </c>
      <c r="AN38" s="549">
        <v>10</v>
      </c>
      <c r="AO38" s="549"/>
      <c r="AP38" s="549"/>
      <c r="AQ38" s="549"/>
      <c r="AR38" s="550">
        <f>AM38*12.01+AN38*1.008+AO38*16+AP38*14+AQ38*32</f>
        <v>58.12</v>
      </c>
      <c r="AS38" s="550">
        <f t="shared" si="3"/>
        <v>6.5</v>
      </c>
      <c r="AT38" s="550">
        <f t="shared" si="4"/>
        <v>24.452380952380956</v>
      </c>
      <c r="AU38" s="550">
        <f t="shared" si="5"/>
        <v>4</v>
      </c>
      <c r="AV38" s="550">
        <f t="shared" si="6"/>
        <v>5</v>
      </c>
      <c r="AW38" s="550">
        <f t="shared" si="7"/>
        <v>24.452380952380956</v>
      </c>
      <c r="AX38" s="550">
        <f t="shared" si="8"/>
        <v>0</v>
      </c>
      <c r="AY38" s="547"/>
      <c r="AZ38" s="493"/>
      <c r="BA38" s="493"/>
      <c r="BB38" s="493"/>
      <c r="BC38" s="493"/>
      <c r="BD38" s="493"/>
      <c r="BE38" s="493"/>
      <c r="BF38" s="493"/>
      <c r="BG38" s="493"/>
      <c r="BH38" s="493"/>
      <c r="BI38" s="493"/>
      <c r="BJ38" s="493"/>
      <c r="BK38" s="493"/>
      <c r="BL38" s="493"/>
      <c r="BM38" s="493"/>
      <c r="BN38" s="493"/>
      <c r="BO38" s="493"/>
      <c r="BP38" s="493"/>
      <c r="BQ38" s="493"/>
      <c r="BR38" s="493"/>
      <c r="BS38" s="493"/>
      <c r="BT38" s="493"/>
      <c r="BU38" s="493"/>
      <c r="BV38" s="493"/>
      <c r="BW38" s="493"/>
      <c r="BX38" s="493"/>
      <c r="BY38" s="493"/>
      <c r="BZ38" s="493"/>
      <c r="CA38" s="493"/>
      <c r="CB38" s="493"/>
      <c r="CC38" s="493"/>
      <c r="CD38" s="493"/>
      <c r="CE38" s="493"/>
      <c r="CF38" s="493"/>
      <c r="CG38" s="493"/>
      <c r="CH38" s="493"/>
      <c r="CI38" s="493"/>
      <c r="CJ38" s="493"/>
      <c r="CK38" s="493"/>
      <c r="CL38" s="493"/>
      <c r="CM38" s="493"/>
      <c r="CN38" s="493"/>
      <c r="CO38" s="493"/>
      <c r="CP38" s="493"/>
    </row>
    <row r="39" spans="1:94" s="494" customFormat="1" ht="14.25" customHeight="1">
      <c r="A39" s="375" t="s">
        <v>422</v>
      </c>
      <c r="B39" s="376"/>
      <c r="C39" s="376"/>
      <c r="D39" s="376"/>
      <c r="E39" s="376"/>
      <c r="F39" s="1049">
        <f>'LPF P&amp;P'!F39:G39</f>
        <v>0</v>
      </c>
      <c r="G39" s="1050"/>
      <c r="H39" s="1044">
        <f t="shared" si="0"/>
        <v>0</v>
      </c>
      <c r="I39" s="1072"/>
      <c r="J39" s="1044"/>
      <c r="K39" s="1044"/>
      <c r="L39" s="1071"/>
      <c r="M39" s="1044"/>
      <c r="N39" s="1071">
        <f t="shared" si="1"/>
        <v>0</v>
      </c>
      <c r="O39" s="1072"/>
      <c r="P39" s="1071">
        <f t="shared" si="9"/>
        <v>0</v>
      </c>
      <c r="Q39" s="1072"/>
      <c r="R39" s="1044">
        <f t="shared" si="11"/>
        <v>0</v>
      </c>
      <c r="S39" s="1044"/>
      <c r="T39" s="1071">
        <f t="shared" si="10"/>
        <v>0</v>
      </c>
      <c r="U39" s="1072"/>
      <c r="V39" s="270"/>
      <c r="W39" s="270"/>
      <c r="X39" s="270" t="s">
        <v>720</v>
      </c>
      <c r="Y39" s="270"/>
      <c r="Z39" s="270"/>
      <c r="AA39" s="270"/>
      <c r="AB39" s="270"/>
      <c r="AC39" s="270"/>
      <c r="AD39" s="270"/>
      <c r="AE39" s="270"/>
      <c r="AF39" s="270"/>
      <c r="AG39" s="270"/>
      <c r="AH39" s="270"/>
      <c r="AI39" s="270"/>
      <c r="AJ39" s="270"/>
      <c r="AK39" s="378"/>
      <c r="AL39" s="543"/>
      <c r="AM39" s="549">
        <v>4</v>
      </c>
      <c r="AN39" s="549">
        <v>10</v>
      </c>
      <c r="AO39" s="549"/>
      <c r="AP39" s="549"/>
      <c r="AQ39" s="549"/>
      <c r="AR39" s="550">
        <f t="shared" si="2"/>
        <v>58.12</v>
      </c>
      <c r="AS39" s="550">
        <f t="shared" si="3"/>
        <v>6.5</v>
      </c>
      <c r="AT39" s="550">
        <f t="shared" si="4"/>
        <v>24.452380952380956</v>
      </c>
      <c r="AU39" s="550">
        <f t="shared" si="5"/>
        <v>4</v>
      </c>
      <c r="AV39" s="550">
        <f t="shared" si="6"/>
        <v>5</v>
      </c>
      <c r="AW39" s="550">
        <f t="shared" si="7"/>
        <v>24.452380952380956</v>
      </c>
      <c r="AX39" s="550">
        <f t="shared" si="8"/>
        <v>0</v>
      </c>
      <c r="AY39" s="547"/>
      <c r="AZ39" s="493"/>
      <c r="BA39" s="493"/>
      <c r="BB39" s="493"/>
      <c r="BC39" s="493"/>
      <c r="BD39" s="493"/>
      <c r="BE39" s="493"/>
      <c r="BF39" s="493"/>
      <c r="BG39" s="493"/>
      <c r="BH39" s="493"/>
      <c r="BI39" s="493"/>
      <c r="BJ39" s="493"/>
      <c r="BK39" s="493"/>
      <c r="BL39" s="493"/>
      <c r="BM39" s="493"/>
      <c r="BN39" s="493"/>
      <c r="BO39" s="493"/>
      <c r="BP39" s="493"/>
      <c r="BQ39" s="493"/>
      <c r="BR39" s="493"/>
      <c r="BS39" s="493"/>
      <c r="BT39" s="493"/>
      <c r="BU39" s="493"/>
      <c r="BV39" s="493"/>
      <c r="BW39" s="493"/>
      <c r="BX39" s="493"/>
      <c r="BY39" s="493"/>
      <c r="BZ39" s="493"/>
      <c r="CA39" s="493"/>
      <c r="CB39" s="493"/>
      <c r="CC39" s="493"/>
      <c r="CD39" s="493"/>
      <c r="CE39" s="493"/>
      <c r="CF39" s="493"/>
      <c r="CG39" s="493"/>
      <c r="CH39" s="493"/>
      <c r="CI39" s="493"/>
      <c r="CJ39" s="493"/>
      <c r="CK39" s="493"/>
      <c r="CL39" s="493"/>
      <c r="CM39" s="493"/>
      <c r="CN39" s="493"/>
      <c r="CO39" s="493"/>
      <c r="CP39" s="493"/>
    </row>
    <row r="40" spans="1:94" s="494" customFormat="1" ht="14.25" customHeight="1">
      <c r="A40" s="375" t="s">
        <v>423</v>
      </c>
      <c r="B40" s="376"/>
      <c r="C40" s="376"/>
      <c r="D40" s="376"/>
      <c r="E40" s="376"/>
      <c r="F40" s="1049">
        <f>CO2eEF!M31</f>
        <v>1E-4</v>
      </c>
      <c r="G40" s="1050"/>
      <c r="H40" s="1044">
        <f t="shared" si="0"/>
        <v>1.3580246913580249E-2</v>
      </c>
      <c r="I40" s="1072"/>
      <c r="J40" s="1044"/>
      <c r="K40" s="1044"/>
      <c r="L40" s="1071"/>
      <c r="M40" s="1044"/>
      <c r="N40" s="1071">
        <f t="shared" si="1"/>
        <v>0.97976049382716057</v>
      </c>
      <c r="O40" s="1072"/>
      <c r="P40" s="1071">
        <f t="shared" si="9"/>
        <v>4.414199837767757E-10</v>
      </c>
      <c r="Q40" s="1072"/>
      <c r="R40" s="1044">
        <f t="shared" si="11"/>
        <v>7.1665974426060412E-7</v>
      </c>
      <c r="S40" s="1044"/>
      <c r="T40" s="1071">
        <f t="shared" si="10"/>
        <v>5.1704133909425545E-5</v>
      </c>
      <c r="U40" s="1072"/>
      <c r="V40" s="270"/>
      <c r="W40" s="270"/>
      <c r="X40" s="270"/>
      <c r="Y40" s="270"/>
      <c r="Z40" s="270"/>
      <c r="AA40" s="270"/>
      <c r="AB40" s="270"/>
      <c r="AC40" s="270"/>
      <c r="AD40" s="270"/>
      <c r="AE40" s="270"/>
      <c r="AF40" s="270"/>
      <c r="AG40" s="270"/>
      <c r="AH40" s="270"/>
      <c r="AI40" s="270"/>
      <c r="AJ40" s="270"/>
      <c r="AK40" s="378"/>
      <c r="AL40" s="543"/>
      <c r="AM40" s="549">
        <v>5</v>
      </c>
      <c r="AN40" s="549">
        <v>12</v>
      </c>
      <c r="AO40" s="549"/>
      <c r="AP40" s="549"/>
      <c r="AQ40" s="549"/>
      <c r="AR40" s="550">
        <f t="shared" si="2"/>
        <v>72.146000000000001</v>
      </c>
      <c r="AS40" s="550">
        <f t="shared" si="3"/>
        <v>8</v>
      </c>
      <c r="AT40" s="550">
        <f t="shared" si="4"/>
        <v>30.095238095238098</v>
      </c>
      <c r="AU40" s="550">
        <f t="shared" si="5"/>
        <v>5</v>
      </c>
      <c r="AV40" s="550">
        <f t="shared" si="6"/>
        <v>6</v>
      </c>
      <c r="AW40" s="550">
        <f t="shared" si="7"/>
        <v>30.095238095238098</v>
      </c>
      <c r="AX40" s="550">
        <f t="shared" si="8"/>
        <v>0</v>
      </c>
      <c r="AY40" s="547"/>
      <c r="AZ40" s="493"/>
      <c r="BA40" s="493"/>
      <c r="BB40" s="493"/>
      <c r="BC40" s="493"/>
      <c r="BD40" s="493"/>
      <c r="BE40" s="493"/>
      <c r="BF40" s="493"/>
      <c r="BG40" s="493"/>
      <c r="BH40" s="493"/>
      <c r="BI40" s="493"/>
      <c r="BJ40" s="493"/>
      <c r="BK40" s="493"/>
      <c r="BL40" s="493"/>
      <c r="BM40" s="493"/>
      <c r="BN40" s="493"/>
      <c r="BO40" s="493"/>
      <c r="BP40" s="493"/>
      <c r="BQ40" s="493"/>
      <c r="BR40" s="493"/>
      <c r="BS40" s="493"/>
      <c r="BT40" s="493"/>
      <c r="BU40" s="493"/>
      <c r="BV40" s="493"/>
      <c r="BW40" s="493"/>
      <c r="BX40" s="493"/>
      <c r="BY40" s="493"/>
      <c r="BZ40" s="493"/>
      <c r="CA40" s="493"/>
      <c r="CB40" s="493"/>
      <c r="CC40" s="493"/>
      <c r="CD40" s="493"/>
      <c r="CE40" s="493"/>
      <c r="CF40" s="493"/>
      <c r="CG40" s="493"/>
      <c r="CH40" s="493"/>
      <c r="CI40" s="493"/>
      <c r="CJ40" s="493"/>
      <c r="CK40" s="493"/>
      <c r="CL40" s="493"/>
      <c r="CM40" s="493"/>
      <c r="CN40" s="493"/>
      <c r="CO40" s="493"/>
      <c r="CP40" s="493"/>
    </row>
    <row r="41" spans="1:94" s="494" customFormat="1" ht="14.25" customHeight="1">
      <c r="A41" s="375" t="s">
        <v>424</v>
      </c>
      <c r="B41" s="376"/>
      <c r="C41" s="376"/>
      <c r="D41" s="376"/>
      <c r="E41" s="376"/>
      <c r="F41" s="1049">
        <f>CO2eEF!M33</f>
        <v>1E-4</v>
      </c>
      <c r="G41" s="1050"/>
      <c r="H41" s="1044">
        <f t="shared" si="0"/>
        <v>1.3580246913580249E-2</v>
      </c>
      <c r="I41" s="1072"/>
      <c r="J41" s="1044"/>
      <c r="K41" s="1044"/>
      <c r="L41" s="1071"/>
      <c r="M41" s="1044"/>
      <c r="N41" s="1071">
        <f t="shared" si="1"/>
        <v>0.97976049382716057</v>
      </c>
      <c r="O41" s="1072"/>
      <c r="P41" s="1071">
        <f t="shared" si="9"/>
        <v>4.414199837767757E-10</v>
      </c>
      <c r="Q41" s="1072"/>
      <c r="R41" s="1044">
        <f t="shared" si="11"/>
        <v>7.1665974426060412E-7</v>
      </c>
      <c r="S41" s="1044"/>
      <c r="T41" s="1071">
        <f t="shared" si="10"/>
        <v>5.1704133909425545E-5</v>
      </c>
      <c r="U41" s="1072"/>
      <c r="V41" s="270"/>
      <c r="W41" s="270"/>
      <c r="X41" s="270"/>
      <c r="Y41" s="270"/>
      <c r="Z41" s="270"/>
      <c r="AA41" s="270"/>
      <c r="AB41" s="270"/>
      <c r="AC41" s="270"/>
      <c r="AD41" s="270"/>
      <c r="AE41" s="270"/>
      <c r="AF41" s="270"/>
      <c r="AG41" s="270"/>
      <c r="AH41" s="270"/>
      <c r="AI41" s="270"/>
      <c r="AJ41" s="270"/>
      <c r="AK41" s="378"/>
      <c r="AL41" s="543"/>
      <c r="AM41" s="549">
        <v>5</v>
      </c>
      <c r="AN41" s="549">
        <v>12</v>
      </c>
      <c r="AO41" s="549"/>
      <c r="AP41" s="549"/>
      <c r="AQ41" s="549"/>
      <c r="AR41" s="550">
        <f t="shared" si="2"/>
        <v>72.146000000000001</v>
      </c>
      <c r="AS41" s="550">
        <f t="shared" si="3"/>
        <v>8</v>
      </c>
      <c r="AT41" s="550">
        <f t="shared" si="4"/>
        <v>30.095238095238098</v>
      </c>
      <c r="AU41" s="550">
        <f t="shared" si="5"/>
        <v>5</v>
      </c>
      <c r="AV41" s="550">
        <f t="shared" si="6"/>
        <v>6</v>
      </c>
      <c r="AW41" s="550">
        <f>AP41*0.5+AT41</f>
        <v>30.095238095238098</v>
      </c>
      <c r="AX41" s="550">
        <f t="shared" si="8"/>
        <v>0</v>
      </c>
      <c r="AY41" s="547"/>
      <c r="AZ41" s="493"/>
      <c r="BA41" s="493"/>
      <c r="BB41" s="493"/>
      <c r="BC41" s="493"/>
      <c r="BD41" s="493"/>
      <c r="BE41" s="493"/>
      <c r="BF41" s="493"/>
      <c r="BG41" s="493"/>
      <c r="BH41" s="493"/>
      <c r="BI41" s="493"/>
      <c r="BJ41" s="493"/>
      <c r="BK41" s="493"/>
      <c r="BL41" s="493"/>
      <c r="BM41" s="493"/>
      <c r="BN41" s="493"/>
      <c r="BO41" s="493"/>
      <c r="BP41" s="493"/>
      <c r="BQ41" s="493"/>
      <c r="BR41" s="493"/>
      <c r="BS41" s="493"/>
      <c r="BT41" s="493"/>
      <c r="BU41" s="493"/>
      <c r="BV41" s="493"/>
      <c r="BW41" s="493"/>
      <c r="BX41" s="493"/>
      <c r="BY41" s="493"/>
      <c r="BZ41" s="493"/>
      <c r="CA41" s="493"/>
      <c r="CB41" s="493"/>
      <c r="CC41" s="493"/>
      <c r="CD41" s="493"/>
      <c r="CE41" s="493"/>
      <c r="CF41" s="493"/>
      <c r="CG41" s="493"/>
      <c r="CH41" s="493"/>
      <c r="CI41" s="493"/>
      <c r="CJ41" s="493"/>
      <c r="CK41" s="493"/>
      <c r="CL41" s="493"/>
      <c r="CM41" s="493"/>
      <c r="CN41" s="493"/>
      <c r="CO41" s="493"/>
      <c r="CP41" s="493"/>
    </row>
    <row r="42" spans="1:94" s="494" customFormat="1" ht="14.25" customHeight="1">
      <c r="A42" s="375" t="s">
        <v>721</v>
      </c>
      <c r="B42" s="376"/>
      <c r="C42" s="376"/>
      <c r="D42" s="376"/>
      <c r="E42" s="376"/>
      <c r="F42" s="1049">
        <f>CO2eEF!M39</f>
        <v>2.0000000000000001E-4</v>
      </c>
      <c r="G42" s="1050"/>
      <c r="H42" s="1044">
        <f t="shared" si="0"/>
        <v>2.7160493827160497E-2</v>
      </c>
      <c r="I42" s="1072"/>
      <c r="J42" s="1044"/>
      <c r="K42" s="1044"/>
      <c r="L42" s="1071"/>
      <c r="M42" s="1044"/>
      <c r="N42" s="1071">
        <f t="shared" si="1"/>
        <v>2.3404740740740744</v>
      </c>
      <c r="O42" s="1072"/>
      <c r="P42" s="1071">
        <f t="shared" si="9"/>
        <v>8.828399675535514E-10</v>
      </c>
      <c r="Q42" s="1072"/>
      <c r="R42" s="1044">
        <f>T42/$AR42</f>
        <v>1.4333194885212082E-6</v>
      </c>
      <c r="S42" s="1044"/>
      <c r="T42" s="1071">
        <f t="shared" si="10"/>
        <v>1.2351200696484956E-4</v>
      </c>
      <c r="U42" s="1072"/>
      <c r="V42" s="270"/>
      <c r="W42" s="270"/>
      <c r="X42" s="270"/>
      <c r="Y42" s="270"/>
      <c r="Z42" s="270"/>
      <c r="AA42" s="270"/>
      <c r="AB42" s="270"/>
      <c r="AC42" s="270"/>
      <c r="AD42" s="270"/>
      <c r="AE42" s="270"/>
      <c r="AF42" s="270"/>
      <c r="AG42" s="270"/>
      <c r="AH42" s="270"/>
      <c r="AI42" s="270"/>
      <c r="AJ42" s="270"/>
      <c r="AK42" s="378"/>
      <c r="AL42" s="543"/>
      <c r="AM42" s="549">
        <v>6</v>
      </c>
      <c r="AN42" s="549">
        <v>14</v>
      </c>
      <c r="AO42" s="549"/>
      <c r="AP42" s="549"/>
      <c r="AQ42" s="549"/>
      <c r="AR42" s="550">
        <f t="shared" si="2"/>
        <v>86.171999999999997</v>
      </c>
      <c r="AS42" s="550">
        <f t="shared" si="3"/>
        <v>9.5</v>
      </c>
      <c r="AT42" s="550">
        <f t="shared" si="4"/>
        <v>35.738095238095241</v>
      </c>
      <c r="AU42" s="550">
        <f t="shared" si="5"/>
        <v>6</v>
      </c>
      <c r="AV42" s="550">
        <f t="shared" si="6"/>
        <v>7</v>
      </c>
      <c r="AW42" s="550">
        <f t="shared" si="7"/>
        <v>35.738095238095241</v>
      </c>
      <c r="AX42" s="550">
        <f t="shared" si="8"/>
        <v>0</v>
      </c>
      <c r="AY42" s="547"/>
      <c r="AZ42" s="493"/>
      <c r="BA42" s="493"/>
      <c r="BB42" s="493"/>
      <c r="BC42" s="493"/>
      <c r="BD42" s="493"/>
      <c r="BE42" s="493"/>
      <c r="BF42" s="493"/>
      <c r="BG42" s="493"/>
      <c r="BH42" s="493"/>
      <c r="BI42" s="493"/>
      <c r="BJ42" s="493"/>
      <c r="BK42" s="493"/>
      <c r="BL42" s="493"/>
      <c r="BM42" s="493"/>
      <c r="BN42" s="493"/>
      <c r="BO42" s="493"/>
      <c r="BP42" s="493"/>
      <c r="BQ42" s="493"/>
      <c r="BR42" s="493"/>
      <c r="BS42" s="493"/>
      <c r="BT42" s="493"/>
      <c r="BU42" s="493"/>
      <c r="BV42" s="493"/>
      <c r="BW42" s="493"/>
      <c r="BX42" s="493"/>
      <c r="BY42" s="493"/>
      <c r="BZ42" s="493"/>
      <c r="CA42" s="493"/>
      <c r="CB42" s="493"/>
      <c r="CC42" s="493"/>
      <c r="CD42" s="493"/>
      <c r="CE42" s="493"/>
      <c r="CF42" s="493"/>
      <c r="CG42" s="493"/>
      <c r="CH42" s="493"/>
      <c r="CI42" s="493"/>
      <c r="CJ42" s="493"/>
      <c r="CK42" s="493"/>
      <c r="CL42" s="493"/>
      <c r="CM42" s="493"/>
      <c r="CN42" s="493"/>
      <c r="CO42" s="493"/>
      <c r="CP42" s="493"/>
    </row>
    <row r="43" spans="1:94" s="494" customFormat="1" ht="14.25" customHeight="1">
      <c r="A43" s="375" t="s">
        <v>426</v>
      </c>
      <c r="B43" s="376"/>
      <c r="C43" s="376"/>
      <c r="D43" s="376"/>
      <c r="E43" s="376"/>
      <c r="F43" s="1049">
        <f>'LPF P&amp;P'!F43:G43</f>
        <v>0</v>
      </c>
      <c r="G43" s="1050"/>
      <c r="H43" s="1044">
        <f>F43*$AC$25</f>
        <v>0</v>
      </c>
      <c r="I43" s="1072"/>
      <c r="J43" s="1044"/>
      <c r="K43" s="1044"/>
      <c r="L43" s="1071"/>
      <c r="M43" s="1044"/>
      <c r="N43" s="1071">
        <f>SUM(H43,J43,L43)*AR43</f>
        <v>0</v>
      </c>
      <c r="O43" s="1072"/>
      <c r="P43" s="1071">
        <f t="shared" si="9"/>
        <v>0</v>
      </c>
      <c r="Q43" s="1072"/>
      <c r="R43" s="1044">
        <f>SUM(H43:M43)</f>
        <v>0</v>
      </c>
      <c r="S43" s="1044"/>
      <c r="T43" s="1071">
        <f>$N$43</f>
        <v>0</v>
      </c>
      <c r="U43" s="1072"/>
      <c r="V43" s="270"/>
      <c r="W43" s="270"/>
      <c r="X43" s="270"/>
      <c r="Y43" s="270"/>
      <c r="Z43" s="270"/>
      <c r="AA43" s="270"/>
      <c r="AB43" s="270"/>
      <c r="AC43" s="270"/>
      <c r="AD43" s="270"/>
      <c r="AE43" s="270"/>
      <c r="AF43" s="270"/>
      <c r="AG43" s="270"/>
      <c r="AH43" s="270"/>
      <c r="AI43" s="270"/>
      <c r="AJ43" s="270"/>
      <c r="AK43" s="378"/>
      <c r="AL43" s="543"/>
      <c r="AM43" s="549"/>
      <c r="AN43" s="549"/>
      <c r="AO43" s="549"/>
      <c r="AP43" s="549"/>
      <c r="AQ43" s="549"/>
      <c r="AR43" s="550">
        <v>4.0030000000000001</v>
      </c>
      <c r="AS43" s="550"/>
      <c r="AT43" s="550"/>
      <c r="AU43" s="550"/>
      <c r="AV43" s="550"/>
      <c r="AW43" s="550"/>
      <c r="AX43" s="550"/>
      <c r="AY43" s="547"/>
      <c r="AZ43" s="493"/>
      <c r="BA43" s="493"/>
      <c r="BB43" s="493"/>
      <c r="BC43" s="493"/>
      <c r="BD43" s="493"/>
      <c r="BE43" s="493"/>
      <c r="BF43" s="493"/>
      <c r="BG43" s="493"/>
      <c r="BH43" s="493"/>
      <c r="BI43" s="493"/>
      <c r="BJ43" s="493"/>
      <c r="BK43" s="493"/>
      <c r="BL43" s="493"/>
      <c r="BM43" s="493"/>
      <c r="BN43" s="493"/>
      <c r="BO43" s="493"/>
      <c r="BP43" s="493"/>
      <c r="BQ43" s="493"/>
      <c r="BR43" s="493"/>
      <c r="BS43" s="493"/>
      <c r="BT43" s="493"/>
      <c r="BU43" s="493"/>
      <c r="BV43" s="493"/>
      <c r="BW43" s="493"/>
      <c r="BX43" s="493"/>
      <c r="BY43" s="493"/>
      <c r="BZ43" s="493"/>
      <c r="CA43" s="493"/>
      <c r="CB43" s="493"/>
      <c r="CC43" s="493"/>
      <c r="CD43" s="493"/>
      <c r="CE43" s="493"/>
      <c r="CF43" s="493"/>
      <c r="CG43" s="493"/>
      <c r="CH43" s="493"/>
      <c r="CI43" s="493"/>
      <c r="CJ43" s="493"/>
      <c r="CK43" s="493"/>
      <c r="CL43" s="493"/>
      <c r="CM43" s="493"/>
      <c r="CN43" s="493"/>
      <c r="CO43" s="493"/>
      <c r="CP43" s="493"/>
    </row>
    <row r="44" spans="1:94" s="494" customFormat="1" ht="14.25" customHeight="1">
      <c r="A44" s="375" t="s">
        <v>427</v>
      </c>
      <c r="B44" s="376"/>
      <c r="C44" s="376"/>
      <c r="D44" s="376"/>
      <c r="E44" s="376"/>
      <c r="F44" s="1049">
        <f>'LPF P&amp;P'!F44:G44</f>
        <v>0</v>
      </c>
      <c r="G44" s="1050"/>
      <c r="H44" s="1044">
        <f t="shared" si="0"/>
        <v>0</v>
      </c>
      <c r="I44" s="1072"/>
      <c r="J44" s="1044"/>
      <c r="K44" s="1044"/>
      <c r="L44" s="1071"/>
      <c r="M44" s="1044"/>
      <c r="N44" s="1071">
        <f t="shared" si="1"/>
        <v>0</v>
      </c>
      <c r="O44" s="1072"/>
      <c r="P44" s="1071">
        <f t="shared" si="9"/>
        <v>0</v>
      </c>
      <c r="Q44" s="1072"/>
      <c r="R44" s="1044">
        <f>T44/$AR44</f>
        <v>0</v>
      </c>
      <c r="S44" s="1044"/>
      <c r="T44" s="1071">
        <f>$W$22*N44</f>
        <v>0</v>
      </c>
      <c r="U44" s="1072"/>
      <c r="V44" s="270"/>
      <c r="W44" s="270"/>
      <c r="X44" s="270"/>
      <c r="Y44" s="270"/>
      <c r="Z44" s="270"/>
      <c r="AA44" s="270"/>
      <c r="AB44" s="270"/>
      <c r="AC44" s="270"/>
      <c r="AD44" s="270"/>
      <c r="AE44" s="270"/>
      <c r="AF44" s="270"/>
      <c r="AG44" s="270"/>
      <c r="AH44" s="270"/>
      <c r="AI44" s="270"/>
      <c r="AJ44" s="270"/>
      <c r="AK44" s="378"/>
      <c r="AL44" s="543"/>
      <c r="AM44" s="549"/>
      <c r="AN44" s="549">
        <v>2</v>
      </c>
      <c r="AO44" s="549"/>
      <c r="AP44" s="549"/>
      <c r="AQ44" s="549">
        <v>1</v>
      </c>
      <c r="AR44" s="550">
        <f t="shared" si="2"/>
        <v>34.015999999999998</v>
      </c>
      <c r="AS44" s="550">
        <f>AM44*1+AN44*0.25+AQ44*1</f>
        <v>1.5</v>
      </c>
      <c r="AT44" s="550">
        <f t="shared" si="4"/>
        <v>5.6428571428571432</v>
      </c>
      <c r="AU44" s="550">
        <f t="shared" si="5"/>
        <v>0</v>
      </c>
      <c r="AV44" s="550">
        <f t="shared" si="6"/>
        <v>1</v>
      </c>
      <c r="AW44" s="550">
        <f t="shared" si="7"/>
        <v>5.6428571428571432</v>
      </c>
      <c r="AX44" s="550">
        <f t="shared" si="8"/>
        <v>1</v>
      </c>
      <c r="AY44" s="547"/>
      <c r="AZ44" s="493"/>
      <c r="BA44" s="493"/>
      <c r="BB44" s="493"/>
      <c r="BC44" s="493"/>
      <c r="BD44" s="493"/>
      <c r="BE44" s="493"/>
      <c r="BF44" s="493"/>
      <c r="BG44" s="493"/>
      <c r="BH44" s="493"/>
      <c r="BI44" s="493"/>
      <c r="BJ44" s="493"/>
      <c r="BK44" s="493"/>
      <c r="BL44" s="493"/>
      <c r="BM44" s="493"/>
      <c r="BN44" s="493"/>
      <c r="BO44" s="493"/>
      <c r="BP44" s="493"/>
      <c r="BQ44" s="493"/>
      <c r="BR44" s="493"/>
      <c r="BS44" s="493"/>
      <c r="BT44" s="493"/>
      <c r="BU44" s="493"/>
      <c r="BV44" s="493"/>
      <c r="BW44" s="493"/>
      <c r="BX44" s="493"/>
      <c r="BY44" s="493"/>
      <c r="BZ44" s="493"/>
      <c r="CA44" s="493"/>
      <c r="CB44" s="493"/>
      <c r="CC44" s="493"/>
      <c r="CD44" s="493"/>
      <c r="CE44" s="493"/>
      <c r="CF44" s="493"/>
      <c r="CG44" s="493"/>
      <c r="CH44" s="493"/>
      <c r="CI44" s="493"/>
      <c r="CJ44" s="493"/>
      <c r="CK44" s="493"/>
      <c r="CL44" s="493"/>
      <c r="CM44" s="493"/>
      <c r="CN44" s="493"/>
      <c r="CO44" s="493"/>
      <c r="CP44" s="493"/>
    </row>
    <row r="45" spans="1:94" s="494" customFormat="1" ht="14.25" customHeight="1">
      <c r="A45" s="375" t="s">
        <v>428</v>
      </c>
      <c r="B45" s="376"/>
      <c r="C45" s="376"/>
      <c r="D45" s="376"/>
      <c r="E45" s="376"/>
      <c r="F45" s="1049">
        <f>'LPF P&amp;P'!F45:G45</f>
        <v>0</v>
      </c>
      <c r="G45" s="1050"/>
      <c r="H45" s="1044">
        <f t="shared" si="0"/>
        <v>0</v>
      </c>
      <c r="I45" s="1072"/>
      <c r="J45" s="1044">
        <f>SUMPRODUCT(H31:H52,AS31:AS52)-H45</f>
        <v>271.63209876543203</v>
      </c>
      <c r="K45" s="1044"/>
      <c r="L45" s="1071">
        <f>J45*0.15</f>
        <v>40.744814814814802</v>
      </c>
      <c r="M45" s="1044"/>
      <c r="N45" s="1071">
        <f>SUM(H45,J45,L45)*AR45</f>
        <v>9996.0612345678983</v>
      </c>
      <c r="O45" s="1072"/>
      <c r="P45" s="1071">
        <f t="shared" si="9"/>
        <v>2.5132938299761806E-2</v>
      </c>
      <c r="Q45" s="1072"/>
      <c r="R45" s="1044">
        <f>L45+SUMPRODUCT(R32:R44,$AS32:$AS44)</f>
        <v>40.804145250327664</v>
      </c>
      <c r="S45" s="1044"/>
      <c r="T45" s="1071">
        <f>R45*$AR45</f>
        <v>1305.7326480104853</v>
      </c>
      <c r="U45" s="1072"/>
      <c r="V45" s="1048"/>
      <c r="W45" s="1048"/>
      <c r="X45" s="1048"/>
      <c r="Y45" s="1048"/>
      <c r="Z45" s="1048"/>
      <c r="AA45" s="1048"/>
      <c r="AB45" s="1048"/>
      <c r="AC45" s="1048"/>
      <c r="AD45" s="1048"/>
      <c r="AE45" s="1048"/>
      <c r="AF45" s="1048"/>
      <c r="AG45" s="1048"/>
      <c r="AH45" s="1048"/>
      <c r="AI45" s="1048"/>
      <c r="AJ45" s="1048"/>
      <c r="AK45" s="1058"/>
      <c r="AL45" s="543"/>
      <c r="AM45" s="549"/>
      <c r="AN45" s="549"/>
      <c r="AO45" s="549">
        <v>2</v>
      </c>
      <c r="AP45" s="549"/>
      <c r="AQ45" s="549"/>
      <c r="AR45" s="550">
        <f t="shared" si="2"/>
        <v>32</v>
      </c>
      <c r="AS45" s="550">
        <f t="shared" si="3"/>
        <v>0</v>
      </c>
      <c r="AT45" s="550">
        <f t="shared" si="4"/>
        <v>0</v>
      </c>
      <c r="AU45" s="550">
        <f t="shared" si="5"/>
        <v>0</v>
      </c>
      <c r="AV45" s="550">
        <f t="shared" si="6"/>
        <v>0</v>
      </c>
      <c r="AW45" s="550">
        <f t="shared" si="7"/>
        <v>0</v>
      </c>
      <c r="AX45" s="550">
        <f t="shared" si="8"/>
        <v>0</v>
      </c>
      <c r="AY45" s="547"/>
      <c r="AZ45" s="493"/>
      <c r="BA45" s="493"/>
      <c r="BB45" s="493"/>
      <c r="BC45" s="493"/>
      <c r="BD45" s="493"/>
      <c r="BE45" s="493"/>
      <c r="BF45" s="493"/>
      <c r="BG45" s="493"/>
      <c r="BH45" s="493"/>
      <c r="BI45" s="493"/>
      <c r="BJ45" s="493"/>
      <c r="BK45" s="493"/>
      <c r="BL45" s="493"/>
      <c r="BM45" s="493"/>
      <c r="BN45" s="493"/>
      <c r="BO45" s="493"/>
      <c r="BP45" s="493"/>
      <c r="BQ45" s="493"/>
      <c r="BR45" s="493"/>
      <c r="BS45" s="493"/>
      <c r="BT45" s="493"/>
      <c r="BU45" s="493"/>
      <c r="BV45" s="493"/>
      <c r="BW45" s="493"/>
      <c r="BX45" s="493"/>
      <c r="BY45" s="493"/>
      <c r="BZ45" s="493"/>
      <c r="CA45" s="493"/>
      <c r="CB45" s="493"/>
      <c r="CC45" s="493"/>
      <c r="CD45" s="493"/>
      <c r="CE45" s="493"/>
      <c r="CF45" s="493"/>
      <c r="CG45" s="493"/>
      <c r="CH45" s="493"/>
      <c r="CI45" s="493"/>
      <c r="CJ45" s="493"/>
      <c r="CK45" s="493"/>
      <c r="CL45" s="493"/>
      <c r="CM45" s="493"/>
      <c r="CN45" s="493"/>
      <c r="CO45" s="493"/>
      <c r="CP45" s="493"/>
    </row>
    <row r="46" spans="1:94" s="494" customFormat="1" ht="14.25" customHeight="1">
      <c r="A46" s="375" t="s">
        <v>429</v>
      </c>
      <c r="B46" s="376"/>
      <c r="C46" s="376"/>
      <c r="D46" s="376"/>
      <c r="E46" s="376"/>
      <c r="F46" s="1049">
        <f>CO2eEF!M24</f>
        <v>1.5E-3</v>
      </c>
      <c r="G46" s="1050"/>
      <c r="H46" s="1044">
        <f t="shared" si="0"/>
        <v>0.20370370370370372</v>
      </c>
      <c r="I46" s="1072"/>
      <c r="J46" s="1044">
        <f>0.79/0.21*J45</f>
        <v>1021.8540858318635</v>
      </c>
      <c r="K46" s="1072"/>
      <c r="L46" s="1044">
        <f>0.79/0.21*L45</f>
        <v>153.27811287477951</v>
      </c>
      <c r="M46" s="1072"/>
      <c r="N46" s="1071">
        <f>SUM(H46,J46,L46)*AR46</f>
        <v>32909.40526748971</v>
      </c>
      <c r="O46" s="1072"/>
      <c r="P46" s="1071">
        <f t="shared" si="9"/>
        <v>0.72370046216066475</v>
      </c>
      <c r="Q46" s="1072"/>
      <c r="R46" s="1044">
        <f>$H46+J46+L46-R49</f>
        <v>1174.951309851936</v>
      </c>
      <c r="S46" s="1044"/>
      <c r="T46" s="1071">
        <f>R46*$AR46</f>
        <v>32898.636675854206</v>
      </c>
      <c r="U46" s="1072"/>
      <c r="V46" s="1048"/>
      <c r="W46" s="1048"/>
      <c r="X46" s="1048"/>
      <c r="Y46" s="1048"/>
      <c r="Z46" s="1048"/>
      <c r="AA46" s="1048"/>
      <c r="AB46" s="1048"/>
      <c r="AC46" s="1048"/>
      <c r="AD46" s="1048"/>
      <c r="AE46" s="1048"/>
      <c r="AF46" s="1048"/>
      <c r="AG46" s="1048"/>
      <c r="AH46" s="1048"/>
      <c r="AI46" s="1048"/>
      <c r="AJ46" s="1048"/>
      <c r="AK46" s="1058"/>
      <c r="AL46" s="543"/>
      <c r="AM46" s="549"/>
      <c r="AN46" s="549"/>
      <c r="AO46" s="549"/>
      <c r="AP46" s="549">
        <v>2</v>
      </c>
      <c r="AQ46" s="549"/>
      <c r="AR46" s="550">
        <f t="shared" si="2"/>
        <v>28</v>
      </c>
      <c r="AS46" s="550">
        <f t="shared" si="3"/>
        <v>0</v>
      </c>
      <c r="AT46" s="550">
        <f t="shared" si="4"/>
        <v>0</v>
      </c>
      <c r="AU46" s="550">
        <f t="shared" si="5"/>
        <v>0</v>
      </c>
      <c r="AV46" s="550">
        <f t="shared" si="6"/>
        <v>0</v>
      </c>
      <c r="AW46" s="550">
        <f t="shared" si="7"/>
        <v>1</v>
      </c>
      <c r="AX46" s="550">
        <f t="shared" si="8"/>
        <v>0</v>
      </c>
      <c r="AY46" s="547"/>
      <c r="AZ46" s="493"/>
      <c r="BA46" s="493"/>
      <c r="BB46" s="493"/>
      <c r="BC46" s="493"/>
      <c r="BD46" s="493"/>
      <c r="BE46" s="493"/>
      <c r="BF46" s="493"/>
      <c r="BG46" s="493"/>
      <c r="BH46" s="493"/>
      <c r="BI46" s="493"/>
      <c r="BJ46" s="493"/>
      <c r="BK46" s="493"/>
      <c r="BL46" s="493"/>
      <c r="BM46" s="493"/>
      <c r="BN46" s="493"/>
      <c r="BO46" s="493"/>
      <c r="BP46" s="493"/>
      <c r="BQ46" s="493"/>
      <c r="BR46" s="493"/>
      <c r="BS46" s="493"/>
      <c r="BT46" s="493"/>
      <c r="BU46" s="493"/>
      <c r="BV46" s="493"/>
      <c r="BW46" s="493"/>
      <c r="BX46" s="493"/>
      <c r="BY46" s="493"/>
      <c r="BZ46" s="493"/>
      <c r="CA46" s="493"/>
      <c r="CB46" s="493"/>
      <c r="CC46" s="493"/>
      <c r="CD46" s="493"/>
      <c r="CE46" s="493"/>
      <c r="CF46" s="493"/>
      <c r="CG46" s="493"/>
      <c r="CH46" s="493"/>
      <c r="CI46" s="493"/>
      <c r="CJ46" s="493"/>
      <c r="CK46" s="493"/>
      <c r="CL46" s="493"/>
      <c r="CM46" s="493"/>
      <c r="CN46" s="493"/>
      <c r="CO46" s="493"/>
      <c r="CP46" s="493"/>
    </row>
    <row r="47" spans="1:94" s="494" customFormat="1" ht="14.25" customHeight="1">
      <c r="A47" s="375" t="s">
        <v>115</v>
      </c>
      <c r="B47" s="376"/>
      <c r="C47" s="376"/>
      <c r="D47" s="376"/>
      <c r="E47" s="376"/>
      <c r="F47" s="1049">
        <f>'LPF P&amp;P'!F47:G47</f>
        <v>0</v>
      </c>
      <c r="G47" s="1050"/>
      <c r="H47" s="1044">
        <f t="shared" si="0"/>
        <v>0</v>
      </c>
      <c r="I47" s="1072"/>
      <c r="J47" s="1044"/>
      <c r="K47" s="1044"/>
      <c r="L47" s="1071"/>
      <c r="M47" s="1044"/>
      <c r="N47" s="1071">
        <f t="shared" si="1"/>
        <v>0</v>
      </c>
      <c r="O47" s="1072"/>
      <c r="P47" s="1071">
        <f t="shared" si="9"/>
        <v>9.9689278735327341E-5</v>
      </c>
      <c r="Q47" s="1072"/>
      <c r="R47" s="1044">
        <f>T47/$AR$47</f>
        <v>0.16184879622512141</v>
      </c>
      <c r="S47" s="1044"/>
      <c r="T47" s="1071">
        <f>$AC17*$X25</f>
        <v>4.5333847822656503</v>
      </c>
      <c r="U47" s="1072"/>
      <c r="V47" s="1048"/>
      <c r="W47" s="1048"/>
      <c r="X47" s="1048"/>
      <c r="Y47" s="1048"/>
      <c r="Z47" s="1048"/>
      <c r="AA47" s="1048"/>
      <c r="AB47" s="1048"/>
      <c r="AC47" s="1048"/>
      <c r="AD47" s="1048"/>
      <c r="AE47" s="1048"/>
      <c r="AF47" s="1048"/>
      <c r="AG47" s="1048"/>
      <c r="AH47" s="1048"/>
      <c r="AI47" s="1048"/>
      <c r="AJ47" s="1048"/>
      <c r="AK47" s="1058"/>
      <c r="AL47" s="543"/>
      <c r="AM47" s="552">
        <v>1</v>
      </c>
      <c r="AN47" s="552"/>
      <c r="AO47" s="552">
        <v>1</v>
      </c>
      <c r="AP47" s="552"/>
      <c r="AQ47" s="552"/>
      <c r="AR47" s="550">
        <f t="shared" si="2"/>
        <v>28.009999999999998</v>
      </c>
      <c r="AS47" s="550"/>
      <c r="AT47" s="553"/>
      <c r="AU47" s="553"/>
      <c r="AV47" s="553"/>
      <c r="AW47" s="553"/>
      <c r="AX47" s="553"/>
      <c r="AY47" s="547"/>
      <c r="AZ47" s="493"/>
      <c r="BA47" s="493"/>
      <c r="BB47" s="493"/>
      <c r="BC47" s="493"/>
      <c r="BD47" s="493"/>
      <c r="BE47" s="493"/>
      <c r="BF47" s="493"/>
      <c r="BG47" s="493"/>
      <c r="BH47" s="493"/>
      <c r="BI47" s="493"/>
      <c r="BJ47" s="493"/>
      <c r="BK47" s="493"/>
      <c r="BL47" s="493"/>
      <c r="BM47" s="493"/>
      <c r="BN47" s="493"/>
      <c r="BO47" s="493"/>
      <c r="BP47" s="493"/>
      <c r="BQ47" s="493"/>
      <c r="BR47" s="493"/>
      <c r="BS47" s="493"/>
      <c r="BT47" s="493"/>
      <c r="BU47" s="493"/>
      <c r="BV47" s="493"/>
      <c r="BW47" s="493"/>
      <c r="BX47" s="493"/>
      <c r="BY47" s="493"/>
      <c r="BZ47" s="493"/>
      <c r="CA47" s="493"/>
      <c r="CB47" s="493"/>
      <c r="CC47" s="493"/>
      <c r="CD47" s="493"/>
      <c r="CE47" s="493"/>
      <c r="CF47" s="493"/>
      <c r="CG47" s="493"/>
      <c r="CH47" s="493"/>
      <c r="CI47" s="493"/>
      <c r="CJ47" s="493"/>
      <c r="CK47" s="493"/>
      <c r="CL47" s="493"/>
      <c r="CM47" s="493"/>
      <c r="CN47" s="493"/>
      <c r="CO47" s="493"/>
      <c r="CP47" s="493"/>
    </row>
    <row r="48" spans="1:94" s="494" customFormat="1" ht="14.25" customHeight="1">
      <c r="A48" s="375" t="s">
        <v>126</v>
      </c>
      <c r="B48" s="376"/>
      <c r="C48" s="376"/>
      <c r="D48" s="376"/>
      <c r="E48" s="376"/>
      <c r="F48" s="1049">
        <f>CO2eEF!M25</f>
        <v>8.0000000000000004E-4</v>
      </c>
      <c r="G48" s="1050"/>
      <c r="H48" s="1044">
        <f t="shared" si="0"/>
        <v>0.10864197530864199</v>
      </c>
      <c r="I48" s="1072"/>
      <c r="J48" s="1044"/>
      <c r="K48" s="1044"/>
      <c r="L48" s="1071"/>
      <c r="M48" s="1044"/>
      <c r="N48" s="1071">
        <f t="shared" si="1"/>
        <v>4.7813333333333334</v>
      </c>
      <c r="O48" s="1072"/>
      <c r="P48" s="1071">
        <f t="shared" si="9"/>
        <v>8.3670516768369826E-2</v>
      </c>
      <c r="Q48" s="1072"/>
      <c r="R48" s="1044">
        <f>SUMPRODUCT($H31:$H52,$AU31:$AU52)+$H48-R47-SUMPRODUCT(R32:R42,$AU32:$AU42)</f>
        <v>135.84181358607384</v>
      </c>
      <c r="S48" s="1044"/>
      <c r="T48" s="1071">
        <f>R48*$AR48</f>
        <v>5978.3982159231091</v>
      </c>
      <c r="U48" s="1072"/>
      <c r="V48" s="1048"/>
      <c r="W48" s="1048"/>
      <c r="X48" s="1048"/>
      <c r="Y48" s="1048"/>
      <c r="Z48" s="1048"/>
      <c r="AA48" s="1048"/>
      <c r="AB48" s="1048"/>
      <c r="AC48" s="1048"/>
      <c r="AD48" s="1048"/>
      <c r="AE48" s="1048"/>
      <c r="AF48" s="1048"/>
      <c r="AG48" s="1048"/>
      <c r="AH48" s="1048"/>
      <c r="AI48" s="1048"/>
      <c r="AJ48" s="1048"/>
      <c r="AK48" s="1058"/>
      <c r="AL48" s="543"/>
      <c r="AM48" s="549">
        <v>1</v>
      </c>
      <c r="AN48" s="549"/>
      <c r="AO48" s="549">
        <v>2</v>
      </c>
      <c r="AP48" s="549"/>
      <c r="AQ48" s="549"/>
      <c r="AR48" s="550">
        <f>AM48*12.01+AN48*1.008+AO48*16+AP48*14+AQ48*32</f>
        <v>44.01</v>
      </c>
      <c r="AS48" s="550"/>
      <c r="AT48" s="550"/>
      <c r="AU48" s="550"/>
      <c r="AV48" s="550"/>
      <c r="AW48" s="550"/>
      <c r="AX48" s="550"/>
      <c r="AY48" s="547"/>
      <c r="AZ48" s="493"/>
      <c r="BA48" s="493"/>
      <c r="BB48" s="493"/>
      <c r="BC48" s="493"/>
      <c r="BD48" s="493"/>
      <c r="BE48" s="493"/>
      <c r="BF48" s="493"/>
      <c r="BG48" s="493"/>
      <c r="BH48" s="493"/>
      <c r="BI48" s="493"/>
      <c r="BJ48" s="493"/>
      <c r="BK48" s="493"/>
      <c r="BL48" s="493"/>
      <c r="BM48" s="493"/>
      <c r="BN48" s="493"/>
      <c r="BO48" s="493"/>
      <c r="BP48" s="493"/>
      <c r="BQ48" s="493"/>
      <c r="BR48" s="493"/>
      <c r="BS48" s="493"/>
      <c r="BT48" s="493"/>
      <c r="BU48" s="493"/>
      <c r="BV48" s="493"/>
      <c r="BW48" s="493"/>
      <c r="BX48" s="493"/>
      <c r="BY48" s="493"/>
      <c r="BZ48" s="493"/>
      <c r="CA48" s="493"/>
      <c r="CB48" s="493"/>
      <c r="CC48" s="493"/>
      <c r="CD48" s="493"/>
      <c r="CE48" s="493"/>
      <c r="CF48" s="493"/>
      <c r="CG48" s="493"/>
      <c r="CH48" s="493"/>
      <c r="CI48" s="493"/>
      <c r="CJ48" s="493"/>
      <c r="CK48" s="493"/>
      <c r="CL48" s="493"/>
      <c r="CM48" s="493"/>
      <c r="CN48" s="493"/>
      <c r="CO48" s="493"/>
      <c r="CP48" s="493"/>
    </row>
    <row r="49" spans="1:94" s="494" customFormat="1" ht="14.25" customHeight="1">
      <c r="A49" s="375" t="s">
        <v>430</v>
      </c>
      <c r="B49" s="376"/>
      <c r="C49" s="376"/>
      <c r="D49" s="376"/>
      <c r="E49" s="376"/>
      <c r="F49" s="1049">
        <f>'LPF P&amp;P'!F49:G49</f>
        <v>0</v>
      </c>
      <c r="G49" s="1050"/>
      <c r="H49" s="1044">
        <f t="shared" si="0"/>
        <v>0</v>
      </c>
      <c r="I49" s="1072"/>
      <c r="J49" s="1044"/>
      <c r="K49" s="1044"/>
      <c r="L49" s="1071"/>
      <c r="M49" s="1044"/>
      <c r="N49" s="1071">
        <f t="shared" si="1"/>
        <v>0</v>
      </c>
      <c r="O49" s="1072"/>
      <c r="P49" s="1071">
        <f>R49/$R$53</f>
        <v>2.3688625216343746E-4</v>
      </c>
      <c r="Q49" s="1072"/>
      <c r="R49" s="1044">
        <f>T49/$AR49</f>
        <v>0.3845925584106597</v>
      </c>
      <c r="S49" s="1044"/>
      <c r="T49" s="1071">
        <f>$W17*$X25</f>
        <v>17.691257686890346</v>
      </c>
      <c r="U49" s="1072"/>
      <c r="V49" s="1048"/>
      <c r="W49" s="1048"/>
      <c r="X49" s="1048"/>
      <c r="Y49" s="1048"/>
      <c r="Z49" s="1048"/>
      <c r="AA49" s="1048"/>
      <c r="AB49" s="1048"/>
      <c r="AC49" s="1048"/>
      <c r="AD49" s="1048"/>
      <c r="AE49" s="1048"/>
      <c r="AF49" s="1048"/>
      <c r="AG49" s="1048"/>
      <c r="AH49" s="1048"/>
      <c r="AI49" s="1048"/>
      <c r="AJ49" s="1048"/>
      <c r="AK49" s="1058"/>
      <c r="AL49" s="543"/>
      <c r="AM49" s="552"/>
      <c r="AN49" s="552"/>
      <c r="AO49" s="552">
        <v>2</v>
      </c>
      <c r="AP49" s="552">
        <v>1</v>
      </c>
      <c r="AQ49" s="552"/>
      <c r="AR49" s="550">
        <f>AM49*12.01+AN49*1.008+AO49*16+AP49*14+AQ49*32</f>
        <v>46</v>
      </c>
      <c r="AS49" s="550"/>
      <c r="AT49" s="553"/>
      <c r="AU49" s="553"/>
      <c r="AV49" s="553"/>
      <c r="AW49" s="553"/>
      <c r="AX49" s="553"/>
      <c r="AY49" s="547"/>
      <c r="AZ49" s="493"/>
      <c r="BA49" s="493"/>
      <c r="BB49" s="493"/>
      <c r="BC49" s="493"/>
      <c r="BD49" s="493"/>
      <c r="BE49" s="493"/>
      <c r="BF49" s="493"/>
      <c r="BG49" s="493"/>
      <c r="BH49" s="493"/>
      <c r="BI49" s="493"/>
      <c r="BJ49" s="493"/>
      <c r="BK49" s="493"/>
      <c r="BL49" s="493"/>
      <c r="BM49" s="493"/>
      <c r="BN49" s="493"/>
      <c r="BO49" s="493"/>
      <c r="BP49" s="493"/>
      <c r="BQ49" s="493"/>
      <c r="BR49" s="493"/>
      <c r="BS49" s="493"/>
      <c r="BT49" s="493"/>
      <c r="BU49" s="493"/>
      <c r="BV49" s="493"/>
      <c r="BW49" s="493"/>
      <c r="BX49" s="493"/>
      <c r="BY49" s="493"/>
      <c r="BZ49" s="493"/>
      <c r="CA49" s="493"/>
      <c r="CB49" s="493"/>
      <c r="CC49" s="493"/>
      <c r="CD49" s="493"/>
      <c r="CE49" s="493"/>
      <c r="CF49" s="493"/>
      <c r="CG49" s="493"/>
      <c r="CH49" s="493"/>
      <c r="CI49" s="493"/>
      <c r="CJ49" s="493"/>
      <c r="CK49" s="493"/>
      <c r="CL49" s="493"/>
      <c r="CM49" s="493"/>
      <c r="CN49" s="493"/>
      <c r="CO49" s="493"/>
      <c r="CP49" s="493"/>
    </row>
    <row r="50" spans="1:94" s="494" customFormat="1" ht="14.25" customHeight="1">
      <c r="A50" s="375" t="s">
        <v>125</v>
      </c>
      <c r="B50" s="376"/>
      <c r="C50" s="376"/>
      <c r="D50" s="376"/>
      <c r="E50" s="376"/>
      <c r="F50" s="1049">
        <v>0</v>
      </c>
      <c r="G50" s="1050"/>
      <c r="H50" s="1044"/>
      <c r="I50" s="1072"/>
      <c r="J50" s="1044"/>
      <c r="K50" s="1044"/>
      <c r="L50" s="1071"/>
      <c r="M50" s="1044"/>
      <c r="N50" s="1071">
        <f>SUM(H50,J50,L50)*AR50</f>
        <v>0</v>
      </c>
      <c r="O50" s="1072"/>
      <c r="P50" s="1071">
        <f>R50/$R$53</f>
        <v>2.3217544601246002E-6</v>
      </c>
      <c r="Q50" s="1072"/>
      <c r="R50" s="1044">
        <f>T50/$AR50</f>
        <v>3.7694441094226591E-3</v>
      </c>
      <c r="S50" s="1044"/>
      <c r="T50" s="1071">
        <f>AC22*X25</f>
        <v>0.165855540814597</v>
      </c>
      <c r="U50" s="1072"/>
      <c r="V50" s="1048"/>
      <c r="W50" s="1048"/>
      <c r="X50" s="1048"/>
      <c r="Y50" s="1048"/>
      <c r="Z50" s="1048"/>
      <c r="AA50" s="1048"/>
      <c r="AB50" s="1048"/>
      <c r="AC50" s="1048"/>
      <c r="AD50" s="1048"/>
      <c r="AE50" s="1048"/>
      <c r="AF50" s="1048"/>
      <c r="AG50" s="1048"/>
      <c r="AH50" s="1048"/>
      <c r="AI50" s="1048"/>
      <c r="AJ50" s="1048"/>
      <c r="AK50" s="1058"/>
      <c r="AL50" s="543"/>
      <c r="AM50" s="552"/>
      <c r="AN50" s="552"/>
      <c r="AO50" s="552">
        <v>1</v>
      </c>
      <c r="AP50" s="552">
        <v>2</v>
      </c>
      <c r="AQ50" s="552"/>
      <c r="AR50" s="550">
        <f>AM50*12.01+AN50*1.008+AO50*16+AP50*14+AQ50*32</f>
        <v>44</v>
      </c>
      <c r="AS50" s="550"/>
      <c r="AT50" s="553"/>
      <c r="AU50" s="553"/>
      <c r="AV50" s="553"/>
      <c r="AW50" s="553"/>
      <c r="AX50" s="553"/>
      <c r="AY50" s="547"/>
      <c r="AZ50" s="493"/>
      <c r="BA50" s="493"/>
      <c r="BB50" s="493"/>
      <c r="BC50" s="493"/>
      <c r="BD50" s="493"/>
      <c r="BE50" s="493"/>
      <c r="BF50" s="493"/>
      <c r="BG50" s="493"/>
      <c r="BH50" s="493"/>
      <c r="BI50" s="493"/>
      <c r="BJ50" s="493"/>
      <c r="BK50" s="493"/>
      <c r="BL50" s="493"/>
      <c r="BM50" s="493"/>
      <c r="BN50" s="493"/>
      <c r="BO50" s="493"/>
      <c r="BP50" s="493"/>
      <c r="BQ50" s="493"/>
      <c r="BR50" s="493"/>
      <c r="BS50" s="493"/>
      <c r="BT50" s="493"/>
      <c r="BU50" s="493"/>
      <c r="BV50" s="493"/>
      <c r="BW50" s="493"/>
      <c r="BX50" s="493"/>
      <c r="BY50" s="493"/>
      <c r="BZ50" s="493"/>
      <c r="CA50" s="493"/>
      <c r="CB50" s="493"/>
      <c r="CC50" s="493"/>
      <c r="CD50" s="493"/>
      <c r="CE50" s="493"/>
      <c r="CF50" s="493"/>
      <c r="CG50" s="493"/>
      <c r="CH50" s="493"/>
      <c r="CI50" s="493"/>
      <c r="CJ50" s="493"/>
      <c r="CK50" s="493"/>
      <c r="CL50" s="493"/>
      <c r="CM50" s="493"/>
      <c r="CN50" s="493"/>
      <c r="CO50" s="493"/>
      <c r="CP50" s="493"/>
    </row>
    <row r="51" spans="1:94" s="494" customFormat="1" ht="14.25" customHeight="1">
      <c r="A51" s="375" t="s">
        <v>124</v>
      </c>
      <c r="B51" s="376"/>
      <c r="C51" s="376"/>
      <c r="D51" s="376"/>
      <c r="E51" s="376"/>
      <c r="F51" s="1049">
        <f>'LPF P&amp;P'!F50:G50</f>
        <v>0</v>
      </c>
      <c r="G51" s="1050"/>
      <c r="H51" s="1044">
        <f t="shared" si="0"/>
        <v>0</v>
      </c>
      <c r="I51" s="1072"/>
      <c r="J51" s="1044"/>
      <c r="K51" s="1044"/>
      <c r="L51" s="1071"/>
      <c r="M51" s="1044"/>
      <c r="N51" s="1071">
        <f t="shared" si="1"/>
        <v>0</v>
      </c>
      <c r="O51" s="1072"/>
      <c r="P51" s="1071">
        <f t="shared" si="9"/>
        <v>0</v>
      </c>
      <c r="Q51" s="1072"/>
      <c r="R51" s="1044">
        <f>T51/$AR51</f>
        <v>0</v>
      </c>
      <c r="S51" s="1044"/>
      <c r="T51" s="1071">
        <f>Q22*X25</f>
        <v>0</v>
      </c>
      <c r="U51" s="1072"/>
      <c r="V51" s="1048"/>
      <c r="W51" s="1048"/>
      <c r="X51" s="1048"/>
      <c r="Y51" s="1048"/>
      <c r="Z51" s="1048"/>
      <c r="AA51" s="1048"/>
      <c r="AB51" s="1048"/>
      <c r="AC51" s="1048"/>
      <c r="AD51" s="1048"/>
      <c r="AE51" s="1048"/>
      <c r="AF51" s="1048"/>
      <c r="AG51" s="1048"/>
      <c r="AH51" s="1048"/>
      <c r="AI51" s="1048"/>
      <c r="AJ51" s="1048"/>
      <c r="AK51" s="1058"/>
      <c r="AL51" s="543"/>
      <c r="AM51" s="552"/>
      <c r="AN51" s="552"/>
      <c r="AO51" s="552">
        <v>2</v>
      </c>
      <c r="AP51" s="552"/>
      <c r="AQ51" s="552">
        <v>1</v>
      </c>
      <c r="AR51" s="550">
        <f>AM51*12.01+AN51*1.008+AO51*16+AP51*14+AQ51*32</f>
        <v>64</v>
      </c>
      <c r="AS51" s="550"/>
      <c r="AT51" s="553"/>
      <c r="AU51" s="553"/>
      <c r="AV51" s="553"/>
      <c r="AW51" s="553"/>
      <c r="AX51" s="553"/>
      <c r="AY51" s="547"/>
      <c r="AZ51" s="493"/>
      <c r="BA51" s="493"/>
      <c r="BB51" s="493"/>
      <c r="BC51" s="493"/>
      <c r="BD51" s="493"/>
      <c r="BE51" s="493"/>
      <c r="BF51" s="493"/>
      <c r="BG51" s="493"/>
      <c r="BH51" s="493"/>
      <c r="BI51" s="493"/>
      <c r="BJ51" s="493"/>
      <c r="BK51" s="493"/>
      <c r="BL51" s="493"/>
      <c r="BM51" s="493"/>
      <c r="BN51" s="493"/>
      <c r="BO51" s="493"/>
      <c r="BP51" s="493"/>
      <c r="BQ51" s="493"/>
      <c r="BR51" s="493"/>
      <c r="BS51" s="493"/>
      <c r="BT51" s="493"/>
      <c r="BU51" s="493"/>
      <c r="BV51" s="493"/>
      <c r="BW51" s="493"/>
      <c r="BX51" s="493"/>
      <c r="BY51" s="493"/>
      <c r="BZ51" s="493"/>
      <c r="CA51" s="493"/>
      <c r="CB51" s="493"/>
      <c r="CC51" s="493"/>
      <c r="CD51" s="493"/>
      <c r="CE51" s="493"/>
      <c r="CF51" s="493"/>
      <c r="CG51" s="493"/>
      <c r="CH51" s="493"/>
      <c r="CI51" s="493"/>
      <c r="CJ51" s="493"/>
      <c r="CK51" s="493"/>
      <c r="CL51" s="493"/>
      <c r="CM51" s="493"/>
      <c r="CN51" s="493"/>
      <c r="CO51" s="493"/>
      <c r="CP51" s="493"/>
    </row>
    <row r="52" spans="1:94" s="494" customFormat="1" ht="14.25" customHeight="1">
      <c r="A52" s="385" t="s">
        <v>431</v>
      </c>
      <c r="B52" s="386"/>
      <c r="C52" s="386"/>
      <c r="D52" s="386"/>
      <c r="E52" s="386"/>
      <c r="F52" s="1049">
        <f>'LPF P&amp;P'!F51:G51</f>
        <v>0</v>
      </c>
      <c r="G52" s="1050"/>
      <c r="H52" s="1044">
        <f t="shared" si="0"/>
        <v>0</v>
      </c>
      <c r="I52" s="1072"/>
      <c r="J52" s="1048"/>
      <c r="K52" s="1048"/>
      <c r="L52" s="1099"/>
      <c r="M52" s="1048"/>
      <c r="N52" s="1071">
        <f t="shared" si="1"/>
        <v>0</v>
      </c>
      <c r="O52" s="1072"/>
      <c r="P52" s="1128">
        <f t="shared" si="9"/>
        <v>0.16713892406165401</v>
      </c>
      <c r="Q52" s="1130"/>
      <c r="R52" s="1044">
        <f>SUMPRODUCT(H31:H52,$AV31:$AV52)+H52-SUMPRODUCT(R32:R42,$AV32:$AV42)</f>
        <v>271.35549584585783</v>
      </c>
      <c r="S52" s="1044"/>
      <c r="T52" s="1099">
        <f>R52*$AR52</f>
        <v>4888.7406131589742</v>
      </c>
      <c r="U52" s="1058"/>
      <c r="V52" s="1048"/>
      <c r="W52" s="1048"/>
      <c r="X52" s="1048"/>
      <c r="Y52" s="1048"/>
      <c r="Z52" s="1048"/>
      <c r="AA52" s="1048"/>
      <c r="AB52" s="1048"/>
      <c r="AC52" s="1048"/>
      <c r="AD52" s="1048"/>
      <c r="AE52" s="1048"/>
      <c r="AF52" s="1048"/>
      <c r="AG52" s="1048"/>
      <c r="AH52" s="1048"/>
      <c r="AI52" s="1048"/>
      <c r="AJ52" s="1048"/>
      <c r="AK52" s="1058"/>
      <c r="AL52" s="543"/>
      <c r="AM52" s="554"/>
      <c r="AN52" s="554">
        <v>2</v>
      </c>
      <c r="AO52" s="554">
        <v>1</v>
      </c>
      <c r="AP52" s="554"/>
      <c r="AQ52" s="554"/>
      <c r="AR52" s="555">
        <f>AM52*12.01+AN52*1.008+AO52*16+AP52*14+AQ52*32</f>
        <v>18.015999999999998</v>
      </c>
      <c r="AS52" s="555"/>
      <c r="AT52" s="556"/>
      <c r="AU52" s="556"/>
      <c r="AV52" s="556"/>
      <c r="AW52" s="556"/>
      <c r="AX52" s="556"/>
      <c r="AY52" s="547"/>
      <c r="AZ52" s="493"/>
      <c r="BA52" s="493"/>
      <c r="BB52" s="493"/>
      <c r="BC52" s="493"/>
      <c r="BD52" s="493"/>
      <c r="BE52" s="493"/>
      <c r="BF52" s="493"/>
      <c r="BG52" s="493"/>
      <c r="BH52" s="493"/>
      <c r="BI52" s="493"/>
      <c r="BJ52" s="493"/>
      <c r="BK52" s="493"/>
      <c r="BL52" s="493"/>
      <c r="BM52" s="493"/>
      <c r="BN52" s="493"/>
      <c r="BO52" s="493"/>
      <c r="BP52" s="493"/>
      <c r="BQ52" s="493"/>
      <c r="BR52" s="493"/>
      <c r="BS52" s="493"/>
      <c r="BT52" s="493"/>
      <c r="BU52" s="493"/>
      <c r="BV52" s="493"/>
      <c r="BW52" s="493"/>
      <c r="BX52" s="493"/>
      <c r="BY52" s="493"/>
      <c r="BZ52" s="493"/>
      <c r="CA52" s="493"/>
      <c r="CB52" s="493"/>
      <c r="CC52" s="493"/>
      <c r="CD52" s="493"/>
      <c r="CE52" s="493"/>
      <c r="CF52" s="493"/>
      <c r="CG52" s="493"/>
      <c r="CH52" s="493"/>
      <c r="CI52" s="493"/>
      <c r="CJ52" s="493"/>
      <c r="CK52" s="493"/>
      <c r="CL52" s="493"/>
      <c r="CM52" s="493"/>
      <c r="CN52" s="493"/>
      <c r="CO52" s="493"/>
      <c r="CP52" s="493"/>
    </row>
    <row r="53" spans="1:94" s="129" customFormat="1" ht="14.25" customHeight="1">
      <c r="A53" s="1035" t="s">
        <v>663</v>
      </c>
      <c r="B53" s="1036"/>
      <c r="C53" s="1036"/>
      <c r="D53" s="1036"/>
      <c r="E53" s="1037"/>
      <c r="F53" s="1128">
        <f>SUM(F31:F52)</f>
        <v>0.99999999999999989</v>
      </c>
      <c r="G53" s="1129"/>
      <c r="H53" s="1237">
        <f>SUM(H31:H52)</f>
        <v>135.80246913580248</v>
      </c>
      <c r="I53" s="1238"/>
      <c r="J53" s="1239">
        <f>SUM(J31:J52)</f>
        <v>1293.4861845972955</v>
      </c>
      <c r="K53" s="1239"/>
      <c r="L53" s="1237">
        <f>SUM(L31:L52)</f>
        <v>194.02292768959433</v>
      </c>
      <c r="M53" s="1239"/>
      <c r="N53" s="1237">
        <f>SUM(N31:N52)</f>
        <v>45089.875645267486</v>
      </c>
      <c r="O53" s="1238"/>
      <c r="P53" s="1237">
        <f>SUM(P31:P52)</f>
        <v>1</v>
      </c>
      <c r="Q53" s="1238"/>
      <c r="R53" s="1237">
        <f>SUM(R31:R52)</f>
        <v>1623.5326233508631</v>
      </c>
      <c r="S53" s="1238"/>
      <c r="T53" s="1237">
        <f>SUM(T31:T52)</f>
        <v>45094.37458612008</v>
      </c>
      <c r="U53" s="1238"/>
      <c r="V53" s="1048"/>
      <c r="W53" s="1048"/>
      <c r="X53" s="1048"/>
      <c r="Y53" s="1048"/>
      <c r="Z53" s="1048"/>
      <c r="AA53" s="1048"/>
      <c r="AB53" s="1048"/>
      <c r="AC53" s="1048"/>
      <c r="AD53" s="1048"/>
      <c r="AE53" s="1048"/>
      <c r="AF53" s="1048"/>
      <c r="AG53" s="1048"/>
      <c r="AH53" s="1048"/>
      <c r="AI53" s="1048"/>
      <c r="AJ53" s="1048"/>
      <c r="AK53" s="1058"/>
      <c r="AL53" s="543"/>
      <c r="AM53" s="547"/>
      <c r="AN53" s="547"/>
      <c r="AO53" s="547"/>
      <c r="AP53" s="547"/>
      <c r="AQ53" s="547"/>
      <c r="AR53" s="557"/>
      <c r="AS53" s="557"/>
      <c r="AT53" s="558"/>
      <c r="AU53" s="558"/>
      <c r="AV53" s="558"/>
      <c r="AW53" s="558"/>
      <c r="AX53" s="558"/>
      <c r="AY53" s="547"/>
      <c r="AZ53" s="493"/>
      <c r="BA53" s="493"/>
      <c r="BB53" s="493"/>
      <c r="BC53" s="493"/>
      <c r="BD53" s="493"/>
      <c r="BE53" s="493"/>
      <c r="BF53" s="493"/>
      <c r="BG53" s="493"/>
      <c r="BH53" s="493"/>
      <c r="BI53" s="493"/>
      <c r="BJ53" s="493"/>
      <c r="BK53" s="493"/>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row>
    <row r="54" spans="1:94" s="129" customFormat="1" ht="14.25" customHeight="1">
      <c r="A54" s="559" t="s">
        <v>665</v>
      </c>
      <c r="B54" s="291"/>
      <c r="C54" s="291"/>
      <c r="D54" s="291"/>
      <c r="E54" s="27"/>
      <c r="F54" s="27"/>
      <c r="G54" s="27"/>
      <c r="H54" s="27"/>
      <c r="I54" s="27"/>
      <c r="J54" s="27"/>
      <c r="K54" s="31"/>
      <c r="L54" s="1189" t="s">
        <v>666</v>
      </c>
      <c r="M54" s="1190"/>
      <c r="N54" s="389"/>
      <c r="O54" s="389"/>
      <c r="P54" s="389"/>
      <c r="Q54" s="389"/>
      <c r="R54" s="389"/>
      <c r="S54" s="389"/>
      <c r="T54" s="389"/>
      <c r="U54" s="389"/>
      <c r="V54" s="270"/>
      <c r="W54" s="270"/>
      <c r="X54" s="560"/>
      <c r="Y54" s="560"/>
      <c r="Z54" s="560"/>
      <c r="AA54" s="560"/>
      <c r="AB54" s="560"/>
      <c r="AC54" s="560"/>
      <c r="AD54" s="560"/>
      <c r="AE54" s="560"/>
      <c r="AF54" s="560"/>
      <c r="AG54" s="270"/>
      <c r="AH54" s="270"/>
      <c r="AI54" s="270"/>
      <c r="AJ54" s="270"/>
      <c r="AK54" s="561"/>
      <c r="AL54" s="193"/>
      <c r="AM54" s="562"/>
      <c r="AN54" s="562"/>
      <c r="AO54" s="562"/>
      <c r="AP54" s="562"/>
      <c r="AQ54" s="562"/>
      <c r="AR54" s="562"/>
      <c r="AS54" s="562"/>
      <c r="AT54" s="562"/>
      <c r="AU54" s="562"/>
      <c r="AV54" s="562"/>
      <c r="AW54" s="562"/>
      <c r="AX54" s="562"/>
      <c r="AY54" s="562"/>
      <c r="AZ54" s="562"/>
      <c r="BA54" s="562"/>
      <c r="BB54" s="562"/>
      <c r="BC54" s="562"/>
      <c r="BD54" s="562"/>
      <c r="BE54" s="562"/>
      <c r="BF54" s="562"/>
      <c r="BG54" s="562"/>
      <c r="BH54" s="562"/>
      <c r="BI54" s="562"/>
      <c r="BJ54" s="562"/>
      <c r="BK54" s="562"/>
      <c r="BL54" s="563"/>
      <c r="BM54" s="563"/>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row>
    <row r="55" spans="1:94" s="535" customFormat="1" ht="14.25" customHeight="1">
      <c r="A55" s="564" t="s">
        <v>668</v>
      </c>
      <c r="B55" s="565"/>
      <c r="C55" s="565"/>
      <c r="D55" s="565"/>
      <c r="E55" s="565"/>
      <c r="F55" s="565"/>
      <c r="G55" s="565"/>
      <c r="H55" s="565"/>
      <c r="I55" s="565"/>
      <c r="J55" s="565"/>
      <c r="K55" s="565"/>
      <c r="L55" s="1185">
        <f>N55*1000/3600</f>
        <v>4.9142382463584289</v>
      </c>
      <c r="M55" s="1186"/>
      <c r="N55" s="1069">
        <f>((X25*$W$17))</f>
        <v>17.691257686890346</v>
      </c>
      <c r="O55" s="1069"/>
      <c r="P55" s="566" t="s">
        <v>617</v>
      </c>
      <c r="Q55" s="567"/>
      <c r="R55" s="1647">
        <f>N55*7*24/1000</f>
        <v>2.9721312913975781</v>
      </c>
      <c r="S55" s="1647"/>
      <c r="T55" s="1244" t="s">
        <v>332</v>
      </c>
      <c r="U55" s="1244"/>
      <c r="V55" s="393"/>
      <c r="W55" s="393"/>
      <c r="X55" s="393"/>
      <c r="Y55" s="1021"/>
      <c r="Z55" s="1021"/>
      <c r="AA55" s="393"/>
      <c r="AB55" s="393"/>
      <c r="AC55" s="1027"/>
      <c r="AD55" s="1027"/>
      <c r="AE55" s="1027"/>
      <c r="AF55" s="1027"/>
      <c r="AG55" s="393"/>
      <c r="AH55" s="393"/>
      <c r="AI55" s="393"/>
      <c r="AJ55" s="393"/>
      <c r="AK55" s="568"/>
      <c r="AL55" s="569"/>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62"/>
      <c r="BM55" s="562"/>
      <c r="BN55" s="562"/>
      <c r="BO55" s="562"/>
      <c r="BP55" s="562"/>
      <c r="BQ55" s="562"/>
      <c r="BR55" s="562"/>
      <c r="BS55" s="562"/>
      <c r="BT55" s="562"/>
      <c r="BU55" s="562"/>
      <c r="BV55" s="562"/>
      <c r="BW55" s="562"/>
      <c r="BX55" s="562"/>
      <c r="BY55" s="562"/>
      <c r="BZ55" s="562"/>
      <c r="CA55" s="562"/>
      <c r="CB55" s="562"/>
      <c r="CC55" s="562"/>
      <c r="CD55" s="562"/>
      <c r="CE55" s="562"/>
      <c r="CF55" s="562"/>
      <c r="CG55" s="562"/>
      <c r="CH55" s="562"/>
      <c r="CI55" s="562"/>
      <c r="CJ55" s="562"/>
      <c r="CK55" s="562"/>
      <c r="CL55" s="562"/>
      <c r="CM55" s="562"/>
      <c r="CN55" s="562"/>
      <c r="CO55" s="562"/>
      <c r="CP55" s="562"/>
    </row>
    <row r="56" spans="1:94" s="129" customFormat="1" ht="14.25" customHeight="1">
      <c r="A56" s="564" t="s">
        <v>670</v>
      </c>
      <c r="B56" s="565"/>
      <c r="C56" s="565"/>
      <c r="D56" s="565"/>
      <c r="E56" s="565"/>
      <c r="F56" s="565"/>
      <c r="G56" s="565"/>
      <c r="H56" s="565"/>
      <c r="I56" s="565"/>
      <c r="J56" s="565"/>
      <c r="K56" s="565"/>
      <c r="L56" s="1185">
        <f t="shared" ref="L56:L61" si="12">N56*1000/3600</f>
        <v>1.2592735506293475</v>
      </c>
      <c r="M56" s="1186"/>
      <c r="N56" s="1069">
        <f>(X25*$AC$17)</f>
        <v>4.5333847822656503</v>
      </c>
      <c r="O56" s="1069"/>
      <c r="P56" s="31" t="s">
        <v>617</v>
      </c>
      <c r="Q56" s="567"/>
      <c r="R56" s="1647">
        <f t="shared" ref="R56:R61" si="13">N56*7*24/1000</f>
        <v>0.76160864342062928</v>
      </c>
      <c r="S56" s="1647"/>
      <c r="T56" s="1022" t="s">
        <v>332</v>
      </c>
      <c r="U56" s="1022"/>
      <c r="V56" s="270"/>
      <c r="W56" s="270"/>
      <c r="X56" s="270"/>
      <c r="Y56" s="1027"/>
      <c r="Z56" s="1027"/>
      <c r="AA56" s="270"/>
      <c r="AB56" s="270"/>
      <c r="AC56" s="393"/>
      <c r="AD56" s="393"/>
      <c r="AE56" s="571"/>
      <c r="AF56" s="571"/>
      <c r="AG56" s="270"/>
      <c r="AH56" s="270"/>
      <c r="AI56" s="270"/>
      <c r="AJ56" s="301"/>
      <c r="AK56" s="378"/>
      <c r="AL56" s="193"/>
      <c r="AM56" s="572"/>
      <c r="AN56" s="572"/>
      <c r="AO56" s="572"/>
      <c r="AP56" s="572"/>
      <c r="AQ56" s="572"/>
      <c r="AR56" s="572"/>
      <c r="AS56" s="572"/>
      <c r="AT56" s="572"/>
      <c r="AU56" s="572"/>
      <c r="AV56" s="572"/>
      <c r="AW56" s="572"/>
      <c r="AX56" s="572"/>
      <c r="AY56" s="572"/>
      <c r="AZ56" s="572"/>
      <c r="BA56" s="572"/>
      <c r="BB56" s="572"/>
      <c r="BC56" s="572"/>
      <c r="BD56" s="572"/>
      <c r="BE56" s="572"/>
      <c r="BF56" s="572"/>
      <c r="BG56" s="572"/>
      <c r="BH56" s="572"/>
      <c r="BI56" s="572"/>
      <c r="BJ56" s="572"/>
      <c r="BK56" s="572"/>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row>
    <row r="57" spans="1:94" s="129" customFormat="1" ht="14.25" customHeight="1">
      <c r="A57" s="564" t="s">
        <v>671</v>
      </c>
      <c r="B57" s="565"/>
      <c r="C57" s="565"/>
      <c r="D57" s="565"/>
      <c r="E57" s="565"/>
      <c r="F57" s="565"/>
      <c r="G57" s="565"/>
      <c r="H57" s="565"/>
      <c r="I57" s="565"/>
      <c r="J57" s="565"/>
      <c r="K57" s="565"/>
      <c r="L57" s="1185">
        <f t="shared" si="12"/>
        <v>0.10135616383114261</v>
      </c>
      <c r="M57" s="1186"/>
      <c r="N57" s="1069">
        <f>(X25*$AI$17)</f>
        <v>0.3648821897921134</v>
      </c>
      <c r="O57" s="1069"/>
      <c r="P57" s="31" t="s">
        <v>617</v>
      </c>
      <c r="Q57" s="567"/>
      <c r="R57" s="1647">
        <f t="shared" si="13"/>
        <v>6.130020788507505E-2</v>
      </c>
      <c r="S57" s="1647"/>
      <c r="T57" s="391" t="s">
        <v>332</v>
      </c>
      <c r="U57" s="391"/>
      <c r="V57" s="270"/>
      <c r="W57" s="270"/>
      <c r="X57" s="270"/>
      <c r="Y57" s="270"/>
      <c r="Z57" s="270"/>
      <c r="AA57" s="270"/>
      <c r="AB57" s="270"/>
      <c r="AC57" s="270"/>
      <c r="AD57" s="270"/>
      <c r="AE57" s="270"/>
      <c r="AF57" s="270"/>
      <c r="AG57" s="270"/>
      <c r="AH57" s="270"/>
      <c r="AI57" s="270"/>
      <c r="AJ57" s="301"/>
      <c r="AK57" s="378"/>
      <c r="AL57" s="193"/>
      <c r="AM57" s="573"/>
      <c r="AN57" s="573"/>
      <c r="AO57" s="573"/>
      <c r="AP57" s="573"/>
      <c r="AQ57" s="573"/>
      <c r="AR57" s="573"/>
      <c r="AS57" s="573"/>
      <c r="AT57" s="573"/>
      <c r="AU57" s="573"/>
      <c r="AV57" s="573"/>
      <c r="AW57" s="573"/>
      <c r="AX57" s="573"/>
      <c r="AY57" s="573"/>
      <c r="AZ57" s="573"/>
      <c r="BA57" s="573"/>
      <c r="BB57" s="573"/>
      <c r="BC57" s="573"/>
      <c r="BD57" s="573"/>
      <c r="BE57" s="573"/>
      <c r="BF57" s="573"/>
      <c r="BG57" s="573"/>
      <c r="BH57" s="573"/>
      <c r="BI57" s="573"/>
      <c r="BJ57" s="573"/>
      <c r="BK57" s="573"/>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row>
    <row r="58" spans="1:94" s="129" customFormat="1" ht="14.25" customHeight="1">
      <c r="A58" s="564" t="s">
        <v>672</v>
      </c>
      <c r="B58" s="565"/>
      <c r="C58" s="565"/>
      <c r="D58" s="565"/>
      <c r="E58" s="565"/>
      <c r="F58" s="565"/>
      <c r="G58" s="565"/>
      <c r="H58" s="565"/>
      <c r="I58" s="565"/>
      <c r="J58" s="565"/>
      <c r="K58" s="565"/>
      <c r="L58" s="1185">
        <f t="shared" si="12"/>
        <v>0.13207015287088278</v>
      </c>
      <c r="M58" s="1186"/>
      <c r="N58" s="1069">
        <f>(X25*$K$22)</f>
        <v>0.47545255033517797</v>
      </c>
      <c r="O58" s="1069"/>
      <c r="P58" s="31" t="s">
        <v>617</v>
      </c>
      <c r="Q58" s="567"/>
      <c r="R58" s="1647">
        <f t="shared" si="13"/>
        <v>7.9876028456309894E-2</v>
      </c>
      <c r="S58" s="1647"/>
      <c r="T58" s="1022" t="s">
        <v>332</v>
      </c>
      <c r="U58" s="1022"/>
      <c r="V58" s="270"/>
      <c r="W58" s="270"/>
      <c r="X58" s="270"/>
      <c r="Y58" s="393"/>
      <c r="Z58" s="393"/>
      <c r="AA58" s="270"/>
      <c r="AB58" s="270"/>
      <c r="AC58" s="393"/>
      <c r="AD58" s="393"/>
      <c r="AE58" s="571"/>
      <c r="AF58" s="571"/>
      <c r="AG58" s="270"/>
      <c r="AH58" s="270"/>
      <c r="AI58" s="270"/>
      <c r="AJ58" s="301"/>
      <c r="AK58" s="378"/>
      <c r="AL58" s="193"/>
      <c r="AM58" s="573"/>
      <c r="AN58" s="573"/>
      <c r="AO58" s="573"/>
      <c r="AP58" s="573"/>
      <c r="AQ58" s="573"/>
      <c r="AR58" s="573"/>
      <c r="AS58" s="573"/>
      <c r="AT58" s="573"/>
      <c r="AU58" s="573"/>
      <c r="AV58" s="573"/>
      <c r="AW58" s="573"/>
      <c r="AX58" s="573"/>
      <c r="AY58" s="573"/>
      <c r="AZ58" s="573"/>
      <c r="BA58" s="573"/>
      <c r="BB58" s="573"/>
      <c r="BC58" s="573"/>
      <c r="BD58" s="573"/>
      <c r="BE58" s="573"/>
      <c r="BF58" s="573"/>
      <c r="BG58" s="573"/>
      <c r="BH58" s="573"/>
      <c r="BI58" s="573"/>
      <c r="BJ58" s="573"/>
      <c r="BK58" s="573"/>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row>
    <row r="59" spans="1:94" s="129" customFormat="1" ht="14.25" customHeight="1">
      <c r="A59" s="564" t="s">
        <v>673</v>
      </c>
      <c r="B59" s="565"/>
      <c r="C59" s="565"/>
      <c r="D59" s="565"/>
      <c r="E59" s="565"/>
      <c r="F59" s="565"/>
      <c r="G59" s="565"/>
      <c r="H59" s="565"/>
      <c r="I59" s="565"/>
      <c r="J59" s="565"/>
      <c r="K59" s="565"/>
      <c r="L59" s="1185">
        <f t="shared" si="12"/>
        <v>3.2249688491727185E-2</v>
      </c>
      <c r="M59" s="1186"/>
      <c r="N59" s="1069">
        <f>(X25*$W$22)</f>
        <v>0.11609887857021786</v>
      </c>
      <c r="O59" s="1069"/>
      <c r="P59" s="31" t="s">
        <v>617</v>
      </c>
      <c r="Q59" s="567"/>
      <c r="R59" s="1647">
        <f t="shared" si="13"/>
        <v>1.9504611599796599E-2</v>
      </c>
      <c r="S59" s="1647"/>
      <c r="T59" s="391" t="s">
        <v>332</v>
      </c>
      <c r="U59" s="391"/>
      <c r="V59" s="270"/>
      <c r="W59" s="270"/>
      <c r="X59" s="270"/>
      <c r="Y59" s="270"/>
      <c r="Z59" s="270"/>
      <c r="AA59" s="270"/>
      <c r="AB59" s="270"/>
      <c r="AC59" s="270"/>
      <c r="AD59" s="270"/>
      <c r="AE59" s="270"/>
      <c r="AF59" s="270"/>
      <c r="AG59" s="270"/>
      <c r="AH59" s="270"/>
      <c r="AI59" s="270"/>
      <c r="AJ59" s="270"/>
      <c r="AK59" s="378"/>
      <c r="AL59" s="193"/>
      <c r="AM59" s="573"/>
      <c r="AN59" s="573"/>
      <c r="AO59" s="573"/>
      <c r="AP59" s="573"/>
      <c r="AQ59" s="573"/>
      <c r="AR59" s="573"/>
      <c r="AS59" s="573"/>
      <c r="AT59" s="573"/>
      <c r="AU59" s="573"/>
      <c r="AV59" s="573"/>
      <c r="AW59" s="573"/>
      <c r="AX59" s="573"/>
      <c r="AY59" s="573"/>
      <c r="AZ59" s="573"/>
      <c r="BA59" s="573"/>
      <c r="BB59" s="573"/>
      <c r="BC59" s="573"/>
      <c r="BD59" s="573"/>
      <c r="BE59" s="573"/>
      <c r="BF59" s="573"/>
      <c r="BG59" s="573"/>
      <c r="BH59" s="573"/>
      <c r="BI59" s="573"/>
      <c r="BJ59" s="573"/>
      <c r="BK59" s="573"/>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row>
    <row r="60" spans="1:94" s="129" customFormat="1" ht="14.25" customHeight="1">
      <c r="A60" s="564" t="s">
        <v>675</v>
      </c>
      <c r="B60" s="565"/>
      <c r="C60" s="565"/>
      <c r="D60" s="565"/>
      <c r="E60" s="565"/>
      <c r="F60" s="565"/>
      <c r="G60" s="565"/>
      <c r="H60" s="565"/>
      <c r="I60" s="565"/>
      <c r="J60" s="565"/>
      <c r="K60" s="565"/>
      <c r="L60" s="1185">
        <f t="shared" si="12"/>
        <v>0</v>
      </c>
      <c r="M60" s="1186"/>
      <c r="N60" s="1649">
        <f>(X25*$Q$22)</f>
        <v>0</v>
      </c>
      <c r="O60" s="1649"/>
      <c r="P60" s="31" t="s">
        <v>617</v>
      </c>
      <c r="Q60" s="567"/>
      <c r="R60" s="1647">
        <f t="shared" si="13"/>
        <v>0</v>
      </c>
      <c r="S60" s="1647"/>
      <c r="T60" s="391" t="s">
        <v>332</v>
      </c>
      <c r="U60" s="391"/>
      <c r="V60" s="270"/>
      <c r="W60" s="270"/>
      <c r="X60" s="270"/>
      <c r="Y60" s="393"/>
      <c r="Z60" s="393"/>
      <c r="AA60" s="270"/>
      <c r="AB60" s="270"/>
      <c r="AC60" s="393"/>
      <c r="AD60" s="393"/>
      <c r="AE60" s="571"/>
      <c r="AF60" s="571"/>
      <c r="AG60" s="270"/>
      <c r="AH60" s="270"/>
      <c r="AI60" s="270"/>
      <c r="AJ60" s="301"/>
      <c r="AK60" s="378"/>
      <c r="AL60" s="193"/>
      <c r="AM60" s="573"/>
      <c r="AN60" s="573"/>
      <c r="AO60" s="573"/>
      <c r="AP60" s="573"/>
      <c r="AQ60" s="573"/>
      <c r="AR60" s="573"/>
      <c r="AS60" s="573"/>
      <c r="AT60" s="573"/>
      <c r="AU60" s="573"/>
      <c r="AV60" s="573"/>
      <c r="AW60" s="573"/>
      <c r="AX60" s="573"/>
      <c r="AY60" s="573"/>
      <c r="AZ60" s="573"/>
      <c r="BA60" s="573"/>
      <c r="BB60" s="573"/>
      <c r="BC60" s="573"/>
      <c r="BD60" s="573"/>
      <c r="BE60" s="573"/>
      <c r="BF60" s="573"/>
      <c r="BG60" s="573"/>
      <c r="BH60" s="573"/>
      <c r="BI60" s="573"/>
      <c r="BJ60" s="573"/>
      <c r="BK60" s="573"/>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row>
    <row r="61" spans="1:94" s="129" customFormat="1" ht="14.25" customHeight="1">
      <c r="A61" s="564" t="s">
        <v>676</v>
      </c>
      <c r="B61" s="565"/>
      <c r="C61" s="565"/>
      <c r="D61" s="565"/>
      <c r="E61" s="565"/>
      <c r="F61" s="565"/>
      <c r="G61" s="565"/>
      <c r="H61" s="565"/>
      <c r="I61" s="565"/>
      <c r="J61" s="565"/>
      <c r="K61" s="565"/>
      <c r="L61" s="1185">
        <f t="shared" si="12"/>
        <v>3.7047892820070639E-4</v>
      </c>
      <c r="M61" s="1186"/>
      <c r="N61" s="1069">
        <f>(N55*$AC$22)</f>
        <v>1.3337241415225429E-3</v>
      </c>
      <c r="O61" s="1069"/>
      <c r="P61" s="31" t="s">
        <v>617</v>
      </c>
      <c r="Q61" s="567"/>
      <c r="R61" s="1647">
        <f t="shared" si="13"/>
        <v>2.2406565577578718E-4</v>
      </c>
      <c r="S61" s="1647"/>
      <c r="T61" s="31" t="s">
        <v>332</v>
      </c>
      <c r="U61" s="31"/>
      <c r="V61" s="270"/>
      <c r="W61" s="270"/>
      <c r="X61" s="270"/>
      <c r="Y61" s="393"/>
      <c r="Z61" s="393"/>
      <c r="AA61" s="270"/>
      <c r="AB61" s="270"/>
      <c r="AC61" s="393"/>
      <c r="AD61" s="393"/>
      <c r="AE61" s="571"/>
      <c r="AF61" s="571"/>
      <c r="AG61" s="270"/>
      <c r="AH61" s="270"/>
      <c r="AI61" s="270"/>
      <c r="AJ61" s="270"/>
      <c r="AK61" s="378"/>
      <c r="AL61" s="193"/>
      <c r="AM61" s="573"/>
      <c r="AN61" s="573"/>
      <c r="AO61" s="573"/>
      <c r="AP61" s="573"/>
      <c r="AQ61" s="573"/>
      <c r="AR61" s="573"/>
      <c r="AS61" s="573"/>
      <c r="AT61" s="573"/>
      <c r="AU61" s="573"/>
      <c r="AV61" s="573"/>
      <c r="AW61" s="573"/>
      <c r="AX61" s="573"/>
      <c r="AY61" s="573"/>
      <c r="AZ61" s="573"/>
      <c r="BA61" s="573"/>
      <c r="BB61" s="573"/>
      <c r="BC61" s="573"/>
      <c r="BD61" s="573"/>
      <c r="BE61" s="573"/>
      <c r="BF61" s="573"/>
      <c r="BG61" s="573"/>
      <c r="BH61" s="573"/>
      <c r="BI61" s="573"/>
      <c r="BJ61" s="573"/>
      <c r="BK61" s="573"/>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row>
    <row r="62" spans="1:94" s="129" customFormat="1" ht="14.25" customHeight="1">
      <c r="A62" s="564" t="s">
        <v>677</v>
      </c>
      <c r="B62" s="565"/>
      <c r="C62" s="565"/>
      <c r="D62" s="565"/>
      <c r="E62" s="565"/>
      <c r="F62" s="565"/>
      <c r="G62" s="565"/>
      <c r="H62" s="565"/>
      <c r="I62" s="565"/>
      <c r="J62" s="565"/>
      <c r="K62" s="565"/>
      <c r="L62" s="1246">
        <f>N62*1000/3600</f>
        <v>1670.0726575056044</v>
      </c>
      <c r="M62" s="1247"/>
      <c r="N62" s="1069">
        <f>(X25*CO2eEF!$I$28)</f>
        <v>6012.2615670201758</v>
      </c>
      <c r="O62" s="1069"/>
      <c r="P62" s="395" t="s">
        <v>617</v>
      </c>
      <c r="Q62" s="567"/>
      <c r="R62" s="1648">
        <f>N62*7*24/1000</f>
        <v>1010.0599432593895</v>
      </c>
      <c r="S62" s="1648"/>
      <c r="T62" s="395" t="s">
        <v>332</v>
      </c>
      <c r="U62" s="395"/>
      <c r="V62" s="270"/>
      <c r="W62" s="270"/>
      <c r="X62" s="270"/>
      <c r="Y62" s="31"/>
      <c r="Z62" s="394"/>
      <c r="AA62" s="270"/>
      <c r="AB62" s="270"/>
      <c r="AC62" s="393"/>
      <c r="AD62" s="393"/>
      <c r="AE62" s="571"/>
      <c r="AF62" s="571"/>
      <c r="AG62" s="270"/>
      <c r="AH62" s="270"/>
      <c r="AI62" s="270"/>
      <c r="AJ62" s="270"/>
      <c r="AK62" s="378"/>
      <c r="AL62" s="193"/>
      <c r="AM62" s="573"/>
      <c r="AN62" s="573"/>
      <c r="AO62" s="573"/>
      <c r="AP62" s="573"/>
      <c r="AQ62" s="573"/>
      <c r="AR62" s="573"/>
      <c r="AS62" s="573"/>
      <c r="AT62" s="573"/>
      <c r="AU62" s="573"/>
      <c r="AV62" s="573"/>
      <c r="AW62" s="573"/>
      <c r="AX62" s="573"/>
      <c r="AY62" s="573"/>
      <c r="AZ62" s="573"/>
      <c r="BA62" s="573"/>
      <c r="BB62" s="573"/>
      <c r="BC62" s="573"/>
      <c r="BD62" s="573"/>
      <c r="BE62" s="573"/>
      <c r="BF62" s="573"/>
      <c r="BG62" s="573"/>
      <c r="BH62" s="573"/>
      <c r="BI62" s="573"/>
      <c r="BJ62" s="573"/>
      <c r="BK62" s="573"/>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row>
    <row r="63" spans="1:94" s="247" customFormat="1" ht="14.25" customHeight="1">
      <c r="A63" s="224" t="s">
        <v>678</v>
      </c>
      <c r="B63" s="27"/>
      <c r="C63" s="27"/>
      <c r="D63" s="27"/>
      <c r="E63" s="27"/>
      <c r="F63" s="574"/>
      <c r="G63" s="574"/>
      <c r="H63" s="574"/>
      <c r="I63" s="574"/>
      <c r="J63" s="574"/>
      <c r="K63" s="574"/>
      <c r="L63" s="574"/>
      <c r="M63" s="574"/>
      <c r="N63" s="574"/>
      <c r="O63" s="574"/>
      <c r="P63" s="574"/>
      <c r="Q63" s="574"/>
      <c r="R63" s="574"/>
      <c r="S63" s="574"/>
      <c r="T63" s="574"/>
      <c r="U63" s="574"/>
      <c r="V63" s="574"/>
      <c r="W63" s="574"/>
      <c r="X63" s="574"/>
      <c r="Y63" s="574"/>
      <c r="Z63" s="574"/>
      <c r="AA63" s="574"/>
      <c r="AB63" s="574"/>
      <c r="AC63" s="574"/>
      <c r="AD63" s="574"/>
      <c r="AE63" s="574"/>
      <c r="AF63" s="574"/>
      <c r="AG63" s="574"/>
      <c r="AH63" s="574"/>
      <c r="AI63" s="574"/>
      <c r="AJ63" s="574"/>
      <c r="AK63" s="575"/>
      <c r="AL63" s="576"/>
      <c r="AM63" s="507"/>
      <c r="AN63" s="507"/>
      <c r="AO63" s="507"/>
      <c r="AP63" s="507"/>
      <c r="AQ63" s="507"/>
      <c r="AR63" s="507"/>
      <c r="AS63" s="507"/>
      <c r="AT63" s="507"/>
      <c r="AU63" s="507"/>
      <c r="AV63" s="507"/>
      <c r="AW63" s="507"/>
      <c r="AX63" s="507"/>
      <c r="AY63" s="507"/>
      <c r="AZ63" s="507"/>
      <c r="BA63" s="507"/>
      <c r="BB63" s="507"/>
      <c r="BC63" s="507"/>
      <c r="BD63" s="507"/>
      <c r="BE63" s="507"/>
      <c r="BF63" s="507"/>
      <c r="BG63" s="507"/>
      <c r="BH63" s="507"/>
      <c r="BI63" s="507"/>
      <c r="BJ63" s="507"/>
      <c r="BK63" s="507"/>
      <c r="BL63" s="243"/>
      <c r="BM63" s="243"/>
      <c r="BN63" s="243"/>
      <c r="BO63" s="243"/>
      <c r="BP63" s="243"/>
      <c r="BQ63" s="243"/>
      <c r="BR63" s="243"/>
      <c r="BS63" s="243"/>
      <c r="BT63" s="243"/>
      <c r="BU63" s="243"/>
      <c r="BV63" s="243"/>
      <c r="BW63" s="243"/>
      <c r="BX63" s="243"/>
      <c r="BY63" s="243"/>
      <c r="BZ63" s="243"/>
      <c r="CA63" s="243"/>
      <c r="CB63" s="243"/>
      <c r="CC63" s="243"/>
      <c r="CD63" s="243"/>
      <c r="CE63" s="243"/>
      <c r="CF63" s="243"/>
      <c r="CG63" s="243"/>
      <c r="CH63" s="243"/>
      <c r="CI63" s="243"/>
      <c r="CJ63" s="243"/>
      <c r="CK63" s="243"/>
      <c r="CL63" s="243"/>
      <c r="CM63" s="243"/>
      <c r="CN63" s="243"/>
      <c r="CO63" s="243"/>
      <c r="CP63" s="243"/>
    </row>
    <row r="64" spans="1:94" ht="15">
      <c r="A64" s="396" t="s">
        <v>31</v>
      </c>
      <c r="B64" s="31" t="s">
        <v>722</v>
      </c>
      <c r="C64" s="31"/>
      <c r="D64" s="31"/>
      <c r="E64" s="31"/>
      <c r="F64" s="270"/>
      <c r="G64" s="270"/>
      <c r="H64" s="270"/>
      <c r="I64" s="270"/>
      <c r="J64" s="270"/>
      <c r="K64" s="270"/>
      <c r="L64" s="270"/>
      <c r="M64" s="270"/>
      <c r="N64" s="301"/>
      <c r="O64" s="301"/>
      <c r="P64" s="301"/>
      <c r="Q64" s="270"/>
      <c r="R64" s="270"/>
      <c r="S64" s="270"/>
      <c r="T64" s="270"/>
      <c r="U64" s="270"/>
      <c r="V64" s="270"/>
      <c r="W64" s="270"/>
      <c r="X64" s="270"/>
      <c r="Y64" s="270"/>
      <c r="Z64" s="270"/>
      <c r="AA64" s="270"/>
      <c r="AB64" s="270"/>
      <c r="AC64" s="270"/>
      <c r="AD64" s="270"/>
      <c r="AE64" s="270"/>
      <c r="AF64" s="270"/>
      <c r="AG64" s="270"/>
      <c r="AH64" s="270"/>
      <c r="AI64" s="270"/>
      <c r="AJ64" s="270"/>
      <c r="AK64" s="378"/>
      <c r="AL64" s="577"/>
      <c r="AM64" s="243"/>
      <c r="AN64" s="243"/>
      <c r="AO64" s="243"/>
      <c r="AP64" s="243"/>
      <c r="AQ64" s="243"/>
      <c r="AR64" s="243"/>
      <c r="AS64" s="243"/>
      <c r="AT64" s="243"/>
      <c r="AU64" s="243"/>
      <c r="AV64" s="243"/>
      <c r="AW64" s="243"/>
      <c r="AX64" s="243"/>
      <c r="AY64" s="243"/>
      <c r="AZ64" s="243"/>
      <c r="BA64" s="243"/>
      <c r="BB64" s="243"/>
      <c r="BC64" s="243"/>
      <c r="BD64" s="243"/>
      <c r="BE64" s="243"/>
      <c r="BF64" s="246"/>
      <c r="BG64" s="246"/>
      <c r="BH64" s="243"/>
      <c r="BI64" s="243"/>
      <c r="BJ64" s="243"/>
      <c r="BK64" s="243"/>
      <c r="BL64" s="507"/>
      <c r="BM64" s="507"/>
      <c r="BN64" s="507"/>
      <c r="BO64" s="507"/>
      <c r="BP64" s="507"/>
      <c r="BQ64" s="507"/>
      <c r="BR64" s="507"/>
      <c r="BS64" s="507"/>
      <c r="BT64" s="507"/>
      <c r="BU64" s="507"/>
      <c r="BV64" s="507"/>
      <c r="BW64" s="507"/>
      <c r="BX64" s="507"/>
      <c r="BY64" s="507"/>
      <c r="BZ64" s="507"/>
      <c r="CA64" s="507"/>
      <c r="CB64" s="507"/>
      <c r="CC64" s="507"/>
      <c r="CD64" s="507"/>
      <c r="CE64" s="507"/>
      <c r="CF64" s="507"/>
      <c r="CG64" s="507"/>
      <c r="CH64" s="507"/>
      <c r="CI64" s="507"/>
      <c r="CJ64" s="507"/>
      <c r="CK64" s="507"/>
      <c r="CL64" s="507"/>
      <c r="CM64" s="507"/>
      <c r="CN64" s="507"/>
      <c r="CO64" s="507"/>
      <c r="CP64" s="507"/>
    </row>
    <row r="65" spans="1:94" ht="15">
      <c r="A65" s="397" t="s">
        <v>33</v>
      </c>
      <c r="B65" s="31" t="s">
        <v>723</v>
      </c>
      <c r="C65" s="398"/>
      <c r="D65" s="398"/>
      <c r="E65" s="398"/>
      <c r="F65" s="578"/>
      <c r="G65" s="578"/>
      <c r="H65" s="578"/>
      <c r="I65" s="578"/>
      <c r="J65" s="578"/>
      <c r="K65" s="578"/>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9"/>
      <c r="AM65" s="507"/>
      <c r="AN65" s="507"/>
      <c r="AO65" s="507"/>
      <c r="AP65" s="507"/>
      <c r="AQ65" s="507"/>
      <c r="AR65" s="507"/>
      <c r="AS65" s="507"/>
      <c r="AT65" s="507"/>
      <c r="AU65" s="507"/>
      <c r="AV65" s="507"/>
      <c r="AW65" s="507"/>
      <c r="AX65" s="507"/>
      <c r="AY65" s="507"/>
      <c r="AZ65" s="507"/>
      <c r="BA65" s="507"/>
      <c r="BB65" s="507"/>
      <c r="BC65" s="507"/>
      <c r="BD65" s="507"/>
      <c r="BE65" s="507"/>
      <c r="BF65" s="507"/>
      <c r="BG65" s="507"/>
      <c r="BH65" s="507"/>
      <c r="BI65" s="507"/>
      <c r="BJ65" s="507"/>
      <c r="BK65" s="507"/>
      <c r="BL65" s="507"/>
      <c r="BM65" s="507"/>
      <c r="BN65" s="507"/>
      <c r="BO65" s="507"/>
      <c r="BP65" s="507"/>
      <c r="BQ65" s="507"/>
      <c r="BR65" s="507"/>
      <c r="BS65" s="507"/>
      <c r="BT65" s="507"/>
      <c r="BU65" s="507"/>
      <c r="BV65" s="507"/>
      <c r="BW65" s="507"/>
      <c r="BX65" s="507"/>
      <c r="BY65" s="507"/>
      <c r="BZ65" s="507"/>
      <c r="CA65" s="507"/>
      <c r="CB65" s="507"/>
      <c r="CC65" s="507"/>
      <c r="CD65" s="507"/>
      <c r="CE65" s="507"/>
      <c r="CF65" s="507"/>
      <c r="CG65" s="507"/>
      <c r="CH65" s="507"/>
      <c r="CI65" s="507"/>
      <c r="CJ65" s="507"/>
      <c r="CK65" s="507"/>
      <c r="CL65" s="507"/>
      <c r="CM65" s="507"/>
      <c r="CN65" s="507"/>
      <c r="CO65" s="507"/>
      <c r="CP65" s="507"/>
    </row>
    <row r="66" spans="1:94" ht="15">
      <c r="A66" s="396" t="s">
        <v>35</v>
      </c>
      <c r="B66" s="31" t="s">
        <v>724</v>
      </c>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c r="AG66" s="398"/>
      <c r="AH66" s="398"/>
      <c r="AI66" s="398"/>
      <c r="AJ66" s="398"/>
      <c r="AK66" s="399"/>
      <c r="AM66" s="507"/>
      <c r="AN66" s="507"/>
      <c r="AO66" s="507"/>
      <c r="AP66" s="507"/>
      <c r="AQ66" s="507"/>
      <c r="AR66" s="507"/>
      <c r="AS66" s="507"/>
      <c r="AT66" s="507"/>
      <c r="AU66" s="507"/>
      <c r="AV66" s="507"/>
      <c r="AW66" s="507"/>
      <c r="AX66" s="507"/>
      <c r="AY66" s="507"/>
      <c r="AZ66" s="507"/>
      <c r="BA66" s="507"/>
      <c r="BB66" s="507"/>
      <c r="BC66" s="507"/>
      <c r="BD66" s="507"/>
      <c r="BE66" s="507"/>
      <c r="BF66" s="507"/>
      <c r="BG66" s="507"/>
      <c r="BH66" s="507"/>
      <c r="BI66" s="507"/>
      <c r="BJ66" s="507"/>
      <c r="BK66" s="507"/>
      <c r="BL66" s="507"/>
      <c r="BM66" s="507"/>
      <c r="BN66" s="507"/>
      <c r="BO66" s="507"/>
      <c r="BP66" s="507"/>
      <c r="BQ66" s="507"/>
      <c r="BR66" s="507"/>
      <c r="BS66" s="507"/>
      <c r="BT66" s="507"/>
      <c r="BU66" s="507"/>
      <c r="BV66" s="507"/>
      <c r="BW66" s="507"/>
      <c r="BX66" s="507"/>
      <c r="BY66" s="507"/>
      <c r="BZ66" s="507"/>
      <c r="CA66" s="507"/>
      <c r="CB66" s="507"/>
      <c r="CC66" s="507"/>
      <c r="CD66" s="507"/>
      <c r="CE66" s="507"/>
      <c r="CF66" s="507"/>
      <c r="CG66" s="507"/>
      <c r="CH66" s="507"/>
      <c r="CI66" s="507"/>
      <c r="CJ66" s="507"/>
      <c r="CK66" s="507"/>
      <c r="CL66" s="507"/>
      <c r="CM66" s="507"/>
      <c r="CN66" s="507"/>
      <c r="CO66" s="507"/>
      <c r="CP66" s="507"/>
    </row>
    <row r="67" spans="1:94">
      <c r="A67" s="232" t="s">
        <v>38</v>
      </c>
      <c r="B67" s="147" t="s">
        <v>725</v>
      </c>
      <c r="C67" s="580"/>
      <c r="D67" s="580"/>
      <c r="E67" s="580"/>
      <c r="F67" s="580"/>
      <c r="G67" s="580"/>
      <c r="H67" s="580"/>
      <c r="I67" s="580"/>
      <c r="J67" s="580"/>
      <c r="K67" s="580"/>
      <c r="L67" s="580"/>
      <c r="M67" s="580"/>
      <c r="N67" s="580"/>
      <c r="O67" s="580"/>
      <c r="P67" s="580"/>
      <c r="Q67" s="580"/>
      <c r="R67" s="580"/>
      <c r="S67" s="580"/>
      <c r="T67" s="580"/>
      <c r="U67" s="580"/>
      <c r="V67" s="580"/>
      <c r="W67" s="580"/>
      <c r="X67" s="580"/>
      <c r="Y67" s="580"/>
      <c r="Z67" s="580"/>
      <c r="AA67" s="580"/>
      <c r="AB67" s="580"/>
      <c r="AC67" s="580"/>
      <c r="AD67" s="580"/>
      <c r="AE67" s="580"/>
      <c r="AF67" s="580"/>
      <c r="AG67" s="580"/>
      <c r="AH67" s="580"/>
      <c r="AI67" s="580"/>
      <c r="AJ67" s="580"/>
      <c r="AK67" s="581"/>
      <c r="AL67" s="582"/>
      <c r="AM67" s="583"/>
      <c r="AN67" s="583"/>
      <c r="AO67" s="583"/>
      <c r="AP67" s="583"/>
      <c r="AQ67" s="583"/>
      <c r="AR67" s="507"/>
      <c r="AS67" s="507"/>
      <c r="AT67" s="507"/>
      <c r="AU67" s="507"/>
      <c r="AV67" s="507"/>
      <c r="AW67" s="507"/>
      <c r="AX67" s="507"/>
      <c r="AY67" s="507"/>
      <c r="AZ67" s="507"/>
      <c r="BA67" s="507"/>
      <c r="BB67" s="507"/>
      <c r="BC67" s="507"/>
      <c r="BD67" s="507"/>
      <c r="BE67" s="507"/>
      <c r="BF67" s="507"/>
      <c r="BG67" s="507"/>
      <c r="BH67" s="507"/>
      <c r="BI67" s="507"/>
      <c r="BJ67" s="507"/>
      <c r="BK67" s="507"/>
      <c r="BL67" s="507"/>
      <c r="BM67" s="507"/>
      <c r="BN67" s="507"/>
      <c r="BO67" s="507"/>
      <c r="BP67" s="507"/>
      <c r="BQ67" s="507"/>
      <c r="BR67" s="507"/>
      <c r="BS67" s="507"/>
      <c r="BT67" s="507"/>
      <c r="BU67" s="507"/>
      <c r="BV67" s="507"/>
      <c r="BW67" s="507"/>
      <c r="BX67" s="507"/>
      <c r="BY67" s="507"/>
      <c r="BZ67" s="507"/>
      <c r="CA67" s="507"/>
      <c r="CB67" s="507"/>
      <c r="CC67" s="507"/>
      <c r="CD67" s="507"/>
      <c r="CE67" s="507"/>
      <c r="CF67" s="507"/>
      <c r="CG67" s="507"/>
      <c r="CH67" s="507"/>
      <c r="CI67" s="507"/>
      <c r="CJ67" s="507"/>
      <c r="CK67" s="507"/>
      <c r="CL67" s="507"/>
      <c r="CM67" s="507"/>
      <c r="CN67" s="507"/>
      <c r="CO67" s="507"/>
      <c r="CP67" s="507"/>
    </row>
    <row r="68" spans="1:94">
      <c r="A68" s="282" t="s">
        <v>41</v>
      </c>
      <c r="B68" s="284" t="s">
        <v>726</v>
      </c>
      <c r="C68" s="580"/>
      <c r="D68" s="580"/>
      <c r="E68" s="580"/>
      <c r="F68" s="580"/>
      <c r="G68" s="580"/>
      <c r="H68" s="580"/>
      <c r="I68" s="580"/>
      <c r="J68" s="580"/>
      <c r="K68" s="580"/>
      <c r="L68" s="580"/>
      <c r="M68" s="580"/>
      <c r="N68" s="580"/>
      <c r="O68" s="580"/>
      <c r="P68" s="580"/>
      <c r="Q68" s="580"/>
      <c r="R68" s="580"/>
      <c r="S68" s="580"/>
      <c r="T68" s="580"/>
      <c r="U68" s="580"/>
      <c r="V68" s="580"/>
      <c r="W68" s="580"/>
      <c r="X68" s="580"/>
      <c r="Y68" s="580"/>
      <c r="Z68" s="580"/>
      <c r="AA68" s="580"/>
      <c r="AB68" s="580"/>
      <c r="AC68" s="580"/>
      <c r="AD68" s="580"/>
      <c r="AE68" s="580"/>
      <c r="AF68" s="580"/>
      <c r="AG68" s="580"/>
      <c r="AH68" s="580"/>
      <c r="AI68" s="580"/>
      <c r="AJ68" s="580"/>
      <c r="AK68" s="581"/>
      <c r="AL68" s="582"/>
      <c r="AM68" s="583"/>
      <c r="AN68" s="583"/>
      <c r="AO68" s="583"/>
      <c r="AP68" s="583"/>
      <c r="AQ68" s="583"/>
      <c r="AR68" s="507"/>
      <c r="AS68" s="507"/>
      <c r="AT68" s="507"/>
      <c r="AU68" s="507"/>
      <c r="AV68" s="507"/>
      <c r="AW68" s="507"/>
      <c r="AX68" s="507"/>
      <c r="AY68" s="507"/>
      <c r="AZ68" s="507"/>
      <c r="BA68" s="507"/>
      <c r="BB68" s="507"/>
      <c r="BC68" s="507"/>
      <c r="BD68" s="507"/>
      <c r="BE68" s="507"/>
      <c r="BF68" s="507"/>
      <c r="BG68" s="507"/>
      <c r="BH68" s="507"/>
      <c r="BI68" s="507"/>
      <c r="BJ68" s="507"/>
      <c r="BK68" s="507"/>
      <c r="BL68" s="507"/>
      <c r="BM68" s="507"/>
      <c r="BN68" s="507"/>
      <c r="BO68" s="507"/>
      <c r="BP68" s="507"/>
      <c r="BQ68" s="507"/>
      <c r="BR68" s="507"/>
      <c r="BS68" s="507"/>
      <c r="BT68" s="507"/>
      <c r="BU68" s="507"/>
      <c r="BV68" s="507"/>
      <c r="BW68" s="507"/>
      <c r="BX68" s="507"/>
      <c r="BY68" s="507"/>
      <c r="BZ68" s="507"/>
      <c r="CA68" s="507"/>
      <c r="CB68" s="507"/>
      <c r="CC68" s="507"/>
      <c r="CD68" s="507"/>
      <c r="CE68" s="507"/>
      <c r="CF68" s="507"/>
      <c r="CG68" s="507"/>
      <c r="CH68" s="507"/>
      <c r="CI68" s="507"/>
      <c r="CJ68" s="507"/>
      <c r="CK68" s="507"/>
      <c r="CL68" s="507"/>
      <c r="CM68" s="507"/>
      <c r="CN68" s="507"/>
      <c r="CO68" s="507"/>
      <c r="CP68" s="507"/>
    </row>
    <row r="69" spans="1:94">
      <c r="A69" s="584"/>
      <c r="B69" s="584"/>
      <c r="C69" s="584"/>
      <c r="D69" s="584"/>
      <c r="E69" s="584"/>
      <c r="F69" s="584"/>
      <c r="G69" s="584"/>
      <c r="H69" s="584"/>
      <c r="I69" s="584"/>
      <c r="J69" s="584"/>
      <c r="K69" s="584"/>
      <c r="L69" s="584"/>
      <c r="M69" s="584"/>
      <c r="N69" s="584"/>
      <c r="O69" s="584"/>
      <c r="P69" s="584"/>
      <c r="Q69" s="584"/>
      <c r="R69" s="584"/>
      <c r="S69" s="584"/>
      <c r="T69" s="584"/>
      <c r="U69" s="584"/>
      <c r="V69" s="584"/>
      <c r="W69" s="584"/>
      <c r="X69" s="584"/>
      <c r="Y69" s="584"/>
      <c r="Z69" s="584"/>
      <c r="AA69" s="584"/>
      <c r="AB69" s="584"/>
      <c r="AC69" s="584"/>
      <c r="AD69" s="584"/>
      <c r="AE69" s="584"/>
      <c r="AF69" s="584"/>
      <c r="AG69" s="584"/>
      <c r="AH69" s="584"/>
      <c r="AI69" s="584"/>
      <c r="AJ69" s="584"/>
      <c r="AK69" s="583"/>
      <c r="AL69" s="582"/>
      <c r="AM69" s="583"/>
      <c r="AN69" s="583"/>
      <c r="AO69" s="583"/>
      <c r="AP69" s="583"/>
      <c r="AQ69" s="583"/>
      <c r="AR69" s="507"/>
      <c r="AS69" s="507"/>
      <c r="AT69" s="507"/>
      <c r="AU69" s="507"/>
      <c r="AV69" s="507"/>
      <c r="AW69" s="507"/>
      <c r="AX69" s="507"/>
      <c r="AY69" s="507"/>
      <c r="AZ69" s="507"/>
      <c r="BA69" s="507"/>
      <c r="BB69" s="507"/>
      <c r="BC69" s="507"/>
      <c r="BD69" s="507"/>
      <c r="BE69" s="507"/>
      <c r="BF69" s="507"/>
      <c r="BG69" s="507"/>
      <c r="BH69" s="507"/>
      <c r="BI69" s="507"/>
      <c r="BJ69" s="507"/>
      <c r="BK69" s="507"/>
      <c r="BL69" s="507"/>
      <c r="BM69" s="507"/>
      <c r="BN69" s="507"/>
      <c r="BO69" s="507"/>
      <c r="BP69" s="507"/>
      <c r="BQ69" s="507"/>
      <c r="BR69" s="507"/>
      <c r="BS69" s="507"/>
      <c r="BT69" s="507"/>
      <c r="BU69" s="507"/>
      <c r="BV69" s="507"/>
      <c r="BW69" s="507"/>
      <c r="BX69" s="507"/>
      <c r="BY69" s="507"/>
      <c r="BZ69" s="507"/>
      <c r="CA69" s="507"/>
      <c r="CB69" s="507"/>
      <c r="CC69" s="507"/>
      <c r="CD69" s="507"/>
      <c r="CE69" s="507"/>
      <c r="CF69" s="507"/>
      <c r="CG69" s="507"/>
      <c r="CH69" s="507"/>
      <c r="CI69" s="507"/>
      <c r="CJ69" s="507"/>
      <c r="CK69" s="507"/>
      <c r="CL69" s="507"/>
      <c r="CM69" s="507"/>
      <c r="CN69" s="507"/>
      <c r="CO69" s="507"/>
      <c r="CP69" s="507"/>
    </row>
    <row r="70" spans="1:94">
      <c r="A70" s="584"/>
      <c r="B70" s="584"/>
      <c r="C70" s="584"/>
      <c r="D70" s="584"/>
      <c r="E70" s="584"/>
      <c r="F70" s="584"/>
      <c r="G70" s="584"/>
      <c r="H70" s="584"/>
      <c r="I70" s="584"/>
      <c r="J70" s="584"/>
      <c r="K70" s="584"/>
      <c r="L70" s="584"/>
      <c r="M70" s="584"/>
      <c r="N70" s="584"/>
      <c r="O70" s="584"/>
      <c r="P70" s="584"/>
      <c r="Q70" s="584"/>
      <c r="R70" s="584"/>
      <c r="S70" s="584"/>
      <c r="T70" s="584"/>
      <c r="U70" s="584"/>
      <c r="V70" s="584"/>
      <c r="W70" s="584"/>
      <c r="X70" s="584"/>
      <c r="Y70" s="584"/>
      <c r="Z70" s="584"/>
      <c r="AA70" s="584"/>
      <c r="AB70" s="584"/>
      <c r="AC70" s="584"/>
      <c r="AD70" s="584"/>
      <c r="AE70" s="584"/>
      <c r="AF70" s="584"/>
      <c r="AG70" s="584"/>
      <c r="AH70" s="584"/>
      <c r="AI70" s="584"/>
      <c r="AJ70" s="584"/>
      <c r="AK70" s="583"/>
      <c r="AL70" s="582"/>
      <c r="AM70" s="583"/>
      <c r="AN70" s="583"/>
      <c r="AO70" s="583"/>
      <c r="AP70" s="583"/>
      <c r="AQ70" s="583"/>
      <c r="AR70" s="507"/>
      <c r="AS70" s="507"/>
      <c r="AT70" s="507"/>
      <c r="AU70" s="507"/>
      <c r="AV70" s="507"/>
      <c r="AW70" s="507"/>
      <c r="AX70" s="507"/>
      <c r="AY70" s="507"/>
      <c r="AZ70" s="507"/>
      <c r="BA70" s="507"/>
      <c r="BB70" s="507"/>
      <c r="BC70" s="507"/>
      <c r="BD70" s="507"/>
      <c r="BE70" s="507"/>
      <c r="BF70" s="507"/>
      <c r="BG70" s="507"/>
      <c r="BH70" s="507"/>
      <c r="BI70" s="507"/>
      <c r="BJ70" s="507"/>
      <c r="BK70" s="507"/>
      <c r="BL70" s="507"/>
      <c r="BM70" s="507"/>
      <c r="BN70" s="507"/>
      <c r="BO70" s="507"/>
      <c r="BP70" s="507"/>
      <c r="BQ70" s="507"/>
      <c r="BR70" s="507"/>
      <c r="BS70" s="507"/>
      <c r="BT70" s="507"/>
      <c r="BU70" s="507"/>
      <c r="BV70" s="507"/>
      <c r="BW70" s="507"/>
      <c r="BX70" s="507"/>
      <c r="BY70" s="507"/>
      <c r="BZ70" s="507"/>
      <c r="CA70" s="507"/>
      <c r="CB70" s="507"/>
      <c r="CC70" s="507"/>
      <c r="CD70" s="507"/>
      <c r="CE70" s="507"/>
      <c r="CF70" s="507"/>
      <c r="CG70" s="507"/>
      <c r="CH70" s="507"/>
      <c r="CI70" s="507"/>
      <c r="CJ70" s="507"/>
      <c r="CK70" s="507"/>
      <c r="CL70" s="507"/>
      <c r="CM70" s="507"/>
      <c r="CN70" s="507"/>
      <c r="CO70" s="507"/>
      <c r="CP70" s="507"/>
    </row>
    <row r="71" spans="1:94">
      <c r="A71" s="584"/>
      <c r="B71" s="584"/>
      <c r="C71" s="584"/>
      <c r="D71" s="584"/>
      <c r="E71" s="584"/>
      <c r="F71" s="584"/>
      <c r="G71" s="584"/>
      <c r="H71" s="584"/>
      <c r="I71" s="584"/>
      <c r="J71" s="584"/>
      <c r="K71" s="584"/>
      <c r="L71" s="584"/>
      <c r="M71" s="584"/>
      <c r="N71" s="584"/>
      <c r="O71" s="584"/>
      <c r="P71" s="584"/>
      <c r="Q71" s="584"/>
      <c r="R71" s="584"/>
      <c r="S71" s="584"/>
      <c r="T71" s="584"/>
      <c r="U71" s="584"/>
      <c r="V71" s="584"/>
      <c r="W71" s="584"/>
      <c r="X71" s="584"/>
      <c r="Y71" s="584"/>
      <c r="Z71" s="584"/>
      <c r="AA71" s="584"/>
      <c r="AB71" s="584"/>
      <c r="AC71" s="584"/>
      <c r="AD71" s="584"/>
      <c r="AE71" s="584"/>
      <c r="AF71" s="584"/>
      <c r="AG71" s="584"/>
      <c r="AH71" s="584"/>
      <c r="AI71" s="584"/>
      <c r="AJ71" s="584"/>
      <c r="AK71" s="583"/>
      <c r="AL71" s="582"/>
      <c r="AM71" s="583"/>
      <c r="AN71" s="583"/>
      <c r="AO71" s="583"/>
      <c r="AP71" s="583"/>
      <c r="AQ71" s="583"/>
      <c r="AR71" s="507"/>
      <c r="AS71" s="507"/>
      <c r="AT71" s="507"/>
      <c r="AU71" s="507"/>
      <c r="AV71" s="507"/>
      <c r="AW71" s="507"/>
      <c r="AX71" s="507"/>
      <c r="AY71" s="507"/>
      <c r="AZ71" s="507"/>
      <c r="BA71" s="507"/>
      <c r="BB71" s="507"/>
      <c r="BC71" s="507"/>
      <c r="BD71" s="507"/>
      <c r="BE71" s="507"/>
      <c r="BF71" s="507"/>
      <c r="BG71" s="507"/>
      <c r="BH71" s="507"/>
      <c r="BI71" s="507"/>
      <c r="BJ71" s="507"/>
      <c r="BK71" s="507"/>
      <c r="BL71" s="507"/>
      <c r="BM71" s="507"/>
      <c r="BN71" s="507"/>
      <c r="BO71" s="507"/>
      <c r="BP71" s="507"/>
      <c r="BQ71" s="507"/>
      <c r="BR71" s="507"/>
      <c r="BS71" s="507"/>
      <c r="BT71" s="507"/>
      <c r="BU71" s="507"/>
      <c r="BV71" s="507"/>
      <c r="BW71" s="507"/>
      <c r="BX71" s="507"/>
      <c r="BY71" s="507"/>
      <c r="BZ71" s="507"/>
      <c r="CA71" s="507"/>
      <c r="CB71" s="507"/>
      <c r="CC71" s="507"/>
      <c r="CD71" s="507"/>
      <c r="CE71" s="507"/>
      <c r="CF71" s="507"/>
      <c r="CG71" s="507"/>
      <c r="CH71" s="507"/>
      <c r="CI71" s="507"/>
      <c r="CJ71" s="507"/>
      <c r="CK71" s="507"/>
      <c r="CL71" s="507"/>
      <c r="CM71" s="507"/>
      <c r="CN71" s="507"/>
      <c r="CO71" s="507"/>
      <c r="CP71" s="507"/>
    </row>
    <row r="72" spans="1:94">
      <c r="A72" s="584"/>
      <c r="B72" s="584"/>
      <c r="C72" s="584"/>
      <c r="D72" s="584"/>
      <c r="E72" s="584"/>
      <c r="F72" s="584"/>
      <c r="G72" s="584"/>
      <c r="H72" s="584"/>
      <c r="I72" s="584"/>
      <c r="J72" s="584"/>
      <c r="K72" s="584"/>
      <c r="L72" s="584"/>
      <c r="M72" s="584"/>
      <c r="N72" s="584"/>
      <c r="O72" s="584"/>
      <c r="P72" s="584"/>
      <c r="Q72" s="584"/>
      <c r="R72" s="584"/>
      <c r="S72" s="584"/>
      <c r="T72" s="584"/>
      <c r="U72" s="584"/>
      <c r="V72" s="584"/>
      <c r="W72" s="584"/>
      <c r="X72" s="584"/>
      <c r="Y72" s="584"/>
      <c r="Z72" s="584"/>
      <c r="AA72" s="584"/>
      <c r="AB72" s="584"/>
      <c r="AC72" s="584"/>
      <c r="AD72" s="584"/>
      <c r="AE72" s="584"/>
      <c r="AF72" s="584"/>
      <c r="AG72" s="584"/>
      <c r="AH72" s="584"/>
      <c r="AI72" s="584"/>
      <c r="AJ72" s="584"/>
      <c r="AK72" s="583"/>
      <c r="AL72" s="582"/>
      <c r="AM72" s="583"/>
      <c r="AN72" s="583"/>
      <c r="AO72" s="583"/>
      <c r="AP72" s="583"/>
      <c r="AQ72" s="583"/>
      <c r="AR72" s="507"/>
      <c r="AS72" s="507"/>
      <c r="AT72" s="507"/>
      <c r="AU72" s="507"/>
      <c r="AV72" s="507"/>
      <c r="AW72" s="507"/>
      <c r="AX72" s="507"/>
      <c r="AY72" s="507"/>
      <c r="AZ72" s="507"/>
      <c r="BA72" s="507"/>
      <c r="BB72" s="507"/>
      <c r="BC72" s="507"/>
      <c r="BD72" s="507"/>
      <c r="BE72" s="507"/>
      <c r="BF72" s="507"/>
      <c r="BG72" s="507"/>
      <c r="BH72" s="507"/>
      <c r="BI72" s="507"/>
      <c r="BJ72" s="507"/>
      <c r="BK72" s="507"/>
      <c r="BL72" s="507"/>
      <c r="BM72" s="507"/>
      <c r="BN72" s="507"/>
      <c r="BO72" s="507"/>
      <c r="BP72" s="507"/>
      <c r="BQ72" s="507"/>
      <c r="BR72" s="507"/>
      <c r="BS72" s="507"/>
      <c r="BT72" s="507"/>
      <c r="BU72" s="507"/>
      <c r="BV72" s="507"/>
      <c r="BW72" s="507"/>
      <c r="BX72" s="507"/>
      <c r="BY72" s="507"/>
      <c r="BZ72" s="507"/>
      <c r="CA72" s="507"/>
      <c r="CB72" s="507"/>
      <c r="CC72" s="507"/>
      <c r="CD72" s="507"/>
      <c r="CE72" s="507"/>
      <c r="CF72" s="507"/>
      <c r="CG72" s="507"/>
      <c r="CH72" s="507"/>
      <c r="CI72" s="507"/>
      <c r="CJ72" s="507"/>
      <c r="CK72" s="507"/>
      <c r="CL72" s="507"/>
      <c r="CM72" s="507"/>
      <c r="CN72" s="507"/>
      <c r="CO72" s="507"/>
      <c r="CP72" s="507"/>
    </row>
    <row r="73" spans="1:94">
      <c r="A73" s="584"/>
      <c r="B73" s="584"/>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3"/>
      <c r="AL73" s="582"/>
      <c r="AM73" s="583"/>
      <c r="AN73" s="583"/>
      <c r="AO73" s="583"/>
      <c r="AP73" s="583"/>
      <c r="AQ73" s="583"/>
      <c r="AR73" s="507"/>
      <c r="AS73" s="507"/>
      <c r="AT73" s="507"/>
      <c r="AU73" s="507"/>
      <c r="AV73" s="507"/>
      <c r="AW73" s="507"/>
      <c r="AX73" s="507"/>
      <c r="AY73" s="507"/>
      <c r="AZ73" s="507"/>
      <c r="BA73" s="507"/>
      <c r="BB73" s="507"/>
      <c r="BC73" s="507"/>
      <c r="BD73" s="507"/>
      <c r="BE73" s="507"/>
      <c r="BF73" s="507"/>
      <c r="BG73" s="507"/>
      <c r="BH73" s="507"/>
      <c r="BI73" s="507"/>
      <c r="BJ73" s="507"/>
      <c r="BK73" s="507"/>
      <c r="BL73" s="507"/>
      <c r="BM73" s="507"/>
      <c r="BN73" s="507"/>
      <c r="BO73" s="507"/>
      <c r="BP73" s="507"/>
      <c r="BQ73" s="507"/>
      <c r="BR73" s="507"/>
      <c r="BS73" s="507"/>
      <c r="BT73" s="507"/>
      <c r="BU73" s="507"/>
      <c r="BV73" s="507"/>
      <c r="BW73" s="507"/>
      <c r="BX73" s="507"/>
      <c r="BY73" s="507"/>
      <c r="BZ73" s="507"/>
      <c r="CA73" s="507"/>
      <c r="CB73" s="507"/>
      <c r="CC73" s="507"/>
      <c r="CD73" s="507"/>
      <c r="CE73" s="507"/>
      <c r="CF73" s="507"/>
      <c r="CG73" s="507"/>
      <c r="CH73" s="507"/>
      <c r="CI73" s="507"/>
      <c r="CJ73" s="507"/>
      <c r="CK73" s="507"/>
      <c r="CL73" s="507"/>
      <c r="CM73" s="507"/>
      <c r="CN73" s="507"/>
      <c r="CO73" s="507"/>
      <c r="CP73" s="507"/>
    </row>
    <row r="74" spans="1:94" s="585" customFormat="1">
      <c r="A74" s="584"/>
      <c r="B74" s="584"/>
      <c r="C74" s="584"/>
      <c r="D74" s="584"/>
      <c r="E74" s="584"/>
      <c r="F74" s="584"/>
      <c r="G74" s="584"/>
      <c r="H74" s="584"/>
      <c r="I74" s="584"/>
      <c r="J74" s="584"/>
      <c r="K74" s="584"/>
      <c r="L74" s="584"/>
      <c r="M74" s="584"/>
      <c r="N74" s="584"/>
      <c r="O74" s="584"/>
      <c r="P74" s="584"/>
      <c r="Q74" s="584"/>
      <c r="R74" s="584"/>
      <c r="S74" s="584"/>
      <c r="T74" s="584"/>
      <c r="U74" s="584"/>
      <c r="V74" s="584"/>
      <c r="W74" s="584"/>
      <c r="X74" s="584"/>
      <c r="Y74" s="584"/>
      <c r="Z74" s="584"/>
      <c r="AA74" s="584"/>
      <c r="AB74" s="584"/>
      <c r="AC74" s="584"/>
      <c r="AD74" s="584"/>
      <c r="AE74" s="584"/>
      <c r="AF74" s="584"/>
      <c r="AG74" s="584"/>
      <c r="AH74" s="584"/>
      <c r="AI74" s="584"/>
      <c r="AJ74" s="584"/>
      <c r="AK74" s="583"/>
      <c r="AL74" s="582"/>
      <c r="AM74" s="583"/>
      <c r="AN74" s="583"/>
      <c r="AO74" s="583"/>
      <c r="AP74" s="583"/>
      <c r="AQ74" s="583"/>
      <c r="AR74" s="507"/>
      <c r="AS74" s="507"/>
      <c r="AT74" s="507"/>
      <c r="AU74" s="507"/>
      <c r="AV74" s="507"/>
      <c r="AW74" s="507"/>
      <c r="AX74" s="507"/>
      <c r="AY74" s="507"/>
      <c r="AZ74" s="507"/>
      <c r="BA74" s="507"/>
      <c r="BB74" s="507"/>
      <c r="BC74" s="507"/>
      <c r="BD74" s="507"/>
      <c r="BE74" s="507"/>
      <c r="BF74" s="507"/>
      <c r="BG74" s="507"/>
      <c r="BH74" s="507"/>
      <c r="BI74" s="507"/>
      <c r="BJ74" s="507"/>
      <c r="BK74" s="507"/>
      <c r="BL74" s="507"/>
      <c r="BM74" s="507"/>
      <c r="BN74" s="507"/>
      <c r="BO74" s="507"/>
      <c r="BP74" s="507"/>
      <c r="BQ74" s="507"/>
      <c r="BR74" s="507"/>
      <c r="BS74" s="507"/>
      <c r="BT74" s="507"/>
      <c r="BU74" s="507"/>
      <c r="BV74" s="507"/>
      <c r="BW74" s="507"/>
      <c r="BX74" s="507"/>
      <c r="BY74" s="507"/>
      <c r="BZ74" s="507"/>
      <c r="CA74" s="507"/>
      <c r="CB74" s="507"/>
      <c r="CC74" s="507"/>
      <c r="CD74" s="507"/>
      <c r="CE74" s="507"/>
      <c r="CF74" s="507"/>
      <c r="CG74" s="507"/>
      <c r="CH74" s="507"/>
      <c r="CI74" s="507"/>
      <c r="CJ74" s="507"/>
      <c r="CK74" s="507"/>
      <c r="CL74" s="507"/>
      <c r="CM74" s="507"/>
      <c r="CN74" s="507"/>
      <c r="CO74" s="507"/>
      <c r="CP74" s="507"/>
    </row>
    <row r="75" spans="1:94" s="585" customFormat="1">
      <c r="A75" s="584"/>
      <c r="B75" s="584"/>
      <c r="C75" s="584"/>
      <c r="D75" s="584"/>
      <c r="E75" s="584"/>
      <c r="F75" s="584"/>
      <c r="G75" s="584"/>
      <c r="H75" s="584"/>
      <c r="I75" s="584"/>
      <c r="J75" s="584"/>
      <c r="K75" s="584"/>
      <c r="L75" s="584"/>
      <c r="M75" s="584"/>
      <c r="N75" s="584"/>
      <c r="O75" s="584"/>
      <c r="P75" s="584"/>
      <c r="Q75" s="584"/>
      <c r="R75" s="584"/>
      <c r="S75" s="584"/>
      <c r="T75" s="584"/>
      <c r="U75" s="584"/>
      <c r="V75" s="584"/>
      <c r="W75" s="584"/>
      <c r="X75" s="584"/>
      <c r="Y75" s="584"/>
      <c r="Z75" s="584"/>
      <c r="AA75" s="584"/>
      <c r="AB75" s="584"/>
      <c r="AC75" s="584"/>
      <c r="AD75" s="584"/>
      <c r="AE75" s="584"/>
      <c r="AF75" s="584"/>
      <c r="AG75" s="584"/>
      <c r="AH75" s="584"/>
      <c r="AI75" s="584"/>
      <c r="AJ75" s="584"/>
      <c r="AK75" s="583"/>
      <c r="AL75" s="582"/>
      <c r="AM75" s="583"/>
      <c r="AN75" s="583"/>
      <c r="AO75" s="583"/>
      <c r="AP75" s="583"/>
      <c r="AQ75" s="583"/>
      <c r="AR75" s="507"/>
      <c r="AS75" s="507"/>
      <c r="AT75" s="507"/>
      <c r="AU75" s="507"/>
      <c r="AV75" s="507"/>
      <c r="AW75" s="507"/>
      <c r="AX75" s="507"/>
      <c r="AY75" s="507"/>
      <c r="AZ75" s="507"/>
      <c r="BA75" s="507"/>
      <c r="BB75" s="507"/>
      <c r="BC75" s="507"/>
      <c r="BD75" s="507"/>
      <c r="BE75" s="507"/>
      <c r="BF75" s="507"/>
      <c r="BG75" s="507"/>
      <c r="BH75" s="507"/>
      <c r="BI75" s="507"/>
      <c r="BJ75" s="507"/>
      <c r="BK75" s="507"/>
      <c r="BL75" s="507"/>
      <c r="BM75" s="507"/>
      <c r="BN75" s="507"/>
      <c r="BO75" s="507"/>
      <c r="BP75" s="507"/>
      <c r="BQ75" s="507"/>
      <c r="BR75" s="507"/>
      <c r="BS75" s="507"/>
      <c r="BT75" s="507"/>
      <c r="BU75" s="507"/>
      <c r="BV75" s="507"/>
      <c r="BW75" s="507"/>
      <c r="BX75" s="507"/>
      <c r="BY75" s="507"/>
      <c r="BZ75" s="507"/>
      <c r="CA75" s="507"/>
      <c r="CB75" s="507"/>
      <c r="CC75" s="507"/>
      <c r="CD75" s="507"/>
      <c r="CE75" s="507"/>
      <c r="CF75" s="507"/>
      <c r="CG75" s="507"/>
      <c r="CH75" s="507"/>
      <c r="CI75" s="507"/>
      <c r="CJ75" s="507"/>
      <c r="CK75" s="507"/>
      <c r="CL75" s="507"/>
      <c r="CM75" s="507"/>
      <c r="CN75" s="507"/>
      <c r="CO75" s="507"/>
      <c r="CP75" s="507"/>
    </row>
    <row r="76" spans="1:94" s="585" customFormat="1">
      <c r="A76" s="584"/>
      <c r="B76" s="584"/>
      <c r="C76" s="584"/>
      <c r="D76" s="584"/>
      <c r="E76" s="584"/>
      <c r="F76" s="584"/>
      <c r="G76" s="584"/>
      <c r="H76" s="584"/>
      <c r="I76" s="584"/>
      <c r="J76" s="584"/>
      <c r="K76" s="584"/>
      <c r="L76" s="584"/>
      <c r="M76" s="584"/>
      <c r="N76" s="584"/>
      <c r="O76" s="584"/>
      <c r="P76" s="584"/>
      <c r="Q76" s="584"/>
      <c r="R76" s="584"/>
      <c r="S76" s="584"/>
      <c r="T76" s="584"/>
      <c r="U76" s="584"/>
      <c r="V76" s="584"/>
      <c r="W76" s="584"/>
      <c r="X76" s="584"/>
      <c r="Y76" s="584"/>
      <c r="Z76" s="584"/>
      <c r="AA76" s="584"/>
      <c r="AB76" s="584"/>
      <c r="AC76" s="584"/>
      <c r="AD76" s="584"/>
      <c r="AE76" s="584"/>
      <c r="AF76" s="584"/>
      <c r="AG76" s="584"/>
      <c r="AH76" s="584"/>
      <c r="AI76" s="584"/>
      <c r="AJ76" s="584"/>
      <c r="AK76" s="583"/>
      <c r="AL76" s="582"/>
      <c r="AM76" s="583"/>
      <c r="AN76" s="583"/>
      <c r="AO76" s="583"/>
      <c r="AP76" s="583"/>
      <c r="AQ76" s="583"/>
      <c r="AR76" s="507"/>
      <c r="AS76" s="507"/>
      <c r="AT76" s="507"/>
      <c r="AU76" s="507"/>
      <c r="AV76" s="507"/>
      <c r="AW76" s="507"/>
      <c r="AX76" s="507"/>
      <c r="AY76" s="507"/>
      <c r="AZ76" s="507"/>
      <c r="BA76" s="507"/>
      <c r="BB76" s="507"/>
      <c r="BC76" s="507"/>
      <c r="BD76" s="507"/>
      <c r="BE76" s="507"/>
      <c r="BF76" s="507"/>
      <c r="BG76" s="507"/>
      <c r="BH76" s="507"/>
      <c r="BI76" s="507"/>
      <c r="BJ76" s="507"/>
      <c r="BK76" s="507"/>
      <c r="BL76" s="507"/>
      <c r="BM76" s="507"/>
      <c r="BN76" s="507"/>
      <c r="BO76" s="507"/>
      <c r="BP76" s="507"/>
      <c r="BQ76" s="507"/>
      <c r="BR76" s="507"/>
      <c r="BS76" s="507"/>
      <c r="BT76" s="507"/>
      <c r="BU76" s="507"/>
      <c r="BV76" s="507"/>
      <c r="BW76" s="507"/>
      <c r="BX76" s="507"/>
      <c r="BY76" s="507"/>
      <c r="BZ76" s="507"/>
      <c r="CA76" s="507"/>
      <c r="CB76" s="507"/>
      <c r="CC76" s="507"/>
      <c r="CD76" s="507"/>
      <c r="CE76" s="507"/>
      <c r="CF76" s="507"/>
      <c r="CG76" s="507"/>
      <c r="CH76" s="507"/>
      <c r="CI76" s="507"/>
      <c r="CJ76" s="507"/>
      <c r="CK76" s="507"/>
      <c r="CL76" s="507"/>
      <c r="CM76" s="507"/>
      <c r="CN76" s="507"/>
      <c r="CO76" s="507"/>
      <c r="CP76" s="507"/>
    </row>
    <row r="77" spans="1:94" s="585" customFormat="1">
      <c r="A77" s="584"/>
      <c r="B77" s="584"/>
      <c r="C77" s="584"/>
      <c r="D77" s="584"/>
      <c r="E77" s="584"/>
      <c r="F77" s="584"/>
      <c r="G77" s="584"/>
      <c r="H77" s="584"/>
      <c r="I77" s="584"/>
      <c r="J77" s="584"/>
      <c r="K77" s="584"/>
      <c r="L77" s="584"/>
      <c r="M77" s="584"/>
      <c r="N77" s="584"/>
      <c r="O77" s="584"/>
      <c r="P77" s="584"/>
      <c r="Q77" s="584"/>
      <c r="R77" s="584"/>
      <c r="S77" s="584"/>
      <c r="T77" s="584"/>
      <c r="U77" s="584"/>
      <c r="V77" s="584"/>
      <c r="W77" s="584"/>
      <c r="X77" s="584"/>
      <c r="Y77" s="584"/>
      <c r="Z77" s="584"/>
      <c r="AA77" s="584"/>
      <c r="AB77" s="584"/>
      <c r="AC77" s="584"/>
      <c r="AD77" s="584"/>
      <c r="AE77" s="584"/>
      <c r="AF77" s="584"/>
      <c r="AG77" s="584"/>
      <c r="AH77" s="584"/>
      <c r="AI77" s="584"/>
      <c r="AJ77" s="584"/>
      <c r="AK77" s="583"/>
      <c r="AL77" s="582"/>
      <c r="AM77" s="583"/>
      <c r="AN77" s="583"/>
      <c r="AO77" s="583"/>
      <c r="AP77" s="583"/>
      <c r="AQ77" s="583"/>
      <c r="AR77" s="507"/>
      <c r="AS77" s="507"/>
      <c r="AT77" s="507"/>
      <c r="AU77" s="507"/>
      <c r="AV77" s="507"/>
      <c r="AW77" s="507"/>
      <c r="AX77" s="507"/>
      <c r="AY77" s="507"/>
      <c r="AZ77" s="507"/>
      <c r="BA77" s="507"/>
      <c r="BB77" s="507"/>
      <c r="BC77" s="507"/>
      <c r="BD77" s="507"/>
      <c r="BE77" s="507"/>
      <c r="BF77" s="507"/>
      <c r="BG77" s="507"/>
      <c r="BH77" s="507"/>
      <c r="BI77" s="507"/>
      <c r="BJ77" s="507"/>
      <c r="BK77" s="507"/>
      <c r="BL77" s="507"/>
      <c r="BM77" s="507"/>
      <c r="BN77" s="507"/>
      <c r="BO77" s="507"/>
      <c r="BP77" s="507"/>
      <c r="BQ77" s="507"/>
      <c r="BR77" s="507"/>
      <c r="BS77" s="507"/>
      <c r="BT77" s="507"/>
      <c r="BU77" s="507"/>
      <c r="BV77" s="507"/>
      <c r="BW77" s="507"/>
      <c r="BX77" s="507"/>
      <c r="BY77" s="507"/>
      <c r="BZ77" s="507"/>
      <c r="CA77" s="507"/>
      <c r="CB77" s="507"/>
      <c r="CC77" s="507"/>
      <c r="CD77" s="507"/>
      <c r="CE77" s="507"/>
      <c r="CF77" s="507"/>
      <c r="CG77" s="507"/>
      <c r="CH77" s="507"/>
      <c r="CI77" s="507"/>
      <c r="CJ77" s="507"/>
      <c r="CK77" s="507"/>
      <c r="CL77" s="507"/>
      <c r="CM77" s="507"/>
      <c r="CN77" s="507"/>
      <c r="CO77" s="507"/>
      <c r="CP77" s="507"/>
    </row>
    <row r="78" spans="1:94" s="585" customFormat="1">
      <c r="A78" s="584"/>
      <c r="B78" s="584"/>
      <c r="C78" s="584"/>
      <c r="D78" s="584"/>
      <c r="E78" s="584"/>
      <c r="F78" s="584"/>
      <c r="G78" s="584"/>
      <c r="H78" s="584"/>
      <c r="I78" s="584"/>
      <c r="J78" s="584"/>
      <c r="K78" s="584"/>
      <c r="L78" s="584"/>
      <c r="M78" s="584"/>
      <c r="N78" s="584"/>
      <c r="O78" s="584"/>
      <c r="P78" s="584"/>
      <c r="Q78" s="584"/>
      <c r="R78" s="584"/>
      <c r="S78" s="584"/>
      <c r="T78" s="584"/>
      <c r="U78" s="584"/>
      <c r="V78" s="584"/>
      <c r="W78" s="584"/>
      <c r="X78" s="584"/>
      <c r="Y78" s="584"/>
      <c r="Z78" s="584"/>
      <c r="AA78" s="584"/>
      <c r="AB78" s="584"/>
      <c r="AC78" s="584"/>
      <c r="AD78" s="584"/>
      <c r="AE78" s="584"/>
      <c r="AF78" s="584"/>
      <c r="AG78" s="584"/>
      <c r="AH78" s="584"/>
      <c r="AI78" s="584"/>
      <c r="AJ78" s="584"/>
      <c r="AK78" s="583"/>
      <c r="AL78" s="582"/>
      <c r="AM78" s="583"/>
      <c r="AN78" s="583"/>
      <c r="AO78" s="583"/>
      <c r="AP78" s="583"/>
      <c r="AQ78" s="583"/>
      <c r="AR78" s="507"/>
      <c r="AS78" s="507"/>
      <c r="AT78" s="507"/>
      <c r="AU78" s="507"/>
      <c r="AV78" s="507"/>
      <c r="AW78" s="507"/>
      <c r="AX78" s="507"/>
      <c r="AY78" s="507"/>
      <c r="AZ78" s="507"/>
      <c r="BA78" s="507"/>
      <c r="BB78" s="507"/>
      <c r="BC78" s="507"/>
      <c r="BD78" s="507"/>
      <c r="BE78" s="507"/>
      <c r="BF78" s="507"/>
      <c r="BG78" s="507"/>
      <c r="BH78" s="507"/>
      <c r="BI78" s="507"/>
      <c r="BJ78" s="507"/>
      <c r="BK78" s="507"/>
      <c r="BL78" s="507"/>
      <c r="BM78" s="507"/>
      <c r="BN78" s="507"/>
      <c r="BO78" s="507"/>
      <c r="BP78" s="507"/>
      <c r="BQ78" s="507"/>
      <c r="BR78" s="507"/>
      <c r="BS78" s="507"/>
      <c r="BT78" s="507"/>
      <c r="BU78" s="507"/>
      <c r="BV78" s="507"/>
      <c r="BW78" s="507"/>
      <c r="BX78" s="507"/>
      <c r="BY78" s="507"/>
      <c r="BZ78" s="507"/>
      <c r="CA78" s="507"/>
      <c r="CB78" s="507"/>
      <c r="CC78" s="507"/>
      <c r="CD78" s="507"/>
      <c r="CE78" s="507"/>
      <c r="CF78" s="507"/>
      <c r="CG78" s="507"/>
      <c r="CH78" s="507"/>
      <c r="CI78" s="507"/>
      <c r="CJ78" s="507"/>
      <c r="CK78" s="507"/>
      <c r="CL78" s="507"/>
      <c r="CM78" s="507"/>
      <c r="CN78" s="507"/>
      <c r="CO78" s="507"/>
      <c r="CP78" s="507"/>
    </row>
    <row r="79" spans="1:94" s="585" customFormat="1">
      <c r="A79" s="584"/>
      <c r="B79" s="584"/>
      <c r="C79" s="584"/>
      <c r="D79" s="584"/>
      <c r="E79" s="584"/>
      <c r="F79" s="584"/>
      <c r="G79" s="584"/>
      <c r="H79" s="584"/>
      <c r="I79" s="584"/>
      <c r="J79" s="584"/>
      <c r="K79" s="584"/>
      <c r="L79" s="584"/>
      <c r="M79" s="584"/>
      <c r="N79" s="584"/>
      <c r="O79" s="584"/>
      <c r="P79" s="584"/>
      <c r="Q79" s="584"/>
      <c r="R79" s="584"/>
      <c r="S79" s="584"/>
      <c r="T79" s="584"/>
      <c r="U79" s="584"/>
      <c r="V79" s="584"/>
      <c r="W79" s="584"/>
      <c r="X79" s="584"/>
      <c r="Y79" s="584"/>
      <c r="Z79" s="584"/>
      <c r="AA79" s="584"/>
      <c r="AB79" s="584"/>
      <c r="AC79" s="584"/>
      <c r="AD79" s="584"/>
      <c r="AE79" s="584"/>
      <c r="AF79" s="584"/>
      <c r="AG79" s="584"/>
      <c r="AH79" s="584"/>
      <c r="AI79" s="584"/>
      <c r="AJ79" s="584"/>
      <c r="AK79" s="583"/>
      <c r="AL79" s="582"/>
      <c r="AM79" s="583"/>
      <c r="AN79" s="583"/>
      <c r="AO79" s="583"/>
      <c r="AP79" s="583"/>
      <c r="AQ79" s="583"/>
      <c r="AR79" s="507"/>
      <c r="AS79" s="507"/>
      <c r="AT79" s="507"/>
      <c r="AU79" s="507"/>
      <c r="AV79" s="507"/>
      <c r="AW79" s="507"/>
      <c r="AX79" s="507"/>
      <c r="AY79" s="507"/>
      <c r="AZ79" s="507"/>
      <c r="BA79" s="507"/>
      <c r="BB79" s="507"/>
      <c r="BC79" s="507"/>
      <c r="BD79" s="507"/>
      <c r="BE79" s="507"/>
      <c r="BF79" s="507"/>
      <c r="BG79" s="507"/>
      <c r="BH79" s="507"/>
      <c r="BI79" s="507"/>
      <c r="BJ79" s="507"/>
      <c r="BK79" s="507"/>
      <c r="BL79" s="507"/>
      <c r="BM79" s="507"/>
      <c r="BN79" s="507"/>
      <c r="BO79" s="507"/>
      <c r="BP79" s="507"/>
      <c r="BQ79" s="507"/>
      <c r="BR79" s="507"/>
      <c r="BS79" s="507"/>
      <c r="BT79" s="507"/>
      <c r="BU79" s="507"/>
      <c r="BV79" s="507"/>
      <c r="BW79" s="507"/>
      <c r="BX79" s="507"/>
      <c r="BY79" s="507"/>
      <c r="BZ79" s="507"/>
      <c r="CA79" s="507"/>
      <c r="CB79" s="507"/>
      <c r="CC79" s="507"/>
      <c r="CD79" s="507"/>
      <c r="CE79" s="507"/>
      <c r="CF79" s="507"/>
      <c r="CG79" s="507"/>
      <c r="CH79" s="507"/>
      <c r="CI79" s="507"/>
      <c r="CJ79" s="507"/>
      <c r="CK79" s="507"/>
      <c r="CL79" s="507"/>
      <c r="CM79" s="507"/>
      <c r="CN79" s="507"/>
      <c r="CO79" s="507"/>
      <c r="CP79" s="507"/>
    </row>
    <row r="80" spans="1:94" s="585" customFormat="1">
      <c r="A80" s="584"/>
      <c r="B80" s="584"/>
      <c r="C80" s="584"/>
      <c r="D80" s="584"/>
      <c r="E80" s="584"/>
      <c r="F80" s="584"/>
      <c r="G80" s="584"/>
      <c r="H80" s="584"/>
      <c r="I80" s="584"/>
      <c r="J80" s="584"/>
      <c r="K80" s="584"/>
      <c r="L80" s="584"/>
      <c r="M80" s="584"/>
      <c r="N80" s="584"/>
      <c r="O80" s="584"/>
      <c r="P80" s="584"/>
      <c r="Q80" s="584"/>
      <c r="R80" s="584"/>
      <c r="S80" s="584"/>
      <c r="T80" s="584"/>
      <c r="U80" s="584"/>
      <c r="V80" s="584"/>
      <c r="W80" s="584"/>
      <c r="X80" s="584"/>
      <c r="Y80" s="584"/>
      <c r="Z80" s="584"/>
      <c r="AA80" s="584"/>
      <c r="AB80" s="584"/>
      <c r="AC80" s="584"/>
      <c r="AD80" s="584"/>
      <c r="AE80" s="584"/>
      <c r="AF80" s="584"/>
      <c r="AG80" s="584"/>
      <c r="AH80" s="584"/>
      <c r="AI80" s="584"/>
      <c r="AJ80" s="584"/>
      <c r="AK80" s="583"/>
      <c r="AL80" s="582"/>
      <c r="AM80" s="583"/>
      <c r="AN80" s="583"/>
      <c r="AO80" s="583"/>
      <c r="AP80" s="583"/>
      <c r="AQ80" s="583"/>
      <c r="AR80" s="507"/>
      <c r="AS80" s="507"/>
      <c r="AT80" s="507"/>
      <c r="AU80" s="507"/>
      <c r="AV80" s="507"/>
      <c r="AW80" s="507"/>
      <c r="AX80" s="507"/>
      <c r="AY80" s="507"/>
      <c r="AZ80" s="507"/>
      <c r="BA80" s="507"/>
      <c r="BB80" s="507"/>
      <c r="BC80" s="507"/>
      <c r="BD80" s="507"/>
      <c r="BE80" s="507"/>
      <c r="BF80" s="507"/>
      <c r="BG80" s="507"/>
      <c r="BH80" s="507"/>
      <c r="BI80" s="507"/>
      <c r="BJ80" s="507"/>
      <c r="BK80" s="507"/>
      <c r="BL80" s="507"/>
      <c r="BM80" s="507"/>
      <c r="BN80" s="507"/>
      <c r="BO80" s="507"/>
      <c r="BP80" s="507"/>
      <c r="BQ80" s="507"/>
      <c r="BR80" s="507"/>
      <c r="BS80" s="507"/>
      <c r="BT80" s="507"/>
      <c r="BU80" s="507"/>
      <c r="BV80" s="507"/>
      <c r="BW80" s="507"/>
      <c r="BX80" s="507"/>
      <c r="BY80" s="507"/>
      <c r="BZ80" s="507"/>
      <c r="CA80" s="507"/>
      <c r="CB80" s="507"/>
      <c r="CC80" s="507"/>
      <c r="CD80" s="507"/>
      <c r="CE80" s="507"/>
      <c r="CF80" s="507"/>
      <c r="CG80" s="507"/>
      <c r="CH80" s="507"/>
      <c r="CI80" s="507"/>
      <c r="CJ80" s="507"/>
      <c r="CK80" s="507"/>
      <c r="CL80" s="507"/>
      <c r="CM80" s="507"/>
      <c r="CN80" s="507"/>
      <c r="CO80" s="507"/>
      <c r="CP80" s="507"/>
    </row>
    <row r="81" spans="1:94" s="585" customFormat="1">
      <c r="A81" s="584"/>
      <c r="B81" s="584"/>
      <c r="C81" s="584"/>
      <c r="D81" s="584"/>
      <c r="E81" s="584"/>
      <c r="F81" s="584"/>
      <c r="G81" s="584"/>
      <c r="H81" s="584"/>
      <c r="I81" s="584"/>
      <c r="J81" s="584"/>
      <c r="K81" s="584"/>
      <c r="L81" s="584"/>
      <c r="M81" s="584"/>
      <c r="N81" s="584"/>
      <c r="O81" s="584"/>
      <c r="P81" s="584"/>
      <c r="Q81" s="584"/>
      <c r="R81" s="584"/>
      <c r="S81" s="584"/>
      <c r="T81" s="584"/>
      <c r="U81" s="584"/>
      <c r="V81" s="584"/>
      <c r="W81" s="584"/>
      <c r="X81" s="584"/>
      <c r="Y81" s="584"/>
      <c r="Z81" s="584"/>
      <c r="AA81" s="584"/>
      <c r="AB81" s="584"/>
      <c r="AC81" s="584"/>
      <c r="AD81" s="584"/>
      <c r="AE81" s="584"/>
      <c r="AF81" s="584"/>
      <c r="AG81" s="584"/>
      <c r="AH81" s="584"/>
      <c r="AI81" s="584"/>
      <c r="AJ81" s="584"/>
      <c r="AK81" s="583"/>
      <c r="AL81" s="582"/>
      <c r="AM81" s="583"/>
      <c r="AN81" s="583"/>
      <c r="AO81" s="583"/>
      <c r="AP81" s="583"/>
      <c r="AQ81" s="583"/>
      <c r="AR81" s="507"/>
      <c r="AS81" s="507"/>
      <c r="AT81" s="507"/>
      <c r="AU81" s="507"/>
      <c r="AV81" s="507"/>
      <c r="AW81" s="507"/>
      <c r="AX81" s="507"/>
      <c r="AY81" s="507"/>
      <c r="AZ81" s="507"/>
      <c r="BA81" s="507"/>
      <c r="BB81" s="507"/>
      <c r="BC81" s="507"/>
      <c r="BD81" s="507"/>
      <c r="BE81" s="507"/>
      <c r="BF81" s="507"/>
      <c r="BG81" s="507"/>
      <c r="BH81" s="507"/>
      <c r="BI81" s="507"/>
      <c r="BJ81" s="507"/>
      <c r="BK81" s="507"/>
      <c r="BL81" s="507"/>
      <c r="BM81" s="507"/>
      <c r="BN81" s="507"/>
      <c r="BO81" s="507"/>
      <c r="BP81" s="507"/>
      <c r="BQ81" s="507"/>
      <c r="BR81" s="507"/>
      <c r="BS81" s="507"/>
      <c r="BT81" s="507"/>
      <c r="BU81" s="507"/>
      <c r="BV81" s="507"/>
      <c r="BW81" s="507"/>
      <c r="BX81" s="507"/>
      <c r="BY81" s="507"/>
      <c r="BZ81" s="507"/>
      <c r="CA81" s="507"/>
      <c r="CB81" s="507"/>
      <c r="CC81" s="507"/>
      <c r="CD81" s="507"/>
      <c r="CE81" s="507"/>
      <c r="CF81" s="507"/>
      <c r="CG81" s="507"/>
      <c r="CH81" s="507"/>
      <c r="CI81" s="507"/>
      <c r="CJ81" s="507"/>
      <c r="CK81" s="507"/>
      <c r="CL81" s="507"/>
      <c r="CM81" s="507"/>
      <c r="CN81" s="507"/>
      <c r="CO81" s="507"/>
      <c r="CP81" s="507"/>
    </row>
    <row r="82" spans="1:94" s="585" customFormat="1">
      <c r="A82" s="584"/>
      <c r="B82" s="584"/>
      <c r="C82" s="584"/>
      <c r="D82" s="584"/>
      <c r="E82" s="584"/>
      <c r="F82" s="584"/>
      <c r="G82" s="584"/>
      <c r="H82" s="584"/>
      <c r="I82" s="584"/>
      <c r="J82" s="584"/>
      <c r="K82" s="584"/>
      <c r="L82" s="584"/>
      <c r="M82" s="584"/>
      <c r="N82" s="584"/>
      <c r="O82" s="584"/>
      <c r="P82" s="584"/>
      <c r="Q82" s="584"/>
      <c r="R82" s="584"/>
      <c r="S82" s="584"/>
      <c r="T82" s="584"/>
      <c r="U82" s="584"/>
      <c r="V82" s="584"/>
      <c r="W82" s="584"/>
      <c r="X82" s="584"/>
      <c r="Y82" s="584"/>
      <c r="Z82" s="584"/>
      <c r="AA82" s="584"/>
      <c r="AB82" s="584"/>
      <c r="AC82" s="584"/>
      <c r="AD82" s="584"/>
      <c r="AE82" s="584"/>
      <c r="AF82" s="584"/>
      <c r="AG82" s="584"/>
      <c r="AH82" s="584"/>
      <c r="AI82" s="584"/>
      <c r="AJ82" s="584"/>
      <c r="AK82" s="583"/>
      <c r="AL82" s="582"/>
      <c r="AM82" s="583"/>
      <c r="AN82" s="583"/>
      <c r="AO82" s="583"/>
      <c r="AP82" s="583"/>
      <c r="AQ82" s="583"/>
      <c r="AR82" s="507"/>
      <c r="AS82" s="507"/>
      <c r="AT82" s="507"/>
      <c r="AU82" s="507"/>
      <c r="AV82" s="507"/>
      <c r="AW82" s="507"/>
      <c r="AX82" s="507"/>
      <c r="AY82" s="507"/>
      <c r="AZ82" s="507"/>
      <c r="BA82" s="507"/>
      <c r="BB82" s="507"/>
      <c r="BC82" s="507"/>
      <c r="BD82" s="507"/>
      <c r="BE82" s="507"/>
      <c r="BF82" s="507"/>
      <c r="BG82" s="507"/>
      <c r="BH82" s="507"/>
      <c r="BI82" s="507"/>
      <c r="BJ82" s="507"/>
      <c r="BK82" s="507"/>
      <c r="BL82" s="507"/>
      <c r="BM82" s="507"/>
      <c r="BN82" s="507"/>
      <c r="BO82" s="507"/>
      <c r="BP82" s="507"/>
      <c r="BQ82" s="507"/>
      <c r="BR82" s="507"/>
      <c r="BS82" s="507"/>
      <c r="BT82" s="507"/>
      <c r="BU82" s="507"/>
      <c r="BV82" s="507"/>
      <c r="BW82" s="507"/>
      <c r="BX82" s="507"/>
      <c r="BY82" s="507"/>
      <c r="BZ82" s="507"/>
      <c r="CA82" s="507"/>
      <c r="CB82" s="507"/>
      <c r="CC82" s="507"/>
      <c r="CD82" s="507"/>
      <c r="CE82" s="507"/>
      <c r="CF82" s="507"/>
      <c r="CG82" s="507"/>
      <c r="CH82" s="507"/>
      <c r="CI82" s="507"/>
      <c r="CJ82" s="507"/>
      <c r="CK82" s="507"/>
      <c r="CL82" s="507"/>
      <c r="CM82" s="507"/>
      <c r="CN82" s="507"/>
      <c r="CO82" s="507"/>
      <c r="CP82" s="507"/>
    </row>
    <row r="83" spans="1:94" s="585" customFormat="1">
      <c r="A83" s="584"/>
      <c r="B83" s="584"/>
      <c r="C83" s="584"/>
      <c r="D83" s="584"/>
      <c r="E83" s="584"/>
      <c r="F83" s="584"/>
      <c r="G83" s="584"/>
      <c r="H83" s="584"/>
      <c r="I83" s="584"/>
      <c r="J83" s="584"/>
      <c r="K83" s="584"/>
      <c r="L83" s="584"/>
      <c r="M83" s="584"/>
      <c r="N83" s="584"/>
      <c r="O83" s="584"/>
      <c r="P83" s="584"/>
      <c r="Q83" s="584"/>
      <c r="R83" s="584"/>
      <c r="S83" s="584"/>
      <c r="T83" s="584"/>
      <c r="U83" s="584"/>
      <c r="V83" s="584"/>
      <c r="W83" s="584"/>
      <c r="X83" s="584"/>
      <c r="Y83" s="584"/>
      <c r="Z83" s="584"/>
      <c r="AA83" s="584"/>
      <c r="AB83" s="584"/>
      <c r="AC83" s="584"/>
      <c r="AD83" s="584"/>
      <c r="AE83" s="584"/>
      <c r="AF83" s="584"/>
      <c r="AG83" s="584"/>
      <c r="AH83" s="584"/>
      <c r="AI83" s="584"/>
      <c r="AJ83" s="584"/>
      <c r="AK83" s="583"/>
      <c r="AL83" s="582"/>
      <c r="AM83" s="583"/>
      <c r="AN83" s="583"/>
      <c r="AO83" s="583"/>
      <c r="AP83" s="583"/>
      <c r="AQ83" s="583"/>
      <c r="AR83" s="507"/>
      <c r="AS83" s="507"/>
      <c r="AT83" s="507"/>
      <c r="AU83" s="507"/>
      <c r="AV83" s="507"/>
      <c r="AW83" s="507"/>
      <c r="AX83" s="507"/>
      <c r="AY83" s="507"/>
      <c r="AZ83" s="507"/>
      <c r="BA83" s="507"/>
      <c r="BB83" s="507"/>
      <c r="BC83" s="507"/>
      <c r="BD83" s="507"/>
      <c r="BE83" s="507"/>
      <c r="BF83" s="507"/>
      <c r="BG83" s="507"/>
      <c r="BH83" s="507"/>
      <c r="BI83" s="507"/>
      <c r="BJ83" s="507"/>
      <c r="BK83" s="507"/>
      <c r="BL83" s="507"/>
      <c r="BM83" s="507"/>
      <c r="BN83" s="507"/>
      <c r="BO83" s="507"/>
      <c r="BP83" s="507"/>
      <c r="BQ83" s="507"/>
      <c r="BR83" s="507"/>
      <c r="BS83" s="507"/>
      <c r="BT83" s="507"/>
      <c r="BU83" s="507"/>
      <c r="BV83" s="507"/>
      <c r="BW83" s="507"/>
      <c r="BX83" s="507"/>
      <c r="BY83" s="507"/>
      <c r="BZ83" s="507"/>
      <c r="CA83" s="507"/>
      <c r="CB83" s="507"/>
      <c r="CC83" s="507"/>
      <c r="CD83" s="507"/>
      <c r="CE83" s="507"/>
      <c r="CF83" s="507"/>
      <c r="CG83" s="507"/>
      <c r="CH83" s="507"/>
      <c r="CI83" s="507"/>
      <c r="CJ83" s="507"/>
      <c r="CK83" s="507"/>
      <c r="CL83" s="507"/>
      <c r="CM83" s="507"/>
      <c r="CN83" s="507"/>
      <c r="CO83" s="507"/>
      <c r="CP83" s="507"/>
    </row>
    <row r="84" spans="1:94" s="585" customFormat="1">
      <c r="A84" s="584"/>
      <c r="B84" s="584"/>
      <c r="C84" s="584"/>
      <c r="D84" s="584"/>
      <c r="E84" s="584"/>
      <c r="F84" s="584"/>
      <c r="G84" s="584"/>
      <c r="H84" s="584"/>
      <c r="I84" s="584"/>
      <c r="J84" s="584"/>
      <c r="K84" s="584"/>
      <c r="L84" s="584"/>
      <c r="M84" s="584"/>
      <c r="N84" s="584"/>
      <c r="O84" s="584"/>
      <c r="P84" s="584"/>
      <c r="Q84" s="584"/>
      <c r="R84" s="584"/>
      <c r="S84" s="584"/>
      <c r="T84" s="584"/>
      <c r="U84" s="584"/>
      <c r="V84" s="584"/>
      <c r="W84" s="584"/>
      <c r="X84" s="584"/>
      <c r="Y84" s="584"/>
      <c r="Z84" s="584"/>
      <c r="AA84" s="584"/>
      <c r="AB84" s="584"/>
      <c r="AC84" s="584"/>
      <c r="AD84" s="584"/>
      <c r="AE84" s="584"/>
      <c r="AF84" s="584"/>
      <c r="AG84" s="584"/>
      <c r="AH84" s="584"/>
      <c r="AI84" s="584"/>
      <c r="AJ84" s="584"/>
      <c r="AK84" s="583"/>
      <c r="AL84" s="582"/>
      <c r="AM84" s="583"/>
      <c r="AN84" s="583"/>
      <c r="AO84" s="583"/>
      <c r="AP84" s="583"/>
      <c r="AQ84" s="583"/>
      <c r="AR84" s="507"/>
      <c r="AS84" s="507"/>
      <c r="AT84" s="507"/>
      <c r="AU84" s="507"/>
      <c r="AV84" s="507"/>
      <c r="AW84" s="507"/>
      <c r="AX84" s="507"/>
      <c r="AY84" s="507"/>
      <c r="AZ84" s="507"/>
      <c r="BA84" s="507"/>
      <c r="BB84" s="507"/>
      <c r="BC84" s="507"/>
      <c r="BD84" s="507"/>
      <c r="BE84" s="507"/>
      <c r="BF84" s="507"/>
      <c r="BG84" s="507"/>
      <c r="BH84" s="507"/>
      <c r="BI84" s="507"/>
      <c r="BJ84" s="507"/>
      <c r="BK84" s="507"/>
      <c r="BL84" s="507"/>
      <c r="BM84" s="507"/>
      <c r="BN84" s="507"/>
      <c r="BO84" s="507"/>
      <c r="BP84" s="507"/>
      <c r="BQ84" s="507"/>
      <c r="BR84" s="507"/>
      <c r="BS84" s="507"/>
      <c r="BT84" s="507"/>
      <c r="BU84" s="507"/>
      <c r="BV84" s="507"/>
      <c r="BW84" s="507"/>
      <c r="BX84" s="507"/>
      <c r="BY84" s="507"/>
      <c r="BZ84" s="507"/>
      <c r="CA84" s="507"/>
      <c r="CB84" s="507"/>
      <c r="CC84" s="507"/>
      <c r="CD84" s="507"/>
      <c r="CE84" s="507"/>
      <c r="CF84" s="507"/>
      <c r="CG84" s="507"/>
      <c r="CH84" s="507"/>
      <c r="CI84" s="507"/>
      <c r="CJ84" s="507"/>
      <c r="CK84" s="507"/>
      <c r="CL84" s="507"/>
      <c r="CM84" s="507"/>
      <c r="CN84" s="507"/>
      <c r="CO84" s="507"/>
      <c r="CP84" s="507"/>
    </row>
    <row r="85" spans="1:94" s="585" customFormat="1">
      <c r="A85" s="584"/>
      <c r="B85" s="584"/>
      <c r="C85" s="584"/>
      <c r="D85" s="584"/>
      <c r="E85" s="584"/>
      <c r="F85" s="584"/>
      <c r="G85" s="584"/>
      <c r="H85" s="584"/>
      <c r="I85" s="584"/>
      <c r="J85" s="584"/>
      <c r="K85" s="584"/>
      <c r="L85" s="584"/>
      <c r="M85" s="584"/>
      <c r="N85" s="584"/>
      <c r="O85" s="584"/>
      <c r="P85" s="584"/>
      <c r="Q85" s="584"/>
      <c r="R85" s="584"/>
      <c r="S85" s="584"/>
      <c r="T85" s="584"/>
      <c r="U85" s="584"/>
      <c r="V85" s="584"/>
      <c r="W85" s="584"/>
      <c r="X85" s="584"/>
      <c r="Y85" s="584"/>
      <c r="Z85" s="584"/>
      <c r="AA85" s="584"/>
      <c r="AB85" s="584"/>
      <c r="AC85" s="584"/>
      <c r="AD85" s="584"/>
      <c r="AE85" s="584"/>
      <c r="AF85" s="584"/>
      <c r="AG85" s="584"/>
      <c r="AH85" s="584"/>
      <c r="AI85" s="584"/>
      <c r="AJ85" s="584"/>
      <c r="AK85" s="583"/>
      <c r="AL85" s="582"/>
      <c r="AM85" s="583"/>
      <c r="AN85" s="583"/>
      <c r="AO85" s="583"/>
      <c r="AP85" s="583"/>
      <c r="AQ85" s="583"/>
      <c r="AR85" s="507"/>
      <c r="AS85" s="507"/>
      <c r="AT85" s="507"/>
      <c r="AU85" s="507"/>
      <c r="AV85" s="507"/>
      <c r="AW85" s="507"/>
      <c r="AX85" s="507"/>
      <c r="AY85" s="507"/>
      <c r="AZ85" s="507"/>
      <c r="BA85" s="507"/>
      <c r="BB85" s="507"/>
      <c r="BC85" s="507"/>
      <c r="BD85" s="507"/>
      <c r="BE85" s="507"/>
      <c r="BF85" s="507"/>
      <c r="BG85" s="507"/>
      <c r="BH85" s="507"/>
      <c r="BI85" s="507"/>
      <c r="BJ85" s="507"/>
      <c r="BK85" s="507"/>
      <c r="BL85" s="507"/>
      <c r="BM85" s="507"/>
      <c r="BN85" s="507"/>
      <c r="BO85" s="507"/>
      <c r="BP85" s="507"/>
      <c r="BQ85" s="507"/>
      <c r="BR85" s="507"/>
      <c r="BS85" s="507"/>
      <c r="BT85" s="507"/>
      <c r="BU85" s="507"/>
      <c r="BV85" s="507"/>
      <c r="BW85" s="507"/>
      <c r="BX85" s="507"/>
      <c r="BY85" s="507"/>
      <c r="BZ85" s="507"/>
      <c r="CA85" s="507"/>
      <c r="CB85" s="507"/>
      <c r="CC85" s="507"/>
      <c r="CD85" s="507"/>
      <c r="CE85" s="507"/>
      <c r="CF85" s="507"/>
      <c r="CG85" s="507"/>
      <c r="CH85" s="507"/>
      <c r="CI85" s="507"/>
      <c r="CJ85" s="507"/>
      <c r="CK85" s="507"/>
      <c r="CL85" s="507"/>
      <c r="CM85" s="507"/>
      <c r="CN85" s="507"/>
      <c r="CO85" s="507"/>
      <c r="CP85" s="507"/>
    </row>
    <row r="86" spans="1:94" s="585" customFormat="1">
      <c r="A86" s="584"/>
      <c r="B86" s="584"/>
      <c r="C86" s="584"/>
      <c r="D86" s="584"/>
      <c r="E86" s="584"/>
      <c r="F86" s="584"/>
      <c r="G86" s="584"/>
      <c r="H86" s="584"/>
      <c r="I86" s="584"/>
      <c r="J86" s="584"/>
      <c r="K86" s="584"/>
      <c r="L86" s="584"/>
      <c r="M86" s="584"/>
      <c r="N86" s="584"/>
      <c r="O86" s="584"/>
      <c r="P86" s="584"/>
      <c r="Q86" s="584"/>
      <c r="R86" s="584"/>
      <c r="S86" s="584"/>
      <c r="T86" s="584"/>
      <c r="U86" s="584"/>
      <c r="V86" s="584"/>
      <c r="W86" s="584"/>
      <c r="X86" s="584"/>
      <c r="Y86" s="584"/>
      <c r="Z86" s="584"/>
      <c r="AA86" s="584"/>
      <c r="AB86" s="584"/>
      <c r="AC86" s="584"/>
      <c r="AD86" s="584"/>
      <c r="AE86" s="584"/>
      <c r="AF86" s="584"/>
      <c r="AG86" s="584"/>
      <c r="AH86" s="584"/>
      <c r="AI86" s="584"/>
      <c r="AJ86" s="584"/>
      <c r="AK86" s="583"/>
      <c r="AL86" s="582"/>
      <c r="AM86" s="583"/>
      <c r="AN86" s="583"/>
      <c r="AO86" s="583"/>
      <c r="AP86" s="583"/>
      <c r="AQ86" s="583"/>
      <c r="AR86" s="507"/>
      <c r="AS86" s="507"/>
      <c r="AT86" s="507"/>
      <c r="AU86" s="507"/>
      <c r="AV86" s="507"/>
      <c r="AW86" s="507"/>
      <c r="AX86" s="507"/>
      <c r="AY86" s="507"/>
      <c r="AZ86" s="507"/>
      <c r="BA86" s="507"/>
      <c r="BB86" s="507"/>
      <c r="BC86" s="507"/>
      <c r="BD86" s="507"/>
      <c r="BE86" s="507"/>
      <c r="BF86" s="507"/>
      <c r="BG86" s="507"/>
      <c r="BH86" s="507"/>
      <c r="BI86" s="507"/>
      <c r="BJ86" s="507"/>
      <c r="BK86" s="507"/>
      <c r="BL86" s="507"/>
      <c r="BM86" s="507"/>
      <c r="BN86" s="507"/>
      <c r="BO86" s="507"/>
      <c r="BP86" s="507"/>
      <c r="BQ86" s="507"/>
      <c r="BR86" s="507"/>
      <c r="BS86" s="507"/>
      <c r="BT86" s="507"/>
      <c r="BU86" s="507"/>
      <c r="BV86" s="507"/>
      <c r="BW86" s="507"/>
      <c r="BX86" s="507"/>
      <c r="BY86" s="507"/>
      <c r="BZ86" s="507"/>
      <c r="CA86" s="507"/>
      <c r="CB86" s="507"/>
      <c r="CC86" s="507"/>
      <c r="CD86" s="507"/>
      <c r="CE86" s="507"/>
      <c r="CF86" s="507"/>
      <c r="CG86" s="507"/>
      <c r="CH86" s="507"/>
      <c r="CI86" s="507"/>
      <c r="CJ86" s="507"/>
      <c r="CK86" s="507"/>
      <c r="CL86" s="507"/>
      <c r="CM86" s="507"/>
      <c r="CN86" s="507"/>
      <c r="CO86" s="507"/>
      <c r="CP86" s="507"/>
    </row>
    <row r="87" spans="1:94" s="585" customFormat="1">
      <c r="A87" s="584"/>
      <c r="B87" s="584"/>
      <c r="C87" s="584"/>
      <c r="D87" s="584"/>
      <c r="E87" s="584"/>
      <c r="F87" s="584"/>
      <c r="G87" s="584"/>
      <c r="H87" s="584"/>
      <c r="I87" s="584"/>
      <c r="J87" s="584"/>
      <c r="K87" s="584"/>
      <c r="L87" s="584"/>
      <c r="M87" s="584"/>
      <c r="N87" s="584"/>
      <c r="O87" s="584"/>
      <c r="P87" s="584"/>
      <c r="Q87" s="584"/>
      <c r="R87" s="584"/>
      <c r="S87" s="584"/>
      <c r="T87" s="584"/>
      <c r="U87" s="584"/>
      <c r="V87" s="584"/>
      <c r="W87" s="584"/>
      <c r="X87" s="584"/>
      <c r="Y87" s="584"/>
      <c r="Z87" s="584"/>
      <c r="AA87" s="584"/>
      <c r="AB87" s="584"/>
      <c r="AC87" s="584"/>
      <c r="AD87" s="584"/>
      <c r="AE87" s="584"/>
      <c r="AF87" s="584"/>
      <c r="AG87" s="584"/>
      <c r="AH87" s="584"/>
      <c r="AI87" s="584"/>
      <c r="AJ87" s="584"/>
      <c r="AK87" s="583"/>
      <c r="AL87" s="582"/>
      <c r="AM87" s="583"/>
      <c r="AN87" s="583"/>
      <c r="AO87" s="583"/>
      <c r="AP87" s="583"/>
      <c r="AQ87" s="583"/>
      <c r="AR87" s="507"/>
      <c r="AS87" s="507"/>
      <c r="AT87" s="507"/>
      <c r="AU87" s="507"/>
      <c r="AV87" s="507"/>
      <c r="AW87" s="507"/>
      <c r="AX87" s="507"/>
      <c r="AY87" s="507"/>
      <c r="AZ87" s="507"/>
      <c r="BA87" s="507"/>
      <c r="BB87" s="507"/>
      <c r="BC87" s="507"/>
      <c r="BD87" s="507"/>
      <c r="BE87" s="507"/>
      <c r="BF87" s="507"/>
      <c r="BG87" s="507"/>
      <c r="BH87" s="507"/>
      <c r="BI87" s="507"/>
      <c r="BJ87" s="507"/>
      <c r="BK87" s="507"/>
      <c r="BL87" s="507"/>
      <c r="BM87" s="507"/>
      <c r="BN87" s="507"/>
      <c r="BO87" s="507"/>
      <c r="BP87" s="507"/>
      <c r="BQ87" s="507"/>
      <c r="BR87" s="507"/>
      <c r="BS87" s="507"/>
      <c r="BT87" s="507"/>
      <c r="BU87" s="507"/>
      <c r="BV87" s="507"/>
      <c r="BW87" s="507"/>
      <c r="BX87" s="507"/>
      <c r="BY87" s="507"/>
      <c r="BZ87" s="507"/>
      <c r="CA87" s="507"/>
      <c r="CB87" s="507"/>
      <c r="CC87" s="507"/>
      <c r="CD87" s="507"/>
      <c r="CE87" s="507"/>
      <c r="CF87" s="507"/>
      <c r="CG87" s="507"/>
      <c r="CH87" s="507"/>
      <c r="CI87" s="507"/>
      <c r="CJ87" s="507"/>
      <c r="CK87" s="507"/>
      <c r="CL87" s="507"/>
      <c r="CM87" s="507"/>
      <c r="CN87" s="507"/>
      <c r="CO87" s="507"/>
      <c r="CP87" s="507"/>
    </row>
    <row r="88" spans="1:94" s="585" customFormat="1">
      <c r="A88" s="584"/>
      <c r="B88" s="584"/>
      <c r="C88" s="584"/>
      <c r="D88" s="584"/>
      <c r="E88" s="584"/>
      <c r="F88" s="584"/>
      <c r="G88" s="584"/>
      <c r="H88" s="584"/>
      <c r="I88" s="584"/>
      <c r="J88" s="584"/>
      <c r="K88" s="584"/>
      <c r="L88" s="584"/>
      <c r="M88" s="584"/>
      <c r="N88" s="584"/>
      <c r="O88" s="584"/>
      <c r="P88" s="584"/>
      <c r="Q88" s="584"/>
      <c r="R88" s="584"/>
      <c r="S88" s="584"/>
      <c r="T88" s="584"/>
      <c r="U88" s="584"/>
      <c r="V88" s="584"/>
      <c r="W88" s="584"/>
      <c r="X88" s="584"/>
      <c r="Y88" s="584"/>
      <c r="Z88" s="584"/>
      <c r="AA88" s="584"/>
      <c r="AB88" s="584"/>
      <c r="AC88" s="584"/>
      <c r="AD88" s="584"/>
      <c r="AE88" s="584"/>
      <c r="AF88" s="584"/>
      <c r="AG88" s="584"/>
      <c r="AH88" s="584"/>
      <c r="AI88" s="584"/>
      <c r="AJ88" s="584"/>
      <c r="AK88" s="583"/>
      <c r="AL88" s="582"/>
      <c r="AM88" s="583"/>
      <c r="AN88" s="583"/>
      <c r="AO88" s="583"/>
      <c r="AP88" s="583"/>
      <c r="AQ88" s="583"/>
      <c r="AR88" s="507"/>
      <c r="AS88" s="507"/>
      <c r="AT88" s="507"/>
      <c r="AU88" s="507"/>
      <c r="AV88" s="507"/>
      <c r="AW88" s="507"/>
      <c r="AX88" s="507"/>
      <c r="AY88" s="507"/>
      <c r="AZ88" s="507"/>
      <c r="BA88" s="507"/>
      <c r="BB88" s="507"/>
      <c r="BC88" s="507"/>
      <c r="BD88" s="507"/>
      <c r="BE88" s="507"/>
      <c r="BF88" s="507"/>
      <c r="BG88" s="507"/>
      <c r="BH88" s="507"/>
      <c r="BI88" s="507"/>
      <c r="BJ88" s="507"/>
      <c r="BK88" s="507"/>
      <c r="BL88" s="507"/>
      <c r="BM88" s="507"/>
      <c r="BN88" s="507"/>
      <c r="BO88" s="507"/>
      <c r="BP88" s="507"/>
      <c r="BQ88" s="507"/>
      <c r="BR88" s="507"/>
      <c r="BS88" s="507"/>
      <c r="BT88" s="507"/>
      <c r="BU88" s="507"/>
      <c r="BV88" s="507"/>
      <c r="BW88" s="507"/>
      <c r="BX88" s="507"/>
      <c r="BY88" s="507"/>
      <c r="BZ88" s="507"/>
      <c r="CA88" s="507"/>
      <c r="CB88" s="507"/>
      <c r="CC88" s="507"/>
      <c r="CD88" s="507"/>
      <c r="CE88" s="507"/>
      <c r="CF88" s="507"/>
      <c r="CG88" s="507"/>
      <c r="CH88" s="507"/>
      <c r="CI88" s="507"/>
      <c r="CJ88" s="507"/>
      <c r="CK88" s="507"/>
      <c r="CL88" s="507"/>
      <c r="CM88" s="507"/>
      <c r="CN88" s="507"/>
      <c r="CO88" s="507"/>
      <c r="CP88" s="507"/>
    </row>
    <row r="89" spans="1:94" s="585" customFormat="1">
      <c r="A89" s="584"/>
      <c r="B89" s="584"/>
      <c r="C89" s="584"/>
      <c r="D89" s="584"/>
      <c r="E89" s="584"/>
      <c r="F89" s="584"/>
      <c r="G89" s="584"/>
      <c r="H89" s="584"/>
      <c r="I89" s="584"/>
      <c r="J89" s="584"/>
      <c r="K89" s="584"/>
      <c r="L89" s="584"/>
      <c r="M89" s="584"/>
      <c r="N89" s="584"/>
      <c r="O89" s="584"/>
      <c r="P89" s="584"/>
      <c r="Q89" s="584"/>
      <c r="R89" s="584"/>
      <c r="S89" s="584"/>
      <c r="T89" s="584"/>
      <c r="U89" s="584"/>
      <c r="V89" s="584"/>
      <c r="W89" s="584"/>
      <c r="X89" s="584"/>
      <c r="Y89" s="584"/>
      <c r="Z89" s="584"/>
      <c r="AA89" s="584"/>
      <c r="AB89" s="584"/>
      <c r="AC89" s="584"/>
      <c r="AD89" s="584"/>
      <c r="AE89" s="584"/>
      <c r="AF89" s="584"/>
      <c r="AG89" s="584"/>
      <c r="AH89" s="584"/>
      <c r="AI89" s="584"/>
      <c r="AJ89" s="584"/>
      <c r="AK89" s="583"/>
      <c r="AL89" s="582"/>
      <c r="AM89" s="583"/>
      <c r="AN89" s="583"/>
      <c r="AO89" s="583"/>
      <c r="AP89" s="583"/>
      <c r="AQ89" s="583"/>
      <c r="AR89" s="507"/>
      <c r="AS89" s="507"/>
      <c r="AT89" s="507"/>
      <c r="AU89" s="507"/>
      <c r="AV89" s="507"/>
      <c r="AW89" s="507"/>
      <c r="AX89" s="507"/>
      <c r="AY89" s="507"/>
      <c r="AZ89" s="507"/>
      <c r="BA89" s="507"/>
      <c r="BB89" s="507"/>
      <c r="BC89" s="507"/>
      <c r="BD89" s="507"/>
      <c r="BE89" s="507"/>
      <c r="BF89" s="507"/>
      <c r="BG89" s="507"/>
      <c r="BH89" s="507"/>
      <c r="BI89" s="507"/>
      <c r="BJ89" s="507"/>
      <c r="BK89" s="507"/>
      <c r="BL89" s="507"/>
      <c r="BM89" s="507"/>
      <c r="BN89" s="507"/>
      <c r="BO89" s="507"/>
      <c r="BP89" s="507"/>
      <c r="BQ89" s="507"/>
      <c r="BR89" s="507"/>
      <c r="BS89" s="507"/>
      <c r="BT89" s="507"/>
      <c r="BU89" s="507"/>
      <c r="BV89" s="507"/>
      <c r="BW89" s="507"/>
      <c r="BX89" s="507"/>
      <c r="BY89" s="507"/>
      <c r="BZ89" s="507"/>
      <c r="CA89" s="507"/>
      <c r="CB89" s="507"/>
      <c r="CC89" s="507"/>
      <c r="CD89" s="507"/>
      <c r="CE89" s="507"/>
      <c r="CF89" s="507"/>
      <c r="CG89" s="507"/>
      <c r="CH89" s="507"/>
      <c r="CI89" s="507"/>
      <c r="CJ89" s="507"/>
      <c r="CK89" s="507"/>
      <c r="CL89" s="507"/>
      <c r="CM89" s="507"/>
      <c r="CN89" s="507"/>
      <c r="CO89" s="507"/>
      <c r="CP89" s="507"/>
    </row>
    <row r="90" spans="1:94">
      <c r="A90" s="584"/>
      <c r="B90" s="584"/>
      <c r="C90" s="584"/>
      <c r="D90" s="584"/>
      <c r="E90" s="584"/>
      <c r="F90" s="584"/>
      <c r="G90" s="584"/>
      <c r="H90" s="584"/>
      <c r="I90" s="584"/>
      <c r="J90" s="584"/>
      <c r="K90" s="584"/>
      <c r="L90" s="584"/>
      <c r="M90" s="584"/>
      <c r="N90" s="584"/>
      <c r="O90" s="584"/>
      <c r="P90" s="584"/>
      <c r="Q90" s="584"/>
      <c r="R90" s="584"/>
      <c r="S90" s="584"/>
      <c r="T90" s="584"/>
      <c r="U90" s="584"/>
      <c r="V90" s="584"/>
      <c r="W90" s="584"/>
      <c r="X90" s="584"/>
      <c r="Y90" s="584"/>
      <c r="Z90" s="584"/>
      <c r="AA90" s="584"/>
      <c r="AB90" s="584"/>
      <c r="AC90" s="584"/>
      <c r="AD90" s="584"/>
      <c r="AE90" s="584"/>
      <c r="AF90" s="584"/>
      <c r="AG90" s="584"/>
      <c r="AH90" s="584"/>
      <c r="AI90" s="584"/>
      <c r="AJ90" s="584"/>
      <c r="AK90" s="583"/>
      <c r="AL90" s="582"/>
      <c r="AM90" s="583"/>
      <c r="AN90" s="583"/>
      <c r="AO90" s="583"/>
      <c r="AP90" s="583"/>
      <c r="AQ90" s="583"/>
      <c r="AR90" s="507"/>
      <c r="AS90" s="507"/>
      <c r="AT90" s="507"/>
      <c r="AU90" s="507"/>
      <c r="AV90" s="507"/>
      <c r="AW90" s="507"/>
      <c r="AX90" s="507"/>
      <c r="AY90" s="507"/>
      <c r="AZ90" s="507"/>
      <c r="BA90" s="507"/>
      <c r="BB90" s="507"/>
      <c r="BC90" s="507"/>
      <c r="BD90" s="507"/>
      <c r="BE90" s="507"/>
      <c r="BF90" s="507"/>
      <c r="BG90" s="507"/>
      <c r="BH90" s="507"/>
      <c r="BI90" s="507"/>
      <c r="BJ90" s="507"/>
      <c r="BK90" s="507"/>
      <c r="BL90" s="507"/>
      <c r="BM90" s="507"/>
      <c r="BN90" s="507"/>
      <c r="BO90" s="507"/>
      <c r="BP90" s="507"/>
      <c r="BQ90" s="507"/>
      <c r="BR90" s="507"/>
      <c r="BS90" s="507"/>
      <c r="BT90" s="507"/>
      <c r="BU90" s="507"/>
      <c r="BV90" s="507"/>
      <c r="BW90" s="507"/>
      <c r="BX90" s="507"/>
      <c r="BY90" s="507"/>
      <c r="BZ90" s="507"/>
      <c r="CA90" s="507"/>
      <c r="CB90" s="507"/>
      <c r="CC90" s="507"/>
      <c r="CD90" s="507"/>
      <c r="CE90" s="507"/>
      <c r="CF90" s="507"/>
      <c r="CG90" s="507"/>
      <c r="CH90" s="507"/>
      <c r="CI90" s="507"/>
      <c r="CJ90" s="507"/>
      <c r="CK90" s="507"/>
      <c r="CL90" s="507"/>
      <c r="CM90" s="507"/>
      <c r="CN90" s="507"/>
      <c r="CO90" s="507"/>
      <c r="CP90" s="507"/>
    </row>
    <row r="91" spans="1:94">
      <c r="A91" s="584"/>
      <c r="B91" s="584"/>
      <c r="C91" s="584"/>
      <c r="D91" s="584"/>
      <c r="E91" s="584"/>
      <c r="F91" s="584"/>
      <c r="G91" s="584"/>
      <c r="H91" s="584"/>
      <c r="I91" s="584"/>
      <c r="J91" s="584"/>
      <c r="K91" s="584"/>
      <c r="L91" s="584"/>
      <c r="M91" s="584"/>
      <c r="N91" s="584"/>
      <c r="O91" s="584"/>
      <c r="P91" s="584"/>
      <c r="Q91" s="584"/>
      <c r="R91" s="584"/>
      <c r="S91" s="584"/>
      <c r="T91" s="584"/>
      <c r="U91" s="584"/>
      <c r="V91" s="584"/>
      <c r="W91" s="584"/>
      <c r="X91" s="584"/>
      <c r="Y91" s="584"/>
      <c r="Z91" s="584"/>
      <c r="AA91" s="584"/>
      <c r="AB91" s="584"/>
      <c r="AC91" s="584"/>
      <c r="AD91" s="584"/>
      <c r="AE91" s="584"/>
      <c r="AF91" s="584"/>
      <c r="AG91" s="584"/>
      <c r="AH91" s="584"/>
      <c r="AI91" s="584"/>
      <c r="AJ91" s="584"/>
      <c r="AK91" s="583"/>
      <c r="AL91" s="582"/>
      <c r="AM91" s="583"/>
      <c r="AN91" s="583"/>
      <c r="AO91" s="583"/>
      <c r="AP91" s="583"/>
      <c r="AQ91" s="583"/>
      <c r="AR91" s="507"/>
      <c r="AS91" s="507"/>
      <c r="AT91" s="507"/>
      <c r="AU91" s="507"/>
      <c r="AV91" s="507"/>
      <c r="AW91" s="507"/>
      <c r="AX91" s="507"/>
      <c r="AY91" s="507"/>
      <c r="AZ91" s="507"/>
      <c r="BA91" s="507"/>
      <c r="BB91" s="507"/>
      <c r="BC91" s="507"/>
      <c r="BD91" s="507"/>
      <c r="BE91" s="507"/>
      <c r="BF91" s="507"/>
      <c r="BG91" s="507"/>
      <c r="BH91" s="507"/>
      <c r="BI91" s="507"/>
      <c r="BJ91" s="507"/>
      <c r="BK91" s="507"/>
      <c r="BL91" s="507"/>
      <c r="BM91" s="507"/>
      <c r="BN91" s="507"/>
      <c r="BO91" s="507"/>
      <c r="BP91" s="507"/>
      <c r="BQ91" s="507"/>
      <c r="BR91" s="507"/>
      <c r="BS91" s="507"/>
      <c r="BT91" s="507"/>
      <c r="BU91" s="507"/>
      <c r="BV91" s="507"/>
      <c r="BW91" s="507"/>
      <c r="BX91" s="507"/>
      <c r="BY91" s="507"/>
      <c r="BZ91" s="507"/>
      <c r="CA91" s="507"/>
      <c r="CB91" s="507"/>
      <c r="CC91" s="507"/>
      <c r="CD91" s="507"/>
      <c r="CE91" s="507"/>
      <c r="CF91" s="507"/>
      <c r="CG91" s="507"/>
      <c r="CH91" s="507"/>
      <c r="CI91" s="507"/>
      <c r="CJ91" s="507"/>
      <c r="CK91" s="507"/>
      <c r="CL91" s="507"/>
      <c r="CM91" s="507"/>
      <c r="CN91" s="507"/>
      <c r="CO91" s="507"/>
      <c r="CP91" s="507"/>
    </row>
    <row r="92" spans="1:94">
      <c r="A92" s="584"/>
      <c r="B92" s="584"/>
      <c r="C92" s="584"/>
      <c r="D92" s="584"/>
      <c r="E92" s="584"/>
      <c r="F92" s="584"/>
      <c r="G92" s="584"/>
      <c r="H92" s="584"/>
      <c r="I92" s="584"/>
      <c r="J92" s="584"/>
      <c r="K92" s="584"/>
      <c r="L92" s="584"/>
      <c r="M92" s="584"/>
      <c r="N92" s="584"/>
      <c r="O92" s="584"/>
      <c r="P92" s="584"/>
      <c r="Q92" s="584"/>
      <c r="R92" s="584"/>
      <c r="S92" s="584"/>
      <c r="T92" s="584"/>
      <c r="U92" s="584"/>
      <c r="V92" s="584"/>
      <c r="W92" s="584"/>
      <c r="X92" s="584"/>
      <c r="Y92" s="584"/>
      <c r="Z92" s="584"/>
      <c r="AA92" s="584"/>
      <c r="AB92" s="584"/>
      <c r="AC92" s="584"/>
      <c r="AD92" s="584"/>
      <c r="AE92" s="584"/>
      <c r="AF92" s="584"/>
      <c r="AG92" s="584"/>
      <c r="AH92" s="584"/>
      <c r="AI92" s="584"/>
      <c r="AJ92" s="584"/>
      <c r="AK92" s="583"/>
      <c r="AL92" s="582"/>
      <c r="AM92" s="583"/>
      <c r="AN92" s="583"/>
      <c r="AO92" s="583"/>
      <c r="AP92" s="583"/>
      <c r="AQ92" s="583"/>
      <c r="AR92" s="507"/>
      <c r="AS92" s="507"/>
      <c r="AT92" s="507"/>
      <c r="AU92" s="507"/>
      <c r="AV92" s="507"/>
      <c r="AW92" s="507"/>
      <c r="AX92" s="507"/>
      <c r="AY92" s="507"/>
      <c r="AZ92" s="507"/>
      <c r="BA92" s="507"/>
      <c r="BB92" s="507"/>
      <c r="BC92" s="507"/>
      <c r="BD92" s="507"/>
      <c r="BE92" s="507"/>
      <c r="BF92" s="507"/>
      <c r="BG92" s="507"/>
      <c r="BH92" s="507"/>
      <c r="BI92" s="507"/>
      <c r="BJ92" s="507"/>
      <c r="BK92" s="507"/>
      <c r="BL92" s="507"/>
      <c r="BM92" s="507"/>
      <c r="BN92" s="507"/>
      <c r="BO92" s="507"/>
      <c r="BP92" s="507"/>
      <c r="BQ92" s="507"/>
      <c r="BR92" s="507"/>
      <c r="BS92" s="507"/>
      <c r="BT92" s="507"/>
      <c r="BU92" s="507"/>
      <c r="BV92" s="507"/>
      <c r="BW92" s="507"/>
      <c r="BX92" s="507"/>
      <c r="BY92" s="507"/>
      <c r="BZ92" s="507"/>
      <c r="CA92" s="507"/>
      <c r="CB92" s="507"/>
      <c r="CC92" s="507"/>
      <c r="CD92" s="507"/>
      <c r="CE92" s="507"/>
      <c r="CF92" s="507"/>
      <c r="CG92" s="507"/>
      <c r="CH92" s="507"/>
      <c r="CI92" s="507"/>
      <c r="CJ92" s="507"/>
      <c r="CK92" s="507"/>
      <c r="CL92" s="507"/>
      <c r="CM92" s="507"/>
      <c r="CN92" s="507"/>
      <c r="CO92" s="507"/>
      <c r="CP92" s="507"/>
    </row>
    <row r="93" spans="1:94">
      <c r="A93" s="584"/>
      <c r="B93" s="584"/>
      <c r="C93" s="584"/>
      <c r="D93" s="584"/>
      <c r="E93" s="584"/>
      <c r="F93" s="584"/>
      <c r="G93" s="584"/>
      <c r="H93" s="584"/>
      <c r="I93" s="584"/>
      <c r="J93" s="584"/>
      <c r="K93" s="584"/>
      <c r="L93" s="584"/>
      <c r="M93" s="584"/>
      <c r="N93" s="584"/>
      <c r="O93" s="584"/>
      <c r="P93" s="584"/>
      <c r="Q93" s="584"/>
      <c r="R93" s="584"/>
      <c r="S93" s="584"/>
      <c r="T93" s="584"/>
      <c r="U93" s="584"/>
      <c r="V93" s="584"/>
      <c r="W93" s="584"/>
      <c r="X93" s="584"/>
      <c r="Y93" s="584"/>
      <c r="Z93" s="584"/>
      <c r="AA93" s="584"/>
      <c r="AB93" s="584"/>
      <c r="AC93" s="584"/>
      <c r="AD93" s="584"/>
      <c r="AE93" s="584"/>
      <c r="AF93" s="584"/>
      <c r="AG93" s="584"/>
      <c r="AH93" s="584"/>
      <c r="AI93" s="584"/>
      <c r="AJ93" s="584"/>
      <c r="AK93" s="583"/>
      <c r="AL93" s="582"/>
      <c r="AM93" s="583"/>
      <c r="AN93" s="583"/>
      <c r="AO93" s="583"/>
      <c r="AP93" s="583"/>
      <c r="AQ93" s="583"/>
      <c r="AR93" s="507"/>
      <c r="AS93" s="507"/>
      <c r="AT93" s="507"/>
      <c r="AU93" s="507"/>
      <c r="AV93" s="507"/>
      <c r="AW93" s="507"/>
      <c r="AX93" s="507"/>
      <c r="AY93" s="507"/>
      <c r="AZ93" s="507"/>
      <c r="BA93" s="507"/>
      <c r="BB93" s="507"/>
      <c r="BC93" s="507"/>
      <c r="BD93" s="507"/>
      <c r="BE93" s="507"/>
      <c r="BF93" s="507"/>
      <c r="BG93" s="507"/>
      <c r="BH93" s="507"/>
      <c r="BI93" s="507"/>
      <c r="BJ93" s="507"/>
      <c r="BK93" s="507"/>
      <c r="BL93" s="507"/>
      <c r="BM93" s="507"/>
      <c r="BN93" s="507"/>
      <c r="BO93" s="507"/>
      <c r="BP93" s="507"/>
      <c r="BQ93" s="507"/>
      <c r="BR93" s="507"/>
      <c r="BS93" s="507"/>
      <c r="BT93" s="507"/>
      <c r="BU93" s="507"/>
      <c r="BV93" s="507"/>
      <c r="BW93" s="507"/>
      <c r="BX93" s="507"/>
      <c r="BY93" s="507"/>
      <c r="BZ93" s="507"/>
      <c r="CA93" s="507"/>
      <c r="CB93" s="507"/>
      <c r="CC93" s="507"/>
      <c r="CD93" s="507"/>
      <c r="CE93" s="507"/>
      <c r="CF93" s="507"/>
      <c r="CG93" s="507"/>
      <c r="CH93" s="507"/>
      <c r="CI93" s="507"/>
      <c r="CJ93" s="507"/>
      <c r="CK93" s="507"/>
      <c r="CL93" s="507"/>
      <c r="CM93" s="507"/>
      <c r="CN93" s="507"/>
      <c r="CO93" s="507"/>
      <c r="CP93" s="507"/>
    </row>
    <row r="94" spans="1:94">
      <c r="A94" s="584"/>
      <c r="B94" s="584"/>
      <c r="C94" s="584"/>
      <c r="D94" s="584"/>
      <c r="E94" s="584"/>
      <c r="F94" s="584"/>
      <c r="G94" s="584"/>
      <c r="H94" s="584"/>
      <c r="I94" s="584"/>
      <c r="J94" s="584"/>
      <c r="K94" s="584"/>
      <c r="L94" s="584"/>
      <c r="M94" s="584"/>
      <c r="N94" s="584"/>
      <c r="O94" s="584"/>
      <c r="P94" s="584"/>
      <c r="Q94" s="584"/>
      <c r="R94" s="584"/>
      <c r="S94" s="584"/>
      <c r="T94" s="584"/>
      <c r="U94" s="584"/>
      <c r="V94" s="584"/>
      <c r="W94" s="584"/>
      <c r="X94" s="584"/>
      <c r="Y94" s="584"/>
      <c r="Z94" s="584"/>
      <c r="AA94" s="584"/>
      <c r="AB94" s="584"/>
      <c r="AC94" s="584"/>
      <c r="AD94" s="584"/>
      <c r="AE94" s="584"/>
      <c r="AF94" s="584"/>
      <c r="AG94" s="584"/>
      <c r="AH94" s="584"/>
      <c r="AI94" s="584"/>
      <c r="AJ94" s="584"/>
      <c r="AK94" s="583"/>
      <c r="AL94" s="582"/>
      <c r="AM94" s="583"/>
      <c r="AN94" s="583"/>
      <c r="AO94" s="583"/>
      <c r="AP94" s="583"/>
      <c r="AQ94" s="583"/>
      <c r="AR94" s="507"/>
      <c r="AS94" s="507"/>
      <c r="AT94" s="507"/>
      <c r="AU94" s="507"/>
      <c r="AV94" s="507"/>
      <c r="AW94" s="507"/>
      <c r="AX94" s="507"/>
      <c r="AY94" s="507"/>
      <c r="AZ94" s="507"/>
      <c r="BA94" s="507"/>
      <c r="BB94" s="507"/>
      <c r="BC94" s="507"/>
      <c r="BD94" s="507"/>
      <c r="BE94" s="507"/>
      <c r="BF94" s="507"/>
      <c r="BG94" s="507"/>
      <c r="BH94" s="507"/>
      <c r="BI94" s="507"/>
      <c r="BJ94" s="507"/>
      <c r="BK94" s="507"/>
      <c r="BL94" s="507"/>
      <c r="BM94" s="507"/>
      <c r="BN94" s="507"/>
      <c r="BO94" s="507"/>
      <c r="BP94" s="507"/>
      <c r="BQ94" s="507"/>
      <c r="BR94" s="507"/>
      <c r="BS94" s="507"/>
      <c r="BT94" s="507"/>
      <c r="BU94" s="507"/>
      <c r="BV94" s="507"/>
      <c r="BW94" s="507"/>
      <c r="BX94" s="507"/>
      <c r="BY94" s="507"/>
      <c r="BZ94" s="507"/>
      <c r="CA94" s="507"/>
      <c r="CB94" s="507"/>
      <c r="CC94" s="507"/>
      <c r="CD94" s="507"/>
      <c r="CE94" s="507"/>
      <c r="CF94" s="507"/>
      <c r="CG94" s="507"/>
      <c r="CH94" s="507"/>
      <c r="CI94" s="507"/>
      <c r="CJ94" s="507"/>
      <c r="CK94" s="507"/>
      <c r="CL94" s="507"/>
      <c r="CM94" s="507"/>
      <c r="CN94" s="507"/>
      <c r="CO94" s="507"/>
      <c r="CP94" s="507"/>
    </row>
    <row r="95" spans="1:94">
      <c r="A95" s="584"/>
      <c r="B95" s="584"/>
      <c r="C95" s="584"/>
      <c r="D95" s="584"/>
      <c r="E95" s="584"/>
      <c r="F95" s="584"/>
      <c r="G95" s="584"/>
      <c r="H95" s="584"/>
      <c r="I95" s="584"/>
      <c r="J95" s="584"/>
      <c r="K95" s="584"/>
      <c r="L95" s="584"/>
      <c r="M95" s="584"/>
      <c r="N95" s="584"/>
      <c r="O95" s="584"/>
      <c r="P95" s="584"/>
      <c r="Q95" s="584"/>
      <c r="R95" s="584"/>
      <c r="S95" s="584"/>
      <c r="T95" s="584"/>
      <c r="U95" s="584"/>
      <c r="V95" s="584"/>
      <c r="W95" s="584"/>
      <c r="X95" s="584"/>
      <c r="Y95" s="584"/>
      <c r="Z95" s="584"/>
      <c r="AA95" s="584"/>
      <c r="AB95" s="584"/>
      <c r="AC95" s="584"/>
      <c r="AD95" s="584"/>
      <c r="AE95" s="584"/>
      <c r="AF95" s="584"/>
      <c r="AG95" s="584"/>
      <c r="AH95" s="584"/>
      <c r="AI95" s="584"/>
      <c r="AJ95" s="584"/>
      <c r="AK95" s="583"/>
      <c r="AL95" s="582"/>
      <c r="AM95" s="583"/>
      <c r="AN95" s="583"/>
      <c r="AO95" s="583"/>
      <c r="AP95" s="583"/>
      <c r="AQ95" s="583"/>
      <c r="AR95" s="507"/>
      <c r="AS95" s="507"/>
      <c r="AT95" s="507"/>
      <c r="AU95" s="507"/>
      <c r="AV95" s="507"/>
      <c r="AW95" s="507"/>
      <c r="AX95" s="507"/>
      <c r="AY95" s="507"/>
      <c r="AZ95" s="507"/>
      <c r="BA95" s="507"/>
      <c r="BB95" s="507"/>
      <c r="BC95" s="507"/>
      <c r="BD95" s="507"/>
      <c r="BE95" s="507"/>
      <c r="BF95" s="507"/>
      <c r="BG95" s="507"/>
      <c r="BH95" s="507"/>
      <c r="BI95" s="507"/>
      <c r="BJ95" s="507"/>
      <c r="BK95" s="507"/>
      <c r="BL95" s="507"/>
      <c r="BM95" s="507"/>
      <c r="BN95" s="507"/>
      <c r="BO95" s="507"/>
      <c r="BP95" s="507"/>
      <c r="BQ95" s="507"/>
      <c r="BR95" s="507"/>
      <c r="BS95" s="507"/>
      <c r="BT95" s="507"/>
      <c r="BU95" s="507"/>
      <c r="BV95" s="507"/>
      <c r="BW95" s="507"/>
      <c r="BX95" s="507"/>
      <c r="BY95" s="507"/>
      <c r="BZ95" s="507"/>
      <c r="CA95" s="507"/>
      <c r="CB95" s="507"/>
      <c r="CC95" s="507"/>
      <c r="CD95" s="507"/>
      <c r="CE95" s="507"/>
      <c r="CF95" s="507"/>
      <c r="CG95" s="507"/>
      <c r="CH95" s="507"/>
      <c r="CI95" s="507"/>
      <c r="CJ95" s="507"/>
      <c r="CK95" s="507"/>
      <c r="CL95" s="507"/>
      <c r="CM95" s="507"/>
      <c r="CN95" s="507"/>
      <c r="CO95" s="507"/>
      <c r="CP95" s="507"/>
    </row>
    <row r="96" spans="1:94">
      <c r="A96" s="584"/>
      <c r="B96" s="584"/>
      <c r="C96" s="584"/>
      <c r="D96" s="584"/>
      <c r="E96" s="584"/>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4"/>
      <c r="AF96" s="584"/>
      <c r="AG96" s="584"/>
      <c r="AH96" s="584"/>
      <c r="AI96" s="584"/>
      <c r="AJ96" s="584"/>
      <c r="AK96" s="583"/>
      <c r="AL96" s="582"/>
      <c r="AM96" s="583"/>
      <c r="AN96" s="583"/>
      <c r="AO96" s="583"/>
      <c r="AP96" s="583"/>
      <c r="AQ96" s="583"/>
      <c r="AR96" s="507"/>
      <c r="AS96" s="507"/>
      <c r="AT96" s="507"/>
      <c r="AU96" s="507"/>
      <c r="AV96" s="507"/>
      <c r="AW96" s="507"/>
      <c r="AX96" s="507"/>
      <c r="AY96" s="507"/>
      <c r="AZ96" s="507"/>
      <c r="BA96" s="507"/>
      <c r="BB96" s="507"/>
      <c r="BC96" s="507"/>
      <c r="BD96" s="507"/>
      <c r="BE96" s="507"/>
      <c r="BF96" s="507"/>
      <c r="BG96" s="507"/>
      <c r="BH96" s="507"/>
      <c r="BI96" s="507"/>
      <c r="BJ96" s="507"/>
      <c r="BK96" s="507"/>
      <c r="BL96" s="507"/>
      <c r="BM96" s="507"/>
      <c r="BN96" s="507"/>
      <c r="BO96" s="507"/>
      <c r="BP96" s="507"/>
      <c r="BQ96" s="507"/>
      <c r="BR96" s="507"/>
      <c r="BS96" s="507"/>
      <c r="BT96" s="507"/>
      <c r="BU96" s="507"/>
      <c r="BV96" s="507"/>
      <c r="BW96" s="507"/>
      <c r="BX96" s="507"/>
      <c r="BY96" s="507"/>
      <c r="BZ96" s="507"/>
      <c r="CA96" s="507"/>
      <c r="CB96" s="507"/>
      <c r="CC96" s="507"/>
      <c r="CD96" s="507"/>
      <c r="CE96" s="507"/>
      <c r="CF96" s="507"/>
      <c r="CG96" s="507"/>
      <c r="CH96" s="507"/>
      <c r="CI96" s="507"/>
      <c r="CJ96" s="507"/>
      <c r="CK96" s="507"/>
      <c r="CL96" s="507"/>
      <c r="CM96" s="507"/>
      <c r="CN96" s="507"/>
      <c r="CO96" s="507"/>
      <c r="CP96" s="507"/>
    </row>
    <row r="97" spans="1:94">
      <c r="A97" s="584"/>
      <c r="B97" s="584"/>
      <c r="C97" s="584"/>
      <c r="D97" s="584"/>
      <c r="E97" s="584"/>
      <c r="F97" s="584"/>
      <c r="G97" s="584"/>
      <c r="H97" s="584"/>
      <c r="I97" s="584"/>
      <c r="J97" s="584"/>
      <c r="K97" s="584"/>
      <c r="L97" s="584"/>
      <c r="M97" s="584"/>
      <c r="N97" s="584"/>
      <c r="O97" s="584"/>
      <c r="P97" s="584"/>
      <c r="Q97" s="584"/>
      <c r="R97" s="584"/>
      <c r="S97" s="584"/>
      <c r="T97" s="584"/>
      <c r="U97" s="584"/>
      <c r="V97" s="584"/>
      <c r="W97" s="584"/>
      <c r="X97" s="584"/>
      <c r="Y97" s="584"/>
      <c r="Z97" s="584"/>
      <c r="AA97" s="584"/>
      <c r="AB97" s="584"/>
      <c r="AC97" s="584"/>
      <c r="AD97" s="584"/>
      <c r="AE97" s="584"/>
      <c r="AF97" s="584"/>
      <c r="AG97" s="584"/>
      <c r="AH97" s="584"/>
      <c r="AI97" s="584"/>
      <c r="AJ97" s="584"/>
      <c r="AK97" s="583"/>
      <c r="AL97" s="582"/>
      <c r="AM97" s="583"/>
      <c r="AN97" s="583"/>
      <c r="AO97" s="583"/>
      <c r="AP97" s="583"/>
      <c r="AQ97" s="583"/>
      <c r="AR97" s="507"/>
      <c r="AS97" s="507"/>
      <c r="AT97" s="507"/>
      <c r="AU97" s="507"/>
      <c r="AV97" s="507"/>
      <c r="AW97" s="507"/>
      <c r="AX97" s="507"/>
      <c r="AY97" s="507"/>
      <c r="AZ97" s="507"/>
      <c r="BA97" s="507"/>
      <c r="BB97" s="507"/>
      <c r="BC97" s="507"/>
      <c r="BD97" s="507"/>
      <c r="BE97" s="507"/>
      <c r="BF97" s="507"/>
      <c r="BG97" s="507"/>
      <c r="BH97" s="507"/>
      <c r="BI97" s="507"/>
      <c r="BJ97" s="507"/>
      <c r="BK97" s="507"/>
      <c r="BL97" s="507"/>
      <c r="BM97" s="507"/>
      <c r="BN97" s="507"/>
      <c r="BO97" s="507"/>
      <c r="BP97" s="507"/>
      <c r="BQ97" s="507"/>
      <c r="BR97" s="507"/>
      <c r="BS97" s="507"/>
      <c r="BT97" s="507"/>
      <c r="BU97" s="507"/>
      <c r="BV97" s="507"/>
      <c r="BW97" s="507"/>
      <c r="BX97" s="507"/>
      <c r="BY97" s="507"/>
      <c r="BZ97" s="507"/>
      <c r="CA97" s="507"/>
      <c r="CB97" s="507"/>
      <c r="CC97" s="507"/>
      <c r="CD97" s="507"/>
      <c r="CE97" s="507"/>
      <c r="CF97" s="507"/>
      <c r="CG97" s="507"/>
      <c r="CH97" s="507"/>
      <c r="CI97" s="507"/>
      <c r="CJ97" s="507"/>
      <c r="CK97" s="507"/>
      <c r="CL97" s="507"/>
      <c r="CM97" s="507"/>
      <c r="CN97" s="507"/>
      <c r="CO97" s="507"/>
      <c r="CP97" s="507"/>
    </row>
    <row r="98" spans="1:94">
      <c r="A98" s="584"/>
      <c r="B98" s="584"/>
      <c r="C98" s="584"/>
      <c r="D98" s="584"/>
      <c r="E98" s="584"/>
      <c r="F98" s="584"/>
      <c r="G98" s="584"/>
      <c r="H98" s="584"/>
      <c r="I98" s="584"/>
      <c r="J98" s="584"/>
      <c r="K98" s="584"/>
      <c r="L98" s="584"/>
      <c r="M98" s="584"/>
      <c r="N98" s="584"/>
      <c r="O98" s="584"/>
      <c r="P98" s="584"/>
      <c r="Q98" s="584"/>
      <c r="R98" s="584"/>
      <c r="S98" s="584"/>
      <c r="T98" s="584"/>
      <c r="U98" s="584"/>
      <c r="V98" s="584"/>
      <c r="W98" s="584"/>
      <c r="X98" s="584"/>
      <c r="Y98" s="584"/>
      <c r="Z98" s="584"/>
      <c r="AA98" s="584"/>
      <c r="AB98" s="584"/>
      <c r="AC98" s="584"/>
      <c r="AD98" s="584"/>
      <c r="AE98" s="584"/>
      <c r="AF98" s="584"/>
      <c r="AG98" s="584"/>
      <c r="AH98" s="584"/>
      <c r="AI98" s="584"/>
      <c r="AJ98" s="584"/>
      <c r="AK98" s="583"/>
      <c r="AL98" s="582"/>
      <c r="AM98" s="583"/>
      <c r="AN98" s="583"/>
      <c r="AO98" s="583"/>
      <c r="AP98" s="583"/>
      <c r="AQ98" s="583"/>
      <c r="AR98" s="507"/>
      <c r="AS98" s="507"/>
      <c r="AT98" s="507"/>
      <c r="AU98" s="507"/>
      <c r="AV98" s="507"/>
      <c r="AW98" s="507"/>
      <c r="AX98" s="507"/>
      <c r="AY98" s="507"/>
      <c r="AZ98" s="507"/>
      <c r="BA98" s="507"/>
      <c r="BB98" s="507"/>
      <c r="BC98" s="507"/>
      <c r="BD98" s="507"/>
      <c r="BE98" s="507"/>
      <c r="BF98" s="507"/>
      <c r="BG98" s="507"/>
      <c r="BH98" s="507"/>
      <c r="BI98" s="507"/>
      <c r="BJ98" s="507"/>
      <c r="BK98" s="507"/>
      <c r="BL98" s="507"/>
      <c r="BM98" s="507"/>
      <c r="BN98" s="507"/>
      <c r="BO98" s="507"/>
      <c r="BP98" s="507"/>
      <c r="BQ98" s="507"/>
      <c r="BR98" s="507"/>
      <c r="BS98" s="507"/>
      <c r="BT98" s="507"/>
      <c r="BU98" s="507"/>
      <c r="BV98" s="507"/>
      <c r="BW98" s="507"/>
      <c r="BX98" s="507"/>
      <c r="BY98" s="507"/>
      <c r="BZ98" s="507"/>
      <c r="CA98" s="507"/>
      <c r="CB98" s="507"/>
      <c r="CC98" s="507"/>
      <c r="CD98" s="507"/>
      <c r="CE98" s="507"/>
      <c r="CF98" s="507"/>
      <c r="CG98" s="507"/>
      <c r="CH98" s="507"/>
      <c r="CI98" s="507"/>
      <c r="CJ98" s="507"/>
      <c r="CK98" s="507"/>
      <c r="CL98" s="507"/>
      <c r="CM98" s="507"/>
      <c r="CN98" s="507"/>
      <c r="CO98" s="507"/>
      <c r="CP98" s="507"/>
    </row>
    <row r="99" spans="1:94">
      <c r="A99" s="584"/>
      <c r="B99" s="584"/>
      <c r="C99" s="584"/>
      <c r="D99" s="584"/>
      <c r="E99" s="584"/>
      <c r="F99" s="584"/>
      <c r="G99" s="584"/>
      <c r="H99" s="584"/>
      <c r="I99" s="584"/>
      <c r="J99" s="584"/>
      <c r="K99" s="584"/>
      <c r="L99" s="584"/>
      <c r="M99" s="584"/>
      <c r="N99" s="584"/>
      <c r="O99" s="584"/>
      <c r="P99" s="584"/>
      <c r="Q99" s="584"/>
      <c r="R99" s="584"/>
      <c r="S99" s="584"/>
      <c r="T99" s="584"/>
      <c r="U99" s="584"/>
      <c r="V99" s="584"/>
      <c r="W99" s="584"/>
      <c r="X99" s="584"/>
      <c r="Y99" s="584"/>
      <c r="Z99" s="584"/>
      <c r="AA99" s="584"/>
      <c r="AB99" s="584"/>
      <c r="AC99" s="584"/>
      <c r="AD99" s="584"/>
      <c r="AE99" s="584"/>
      <c r="AF99" s="584"/>
      <c r="AG99" s="584"/>
      <c r="AH99" s="584"/>
      <c r="AI99" s="584"/>
      <c r="AJ99" s="584"/>
      <c r="AK99" s="583"/>
      <c r="AL99" s="582"/>
      <c r="AM99" s="583"/>
      <c r="AN99" s="583"/>
      <c r="AO99" s="583"/>
      <c r="AP99" s="583"/>
      <c r="AQ99" s="583"/>
      <c r="AR99" s="507"/>
      <c r="AS99" s="507"/>
      <c r="AT99" s="507"/>
      <c r="AU99" s="507"/>
      <c r="AV99" s="507"/>
      <c r="AW99" s="507"/>
      <c r="AX99" s="507"/>
      <c r="AY99" s="507"/>
      <c r="AZ99" s="507"/>
      <c r="BA99" s="507"/>
      <c r="BB99" s="507"/>
      <c r="BC99" s="507"/>
      <c r="BD99" s="507"/>
      <c r="BE99" s="507"/>
      <c r="BF99" s="507"/>
      <c r="BG99" s="507"/>
      <c r="BH99" s="507"/>
      <c r="BI99" s="507"/>
      <c r="BJ99" s="507"/>
      <c r="BK99" s="507"/>
      <c r="BL99" s="507"/>
      <c r="BM99" s="507"/>
      <c r="BN99" s="507"/>
      <c r="BO99" s="507"/>
      <c r="BP99" s="507"/>
      <c r="BQ99" s="507"/>
      <c r="BR99" s="507"/>
      <c r="BS99" s="507"/>
      <c r="BT99" s="507"/>
      <c r="BU99" s="507"/>
      <c r="BV99" s="507"/>
      <c r="BW99" s="507"/>
      <c r="BX99" s="507"/>
      <c r="BY99" s="507"/>
      <c r="BZ99" s="507"/>
      <c r="CA99" s="507"/>
      <c r="CB99" s="507"/>
      <c r="CC99" s="507"/>
      <c r="CD99" s="507"/>
      <c r="CE99" s="507"/>
      <c r="CF99" s="507"/>
      <c r="CG99" s="507"/>
      <c r="CH99" s="507"/>
      <c r="CI99" s="507"/>
      <c r="CJ99" s="507"/>
      <c r="CK99" s="507"/>
      <c r="CL99" s="507"/>
      <c r="CM99" s="507"/>
      <c r="CN99" s="507"/>
      <c r="CO99" s="507"/>
      <c r="CP99" s="507"/>
    </row>
    <row r="100" spans="1:94">
      <c r="A100" s="584"/>
      <c r="B100" s="584"/>
      <c r="C100" s="584"/>
      <c r="D100" s="584"/>
      <c r="E100" s="584"/>
      <c r="F100" s="584"/>
      <c r="G100" s="584"/>
      <c r="H100" s="584"/>
      <c r="I100" s="584"/>
      <c r="J100" s="584"/>
      <c r="K100" s="584"/>
      <c r="L100" s="584"/>
      <c r="M100" s="584"/>
      <c r="N100" s="584"/>
      <c r="O100" s="584"/>
      <c r="P100" s="584"/>
      <c r="Q100" s="584"/>
      <c r="R100" s="584"/>
      <c r="S100" s="584"/>
      <c r="T100" s="584"/>
      <c r="U100" s="584"/>
      <c r="V100" s="584"/>
      <c r="W100" s="584"/>
      <c r="X100" s="584"/>
      <c r="Y100" s="584"/>
      <c r="Z100" s="584"/>
      <c r="AA100" s="584"/>
      <c r="AB100" s="584"/>
      <c r="AC100" s="584"/>
      <c r="AD100" s="584"/>
      <c r="AE100" s="584"/>
      <c r="AF100" s="584"/>
      <c r="AG100" s="584"/>
      <c r="AH100" s="584"/>
      <c r="AI100" s="584"/>
      <c r="AJ100" s="584"/>
      <c r="AK100" s="583"/>
      <c r="AL100" s="582"/>
      <c r="AM100" s="583"/>
      <c r="AN100" s="583"/>
      <c r="AO100" s="583"/>
      <c r="AP100" s="583"/>
      <c r="AQ100" s="583"/>
      <c r="AR100" s="507"/>
      <c r="AS100" s="507"/>
      <c r="AT100" s="507"/>
      <c r="AU100" s="507"/>
      <c r="AV100" s="507"/>
      <c r="AW100" s="507"/>
      <c r="AX100" s="507"/>
      <c r="AY100" s="507"/>
      <c r="AZ100" s="507"/>
      <c r="BA100" s="507"/>
      <c r="BB100" s="507"/>
      <c r="BC100" s="507"/>
      <c r="BD100" s="507"/>
      <c r="BE100" s="507"/>
      <c r="BF100" s="507"/>
      <c r="BG100" s="507"/>
      <c r="BH100" s="507"/>
      <c r="BI100" s="507"/>
      <c r="BJ100" s="507"/>
      <c r="BK100" s="507"/>
      <c r="BL100" s="507"/>
      <c r="BM100" s="507"/>
      <c r="BN100" s="507"/>
      <c r="BO100" s="507"/>
      <c r="BP100" s="507"/>
      <c r="BQ100" s="507"/>
      <c r="BR100" s="507"/>
      <c r="BS100" s="507"/>
      <c r="BT100" s="507"/>
      <c r="BU100" s="507"/>
      <c r="BV100" s="507"/>
      <c r="BW100" s="507"/>
      <c r="BX100" s="507"/>
      <c r="BY100" s="507"/>
      <c r="BZ100" s="507"/>
      <c r="CA100" s="507"/>
      <c r="CB100" s="507"/>
      <c r="CC100" s="507"/>
      <c r="CD100" s="507"/>
      <c r="CE100" s="507"/>
      <c r="CF100" s="507"/>
      <c r="CG100" s="507"/>
      <c r="CH100" s="507"/>
      <c r="CI100" s="507"/>
      <c r="CJ100" s="507"/>
      <c r="CK100" s="507"/>
      <c r="CL100" s="507"/>
      <c r="CM100" s="507"/>
      <c r="CN100" s="507"/>
      <c r="CO100" s="507"/>
      <c r="CP100" s="507"/>
    </row>
    <row r="101" spans="1:94">
      <c r="A101" s="584"/>
      <c r="B101" s="584"/>
      <c r="C101" s="584"/>
      <c r="D101" s="584"/>
      <c r="E101" s="584"/>
      <c r="F101" s="584"/>
      <c r="G101" s="584"/>
      <c r="H101" s="584"/>
      <c r="I101" s="584"/>
      <c r="J101" s="584"/>
      <c r="K101" s="584"/>
      <c r="L101" s="584"/>
      <c r="M101" s="584"/>
      <c r="N101" s="584"/>
      <c r="O101" s="584"/>
      <c r="P101" s="584"/>
      <c r="Q101" s="584"/>
      <c r="R101" s="584"/>
      <c r="S101" s="584"/>
      <c r="T101" s="584"/>
      <c r="U101" s="584"/>
      <c r="V101" s="584"/>
      <c r="W101" s="584"/>
      <c r="X101" s="584"/>
      <c r="Y101" s="584"/>
      <c r="Z101" s="584"/>
      <c r="AA101" s="584"/>
      <c r="AB101" s="584"/>
      <c r="AC101" s="584"/>
      <c r="AD101" s="584"/>
      <c r="AE101" s="584"/>
      <c r="AF101" s="584"/>
      <c r="AG101" s="584"/>
      <c r="AH101" s="584"/>
      <c r="AI101" s="584"/>
      <c r="AJ101" s="584"/>
      <c r="AK101" s="583"/>
      <c r="AL101" s="582"/>
      <c r="AM101" s="583"/>
      <c r="AN101" s="583"/>
      <c r="AO101" s="583"/>
      <c r="AP101" s="583"/>
      <c r="AQ101" s="583"/>
      <c r="AR101" s="507"/>
      <c r="AS101" s="507"/>
      <c r="AT101" s="507"/>
      <c r="AU101" s="507"/>
      <c r="AV101" s="507"/>
      <c r="AW101" s="507"/>
      <c r="AX101" s="507"/>
      <c r="AY101" s="507"/>
      <c r="AZ101" s="507"/>
      <c r="BA101" s="507"/>
      <c r="BB101" s="507"/>
      <c r="BC101" s="507"/>
      <c r="BD101" s="507"/>
      <c r="BE101" s="507"/>
      <c r="BF101" s="507"/>
      <c r="BG101" s="507"/>
      <c r="BH101" s="507"/>
      <c r="BI101" s="507"/>
      <c r="BJ101" s="507"/>
      <c r="BK101" s="507"/>
      <c r="BL101" s="507"/>
      <c r="BM101" s="507"/>
      <c r="BN101" s="507"/>
      <c r="BO101" s="507"/>
      <c r="BP101" s="507"/>
      <c r="BQ101" s="507"/>
      <c r="BR101" s="507"/>
      <c r="BS101" s="507"/>
      <c r="BT101" s="507"/>
      <c r="BU101" s="507"/>
      <c r="BV101" s="507"/>
      <c r="BW101" s="507"/>
      <c r="BX101" s="507"/>
      <c r="BY101" s="507"/>
      <c r="BZ101" s="507"/>
      <c r="CA101" s="507"/>
      <c r="CB101" s="507"/>
      <c r="CC101" s="507"/>
      <c r="CD101" s="507"/>
      <c r="CE101" s="507"/>
      <c r="CF101" s="507"/>
      <c r="CG101" s="507"/>
      <c r="CH101" s="507"/>
      <c r="CI101" s="507"/>
      <c r="CJ101" s="507"/>
      <c r="CK101" s="507"/>
      <c r="CL101" s="507"/>
      <c r="CM101" s="507"/>
      <c r="CN101" s="507"/>
      <c r="CO101" s="507"/>
      <c r="CP101" s="507"/>
    </row>
    <row r="102" spans="1:94">
      <c r="A102" s="584"/>
      <c r="B102" s="584"/>
      <c r="C102" s="584"/>
      <c r="D102" s="584"/>
      <c r="E102" s="584"/>
      <c r="F102" s="584"/>
      <c r="G102" s="584"/>
      <c r="H102" s="584"/>
      <c r="I102" s="584"/>
      <c r="J102" s="584"/>
      <c r="K102" s="584"/>
      <c r="L102" s="584"/>
      <c r="M102" s="584"/>
      <c r="N102" s="584"/>
      <c r="O102" s="584"/>
      <c r="P102" s="584"/>
      <c r="Q102" s="584"/>
      <c r="R102" s="584"/>
      <c r="S102" s="584"/>
      <c r="T102" s="584"/>
      <c r="U102" s="584"/>
      <c r="V102" s="584"/>
      <c r="W102" s="584"/>
      <c r="X102" s="584"/>
      <c r="Y102" s="584"/>
      <c r="Z102" s="584"/>
      <c r="AA102" s="584"/>
      <c r="AB102" s="584"/>
      <c r="AC102" s="584"/>
      <c r="AD102" s="584"/>
      <c r="AE102" s="584"/>
      <c r="AF102" s="584"/>
      <c r="AG102" s="584"/>
      <c r="AH102" s="584"/>
      <c r="AI102" s="584"/>
      <c r="AJ102" s="584"/>
      <c r="AK102" s="583"/>
      <c r="AL102" s="582"/>
      <c r="AM102" s="583"/>
      <c r="AN102" s="583"/>
      <c r="AO102" s="583"/>
      <c r="AP102" s="583"/>
      <c r="AQ102" s="583"/>
      <c r="AR102" s="507"/>
      <c r="AS102" s="507"/>
      <c r="AT102" s="507"/>
      <c r="AU102" s="507"/>
      <c r="AV102" s="507"/>
      <c r="AW102" s="507"/>
      <c r="AX102" s="507"/>
      <c r="AY102" s="507"/>
      <c r="AZ102" s="507"/>
      <c r="BA102" s="507"/>
      <c r="BB102" s="507"/>
      <c r="BC102" s="507"/>
      <c r="BD102" s="507"/>
      <c r="BE102" s="507"/>
      <c r="BF102" s="507"/>
      <c r="BG102" s="507"/>
      <c r="BH102" s="507"/>
      <c r="BI102" s="507"/>
      <c r="BJ102" s="507"/>
      <c r="BK102" s="507"/>
      <c r="BL102" s="507"/>
      <c r="BM102" s="507"/>
      <c r="BN102" s="507"/>
      <c r="BO102" s="507"/>
      <c r="BP102" s="507"/>
      <c r="BQ102" s="507"/>
      <c r="BR102" s="507"/>
      <c r="BS102" s="507"/>
      <c r="BT102" s="507"/>
      <c r="BU102" s="507"/>
      <c r="BV102" s="507"/>
      <c r="BW102" s="507"/>
      <c r="BX102" s="507"/>
      <c r="BY102" s="507"/>
      <c r="BZ102" s="507"/>
      <c r="CA102" s="507"/>
      <c r="CB102" s="507"/>
      <c r="CC102" s="507"/>
      <c r="CD102" s="507"/>
      <c r="CE102" s="507"/>
      <c r="CF102" s="507"/>
      <c r="CG102" s="507"/>
      <c r="CH102" s="507"/>
      <c r="CI102" s="507"/>
      <c r="CJ102" s="507"/>
      <c r="CK102" s="507"/>
      <c r="CL102" s="507"/>
      <c r="CM102" s="507"/>
      <c r="CN102" s="507"/>
      <c r="CO102" s="507"/>
      <c r="CP102" s="507"/>
    </row>
    <row r="103" spans="1:94">
      <c r="A103" s="584"/>
      <c r="B103" s="584"/>
      <c r="C103" s="584"/>
      <c r="D103" s="584"/>
      <c r="E103" s="584"/>
      <c r="F103" s="584"/>
      <c r="G103" s="584"/>
      <c r="H103" s="584"/>
      <c r="I103" s="584"/>
      <c r="J103" s="584"/>
      <c r="K103" s="584"/>
      <c r="L103" s="584"/>
      <c r="M103" s="584"/>
      <c r="N103" s="584"/>
      <c r="O103" s="584"/>
      <c r="P103" s="584"/>
      <c r="Q103" s="584"/>
      <c r="R103" s="584"/>
      <c r="S103" s="584"/>
      <c r="T103" s="584"/>
      <c r="U103" s="584"/>
      <c r="V103" s="584"/>
      <c r="W103" s="584"/>
      <c r="X103" s="584"/>
      <c r="Y103" s="584"/>
      <c r="Z103" s="584"/>
      <c r="AA103" s="584"/>
      <c r="AB103" s="584"/>
      <c r="AC103" s="584"/>
      <c r="AD103" s="584"/>
      <c r="AE103" s="584"/>
      <c r="AF103" s="584"/>
      <c r="AG103" s="584"/>
      <c r="AH103" s="584"/>
      <c r="AI103" s="584"/>
      <c r="AJ103" s="584"/>
      <c r="AK103" s="583"/>
      <c r="AL103" s="582"/>
      <c r="AM103" s="583"/>
      <c r="AN103" s="583"/>
      <c r="AO103" s="583"/>
      <c r="AP103" s="583"/>
      <c r="AQ103" s="583"/>
      <c r="AR103" s="507"/>
      <c r="AS103" s="507"/>
      <c r="AT103" s="507"/>
      <c r="AU103" s="507"/>
      <c r="AV103" s="507"/>
      <c r="AW103" s="507"/>
      <c r="AX103" s="507"/>
      <c r="AY103" s="507"/>
      <c r="AZ103" s="507"/>
      <c r="BA103" s="507"/>
      <c r="BB103" s="507"/>
      <c r="BC103" s="507"/>
      <c r="BD103" s="507"/>
      <c r="BE103" s="507"/>
      <c r="BF103" s="507"/>
      <c r="BG103" s="507"/>
      <c r="BH103" s="507"/>
      <c r="BI103" s="507"/>
      <c r="BJ103" s="507"/>
      <c r="BK103" s="507"/>
      <c r="BL103" s="507"/>
      <c r="BM103" s="507"/>
      <c r="BN103" s="507"/>
      <c r="BO103" s="507"/>
      <c r="BP103" s="507"/>
      <c r="BQ103" s="507"/>
      <c r="BR103" s="507"/>
      <c r="BS103" s="507"/>
      <c r="BT103" s="507"/>
      <c r="BU103" s="507"/>
      <c r="BV103" s="507"/>
      <c r="BW103" s="507"/>
      <c r="BX103" s="507"/>
      <c r="BY103" s="507"/>
      <c r="BZ103" s="507"/>
      <c r="CA103" s="507"/>
      <c r="CB103" s="507"/>
      <c r="CC103" s="507"/>
      <c r="CD103" s="507"/>
      <c r="CE103" s="507"/>
      <c r="CF103" s="507"/>
      <c r="CG103" s="507"/>
      <c r="CH103" s="507"/>
      <c r="CI103" s="507"/>
      <c r="CJ103" s="507"/>
      <c r="CK103" s="507"/>
      <c r="CL103" s="507"/>
      <c r="CM103" s="507"/>
      <c r="CN103" s="507"/>
      <c r="CO103" s="507"/>
      <c r="CP103" s="507"/>
    </row>
    <row r="104" spans="1:94">
      <c r="A104" s="584"/>
      <c r="B104" s="584"/>
      <c r="C104" s="584"/>
      <c r="D104" s="584"/>
      <c r="E104" s="584"/>
      <c r="F104" s="584"/>
      <c r="G104" s="584"/>
      <c r="H104" s="584"/>
      <c r="I104" s="584"/>
      <c r="J104" s="584"/>
      <c r="K104" s="584"/>
      <c r="L104" s="584"/>
      <c r="M104" s="584"/>
      <c r="N104" s="584"/>
      <c r="O104" s="584"/>
      <c r="P104" s="584"/>
      <c r="Q104" s="584"/>
      <c r="R104" s="584"/>
      <c r="S104" s="584"/>
      <c r="T104" s="584"/>
      <c r="U104" s="584"/>
      <c r="V104" s="584"/>
      <c r="W104" s="584"/>
      <c r="X104" s="584"/>
      <c r="Y104" s="584"/>
      <c r="Z104" s="584"/>
      <c r="AA104" s="584"/>
      <c r="AB104" s="584"/>
      <c r="AC104" s="584"/>
      <c r="AD104" s="584"/>
      <c r="AE104" s="584"/>
      <c r="AF104" s="584"/>
      <c r="AG104" s="584"/>
      <c r="AH104" s="584"/>
      <c r="AI104" s="584"/>
      <c r="AJ104" s="584"/>
      <c r="AK104" s="583"/>
      <c r="AL104" s="582"/>
      <c r="AM104" s="583"/>
      <c r="AN104" s="583"/>
      <c r="AO104" s="583"/>
      <c r="AP104" s="583"/>
      <c r="AQ104" s="583"/>
      <c r="AR104" s="507"/>
      <c r="AS104" s="507"/>
      <c r="AT104" s="507"/>
      <c r="AU104" s="507"/>
      <c r="AV104" s="507"/>
      <c r="AW104" s="507"/>
      <c r="AX104" s="507"/>
      <c r="AY104" s="507"/>
      <c r="AZ104" s="507"/>
      <c r="BA104" s="507"/>
      <c r="BB104" s="507"/>
      <c r="BC104" s="507"/>
      <c r="BD104" s="507"/>
      <c r="BE104" s="507"/>
      <c r="BF104" s="507"/>
      <c r="BG104" s="507"/>
      <c r="BH104" s="507"/>
      <c r="BI104" s="507"/>
      <c r="BJ104" s="507"/>
      <c r="BK104" s="507"/>
      <c r="BL104" s="507"/>
      <c r="BM104" s="507"/>
      <c r="BN104" s="507"/>
      <c r="BO104" s="507"/>
      <c r="BP104" s="507"/>
      <c r="BQ104" s="507"/>
      <c r="BR104" s="507"/>
      <c r="BS104" s="507"/>
      <c r="BT104" s="507"/>
      <c r="BU104" s="507"/>
      <c r="BV104" s="507"/>
      <c r="BW104" s="507"/>
      <c r="BX104" s="507"/>
      <c r="BY104" s="507"/>
      <c r="BZ104" s="507"/>
      <c r="CA104" s="507"/>
      <c r="CB104" s="507"/>
      <c r="CC104" s="507"/>
      <c r="CD104" s="507"/>
      <c r="CE104" s="507"/>
      <c r="CF104" s="507"/>
      <c r="CG104" s="507"/>
      <c r="CH104" s="507"/>
      <c r="CI104" s="507"/>
      <c r="CJ104" s="507"/>
      <c r="CK104" s="507"/>
      <c r="CL104" s="507"/>
      <c r="CM104" s="507"/>
      <c r="CN104" s="507"/>
      <c r="CO104" s="507"/>
      <c r="CP104" s="507"/>
    </row>
    <row r="105" spans="1:94">
      <c r="A105" s="584"/>
      <c r="B105" s="584"/>
      <c r="C105" s="584"/>
      <c r="D105" s="584"/>
      <c r="E105" s="584"/>
      <c r="F105" s="584"/>
      <c r="G105" s="584"/>
      <c r="H105" s="584"/>
      <c r="I105" s="584"/>
      <c r="J105" s="584"/>
      <c r="K105" s="584"/>
      <c r="L105" s="584"/>
      <c r="M105" s="584"/>
      <c r="N105" s="584"/>
      <c r="O105" s="584"/>
      <c r="P105" s="584"/>
      <c r="Q105" s="584"/>
      <c r="R105" s="584"/>
      <c r="S105" s="584"/>
      <c r="T105" s="584"/>
      <c r="U105" s="584"/>
      <c r="V105" s="584"/>
      <c r="W105" s="584"/>
      <c r="X105" s="584"/>
      <c r="Y105" s="584"/>
      <c r="Z105" s="584"/>
      <c r="AA105" s="584"/>
      <c r="AB105" s="584"/>
      <c r="AC105" s="584"/>
      <c r="AD105" s="584"/>
      <c r="AE105" s="584"/>
      <c r="AF105" s="584"/>
      <c r="AG105" s="584"/>
      <c r="AH105" s="584"/>
      <c r="AI105" s="584"/>
      <c r="AJ105" s="584"/>
      <c r="AK105" s="583"/>
      <c r="AL105" s="582"/>
      <c r="AM105" s="583"/>
      <c r="AN105" s="583"/>
      <c r="AO105" s="583"/>
      <c r="AP105" s="583"/>
      <c r="AQ105" s="583"/>
      <c r="AR105" s="507"/>
      <c r="AS105" s="507"/>
      <c r="AT105" s="507"/>
      <c r="AU105" s="507"/>
      <c r="AV105" s="507"/>
      <c r="AW105" s="507"/>
      <c r="AX105" s="507"/>
      <c r="AY105" s="507"/>
      <c r="AZ105" s="507"/>
      <c r="BA105" s="507"/>
      <c r="BB105" s="507"/>
      <c r="BC105" s="507"/>
      <c r="BD105" s="507"/>
      <c r="BE105" s="507"/>
      <c r="BF105" s="507"/>
      <c r="BG105" s="507"/>
      <c r="BH105" s="507"/>
      <c r="BI105" s="507"/>
      <c r="BJ105" s="507"/>
      <c r="BK105" s="507"/>
      <c r="BL105" s="507"/>
      <c r="BM105" s="507"/>
      <c r="BN105" s="507"/>
      <c r="BO105" s="507"/>
      <c r="BP105" s="507"/>
      <c r="BQ105" s="507"/>
      <c r="BR105" s="507"/>
      <c r="BS105" s="507"/>
      <c r="BT105" s="507"/>
      <c r="BU105" s="507"/>
      <c r="BV105" s="507"/>
      <c r="BW105" s="507"/>
      <c r="BX105" s="507"/>
      <c r="BY105" s="507"/>
      <c r="BZ105" s="507"/>
      <c r="CA105" s="507"/>
      <c r="CB105" s="507"/>
      <c r="CC105" s="507"/>
      <c r="CD105" s="507"/>
      <c r="CE105" s="507"/>
      <c r="CF105" s="507"/>
      <c r="CG105" s="507"/>
      <c r="CH105" s="507"/>
      <c r="CI105" s="507"/>
      <c r="CJ105" s="507"/>
      <c r="CK105" s="507"/>
      <c r="CL105" s="507"/>
      <c r="CM105" s="507"/>
      <c r="CN105" s="507"/>
      <c r="CO105" s="507"/>
      <c r="CP105" s="507"/>
    </row>
    <row r="106" spans="1:94">
      <c r="A106" s="584"/>
      <c r="B106" s="584"/>
      <c r="C106" s="584"/>
      <c r="D106" s="584"/>
      <c r="E106" s="584"/>
      <c r="F106" s="584"/>
      <c r="G106" s="584"/>
      <c r="H106" s="584"/>
      <c r="I106" s="584"/>
      <c r="J106" s="584"/>
      <c r="K106" s="584"/>
      <c r="L106" s="584"/>
      <c r="M106" s="584"/>
      <c r="N106" s="584"/>
      <c r="O106" s="584"/>
      <c r="P106" s="584"/>
      <c r="Q106" s="584"/>
      <c r="R106" s="584"/>
      <c r="S106" s="584"/>
      <c r="T106" s="584"/>
      <c r="U106" s="584"/>
      <c r="V106" s="584"/>
      <c r="W106" s="584"/>
      <c r="X106" s="584"/>
      <c r="Y106" s="584"/>
      <c r="Z106" s="584"/>
      <c r="AA106" s="584"/>
      <c r="AB106" s="584"/>
      <c r="AC106" s="584"/>
      <c r="AD106" s="584"/>
      <c r="AE106" s="584"/>
      <c r="AF106" s="584"/>
      <c r="AG106" s="584"/>
      <c r="AH106" s="584"/>
      <c r="AI106" s="584"/>
      <c r="AJ106" s="584"/>
      <c r="AK106" s="583"/>
      <c r="AL106" s="582"/>
      <c r="AM106" s="583"/>
      <c r="AN106" s="583"/>
      <c r="AO106" s="583"/>
      <c r="AP106" s="583"/>
      <c r="AQ106" s="583"/>
      <c r="AR106" s="507"/>
      <c r="AS106" s="507"/>
      <c r="AT106" s="507"/>
      <c r="AU106" s="507"/>
      <c r="AV106" s="507"/>
      <c r="AW106" s="507"/>
      <c r="AX106" s="507"/>
      <c r="AY106" s="507"/>
      <c r="AZ106" s="507"/>
      <c r="BA106" s="507"/>
      <c r="BB106" s="507"/>
      <c r="BC106" s="507"/>
      <c r="BD106" s="507"/>
      <c r="BE106" s="507"/>
      <c r="BF106" s="507"/>
      <c r="BG106" s="507"/>
      <c r="BH106" s="507"/>
      <c r="BI106" s="507"/>
      <c r="BJ106" s="507"/>
      <c r="BK106" s="507"/>
      <c r="BL106" s="507"/>
      <c r="BM106" s="507"/>
      <c r="BN106" s="507"/>
      <c r="BO106" s="507"/>
      <c r="BP106" s="507"/>
      <c r="BQ106" s="507"/>
      <c r="BR106" s="507"/>
      <c r="BS106" s="507"/>
      <c r="BT106" s="507"/>
      <c r="BU106" s="507"/>
      <c r="BV106" s="507"/>
      <c r="BW106" s="507"/>
      <c r="BX106" s="507"/>
      <c r="BY106" s="507"/>
      <c r="BZ106" s="507"/>
      <c r="CA106" s="507"/>
      <c r="CB106" s="507"/>
      <c r="CC106" s="507"/>
      <c r="CD106" s="507"/>
      <c r="CE106" s="507"/>
      <c r="CF106" s="507"/>
      <c r="CG106" s="507"/>
      <c r="CH106" s="507"/>
      <c r="CI106" s="507"/>
      <c r="CJ106" s="507"/>
      <c r="CK106" s="507"/>
      <c r="CL106" s="507"/>
      <c r="CM106" s="507"/>
      <c r="CN106" s="507"/>
      <c r="CO106" s="507"/>
      <c r="CP106" s="507"/>
    </row>
    <row r="107" spans="1:94">
      <c r="A107" s="584"/>
      <c r="B107" s="584"/>
      <c r="C107" s="584"/>
      <c r="D107" s="584"/>
      <c r="E107" s="584"/>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4"/>
      <c r="AF107" s="584"/>
      <c r="AG107" s="584"/>
      <c r="AH107" s="584"/>
      <c r="AI107" s="584"/>
      <c r="AJ107" s="584"/>
      <c r="AK107" s="583"/>
      <c r="AL107" s="582"/>
      <c r="AM107" s="583"/>
      <c r="AN107" s="583"/>
      <c r="AO107" s="583"/>
      <c r="AP107" s="583"/>
      <c r="AQ107" s="583"/>
      <c r="AR107" s="507"/>
      <c r="AS107" s="507"/>
      <c r="AT107" s="507"/>
      <c r="AU107" s="507"/>
      <c r="AV107" s="507"/>
      <c r="AW107" s="507"/>
      <c r="AX107" s="507"/>
      <c r="AY107" s="507"/>
      <c r="AZ107" s="507"/>
      <c r="BA107" s="507"/>
      <c r="BB107" s="507"/>
      <c r="BC107" s="507"/>
      <c r="BD107" s="507"/>
      <c r="BE107" s="507"/>
      <c r="BF107" s="507"/>
      <c r="BG107" s="507"/>
      <c r="BH107" s="507"/>
      <c r="BI107" s="507"/>
      <c r="BJ107" s="507"/>
      <c r="BK107" s="507"/>
      <c r="BL107" s="507"/>
      <c r="BM107" s="507"/>
      <c r="BN107" s="507"/>
      <c r="BO107" s="507"/>
      <c r="BP107" s="507"/>
      <c r="BQ107" s="507"/>
      <c r="BR107" s="507"/>
      <c r="BS107" s="507"/>
      <c r="BT107" s="507"/>
      <c r="BU107" s="507"/>
      <c r="BV107" s="507"/>
      <c r="BW107" s="507"/>
      <c r="BX107" s="507"/>
      <c r="BY107" s="507"/>
      <c r="BZ107" s="507"/>
      <c r="CA107" s="507"/>
      <c r="CB107" s="507"/>
      <c r="CC107" s="507"/>
      <c r="CD107" s="507"/>
      <c r="CE107" s="507"/>
      <c r="CF107" s="507"/>
      <c r="CG107" s="507"/>
      <c r="CH107" s="507"/>
      <c r="CI107" s="507"/>
      <c r="CJ107" s="507"/>
      <c r="CK107" s="507"/>
      <c r="CL107" s="507"/>
      <c r="CM107" s="507"/>
      <c r="CN107" s="507"/>
      <c r="CO107" s="507"/>
      <c r="CP107" s="507"/>
    </row>
    <row r="108" spans="1:94">
      <c r="A108" s="584"/>
      <c r="B108" s="584"/>
      <c r="C108" s="584"/>
      <c r="D108" s="584"/>
      <c r="E108" s="584"/>
      <c r="F108" s="584"/>
      <c r="G108" s="584"/>
      <c r="H108" s="584"/>
      <c r="I108" s="584"/>
      <c r="J108" s="584"/>
      <c r="K108" s="584"/>
      <c r="L108" s="584"/>
      <c r="M108" s="584"/>
      <c r="N108" s="584"/>
      <c r="O108" s="584"/>
      <c r="P108" s="584"/>
      <c r="Q108" s="584"/>
      <c r="R108" s="584"/>
      <c r="S108" s="584"/>
      <c r="T108" s="584"/>
      <c r="U108" s="584"/>
      <c r="V108" s="584"/>
      <c r="W108" s="584"/>
      <c r="X108" s="584"/>
      <c r="Y108" s="584"/>
      <c r="Z108" s="584"/>
      <c r="AA108" s="584"/>
      <c r="AB108" s="584"/>
      <c r="AC108" s="584"/>
      <c r="AD108" s="584"/>
      <c r="AE108" s="584"/>
      <c r="AF108" s="584"/>
      <c r="AG108" s="584"/>
      <c r="AH108" s="584"/>
      <c r="AI108" s="584"/>
      <c r="AJ108" s="584"/>
      <c r="AK108" s="583"/>
      <c r="AL108" s="582"/>
      <c r="AM108" s="583"/>
      <c r="AN108" s="583"/>
      <c r="AO108" s="583"/>
      <c r="AP108" s="583"/>
      <c r="AQ108" s="583"/>
      <c r="AR108" s="507"/>
      <c r="AS108" s="507"/>
      <c r="AT108" s="507"/>
      <c r="AU108" s="507"/>
      <c r="AV108" s="507"/>
      <c r="AW108" s="507"/>
      <c r="AX108" s="507"/>
      <c r="AY108" s="507"/>
      <c r="AZ108" s="507"/>
      <c r="BA108" s="507"/>
      <c r="BB108" s="507"/>
      <c r="BC108" s="507"/>
      <c r="BD108" s="507"/>
      <c r="BE108" s="507"/>
      <c r="BF108" s="507"/>
      <c r="BG108" s="507"/>
      <c r="BH108" s="507"/>
      <c r="BI108" s="507"/>
      <c r="BJ108" s="507"/>
      <c r="BK108" s="507"/>
      <c r="BL108" s="507"/>
      <c r="BM108" s="507"/>
      <c r="BN108" s="507"/>
      <c r="BO108" s="507"/>
      <c r="BP108" s="507"/>
      <c r="BQ108" s="507"/>
      <c r="BR108" s="507"/>
      <c r="BS108" s="507"/>
      <c r="BT108" s="507"/>
      <c r="BU108" s="507"/>
      <c r="BV108" s="507"/>
      <c r="BW108" s="507"/>
      <c r="BX108" s="507"/>
      <c r="BY108" s="507"/>
      <c r="BZ108" s="507"/>
      <c r="CA108" s="507"/>
      <c r="CB108" s="507"/>
      <c r="CC108" s="507"/>
      <c r="CD108" s="507"/>
      <c r="CE108" s="507"/>
      <c r="CF108" s="507"/>
      <c r="CG108" s="507"/>
      <c r="CH108" s="507"/>
      <c r="CI108" s="507"/>
      <c r="CJ108" s="507"/>
      <c r="CK108" s="507"/>
      <c r="CL108" s="507"/>
      <c r="CM108" s="507"/>
      <c r="CN108" s="507"/>
      <c r="CO108" s="507"/>
      <c r="CP108" s="507"/>
    </row>
    <row r="109" spans="1:94">
      <c r="A109" s="584"/>
      <c r="B109" s="584"/>
      <c r="C109" s="584"/>
      <c r="D109" s="584"/>
      <c r="E109" s="584"/>
      <c r="F109" s="584"/>
      <c r="G109" s="584"/>
      <c r="H109" s="584"/>
      <c r="I109" s="584"/>
      <c r="J109" s="584"/>
      <c r="K109" s="584"/>
      <c r="L109" s="584"/>
      <c r="M109" s="584"/>
      <c r="N109" s="584"/>
      <c r="O109" s="584"/>
      <c r="P109" s="584"/>
      <c r="Q109" s="584"/>
      <c r="R109" s="584"/>
      <c r="S109" s="584"/>
      <c r="T109" s="584"/>
      <c r="U109" s="584"/>
      <c r="V109" s="584"/>
      <c r="W109" s="584"/>
      <c r="X109" s="584"/>
      <c r="Y109" s="584"/>
      <c r="Z109" s="584"/>
      <c r="AA109" s="584"/>
      <c r="AB109" s="584"/>
      <c r="AC109" s="584"/>
      <c r="AD109" s="584"/>
      <c r="AE109" s="584"/>
      <c r="AF109" s="584"/>
      <c r="AG109" s="584"/>
      <c r="AH109" s="584"/>
      <c r="AI109" s="584"/>
      <c r="AJ109" s="584"/>
      <c r="AK109" s="583"/>
      <c r="AL109" s="582"/>
      <c r="AM109" s="583"/>
      <c r="AN109" s="583"/>
      <c r="AO109" s="583"/>
      <c r="AP109" s="583"/>
      <c r="AQ109" s="583"/>
      <c r="AR109" s="507"/>
      <c r="AS109" s="507"/>
      <c r="AT109" s="507"/>
      <c r="AU109" s="507"/>
      <c r="AV109" s="507"/>
      <c r="AW109" s="507"/>
      <c r="AX109" s="507"/>
      <c r="AY109" s="507"/>
      <c r="AZ109" s="507"/>
      <c r="BA109" s="507"/>
      <c r="BB109" s="507"/>
      <c r="BC109" s="507"/>
      <c r="BD109" s="507"/>
      <c r="BE109" s="507"/>
      <c r="BF109" s="507"/>
      <c r="BG109" s="507"/>
      <c r="BH109" s="507"/>
      <c r="BI109" s="507"/>
      <c r="BJ109" s="507"/>
      <c r="BK109" s="507"/>
      <c r="BL109" s="507"/>
      <c r="BM109" s="507"/>
      <c r="BN109" s="507"/>
      <c r="BO109" s="507"/>
      <c r="BP109" s="507"/>
      <c r="BQ109" s="507"/>
      <c r="BR109" s="507"/>
      <c r="BS109" s="507"/>
      <c r="BT109" s="507"/>
      <c r="BU109" s="507"/>
      <c r="BV109" s="507"/>
      <c r="BW109" s="507"/>
      <c r="BX109" s="507"/>
      <c r="BY109" s="507"/>
      <c r="BZ109" s="507"/>
      <c r="CA109" s="507"/>
      <c r="CB109" s="507"/>
      <c r="CC109" s="507"/>
      <c r="CD109" s="507"/>
      <c r="CE109" s="507"/>
      <c r="CF109" s="507"/>
      <c r="CG109" s="507"/>
      <c r="CH109" s="507"/>
      <c r="CI109" s="507"/>
      <c r="CJ109" s="507"/>
      <c r="CK109" s="507"/>
      <c r="CL109" s="507"/>
      <c r="CM109" s="507"/>
      <c r="CN109" s="507"/>
      <c r="CO109" s="507"/>
      <c r="CP109" s="507"/>
    </row>
    <row r="110" spans="1:94">
      <c r="A110" s="584"/>
      <c r="B110" s="584"/>
      <c r="C110" s="584"/>
      <c r="D110" s="584"/>
      <c r="E110" s="584"/>
      <c r="F110" s="584"/>
      <c r="G110" s="584"/>
      <c r="H110" s="584"/>
      <c r="I110" s="584"/>
      <c r="J110" s="584"/>
      <c r="K110" s="584"/>
      <c r="L110" s="584"/>
      <c r="M110" s="584"/>
      <c r="N110" s="584"/>
      <c r="O110" s="584"/>
      <c r="P110" s="584"/>
      <c r="Q110" s="584"/>
      <c r="R110" s="584"/>
      <c r="S110" s="584"/>
      <c r="T110" s="584"/>
      <c r="U110" s="584"/>
      <c r="V110" s="584"/>
      <c r="W110" s="584"/>
      <c r="X110" s="584"/>
      <c r="Y110" s="584"/>
      <c r="Z110" s="584"/>
      <c r="AA110" s="584"/>
      <c r="AB110" s="584"/>
      <c r="AC110" s="584"/>
      <c r="AD110" s="584"/>
      <c r="AE110" s="584"/>
      <c r="AF110" s="584"/>
      <c r="AG110" s="584"/>
      <c r="AH110" s="584"/>
      <c r="AI110" s="584"/>
      <c r="AJ110" s="584"/>
      <c r="AK110" s="583"/>
      <c r="AL110" s="582"/>
      <c r="AM110" s="583"/>
      <c r="AN110" s="583"/>
      <c r="AO110" s="583"/>
      <c r="AP110" s="583"/>
      <c r="AQ110" s="583"/>
      <c r="AR110" s="507"/>
      <c r="AS110" s="507"/>
      <c r="AT110" s="507"/>
      <c r="AU110" s="507"/>
      <c r="AV110" s="507"/>
      <c r="AW110" s="507"/>
      <c r="AX110" s="507"/>
      <c r="AY110" s="507"/>
      <c r="AZ110" s="507"/>
      <c r="BA110" s="507"/>
      <c r="BB110" s="507"/>
      <c r="BC110" s="507"/>
      <c r="BD110" s="507"/>
      <c r="BE110" s="507"/>
      <c r="BF110" s="507"/>
      <c r="BG110" s="507"/>
      <c r="BH110" s="507"/>
      <c r="BI110" s="507"/>
      <c r="BJ110" s="507"/>
      <c r="BK110" s="507"/>
      <c r="BL110" s="507"/>
      <c r="BM110" s="507"/>
      <c r="BN110" s="507"/>
      <c r="BO110" s="507"/>
      <c r="BP110" s="507"/>
      <c r="BQ110" s="507"/>
      <c r="BR110" s="507"/>
      <c r="BS110" s="507"/>
      <c r="BT110" s="507"/>
      <c r="BU110" s="507"/>
      <c r="BV110" s="507"/>
      <c r="BW110" s="507"/>
      <c r="BX110" s="507"/>
      <c r="BY110" s="507"/>
      <c r="BZ110" s="507"/>
      <c r="CA110" s="507"/>
      <c r="CB110" s="507"/>
      <c r="CC110" s="507"/>
      <c r="CD110" s="507"/>
      <c r="CE110" s="507"/>
      <c r="CF110" s="507"/>
      <c r="CG110" s="507"/>
      <c r="CH110" s="507"/>
      <c r="CI110" s="507"/>
      <c r="CJ110" s="507"/>
      <c r="CK110" s="507"/>
      <c r="CL110" s="507"/>
      <c r="CM110" s="507"/>
      <c r="CN110" s="507"/>
      <c r="CO110" s="507"/>
      <c r="CP110" s="507"/>
    </row>
    <row r="111" spans="1:94">
      <c r="A111" s="584"/>
      <c r="B111" s="584"/>
      <c r="C111" s="584"/>
      <c r="D111" s="584"/>
      <c r="E111" s="584"/>
      <c r="F111" s="584"/>
      <c r="G111" s="584"/>
      <c r="H111" s="584"/>
      <c r="I111" s="584"/>
      <c r="J111" s="584"/>
      <c r="K111" s="584"/>
      <c r="L111" s="584"/>
      <c r="M111" s="584"/>
      <c r="N111" s="584"/>
      <c r="O111" s="584"/>
      <c r="P111" s="584"/>
      <c r="Q111" s="584"/>
      <c r="R111" s="584"/>
      <c r="S111" s="584"/>
      <c r="T111" s="584"/>
      <c r="U111" s="584"/>
      <c r="V111" s="584"/>
      <c r="W111" s="584"/>
      <c r="X111" s="584"/>
      <c r="Y111" s="584"/>
      <c r="Z111" s="584"/>
      <c r="AA111" s="584"/>
      <c r="AB111" s="584"/>
      <c r="AC111" s="584"/>
      <c r="AD111" s="584"/>
      <c r="AE111" s="584"/>
      <c r="AF111" s="584"/>
      <c r="AG111" s="584"/>
      <c r="AH111" s="584"/>
      <c r="AI111" s="584"/>
      <c r="AJ111" s="584"/>
      <c r="AK111" s="583"/>
      <c r="AL111" s="582"/>
      <c r="AM111" s="583"/>
      <c r="AN111" s="583"/>
      <c r="AO111" s="583"/>
      <c r="AP111" s="583"/>
      <c r="AQ111" s="583"/>
      <c r="AR111" s="507"/>
      <c r="AS111" s="507"/>
      <c r="AT111" s="507"/>
      <c r="AU111" s="507"/>
      <c r="AV111" s="507"/>
      <c r="AW111" s="507"/>
      <c r="AX111" s="507"/>
      <c r="AY111" s="507"/>
      <c r="AZ111" s="507"/>
      <c r="BA111" s="507"/>
      <c r="BB111" s="507"/>
      <c r="BC111" s="507"/>
      <c r="BD111" s="507"/>
      <c r="BE111" s="507"/>
      <c r="BF111" s="507"/>
      <c r="BG111" s="507"/>
      <c r="BH111" s="507"/>
      <c r="BI111" s="507"/>
      <c r="BJ111" s="507"/>
      <c r="BK111" s="507"/>
      <c r="BL111" s="507"/>
      <c r="BM111" s="507"/>
      <c r="BN111" s="507"/>
      <c r="BO111" s="507"/>
      <c r="BP111" s="507"/>
      <c r="BQ111" s="507"/>
      <c r="BR111" s="507"/>
      <c r="BS111" s="507"/>
      <c r="BT111" s="507"/>
      <c r="BU111" s="507"/>
      <c r="BV111" s="507"/>
      <c r="BW111" s="507"/>
      <c r="BX111" s="507"/>
      <c r="BY111" s="507"/>
      <c r="BZ111" s="507"/>
      <c r="CA111" s="507"/>
      <c r="CB111" s="507"/>
      <c r="CC111" s="507"/>
      <c r="CD111" s="507"/>
      <c r="CE111" s="507"/>
      <c r="CF111" s="507"/>
      <c r="CG111" s="507"/>
      <c r="CH111" s="507"/>
      <c r="CI111" s="507"/>
      <c r="CJ111" s="507"/>
      <c r="CK111" s="507"/>
      <c r="CL111" s="507"/>
      <c r="CM111" s="507"/>
      <c r="CN111" s="507"/>
      <c r="CO111" s="507"/>
      <c r="CP111" s="507"/>
    </row>
    <row r="112" spans="1:94">
      <c r="A112" s="584"/>
      <c r="B112" s="584"/>
      <c r="C112" s="584"/>
      <c r="D112" s="584"/>
      <c r="E112" s="584"/>
      <c r="F112" s="584"/>
      <c r="G112" s="584"/>
      <c r="H112" s="584"/>
      <c r="I112" s="584"/>
      <c r="J112" s="584"/>
      <c r="K112" s="584"/>
      <c r="L112" s="584"/>
      <c r="M112" s="584"/>
      <c r="N112" s="584"/>
      <c r="O112" s="584"/>
      <c r="P112" s="584"/>
      <c r="Q112" s="584"/>
      <c r="R112" s="584"/>
      <c r="S112" s="584"/>
      <c r="T112" s="584"/>
      <c r="U112" s="584"/>
      <c r="V112" s="584"/>
      <c r="W112" s="584"/>
      <c r="X112" s="584"/>
      <c r="Y112" s="584"/>
      <c r="Z112" s="584"/>
      <c r="AA112" s="584"/>
      <c r="AB112" s="584"/>
      <c r="AC112" s="584"/>
      <c r="AD112" s="584"/>
      <c r="AE112" s="584"/>
      <c r="AF112" s="584"/>
      <c r="AG112" s="584"/>
      <c r="AH112" s="584"/>
      <c r="AI112" s="584"/>
      <c r="AJ112" s="584"/>
      <c r="AK112" s="583"/>
      <c r="AL112" s="582"/>
      <c r="AM112" s="583"/>
      <c r="AN112" s="583"/>
      <c r="AO112" s="583"/>
      <c r="AP112" s="583"/>
      <c r="AQ112" s="583"/>
      <c r="AR112" s="507"/>
      <c r="AS112" s="507"/>
      <c r="AT112" s="507"/>
      <c r="AU112" s="507"/>
      <c r="AV112" s="507"/>
      <c r="AW112" s="507"/>
      <c r="AX112" s="507"/>
      <c r="AY112" s="507"/>
      <c r="AZ112" s="507"/>
      <c r="BA112" s="507"/>
      <c r="BB112" s="507"/>
      <c r="BC112" s="507"/>
      <c r="BD112" s="507"/>
      <c r="BE112" s="507"/>
      <c r="BF112" s="507"/>
      <c r="BG112" s="507"/>
      <c r="BH112" s="507"/>
      <c r="BI112" s="507"/>
      <c r="BJ112" s="507"/>
      <c r="BK112" s="507"/>
      <c r="BL112" s="507"/>
      <c r="BM112" s="507"/>
      <c r="BN112" s="507"/>
      <c r="BO112" s="507"/>
      <c r="BP112" s="507"/>
      <c r="BQ112" s="507"/>
      <c r="BR112" s="507"/>
      <c r="BS112" s="507"/>
      <c r="BT112" s="507"/>
      <c r="BU112" s="507"/>
      <c r="BV112" s="507"/>
      <c r="BW112" s="507"/>
      <c r="BX112" s="507"/>
      <c r="BY112" s="507"/>
      <c r="BZ112" s="507"/>
      <c r="CA112" s="507"/>
      <c r="CB112" s="507"/>
      <c r="CC112" s="507"/>
      <c r="CD112" s="507"/>
      <c r="CE112" s="507"/>
      <c r="CF112" s="507"/>
      <c r="CG112" s="507"/>
      <c r="CH112" s="507"/>
      <c r="CI112" s="507"/>
      <c r="CJ112" s="507"/>
      <c r="CK112" s="507"/>
      <c r="CL112" s="507"/>
      <c r="CM112" s="507"/>
      <c r="CN112" s="507"/>
      <c r="CO112" s="507"/>
      <c r="CP112" s="507"/>
    </row>
    <row r="113" spans="1:94">
      <c r="A113" s="584"/>
      <c r="B113" s="584"/>
      <c r="C113" s="584"/>
      <c r="D113" s="584"/>
      <c r="E113" s="584"/>
      <c r="F113" s="584"/>
      <c r="G113" s="584"/>
      <c r="H113" s="584"/>
      <c r="I113" s="584"/>
      <c r="J113" s="584"/>
      <c r="K113" s="584"/>
      <c r="L113" s="584"/>
      <c r="M113" s="584"/>
      <c r="N113" s="584"/>
      <c r="O113" s="584"/>
      <c r="P113" s="584"/>
      <c r="Q113" s="584"/>
      <c r="R113" s="584"/>
      <c r="S113" s="584"/>
      <c r="T113" s="584"/>
      <c r="U113" s="584"/>
      <c r="V113" s="584"/>
      <c r="W113" s="584"/>
      <c r="X113" s="584"/>
      <c r="Y113" s="584"/>
      <c r="Z113" s="584"/>
      <c r="AA113" s="584"/>
      <c r="AB113" s="584"/>
      <c r="AC113" s="584"/>
      <c r="AD113" s="584"/>
      <c r="AE113" s="584"/>
      <c r="AF113" s="584"/>
      <c r="AG113" s="584"/>
      <c r="AH113" s="584"/>
      <c r="AI113" s="584"/>
      <c r="AJ113" s="584"/>
      <c r="AK113" s="583"/>
      <c r="AL113" s="582"/>
      <c r="AM113" s="583"/>
      <c r="AN113" s="583"/>
      <c r="AO113" s="583"/>
      <c r="AP113" s="583"/>
      <c r="AQ113" s="583"/>
      <c r="AR113" s="507"/>
      <c r="AS113" s="507"/>
      <c r="AT113" s="507"/>
      <c r="AU113" s="507"/>
      <c r="AV113" s="507"/>
      <c r="AW113" s="507"/>
      <c r="AX113" s="507"/>
      <c r="AY113" s="507"/>
      <c r="AZ113" s="507"/>
      <c r="BA113" s="507"/>
      <c r="BB113" s="507"/>
      <c r="BC113" s="507"/>
      <c r="BD113" s="507"/>
      <c r="BE113" s="507"/>
      <c r="BF113" s="507"/>
      <c r="BG113" s="507"/>
      <c r="BH113" s="507"/>
      <c r="BI113" s="507"/>
      <c r="BJ113" s="507"/>
      <c r="BK113" s="507"/>
      <c r="BL113" s="507"/>
      <c r="BM113" s="507"/>
      <c r="BN113" s="507"/>
      <c r="BO113" s="507"/>
      <c r="BP113" s="507"/>
      <c r="BQ113" s="507"/>
      <c r="BR113" s="507"/>
      <c r="BS113" s="507"/>
      <c r="BT113" s="507"/>
      <c r="BU113" s="507"/>
      <c r="BV113" s="507"/>
      <c r="BW113" s="507"/>
      <c r="BX113" s="507"/>
      <c r="BY113" s="507"/>
      <c r="BZ113" s="507"/>
      <c r="CA113" s="507"/>
      <c r="CB113" s="507"/>
      <c r="CC113" s="507"/>
      <c r="CD113" s="507"/>
      <c r="CE113" s="507"/>
      <c r="CF113" s="507"/>
      <c r="CG113" s="507"/>
      <c r="CH113" s="507"/>
      <c r="CI113" s="507"/>
      <c r="CJ113" s="507"/>
      <c r="CK113" s="507"/>
      <c r="CL113" s="507"/>
      <c r="CM113" s="507"/>
      <c r="CN113" s="507"/>
      <c r="CO113" s="507"/>
      <c r="CP113" s="507"/>
    </row>
    <row r="114" spans="1:94">
      <c r="A114" s="584"/>
      <c r="B114" s="584"/>
      <c r="C114" s="584"/>
      <c r="D114" s="584"/>
      <c r="E114" s="584"/>
      <c r="F114" s="584"/>
      <c r="G114" s="584"/>
      <c r="H114" s="584"/>
      <c r="I114" s="584"/>
      <c r="J114" s="584"/>
      <c r="K114" s="584"/>
      <c r="L114" s="584"/>
      <c r="M114" s="584"/>
      <c r="N114" s="584"/>
      <c r="O114" s="584"/>
      <c r="P114" s="584"/>
      <c r="Q114" s="584"/>
      <c r="R114" s="584"/>
      <c r="S114" s="584"/>
      <c r="T114" s="584"/>
      <c r="U114" s="584"/>
      <c r="V114" s="584"/>
      <c r="W114" s="584"/>
      <c r="X114" s="584"/>
      <c r="Y114" s="584"/>
      <c r="Z114" s="584"/>
      <c r="AA114" s="584"/>
      <c r="AB114" s="584"/>
      <c r="AC114" s="584"/>
      <c r="AD114" s="584"/>
      <c r="AE114" s="584"/>
      <c r="AF114" s="584"/>
      <c r="AG114" s="584"/>
      <c r="AH114" s="584"/>
      <c r="AI114" s="584"/>
      <c r="AJ114" s="584"/>
      <c r="AK114" s="583"/>
      <c r="AL114" s="582"/>
      <c r="AM114" s="583"/>
      <c r="AN114" s="583"/>
      <c r="AO114" s="583"/>
      <c r="AP114" s="583"/>
      <c r="AQ114" s="583"/>
      <c r="AR114" s="507"/>
      <c r="AS114" s="507"/>
      <c r="AT114" s="507"/>
      <c r="AU114" s="507"/>
      <c r="AV114" s="507"/>
      <c r="AW114" s="507"/>
      <c r="AX114" s="507"/>
      <c r="AY114" s="507"/>
      <c r="AZ114" s="507"/>
      <c r="BA114" s="507"/>
      <c r="BB114" s="507"/>
      <c r="BC114" s="507"/>
      <c r="BD114" s="507"/>
      <c r="BE114" s="507"/>
      <c r="BF114" s="507"/>
      <c r="BG114" s="507"/>
      <c r="BH114" s="507"/>
      <c r="BI114" s="507"/>
      <c r="BJ114" s="507"/>
      <c r="BK114" s="507"/>
      <c r="BL114" s="507"/>
      <c r="BM114" s="507"/>
      <c r="BN114" s="507"/>
      <c r="BO114" s="507"/>
      <c r="BP114" s="507"/>
      <c r="BQ114" s="507"/>
      <c r="BR114" s="507"/>
      <c r="BS114" s="507"/>
      <c r="BT114" s="507"/>
      <c r="BU114" s="507"/>
      <c r="BV114" s="507"/>
      <c r="BW114" s="507"/>
      <c r="BX114" s="507"/>
      <c r="BY114" s="507"/>
      <c r="BZ114" s="507"/>
      <c r="CA114" s="507"/>
      <c r="CB114" s="507"/>
      <c r="CC114" s="507"/>
      <c r="CD114" s="507"/>
      <c r="CE114" s="507"/>
      <c r="CF114" s="507"/>
      <c r="CG114" s="507"/>
      <c r="CH114" s="507"/>
      <c r="CI114" s="507"/>
      <c r="CJ114" s="507"/>
      <c r="CK114" s="507"/>
      <c r="CL114" s="507"/>
      <c r="CM114" s="507"/>
      <c r="CN114" s="507"/>
      <c r="CO114" s="507"/>
      <c r="CP114" s="507"/>
    </row>
    <row r="115" spans="1:94">
      <c r="A115" s="584"/>
      <c r="B115" s="584"/>
      <c r="C115" s="584"/>
      <c r="D115" s="584"/>
      <c r="E115" s="584"/>
      <c r="F115" s="584"/>
      <c r="G115" s="584"/>
      <c r="H115" s="584"/>
      <c r="I115" s="584"/>
      <c r="J115" s="584"/>
      <c r="K115" s="584"/>
      <c r="L115" s="584"/>
      <c r="M115" s="584"/>
      <c r="N115" s="584"/>
      <c r="O115" s="584"/>
      <c r="P115" s="584"/>
      <c r="Q115" s="584"/>
      <c r="R115" s="584"/>
      <c r="S115" s="584"/>
      <c r="T115" s="584"/>
      <c r="U115" s="584"/>
      <c r="V115" s="584"/>
      <c r="W115" s="584"/>
      <c r="X115" s="584"/>
      <c r="Y115" s="584"/>
      <c r="Z115" s="584"/>
      <c r="AA115" s="584"/>
      <c r="AB115" s="584"/>
      <c r="AC115" s="584"/>
      <c r="AD115" s="584"/>
      <c r="AE115" s="584"/>
      <c r="AF115" s="584"/>
      <c r="AG115" s="584"/>
      <c r="AH115" s="584"/>
      <c r="AI115" s="584"/>
      <c r="AJ115" s="584"/>
      <c r="AK115" s="583"/>
      <c r="AL115" s="582"/>
      <c r="AM115" s="583"/>
      <c r="AN115" s="583"/>
      <c r="AO115" s="583"/>
      <c r="AP115" s="583"/>
      <c r="AQ115" s="583"/>
      <c r="AR115" s="507"/>
      <c r="AS115" s="507"/>
      <c r="AT115" s="507"/>
      <c r="AU115" s="507"/>
      <c r="AV115" s="507"/>
      <c r="AW115" s="507"/>
      <c r="AX115" s="507"/>
      <c r="AY115" s="507"/>
      <c r="AZ115" s="507"/>
      <c r="BA115" s="507"/>
      <c r="BB115" s="507"/>
      <c r="BC115" s="507"/>
      <c r="BD115" s="507"/>
      <c r="BE115" s="507"/>
      <c r="BF115" s="507"/>
      <c r="BG115" s="507"/>
      <c r="BH115" s="507"/>
      <c r="BI115" s="507"/>
      <c r="BJ115" s="507"/>
      <c r="BK115" s="507"/>
      <c r="BL115" s="507"/>
      <c r="BM115" s="507"/>
      <c r="BN115" s="507"/>
      <c r="BO115" s="507"/>
      <c r="BP115" s="507"/>
      <c r="BQ115" s="507"/>
      <c r="BR115" s="507"/>
      <c r="BS115" s="507"/>
      <c r="BT115" s="507"/>
      <c r="BU115" s="507"/>
      <c r="BV115" s="507"/>
      <c r="BW115" s="507"/>
      <c r="BX115" s="507"/>
      <c r="BY115" s="507"/>
      <c r="BZ115" s="507"/>
      <c r="CA115" s="507"/>
      <c r="CB115" s="507"/>
      <c r="CC115" s="507"/>
      <c r="CD115" s="507"/>
      <c r="CE115" s="507"/>
      <c r="CF115" s="507"/>
      <c r="CG115" s="507"/>
      <c r="CH115" s="507"/>
      <c r="CI115" s="507"/>
      <c r="CJ115" s="507"/>
      <c r="CK115" s="507"/>
      <c r="CL115" s="507"/>
      <c r="CM115" s="507"/>
      <c r="CN115" s="507"/>
      <c r="CO115" s="507"/>
      <c r="CP115" s="507"/>
    </row>
    <row r="116" spans="1:94">
      <c r="A116" s="584"/>
      <c r="B116" s="584"/>
      <c r="C116" s="584"/>
      <c r="D116" s="584"/>
      <c r="E116" s="584"/>
      <c r="F116" s="584"/>
      <c r="G116" s="584"/>
      <c r="H116" s="584"/>
      <c r="I116" s="584"/>
      <c r="J116" s="584"/>
      <c r="K116" s="584"/>
      <c r="L116" s="584"/>
      <c r="M116" s="584"/>
      <c r="N116" s="584"/>
      <c r="O116" s="584"/>
      <c r="P116" s="584"/>
      <c r="Q116" s="584"/>
      <c r="R116" s="584"/>
      <c r="S116" s="584"/>
      <c r="T116" s="584"/>
      <c r="U116" s="584"/>
      <c r="V116" s="584"/>
      <c r="W116" s="584"/>
      <c r="X116" s="584"/>
      <c r="Y116" s="584"/>
      <c r="Z116" s="584"/>
      <c r="AA116" s="584"/>
      <c r="AB116" s="584"/>
      <c r="AC116" s="584"/>
      <c r="AD116" s="584"/>
      <c r="AE116" s="584"/>
      <c r="AF116" s="584"/>
      <c r="AG116" s="584"/>
      <c r="AH116" s="584"/>
      <c r="AI116" s="584"/>
      <c r="AJ116" s="584"/>
      <c r="AK116" s="583"/>
      <c r="AL116" s="582"/>
      <c r="AM116" s="583"/>
      <c r="AN116" s="583"/>
      <c r="AO116" s="583"/>
      <c r="AP116" s="583"/>
      <c r="AQ116" s="583"/>
      <c r="AR116" s="507"/>
      <c r="AS116" s="507"/>
      <c r="AT116" s="507"/>
      <c r="AU116" s="507"/>
      <c r="AV116" s="507"/>
      <c r="AW116" s="507"/>
      <c r="AX116" s="507"/>
      <c r="AY116" s="507"/>
      <c r="AZ116" s="507"/>
      <c r="BA116" s="507"/>
      <c r="BB116" s="507"/>
      <c r="BC116" s="507"/>
      <c r="BD116" s="507"/>
      <c r="BE116" s="507"/>
      <c r="BF116" s="507"/>
      <c r="BG116" s="507"/>
      <c r="BH116" s="507"/>
      <c r="BI116" s="507"/>
      <c r="BJ116" s="507"/>
      <c r="BK116" s="507"/>
      <c r="BL116" s="507"/>
      <c r="BM116" s="507"/>
      <c r="BN116" s="507"/>
      <c r="BO116" s="507"/>
      <c r="BP116" s="507"/>
      <c r="BQ116" s="507"/>
      <c r="BR116" s="507"/>
      <c r="BS116" s="507"/>
      <c r="BT116" s="507"/>
      <c r="BU116" s="507"/>
      <c r="BV116" s="507"/>
      <c r="BW116" s="507"/>
      <c r="BX116" s="507"/>
      <c r="BY116" s="507"/>
      <c r="BZ116" s="507"/>
      <c r="CA116" s="507"/>
      <c r="CB116" s="507"/>
      <c r="CC116" s="507"/>
      <c r="CD116" s="507"/>
      <c r="CE116" s="507"/>
      <c r="CF116" s="507"/>
      <c r="CG116" s="507"/>
      <c r="CH116" s="507"/>
      <c r="CI116" s="507"/>
      <c r="CJ116" s="507"/>
      <c r="CK116" s="507"/>
      <c r="CL116" s="507"/>
      <c r="CM116" s="507"/>
      <c r="CN116" s="507"/>
      <c r="CO116" s="507"/>
      <c r="CP116" s="507"/>
    </row>
    <row r="117" spans="1:94">
      <c r="A117" s="584"/>
      <c r="B117" s="584"/>
      <c r="C117" s="584"/>
      <c r="D117" s="584"/>
      <c r="E117" s="584"/>
      <c r="F117" s="584"/>
      <c r="G117" s="584"/>
      <c r="H117" s="584"/>
      <c r="I117" s="584"/>
      <c r="J117" s="584"/>
      <c r="K117" s="584"/>
      <c r="L117" s="584"/>
      <c r="M117" s="584"/>
      <c r="N117" s="584"/>
      <c r="O117" s="584"/>
      <c r="P117" s="584"/>
      <c r="Q117" s="584"/>
      <c r="R117" s="584"/>
      <c r="S117" s="584"/>
      <c r="T117" s="584"/>
      <c r="U117" s="584"/>
      <c r="V117" s="584"/>
      <c r="W117" s="584"/>
      <c r="X117" s="584"/>
      <c r="Y117" s="584"/>
      <c r="Z117" s="584"/>
      <c r="AA117" s="584"/>
      <c r="AB117" s="584"/>
      <c r="AC117" s="584"/>
      <c r="AD117" s="584"/>
      <c r="AE117" s="584"/>
      <c r="AF117" s="584"/>
      <c r="AG117" s="584"/>
      <c r="AH117" s="584"/>
      <c r="AI117" s="584"/>
      <c r="AJ117" s="584"/>
      <c r="AK117" s="583"/>
      <c r="AL117" s="582"/>
      <c r="AM117" s="583"/>
      <c r="AN117" s="583"/>
      <c r="AO117" s="583"/>
      <c r="AP117" s="583"/>
      <c r="AQ117" s="583"/>
      <c r="AR117" s="507"/>
      <c r="AS117" s="507"/>
      <c r="AT117" s="507"/>
      <c r="AU117" s="507"/>
      <c r="AV117" s="507"/>
      <c r="AW117" s="507"/>
      <c r="AX117" s="507"/>
      <c r="AY117" s="507"/>
      <c r="AZ117" s="507"/>
      <c r="BA117" s="507"/>
      <c r="BB117" s="507"/>
      <c r="BC117" s="507"/>
      <c r="BD117" s="507"/>
      <c r="BE117" s="507"/>
      <c r="BF117" s="507"/>
      <c r="BG117" s="507"/>
      <c r="BH117" s="507"/>
      <c r="BI117" s="507"/>
      <c r="BJ117" s="507"/>
      <c r="BK117" s="507"/>
      <c r="BL117" s="507"/>
      <c r="BM117" s="507"/>
      <c r="BN117" s="507"/>
      <c r="BO117" s="507"/>
      <c r="BP117" s="507"/>
      <c r="BQ117" s="507"/>
      <c r="BR117" s="507"/>
      <c r="BS117" s="507"/>
      <c r="BT117" s="507"/>
      <c r="BU117" s="507"/>
      <c r="BV117" s="507"/>
      <c r="BW117" s="507"/>
      <c r="BX117" s="507"/>
      <c r="BY117" s="507"/>
      <c r="BZ117" s="507"/>
      <c r="CA117" s="507"/>
      <c r="CB117" s="507"/>
      <c r="CC117" s="507"/>
      <c r="CD117" s="507"/>
      <c r="CE117" s="507"/>
      <c r="CF117" s="507"/>
      <c r="CG117" s="507"/>
      <c r="CH117" s="507"/>
      <c r="CI117" s="507"/>
      <c r="CJ117" s="507"/>
      <c r="CK117" s="507"/>
      <c r="CL117" s="507"/>
      <c r="CM117" s="507"/>
      <c r="CN117" s="507"/>
      <c r="CO117" s="507"/>
      <c r="CP117" s="507"/>
    </row>
    <row r="118" spans="1:94">
      <c r="A118" s="584"/>
      <c r="B118" s="584"/>
      <c r="C118" s="584"/>
      <c r="D118" s="584"/>
      <c r="E118" s="584"/>
      <c r="F118" s="584"/>
      <c r="G118" s="584"/>
      <c r="H118" s="584"/>
      <c r="I118" s="584"/>
      <c r="J118" s="584"/>
      <c r="K118" s="584"/>
      <c r="L118" s="584"/>
      <c r="M118" s="584"/>
      <c r="N118" s="584"/>
      <c r="O118" s="584"/>
      <c r="P118" s="584"/>
      <c r="Q118" s="584"/>
      <c r="R118" s="584"/>
      <c r="S118" s="584"/>
      <c r="T118" s="584"/>
      <c r="U118" s="584"/>
      <c r="V118" s="584"/>
      <c r="W118" s="584"/>
      <c r="X118" s="584"/>
      <c r="Y118" s="584"/>
      <c r="Z118" s="584"/>
      <c r="AA118" s="584"/>
      <c r="AB118" s="584"/>
      <c r="AC118" s="584"/>
      <c r="AD118" s="584"/>
      <c r="AE118" s="584"/>
      <c r="AF118" s="584"/>
      <c r="AG118" s="584"/>
      <c r="AH118" s="584"/>
      <c r="AI118" s="584"/>
      <c r="AJ118" s="584"/>
      <c r="AK118" s="583"/>
      <c r="AL118" s="582"/>
      <c r="AM118" s="583"/>
      <c r="AN118" s="583"/>
      <c r="AO118" s="583"/>
      <c r="AP118" s="583"/>
      <c r="AQ118" s="583"/>
      <c r="AR118" s="507"/>
      <c r="AS118" s="507"/>
      <c r="AT118" s="507"/>
      <c r="AU118" s="507"/>
      <c r="AV118" s="507"/>
      <c r="AW118" s="507"/>
      <c r="AX118" s="507"/>
      <c r="AY118" s="507"/>
      <c r="AZ118" s="507"/>
      <c r="BA118" s="507"/>
      <c r="BB118" s="507"/>
      <c r="BC118" s="507"/>
      <c r="BD118" s="507"/>
      <c r="BE118" s="507"/>
      <c r="BF118" s="507"/>
      <c r="BG118" s="507"/>
      <c r="BH118" s="507"/>
      <c r="BI118" s="507"/>
      <c r="BJ118" s="507"/>
      <c r="BK118" s="507"/>
      <c r="BL118" s="507"/>
      <c r="BM118" s="507"/>
      <c r="BN118" s="507"/>
      <c r="BO118" s="507"/>
      <c r="BP118" s="507"/>
      <c r="BQ118" s="507"/>
      <c r="BR118" s="507"/>
      <c r="BS118" s="507"/>
      <c r="BT118" s="507"/>
      <c r="BU118" s="507"/>
      <c r="BV118" s="507"/>
      <c r="BW118" s="507"/>
      <c r="BX118" s="507"/>
      <c r="BY118" s="507"/>
      <c r="BZ118" s="507"/>
      <c r="CA118" s="507"/>
      <c r="CB118" s="507"/>
      <c r="CC118" s="507"/>
      <c r="CD118" s="507"/>
      <c r="CE118" s="507"/>
      <c r="CF118" s="507"/>
      <c r="CG118" s="507"/>
      <c r="CH118" s="507"/>
      <c r="CI118" s="507"/>
      <c r="CJ118" s="507"/>
      <c r="CK118" s="507"/>
      <c r="CL118" s="507"/>
      <c r="CM118" s="507"/>
      <c r="CN118" s="507"/>
      <c r="CO118" s="507"/>
      <c r="CP118" s="507"/>
    </row>
    <row r="119" spans="1:94">
      <c r="A119" s="584"/>
      <c r="B119" s="584"/>
      <c r="C119" s="584"/>
      <c r="D119" s="584"/>
      <c r="E119" s="584"/>
      <c r="F119" s="584"/>
      <c r="G119" s="584"/>
      <c r="H119" s="584"/>
      <c r="I119" s="584"/>
      <c r="J119" s="584"/>
      <c r="K119" s="584"/>
      <c r="L119" s="584"/>
      <c r="M119" s="584"/>
      <c r="N119" s="584"/>
      <c r="O119" s="584"/>
      <c r="P119" s="584"/>
      <c r="Q119" s="584"/>
      <c r="R119" s="584"/>
      <c r="S119" s="584"/>
      <c r="T119" s="584"/>
      <c r="U119" s="584"/>
      <c r="V119" s="584"/>
      <c r="W119" s="584"/>
      <c r="X119" s="584"/>
      <c r="Y119" s="584"/>
      <c r="Z119" s="584"/>
      <c r="AA119" s="584"/>
      <c r="AB119" s="584"/>
      <c r="AC119" s="584"/>
      <c r="AD119" s="584"/>
      <c r="AE119" s="584"/>
      <c r="AF119" s="584"/>
      <c r="AG119" s="584"/>
      <c r="AH119" s="584"/>
      <c r="AI119" s="584"/>
      <c r="AJ119" s="584"/>
      <c r="AK119" s="583"/>
      <c r="AL119" s="582"/>
      <c r="AM119" s="583"/>
      <c r="AN119" s="583"/>
      <c r="AO119" s="583"/>
      <c r="AP119" s="583"/>
      <c r="AQ119" s="583"/>
      <c r="AR119" s="507"/>
      <c r="AS119" s="507"/>
      <c r="AT119" s="507"/>
      <c r="AU119" s="507"/>
      <c r="AV119" s="507"/>
      <c r="AW119" s="507"/>
      <c r="AX119" s="507"/>
      <c r="AY119" s="507"/>
      <c r="AZ119" s="507"/>
      <c r="BA119" s="507"/>
      <c r="BB119" s="507"/>
      <c r="BC119" s="507"/>
      <c r="BD119" s="507"/>
      <c r="BE119" s="507"/>
      <c r="BF119" s="507"/>
      <c r="BG119" s="507"/>
      <c r="BH119" s="507"/>
      <c r="BI119" s="507"/>
      <c r="BJ119" s="507"/>
      <c r="BK119" s="507"/>
      <c r="BL119" s="507"/>
      <c r="BM119" s="507"/>
      <c r="BN119" s="507"/>
      <c r="BO119" s="507"/>
      <c r="BP119" s="507"/>
      <c r="BQ119" s="507"/>
      <c r="BR119" s="507"/>
      <c r="BS119" s="507"/>
      <c r="BT119" s="507"/>
      <c r="BU119" s="507"/>
      <c r="BV119" s="507"/>
      <c r="BW119" s="507"/>
      <c r="BX119" s="507"/>
      <c r="BY119" s="507"/>
      <c r="BZ119" s="507"/>
      <c r="CA119" s="507"/>
      <c r="CB119" s="507"/>
      <c r="CC119" s="507"/>
      <c r="CD119" s="507"/>
      <c r="CE119" s="507"/>
      <c r="CF119" s="507"/>
      <c r="CG119" s="507"/>
      <c r="CH119" s="507"/>
      <c r="CI119" s="507"/>
      <c r="CJ119" s="507"/>
      <c r="CK119" s="507"/>
      <c r="CL119" s="507"/>
      <c r="CM119" s="507"/>
      <c r="CN119" s="507"/>
      <c r="CO119" s="507"/>
      <c r="CP119" s="507"/>
    </row>
    <row r="120" spans="1:94">
      <c r="A120" s="584"/>
      <c r="B120" s="584"/>
      <c r="C120" s="584"/>
      <c r="D120" s="584"/>
      <c r="E120" s="584"/>
      <c r="F120" s="584"/>
      <c r="G120" s="584"/>
      <c r="H120" s="584"/>
      <c r="I120" s="584"/>
      <c r="J120" s="584"/>
      <c r="K120" s="584"/>
      <c r="L120" s="584"/>
      <c r="M120" s="584"/>
      <c r="N120" s="584"/>
      <c r="O120" s="584"/>
      <c r="P120" s="584"/>
      <c r="Q120" s="584"/>
      <c r="R120" s="584"/>
      <c r="S120" s="584"/>
      <c r="T120" s="584"/>
      <c r="U120" s="584"/>
      <c r="V120" s="584"/>
      <c r="W120" s="584"/>
      <c r="X120" s="584"/>
      <c r="Y120" s="584"/>
      <c r="Z120" s="584"/>
      <c r="AA120" s="584"/>
      <c r="AB120" s="584"/>
      <c r="AC120" s="584"/>
      <c r="AD120" s="584"/>
      <c r="AE120" s="584"/>
      <c r="AF120" s="584"/>
      <c r="AG120" s="584"/>
      <c r="AH120" s="584"/>
      <c r="AI120" s="584"/>
      <c r="AJ120" s="584"/>
      <c r="AK120" s="583"/>
      <c r="AL120" s="582"/>
      <c r="AM120" s="583"/>
      <c r="AN120" s="583"/>
      <c r="AO120" s="583"/>
      <c r="AP120" s="583"/>
      <c r="AQ120" s="583"/>
      <c r="AR120" s="507"/>
      <c r="AS120" s="507"/>
      <c r="AT120" s="507"/>
      <c r="AU120" s="507"/>
      <c r="AV120" s="507"/>
      <c r="AW120" s="507"/>
      <c r="AX120" s="507"/>
      <c r="AY120" s="507"/>
      <c r="AZ120" s="507"/>
      <c r="BA120" s="507"/>
      <c r="BB120" s="507"/>
      <c r="BC120" s="507"/>
      <c r="BD120" s="507"/>
      <c r="BE120" s="507"/>
      <c r="BF120" s="507"/>
      <c r="BG120" s="507"/>
      <c r="BH120" s="507"/>
      <c r="BI120" s="507"/>
      <c r="BJ120" s="507"/>
      <c r="BK120" s="507"/>
      <c r="BL120" s="507"/>
      <c r="BM120" s="507"/>
      <c r="BN120" s="507"/>
      <c r="BO120" s="507"/>
      <c r="BP120" s="507"/>
      <c r="BQ120" s="507"/>
      <c r="BR120" s="507"/>
      <c r="BS120" s="507"/>
      <c r="BT120" s="507"/>
      <c r="BU120" s="507"/>
      <c r="BV120" s="507"/>
      <c r="BW120" s="507"/>
      <c r="BX120" s="507"/>
      <c r="BY120" s="507"/>
      <c r="BZ120" s="507"/>
      <c r="CA120" s="507"/>
      <c r="CB120" s="507"/>
      <c r="CC120" s="507"/>
      <c r="CD120" s="507"/>
      <c r="CE120" s="507"/>
      <c r="CF120" s="507"/>
      <c r="CG120" s="507"/>
      <c r="CH120" s="507"/>
      <c r="CI120" s="507"/>
      <c r="CJ120" s="507"/>
      <c r="CK120" s="507"/>
      <c r="CL120" s="507"/>
      <c r="CM120" s="507"/>
      <c r="CN120" s="507"/>
      <c r="CO120" s="507"/>
      <c r="CP120" s="507"/>
    </row>
    <row r="121" spans="1:94">
      <c r="A121" s="584"/>
      <c r="B121" s="584"/>
      <c r="C121" s="584"/>
      <c r="D121" s="584"/>
      <c r="E121" s="584"/>
      <c r="F121" s="584"/>
      <c r="G121" s="584"/>
      <c r="H121" s="584"/>
      <c r="I121" s="584"/>
      <c r="J121" s="584"/>
      <c r="K121" s="584"/>
      <c r="L121" s="584"/>
      <c r="M121" s="584"/>
      <c r="N121" s="584"/>
      <c r="O121" s="584"/>
      <c r="P121" s="584"/>
      <c r="Q121" s="584"/>
      <c r="R121" s="584"/>
      <c r="S121" s="584"/>
      <c r="T121" s="584"/>
      <c r="U121" s="584"/>
      <c r="V121" s="584"/>
      <c r="W121" s="584"/>
      <c r="X121" s="584"/>
      <c r="Y121" s="584"/>
      <c r="Z121" s="584"/>
      <c r="AA121" s="584"/>
      <c r="AB121" s="584"/>
      <c r="AC121" s="584"/>
      <c r="AD121" s="584"/>
      <c r="AE121" s="584"/>
      <c r="AF121" s="584"/>
      <c r="AG121" s="584"/>
      <c r="AH121" s="584"/>
      <c r="AI121" s="584"/>
      <c r="AJ121" s="584"/>
      <c r="AK121" s="583"/>
      <c r="AL121" s="582"/>
      <c r="AM121" s="583"/>
      <c r="AN121" s="583"/>
      <c r="AO121" s="583"/>
      <c r="AP121" s="583"/>
      <c r="AQ121" s="583"/>
      <c r="AR121" s="507"/>
      <c r="AS121" s="507"/>
      <c r="AT121" s="507"/>
      <c r="AU121" s="507"/>
      <c r="AV121" s="507"/>
      <c r="AW121" s="507"/>
      <c r="AX121" s="507"/>
      <c r="AY121" s="507"/>
      <c r="AZ121" s="507"/>
      <c r="BA121" s="507"/>
      <c r="BB121" s="507"/>
      <c r="BC121" s="507"/>
      <c r="BD121" s="507"/>
      <c r="BE121" s="507"/>
      <c r="BF121" s="507"/>
      <c r="BG121" s="507"/>
      <c r="BH121" s="507"/>
      <c r="BI121" s="507"/>
      <c r="BJ121" s="507"/>
      <c r="BK121" s="507"/>
      <c r="BL121" s="507"/>
      <c r="BM121" s="507"/>
      <c r="BN121" s="507"/>
      <c r="BO121" s="507"/>
      <c r="BP121" s="507"/>
      <c r="BQ121" s="507"/>
      <c r="BR121" s="507"/>
      <c r="BS121" s="507"/>
      <c r="BT121" s="507"/>
      <c r="BU121" s="507"/>
      <c r="BV121" s="507"/>
      <c r="BW121" s="507"/>
      <c r="BX121" s="507"/>
      <c r="BY121" s="507"/>
      <c r="BZ121" s="507"/>
      <c r="CA121" s="507"/>
      <c r="CB121" s="507"/>
      <c r="CC121" s="507"/>
      <c r="CD121" s="507"/>
      <c r="CE121" s="507"/>
      <c r="CF121" s="507"/>
      <c r="CG121" s="507"/>
      <c r="CH121" s="507"/>
      <c r="CI121" s="507"/>
      <c r="CJ121" s="507"/>
      <c r="CK121" s="507"/>
      <c r="CL121" s="507"/>
      <c r="CM121" s="507"/>
      <c r="CN121" s="507"/>
      <c r="CO121" s="507"/>
      <c r="CP121" s="507"/>
    </row>
    <row r="122" spans="1:94">
      <c r="A122" s="584"/>
      <c r="B122" s="584"/>
      <c r="C122" s="584"/>
      <c r="D122" s="584"/>
      <c r="E122" s="584"/>
      <c r="F122" s="584"/>
      <c r="G122" s="584"/>
      <c r="H122" s="584"/>
      <c r="I122" s="584"/>
      <c r="J122" s="584"/>
      <c r="K122" s="584"/>
      <c r="L122" s="584"/>
      <c r="M122" s="584"/>
      <c r="N122" s="584"/>
      <c r="O122" s="584"/>
      <c r="P122" s="584"/>
      <c r="Q122" s="584"/>
      <c r="R122" s="584"/>
      <c r="S122" s="584"/>
      <c r="T122" s="584"/>
      <c r="U122" s="584"/>
      <c r="V122" s="584"/>
      <c r="W122" s="584"/>
      <c r="X122" s="584"/>
      <c r="Y122" s="584"/>
      <c r="Z122" s="584"/>
      <c r="AA122" s="584"/>
      <c r="AB122" s="584"/>
      <c r="AC122" s="584"/>
      <c r="AD122" s="584"/>
      <c r="AE122" s="584"/>
      <c r="AF122" s="584"/>
      <c r="AG122" s="584"/>
      <c r="AH122" s="584"/>
      <c r="AI122" s="584"/>
      <c r="AJ122" s="584"/>
      <c r="AK122" s="583"/>
      <c r="AL122" s="582"/>
      <c r="AM122" s="583"/>
      <c r="AN122" s="583"/>
      <c r="AO122" s="583"/>
      <c r="AP122" s="583"/>
      <c r="AQ122" s="583"/>
      <c r="AR122" s="507"/>
      <c r="AS122" s="507"/>
      <c r="AT122" s="507"/>
      <c r="AU122" s="507"/>
      <c r="AV122" s="507"/>
      <c r="AW122" s="507"/>
      <c r="AX122" s="507"/>
      <c r="AY122" s="507"/>
      <c r="AZ122" s="507"/>
      <c r="BA122" s="507"/>
      <c r="BB122" s="507"/>
      <c r="BC122" s="507"/>
      <c r="BD122" s="507"/>
      <c r="BE122" s="507"/>
      <c r="BF122" s="507"/>
      <c r="BG122" s="507"/>
      <c r="BH122" s="507"/>
      <c r="BI122" s="507"/>
      <c r="BJ122" s="507"/>
      <c r="BK122" s="507"/>
      <c r="BL122" s="507"/>
      <c r="BM122" s="507"/>
      <c r="BN122" s="507"/>
      <c r="BO122" s="507"/>
      <c r="BP122" s="507"/>
      <c r="BQ122" s="507"/>
      <c r="BR122" s="507"/>
      <c r="BS122" s="507"/>
      <c r="BT122" s="507"/>
      <c r="BU122" s="507"/>
      <c r="BV122" s="507"/>
      <c r="BW122" s="507"/>
      <c r="BX122" s="507"/>
      <c r="BY122" s="507"/>
      <c r="BZ122" s="507"/>
      <c r="CA122" s="507"/>
      <c r="CB122" s="507"/>
      <c r="CC122" s="507"/>
      <c r="CD122" s="507"/>
      <c r="CE122" s="507"/>
      <c r="CF122" s="507"/>
      <c r="CG122" s="507"/>
      <c r="CH122" s="507"/>
      <c r="CI122" s="507"/>
      <c r="CJ122" s="507"/>
      <c r="CK122" s="507"/>
      <c r="CL122" s="507"/>
      <c r="CM122" s="507"/>
      <c r="CN122" s="507"/>
      <c r="CO122" s="507"/>
      <c r="CP122" s="507"/>
    </row>
    <row r="123" spans="1:94">
      <c r="AL123" s="582"/>
      <c r="AM123" s="583"/>
      <c r="AN123" s="583"/>
      <c r="AO123" s="583"/>
      <c r="AP123" s="583"/>
      <c r="AQ123" s="583"/>
      <c r="AR123" s="507"/>
      <c r="AS123" s="507"/>
      <c r="AT123" s="507"/>
      <c r="AU123" s="507"/>
      <c r="AV123" s="507"/>
      <c r="AW123" s="507"/>
      <c r="AX123" s="507"/>
      <c r="AY123" s="507"/>
      <c r="AZ123" s="507"/>
      <c r="BA123" s="507"/>
      <c r="BB123" s="507"/>
      <c r="BC123" s="507"/>
      <c r="BD123" s="507"/>
      <c r="BE123" s="507"/>
      <c r="BF123" s="507"/>
      <c r="BG123" s="507"/>
      <c r="BH123" s="507"/>
      <c r="BI123" s="507"/>
      <c r="BJ123" s="507"/>
      <c r="BK123" s="507"/>
    </row>
  </sheetData>
  <sheetProtection algorithmName="SHA-512" hashValue="p7z6KnDQIiweNCPdw6Ujc7vpstYVwMPByhqtjGnpxwbQMIBxQc2fcCN4Y/QdYURLQBvfy2Ak1Sbb3Rv86qUbxw==" saltValue="LkZXomWZCNyB9AXIt67Anw==" spinCount="100000" sheet="1" objects="1" scenarios="1" selectLockedCells="1" selectUnlockedCells="1"/>
  <mergeCells count="431">
    <mergeCell ref="L61:M61"/>
    <mergeCell ref="N61:O61"/>
    <mergeCell ref="R61:S61"/>
    <mergeCell ref="L62:M62"/>
    <mergeCell ref="N62:O62"/>
    <mergeCell ref="R62:S62"/>
    <mergeCell ref="T58:U58"/>
    <mergeCell ref="L59:M59"/>
    <mergeCell ref="N59:O59"/>
    <mergeCell ref="R59:S59"/>
    <mergeCell ref="L60:M60"/>
    <mergeCell ref="N60:O60"/>
    <mergeCell ref="R60:S60"/>
    <mergeCell ref="L57:M57"/>
    <mergeCell ref="N57:O57"/>
    <mergeCell ref="R57:S57"/>
    <mergeCell ref="L58:M58"/>
    <mergeCell ref="N58:O58"/>
    <mergeCell ref="R58:S58"/>
    <mergeCell ref="AE55:AF55"/>
    <mergeCell ref="L56:M56"/>
    <mergeCell ref="N56:O56"/>
    <mergeCell ref="R56:S56"/>
    <mergeCell ref="T56:U56"/>
    <mergeCell ref="Y56:Z56"/>
    <mergeCell ref="AF53:AG53"/>
    <mergeCell ref="AH53:AI53"/>
    <mergeCell ref="AJ53:AK53"/>
    <mergeCell ref="L54:M54"/>
    <mergeCell ref="L55:M55"/>
    <mergeCell ref="N55:O55"/>
    <mergeCell ref="R55:S55"/>
    <mergeCell ref="T55:U55"/>
    <mergeCell ref="Y55:Z55"/>
    <mergeCell ref="AC55:AD55"/>
    <mergeCell ref="T53:U53"/>
    <mergeCell ref="V53:W53"/>
    <mergeCell ref="X53:Y53"/>
    <mergeCell ref="Z53:AA53"/>
    <mergeCell ref="AB53:AC53"/>
    <mergeCell ref="AD53:AE53"/>
    <mergeCell ref="A53:E53"/>
    <mergeCell ref="F53:G53"/>
    <mergeCell ref="H53:I53"/>
    <mergeCell ref="J53:K53"/>
    <mergeCell ref="L53:M53"/>
    <mergeCell ref="N53:O53"/>
    <mergeCell ref="P53:Q53"/>
    <mergeCell ref="R53:S53"/>
    <mergeCell ref="V52:W52"/>
    <mergeCell ref="AJ51:AK51"/>
    <mergeCell ref="F52:G52"/>
    <mergeCell ref="H52:I52"/>
    <mergeCell ref="J52:K52"/>
    <mergeCell ref="L52:M52"/>
    <mergeCell ref="N52:O52"/>
    <mergeCell ref="P52:Q52"/>
    <mergeCell ref="R52:S52"/>
    <mergeCell ref="T52:U52"/>
    <mergeCell ref="V51:W51"/>
    <mergeCell ref="X51:Y51"/>
    <mergeCell ref="Z51:AA51"/>
    <mergeCell ref="AB51:AC51"/>
    <mergeCell ref="AD51:AE51"/>
    <mergeCell ref="AF51:AG51"/>
    <mergeCell ref="AH52:AI52"/>
    <mergeCell ref="AJ52:AK52"/>
    <mergeCell ref="X52:Y52"/>
    <mergeCell ref="Z52:AA52"/>
    <mergeCell ref="AB52:AC52"/>
    <mergeCell ref="AD52:AE52"/>
    <mergeCell ref="AF52:AG52"/>
    <mergeCell ref="F51:G51"/>
    <mergeCell ref="H51:I51"/>
    <mergeCell ref="J51:K51"/>
    <mergeCell ref="L51:M51"/>
    <mergeCell ref="N51:O51"/>
    <mergeCell ref="P51:Q51"/>
    <mergeCell ref="R51:S51"/>
    <mergeCell ref="T51:U51"/>
    <mergeCell ref="V50:W50"/>
    <mergeCell ref="AH49:AI49"/>
    <mergeCell ref="J49:K49"/>
    <mergeCell ref="L49:M49"/>
    <mergeCell ref="N49:O49"/>
    <mergeCell ref="P49:Q49"/>
    <mergeCell ref="R49:S49"/>
    <mergeCell ref="T49:U49"/>
    <mergeCell ref="AH51:AI51"/>
    <mergeCell ref="AJ49:AK49"/>
    <mergeCell ref="F50:G50"/>
    <mergeCell ref="H50:I50"/>
    <mergeCell ref="J50:K50"/>
    <mergeCell ref="L50:M50"/>
    <mergeCell ref="N50:O50"/>
    <mergeCell ref="P50:Q50"/>
    <mergeCell ref="R50:S50"/>
    <mergeCell ref="T50:U50"/>
    <mergeCell ref="V49:W49"/>
    <mergeCell ref="X49:Y49"/>
    <mergeCell ref="Z49:AA49"/>
    <mergeCell ref="AB49:AC49"/>
    <mergeCell ref="AD49:AE49"/>
    <mergeCell ref="AF49:AG49"/>
    <mergeCell ref="AH50:AI50"/>
    <mergeCell ref="AJ50:AK50"/>
    <mergeCell ref="X50:Y50"/>
    <mergeCell ref="Z50:AA50"/>
    <mergeCell ref="AB50:AC50"/>
    <mergeCell ref="AD50:AE50"/>
    <mergeCell ref="AF50:AG50"/>
    <mergeCell ref="F49:G49"/>
    <mergeCell ref="H49:I49"/>
    <mergeCell ref="V48:W48"/>
    <mergeCell ref="AH47:AI47"/>
    <mergeCell ref="AJ47:AK47"/>
    <mergeCell ref="F48:G48"/>
    <mergeCell ref="H48:I48"/>
    <mergeCell ref="J48:K48"/>
    <mergeCell ref="L48:M48"/>
    <mergeCell ref="N48:O48"/>
    <mergeCell ref="P48:Q48"/>
    <mergeCell ref="R48:S48"/>
    <mergeCell ref="T48:U48"/>
    <mergeCell ref="V47:W47"/>
    <mergeCell ref="X47:Y47"/>
    <mergeCell ref="Z47:AA47"/>
    <mergeCell ref="AB47:AC47"/>
    <mergeCell ref="AD47:AE47"/>
    <mergeCell ref="AF47:AG47"/>
    <mergeCell ref="AH48:AI48"/>
    <mergeCell ref="AJ48:AK48"/>
    <mergeCell ref="X48:Y48"/>
    <mergeCell ref="Z48:AA48"/>
    <mergeCell ref="AB48:AC48"/>
    <mergeCell ref="AD48:AE48"/>
    <mergeCell ref="AF48:AG48"/>
    <mergeCell ref="F47:G47"/>
    <mergeCell ref="H47:I47"/>
    <mergeCell ref="J47:K47"/>
    <mergeCell ref="L47:M47"/>
    <mergeCell ref="N47:O47"/>
    <mergeCell ref="P47:Q47"/>
    <mergeCell ref="R47:S47"/>
    <mergeCell ref="T47:U47"/>
    <mergeCell ref="V46:W46"/>
    <mergeCell ref="AH45:AI45"/>
    <mergeCell ref="AJ45:AK45"/>
    <mergeCell ref="F46:G46"/>
    <mergeCell ref="H46:I46"/>
    <mergeCell ref="J46:K46"/>
    <mergeCell ref="L46:M46"/>
    <mergeCell ref="N46:O46"/>
    <mergeCell ref="P46:Q46"/>
    <mergeCell ref="R46:S46"/>
    <mergeCell ref="T46:U46"/>
    <mergeCell ref="V45:W45"/>
    <mergeCell ref="X45:Y45"/>
    <mergeCell ref="Z45:AA45"/>
    <mergeCell ref="AB45:AC45"/>
    <mergeCell ref="AD45:AE45"/>
    <mergeCell ref="AF45:AG45"/>
    <mergeCell ref="AH46:AI46"/>
    <mergeCell ref="AJ46:AK46"/>
    <mergeCell ref="X46:Y46"/>
    <mergeCell ref="Z46:AA46"/>
    <mergeCell ref="AB46:AC46"/>
    <mergeCell ref="AD46:AE46"/>
    <mergeCell ref="AF46:AG46"/>
    <mergeCell ref="R44:S44"/>
    <mergeCell ref="T44:U44"/>
    <mergeCell ref="F45:G45"/>
    <mergeCell ref="H45:I45"/>
    <mergeCell ref="J45:K45"/>
    <mergeCell ref="L45:M45"/>
    <mergeCell ref="N45:O45"/>
    <mergeCell ref="P45:Q45"/>
    <mergeCell ref="R45:S45"/>
    <mergeCell ref="T45:U45"/>
    <mergeCell ref="F44:G44"/>
    <mergeCell ref="H44:I44"/>
    <mergeCell ref="J44:K44"/>
    <mergeCell ref="L44:M44"/>
    <mergeCell ref="N44:O44"/>
    <mergeCell ref="P44:Q44"/>
    <mergeCell ref="R42:S42"/>
    <mergeCell ref="T42:U42"/>
    <mergeCell ref="F43:G43"/>
    <mergeCell ref="H43:I43"/>
    <mergeCell ref="J43:K43"/>
    <mergeCell ref="L43:M43"/>
    <mergeCell ref="N43:O43"/>
    <mergeCell ref="P43:Q43"/>
    <mergeCell ref="R43:S43"/>
    <mergeCell ref="T43:U43"/>
    <mergeCell ref="F42:G42"/>
    <mergeCell ref="H42:I42"/>
    <mergeCell ref="J42:K42"/>
    <mergeCell ref="L42:M42"/>
    <mergeCell ref="N42:O42"/>
    <mergeCell ref="P42:Q42"/>
    <mergeCell ref="R40:S40"/>
    <mergeCell ref="T40:U40"/>
    <mergeCell ref="F41:G41"/>
    <mergeCell ref="H41:I41"/>
    <mergeCell ref="J41:K41"/>
    <mergeCell ref="L41:M41"/>
    <mergeCell ref="N41:O41"/>
    <mergeCell ref="P41:Q41"/>
    <mergeCell ref="R41:S41"/>
    <mergeCell ref="T41:U41"/>
    <mergeCell ref="F40:G40"/>
    <mergeCell ref="H40:I40"/>
    <mergeCell ref="J40:K40"/>
    <mergeCell ref="L40:M40"/>
    <mergeCell ref="N40:O40"/>
    <mergeCell ref="P40:Q40"/>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R34:S34"/>
    <mergeCell ref="T34:U34"/>
    <mergeCell ref="F35:G35"/>
    <mergeCell ref="H35:I35"/>
    <mergeCell ref="J35:K35"/>
    <mergeCell ref="L35:M35"/>
    <mergeCell ref="N35:O35"/>
    <mergeCell ref="P35:Q35"/>
    <mergeCell ref="R35:S35"/>
    <mergeCell ref="T35:U35"/>
    <mergeCell ref="F34:G34"/>
    <mergeCell ref="H34:I34"/>
    <mergeCell ref="J34:K34"/>
    <mergeCell ref="L34:M34"/>
    <mergeCell ref="N34:O34"/>
    <mergeCell ref="P34:Q34"/>
    <mergeCell ref="N30:O30"/>
    <mergeCell ref="P30:Q30"/>
    <mergeCell ref="R32:S32"/>
    <mergeCell ref="T32:U32"/>
    <mergeCell ref="F33:G33"/>
    <mergeCell ref="H33:I33"/>
    <mergeCell ref="J33:K33"/>
    <mergeCell ref="L33:M33"/>
    <mergeCell ref="N33:O33"/>
    <mergeCell ref="P33:Q33"/>
    <mergeCell ref="R33:S33"/>
    <mergeCell ref="T33:U33"/>
    <mergeCell ref="F32:G32"/>
    <mergeCell ref="H32:I32"/>
    <mergeCell ref="J32:K32"/>
    <mergeCell ref="L32:M32"/>
    <mergeCell ref="N32:O32"/>
    <mergeCell ref="P32:Q32"/>
    <mergeCell ref="A27:E27"/>
    <mergeCell ref="F27:U27"/>
    <mergeCell ref="V27:AK31"/>
    <mergeCell ref="F28:I29"/>
    <mergeCell ref="J28:M28"/>
    <mergeCell ref="N28:O29"/>
    <mergeCell ref="P28:U29"/>
    <mergeCell ref="J29:K29"/>
    <mergeCell ref="L29:M29"/>
    <mergeCell ref="A30:E30"/>
    <mergeCell ref="R30:S30"/>
    <mergeCell ref="T30:U30"/>
    <mergeCell ref="F31:G31"/>
    <mergeCell ref="H31:I31"/>
    <mergeCell ref="J31:K31"/>
    <mergeCell ref="L31:M31"/>
    <mergeCell ref="N31:O31"/>
    <mergeCell ref="P31:Q31"/>
    <mergeCell ref="R31:S31"/>
    <mergeCell ref="T31:U31"/>
    <mergeCell ref="F30:G30"/>
    <mergeCell ref="H30:I30"/>
    <mergeCell ref="J30:K30"/>
    <mergeCell ref="L30:M30"/>
    <mergeCell ref="T26:W26"/>
    <mergeCell ref="X26:Z26"/>
    <mergeCell ref="AA26:AB26"/>
    <mergeCell ref="AC26:AD26"/>
    <mergeCell ref="AE26:AG26"/>
    <mergeCell ref="AH26:AI26"/>
    <mergeCell ref="T25:W25"/>
    <mergeCell ref="X25:Z25"/>
    <mergeCell ref="AA25:AB25"/>
    <mergeCell ref="AC25:AD25"/>
    <mergeCell ref="AE25:AG25"/>
    <mergeCell ref="AH25:AI25"/>
    <mergeCell ref="H23:J23"/>
    <mergeCell ref="K23:M23"/>
    <mergeCell ref="N23:P23"/>
    <mergeCell ref="Q23:S23"/>
    <mergeCell ref="T23:V23"/>
    <mergeCell ref="W23:Y23"/>
    <mergeCell ref="Z23:AB23"/>
    <mergeCell ref="AC23:AE23"/>
    <mergeCell ref="H22:J22"/>
    <mergeCell ref="K22:M22"/>
    <mergeCell ref="N22:P22"/>
    <mergeCell ref="Q22:S22"/>
    <mergeCell ref="T22:V22"/>
    <mergeCell ref="W22:Y22"/>
    <mergeCell ref="H21:J21"/>
    <mergeCell ref="K21:M21"/>
    <mergeCell ref="N21:P21"/>
    <mergeCell ref="Q21:S21"/>
    <mergeCell ref="T21:V21"/>
    <mergeCell ref="W21:Y21"/>
    <mergeCell ref="Z21:AB21"/>
    <mergeCell ref="AC21:AE21"/>
    <mergeCell ref="Z22:AB22"/>
    <mergeCell ref="AC22:AE22"/>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BC11:BD11"/>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T6:AT7"/>
    <mergeCell ref="A7:G7"/>
    <mergeCell ref="Y7:AB7"/>
  </mergeCells>
  <conditionalFormatting sqref="F53:AK53">
    <cfRule type="expression" dxfId="172" priority="6" stopIfTrue="1">
      <formula>F53=0</formula>
    </cfRule>
  </conditionalFormatting>
  <conditionalFormatting sqref="H31:U31 H32:AE32 H33:W36 Z33:AE36 H37:AE52">
    <cfRule type="expression" dxfId="171" priority="3">
      <formula>(H31&lt;&gt;0)</formula>
    </cfRule>
    <cfRule type="expression" dxfId="170" priority="4">
      <formula>(H31=0)</formula>
    </cfRule>
  </conditionalFormatting>
  <conditionalFormatting sqref="R55:S62">
    <cfRule type="expression" dxfId="169" priority="2" stopIfTrue="1">
      <formula>R55=0</formula>
    </cfRule>
  </conditionalFormatting>
  <conditionalFormatting sqref="AC56:AD56 AC58:AD62">
    <cfRule type="expression" dxfId="168" priority="11" stopIfTrue="1">
      <formula>AC56=0</formula>
    </cfRule>
  </conditionalFormatting>
  <conditionalFormatting sqref="AF32:AK52">
    <cfRule type="expression" dxfId="167" priority="5" stopIfTrue="1">
      <formula>AF32=0</formula>
    </cfRule>
  </conditionalFormatting>
  <pageMargins left="0.74803149606299213" right="0.19685039370078741" top="0.39370078740157483" bottom="0.39370078740157483" header="0.19685039370078741" footer="0.19685039370078741"/>
  <pageSetup paperSize="9" scale="65"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53564-A86A-4D56-87F6-EE81F8662D39}">
  <sheetPr>
    <tabColor rgb="FFFFC000"/>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14" width="3.7109375" style="404"/>
    <col min="15" max="15" width="6.7109375" style="404" customWidth="1"/>
    <col min="16" max="18" width="3.7109375" style="404"/>
    <col min="19" max="19" width="5.42578125" style="404" bestFit="1" customWidth="1"/>
    <col min="20" max="23" width="3.7109375" style="404"/>
    <col min="24" max="24" width="4" style="404" bestFit="1"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'ESD CR'!$AC$5</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
        <v>97</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827</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5.737756714060031E-17</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588</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'Diesel F'!G20</f>
        <v>44.890193469756099</v>
      </c>
      <c r="R16" s="1144"/>
      <c r="S16" s="1145"/>
      <c r="T16" s="1073">
        <f>'Diesel F'!H5</f>
        <v>55161.599999999999</v>
      </c>
      <c r="U16" s="1109"/>
      <c r="V16" s="1074"/>
      <c r="W16" s="1076" t="s">
        <v>604</v>
      </c>
      <c r="X16" s="1075"/>
      <c r="Y16" s="1077"/>
      <c r="Z16" s="1073">
        <f>'Diesel F'!H6</f>
        <v>14652.3</v>
      </c>
      <c r="AA16" s="1109"/>
      <c r="AB16" s="1074"/>
      <c r="AC16" s="1076" t="s">
        <v>604</v>
      </c>
      <c r="AD16" s="1075"/>
      <c r="AE16" s="1077"/>
      <c r="AF16" s="1146">
        <f>'Diesel F'!H8</f>
        <v>1723.8</v>
      </c>
      <c r="AG16" s="1147"/>
      <c r="AH16" s="1148"/>
      <c r="AI16" s="1076" t="s">
        <v>604</v>
      </c>
      <c r="AJ16" s="1075"/>
      <c r="AK16" s="1077"/>
      <c r="AL16" s="303"/>
      <c r="AM16" s="303" t="s">
        <v>605</v>
      </c>
      <c r="AN16" s="303"/>
      <c r="AO16" s="303"/>
      <c r="AP16" s="351">
        <v>1020</v>
      </c>
      <c r="AQ16" s="352">
        <f>AP16/$AR$9/$AR$7 * ((AN18+273.15)/(AN19+273.15))</f>
        <v>37.956295834166582</v>
      </c>
      <c r="AR16" s="353">
        <f>AX4</f>
        <v>0.13333333333333333</v>
      </c>
      <c r="AS16" s="354">
        <f>AR16*$AR$6/1055.06</f>
        <v>5.7374304146999541E-5</v>
      </c>
      <c r="AT16" s="355">
        <f>AS16*$Q$16*1000000</f>
        <v>2575.543613351439</v>
      </c>
      <c r="AU16" s="356">
        <f>AX5</f>
        <v>3.3333333333333333E-2</v>
      </c>
      <c r="AV16" s="354">
        <f>AU16*$AR$6/1055.06</f>
        <v>1.4343576036749885E-5</v>
      </c>
      <c r="AW16" s="355">
        <f>AV16*$Q$16*1000000</f>
        <v>643.88590333785976</v>
      </c>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1">
        <v>305.24099999999999</v>
      </c>
      <c r="I17" s="1132"/>
      <c r="J17" s="1133"/>
      <c r="K17" s="1134">
        <v>832.5</v>
      </c>
      <c r="L17" s="1135"/>
      <c r="M17" s="1136"/>
      <c r="N17" s="1137">
        <v>42.588000000000001</v>
      </c>
      <c r="O17" s="1138"/>
      <c r="P17" s="1139"/>
      <c r="Q17" s="1137">
        <v>45.612000000000002</v>
      </c>
      <c r="R17" s="1138"/>
      <c r="S17" s="1139"/>
      <c r="T17" s="1066">
        <f>$Q$17/$Q$16*T16</f>
        <v>56048.564390686515</v>
      </c>
      <c r="U17" s="1110"/>
      <c r="V17" s="1067"/>
      <c r="W17" s="1114">
        <f>T17/1000000/K17</f>
        <v>6.7325602871695514E-5</v>
      </c>
      <c r="X17" s="1115"/>
      <c r="Y17" s="1116"/>
      <c r="Z17" s="1066">
        <f>$Q$17/$Q$16*Z16</f>
        <v>14887.899916276105</v>
      </c>
      <c r="AA17" s="1110"/>
      <c r="AB17" s="1067"/>
      <c r="AC17" s="1114">
        <f>Z17/1000000/K17</f>
        <v>1.7883363262794121E-5</v>
      </c>
      <c r="AD17" s="1115"/>
      <c r="AE17" s="1116"/>
      <c r="AF17" s="1066">
        <f>$Q$17/$Q$16*AF16</f>
        <v>1751.5176372089536</v>
      </c>
      <c r="AG17" s="1110"/>
      <c r="AH17" s="1067"/>
      <c r="AI17" s="1060">
        <f>AF17/1000000/K17</f>
        <v>2.1039250897404848E-6</v>
      </c>
      <c r="AJ17" s="1059"/>
      <c r="AK17" s="1063"/>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123"/>
      <c r="O18" s="1069"/>
      <c r="P18" s="1124"/>
      <c r="Q18" s="1125"/>
      <c r="R18" s="1126"/>
      <c r="S18" s="112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125</v>
      </c>
      <c r="AA19" s="1118"/>
      <c r="AB19" s="1119"/>
      <c r="AC19" s="1117" t="s">
        <v>125</v>
      </c>
      <c r="AD19" s="1118"/>
      <c r="AE19" s="1119"/>
      <c r="AF19" s="358" t="s">
        <v>610</v>
      </c>
      <c r="AG19" s="31"/>
      <c r="AH19" s="31"/>
      <c r="AI19" s="31"/>
      <c r="AJ19" s="31"/>
      <c r="AK19" s="226"/>
      <c r="AL19" s="303"/>
      <c r="AM19" s="24" t="s">
        <v>699</v>
      </c>
      <c r="AN19" s="24">
        <v>15.6</v>
      </c>
      <c r="AO19" s="23" t="s">
        <v>609</v>
      </c>
      <c r="AP19" s="303"/>
      <c r="AQ19" s="303"/>
      <c r="AR19" s="356">
        <f>AX6</f>
        <v>4.6666666666666669E-2</v>
      </c>
      <c r="AS19" s="354">
        <f>AR19*$AR$6/1055.06</f>
        <v>2.0081006451449841E-5</v>
      </c>
      <c r="AT19" s="355">
        <f>AS19*$Q$16*1000000</f>
        <v>901.44026467300375</v>
      </c>
      <c r="AU19" s="351">
        <v>0.37446000000000002</v>
      </c>
      <c r="AV19" s="354">
        <f>AU19*$AR$6/1055.06</f>
        <v>1.6113286448164087E-4</v>
      </c>
      <c r="AW19" s="355">
        <f>AV19*$Q$16*1000000</f>
        <v>7233.2854609168498</v>
      </c>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c r="I21" s="1109"/>
      <c r="J21" s="1074"/>
      <c r="K21" s="1076" t="s">
        <v>604</v>
      </c>
      <c r="L21" s="1075"/>
      <c r="M21" s="1077"/>
      <c r="N21" s="1073">
        <f>'Diesel F'!H7</f>
        <v>17410.38</v>
      </c>
      <c r="O21" s="1109"/>
      <c r="P21" s="1074"/>
      <c r="Q21" s="1076" t="s">
        <v>604</v>
      </c>
      <c r="R21" s="1075"/>
      <c r="S21" s="1077"/>
      <c r="T21" s="1073"/>
      <c r="U21" s="1109"/>
      <c r="V21" s="1074"/>
      <c r="W21" s="1214" t="s">
        <v>604</v>
      </c>
      <c r="X21" s="1215"/>
      <c r="Y21" s="1216"/>
      <c r="Z21" s="1073"/>
      <c r="AA21" s="1109"/>
      <c r="AB21" s="1074"/>
      <c r="AC21" s="1076" t="s">
        <v>604</v>
      </c>
      <c r="AD21" s="1075"/>
      <c r="AE21" s="1077"/>
      <c r="AF21" s="300"/>
      <c r="AG21" s="31"/>
      <c r="AH21" s="302"/>
      <c r="AI21" s="31"/>
      <c r="AJ21" s="31"/>
      <c r="AK21" s="32"/>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6"/>
      <c r="I22" s="1110"/>
      <c r="J22" s="1067"/>
      <c r="K22" s="1114"/>
      <c r="L22" s="1115"/>
      <c r="M22" s="1116"/>
      <c r="N22" s="1066">
        <f>$Q$17/$Q$16*N21</f>
        <v>17690.328135810432</v>
      </c>
      <c r="O22" s="1110"/>
      <c r="P22" s="1067"/>
      <c r="Q22" s="1114">
        <f>N22/1000000/K17</f>
        <v>2.1249643406378895E-5</v>
      </c>
      <c r="R22" s="1115"/>
      <c r="S22" s="1116"/>
      <c r="T22" s="1099"/>
      <c r="U22" s="1048"/>
      <c r="V22" s="1058"/>
      <c r="W22" s="1211"/>
      <c r="X22" s="1212"/>
      <c r="Y22" s="1213"/>
      <c r="Z22" s="1066"/>
      <c r="AA22" s="1110"/>
      <c r="AB22" s="1067"/>
      <c r="AC22" s="1114"/>
      <c r="AD22" s="1115"/>
      <c r="AE22" s="1116"/>
      <c r="AF22" s="31"/>
      <c r="AG22" s="31"/>
      <c r="AH22" s="31"/>
      <c r="AI22" s="31"/>
      <c r="AJ22" s="31"/>
      <c r="AK22" s="32"/>
      <c r="AL22" s="303"/>
      <c r="AM22" s="303"/>
      <c r="AN22" s="303"/>
      <c r="AO22" s="303"/>
      <c r="AP22" s="303"/>
      <c r="AQ22" s="303"/>
      <c r="AR22" s="356">
        <f>AX8</f>
        <v>6.9333333333333339E-3</v>
      </c>
      <c r="AS22" s="354">
        <f>AR22*$AR$6/1055.06</f>
        <v>2.9834638156439767E-6</v>
      </c>
      <c r="AT22" s="355">
        <f>AS22*$Q$16*1000000</f>
        <v>133.92826789427485</v>
      </c>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045"/>
      <c r="I23" s="1033"/>
      <c r="J23" s="1046"/>
      <c r="K23" s="1089"/>
      <c r="L23" s="1090"/>
      <c r="M23" s="1091"/>
      <c r="N23" s="1045"/>
      <c r="O23" s="1033"/>
      <c r="P23" s="1046"/>
      <c r="Q23" s="1096"/>
      <c r="R23" s="1097"/>
      <c r="S23" s="1098"/>
      <c r="T23" s="1099"/>
      <c r="U23" s="1048"/>
      <c r="V23" s="1058"/>
      <c r="W23" s="1096"/>
      <c r="X23" s="1097"/>
      <c r="Y23" s="1098"/>
      <c r="Z23" s="1086"/>
      <c r="AA23" s="1087"/>
      <c r="AB23" s="1088"/>
      <c r="AC23" s="1089"/>
      <c r="AD23" s="1090"/>
      <c r="AE23" s="1091"/>
      <c r="AF23" s="31"/>
      <c r="AG23" s="31"/>
      <c r="AH23" s="31"/>
      <c r="AI23" s="31"/>
      <c r="AJ23" s="31"/>
      <c r="AK23" s="32"/>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v>0.8</v>
      </c>
      <c r="I25" s="31" t="s">
        <v>590</v>
      </c>
      <c r="J25" s="31"/>
      <c r="K25" s="31"/>
      <c r="L25" s="31" t="s">
        <v>615</v>
      </c>
      <c r="M25" s="31"/>
      <c r="N25" s="31"/>
      <c r="O25" s="31"/>
      <c r="P25" s="31"/>
      <c r="Q25" s="31"/>
      <c r="R25" s="31"/>
      <c r="S25" s="32" t="s">
        <v>616</v>
      </c>
      <c r="T25" s="1092" t="str">
        <f>A17</f>
        <v>Diesel</v>
      </c>
      <c r="U25" s="1093"/>
      <c r="V25" s="1093"/>
      <c r="W25" s="1093"/>
      <c r="X25" s="1094">
        <v>50</v>
      </c>
      <c r="Y25" s="1094"/>
      <c r="Z25" s="1094"/>
      <c r="AA25" s="1093" t="s">
        <v>617</v>
      </c>
      <c r="AB25" s="1093"/>
      <c r="AC25" s="1095">
        <f>X25/H17</f>
        <v>0.16380499343141977</v>
      </c>
      <c r="AD25" s="1095"/>
      <c r="AE25" s="1093" t="s">
        <v>618</v>
      </c>
      <c r="AF25" s="1093"/>
      <c r="AG25" s="1093"/>
      <c r="AH25" s="1198">
        <f>X25*N17/3600</f>
        <v>0.59150000000000003</v>
      </c>
      <c r="AI25" s="1198"/>
      <c r="AJ25" s="361" t="s">
        <v>590</v>
      </c>
      <c r="AK25" s="362"/>
      <c r="AL25" s="303"/>
      <c r="AM25" s="363">
        <f>X25*W22</f>
        <v>0</v>
      </c>
      <c r="AN25" s="303"/>
      <c r="AO25" s="303"/>
      <c r="AP25" s="303"/>
      <c r="AQ25" s="303"/>
      <c r="AR25" s="351">
        <f>AX7</f>
        <v>0.01</v>
      </c>
      <c r="AS25" s="354">
        <f>AR25*$AR$6/1055.06</f>
        <v>4.3030728110249664E-6</v>
      </c>
      <c r="AT25" s="355">
        <f>AS25*$Q$16*1000000</f>
        <v>193.16577100135797</v>
      </c>
      <c r="AU25" s="356">
        <f>AX9</f>
        <v>3.5333333333333336E-3</v>
      </c>
      <c r="AV25" s="354">
        <f>AU25*$AR$6/1055.06</f>
        <v>1.5204190598954882E-6</v>
      </c>
      <c r="AW25" s="355">
        <f>AV25*$Q$16*1000000</f>
        <v>68.251905753813148</v>
      </c>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0</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c r="B27" s="1081"/>
      <c r="C27" s="1081"/>
      <c r="D27" s="1081"/>
      <c r="E27" s="1081"/>
      <c r="F27" s="1042" t="str">
        <f>A17</f>
        <v>Diesel</v>
      </c>
      <c r="G27" s="1043"/>
      <c r="H27" s="1043"/>
      <c r="I27" s="1043"/>
      <c r="J27" s="1043"/>
      <c r="K27" s="1043"/>
      <c r="L27" s="1043"/>
      <c r="M27" s="1043"/>
      <c r="N27" s="1043"/>
      <c r="O27" s="1043"/>
      <c r="P27" s="1043"/>
      <c r="Q27" s="1043"/>
      <c r="R27" s="1043"/>
      <c r="S27" s="1043"/>
      <c r="T27" s="1043"/>
      <c r="U27" s="1080"/>
      <c r="V27" s="31"/>
      <c r="W27" s="31"/>
      <c r="X27" s="270">
        <f>AH25</f>
        <v>0.59150000000000003</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1">
        <f>24*7</f>
        <v>168</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1">
        <f>X27*X28</f>
        <v>99.372</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1">
        <f>X29*3600/1000</f>
        <v>357.73920000000004</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196">
        <v>0</v>
      </c>
      <c r="G31" s="1197"/>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BF33</f>
        <v>3.7672634101823899E-6</v>
      </c>
      <c r="G32" s="1195"/>
      <c r="H32" s="1051">
        <f>F32*$AC$25</f>
        <v>6.1709655815935442E-7</v>
      </c>
      <c r="I32" s="1052"/>
      <c r="J32" s="1059"/>
      <c r="K32" s="1059"/>
      <c r="L32" s="1060"/>
      <c r="M32" s="1059"/>
      <c r="N32" s="1054">
        <f t="shared" si="2"/>
        <v>9.8994629859923649E-6</v>
      </c>
      <c r="O32" s="1055"/>
      <c r="P32" s="1061">
        <f>R32/$R$53</f>
        <v>0</v>
      </c>
      <c r="Q32" s="1062"/>
      <c r="R32" s="1060">
        <f>T32/$AR32</f>
        <v>0</v>
      </c>
      <c r="S32" s="1059"/>
      <c r="T32" s="1064">
        <f>$K$22*$X$25</f>
        <v>0</v>
      </c>
      <c r="U32" s="1065"/>
      <c r="V32" s="31"/>
      <c r="W32" s="31"/>
      <c r="X32" s="272"/>
      <c r="Y32" s="272"/>
      <c r="Z32" s="31"/>
      <c r="AA32" s="31"/>
      <c r="AB32" s="31"/>
      <c r="AC32" s="31"/>
      <c r="AD32" s="272"/>
      <c r="AE32" s="272"/>
      <c r="AF32" s="382"/>
      <c r="AG32" s="382"/>
      <c r="AH32" s="31"/>
      <c r="AI32" s="31"/>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31"/>
      <c r="W33" s="31"/>
      <c r="X33" s="1183" t="s">
        <v>131</v>
      </c>
      <c r="Y33" s="1188"/>
      <c r="Z33" s="1188"/>
      <c r="AA33" s="1188"/>
      <c r="AB33" s="1188"/>
      <c r="AC33" s="1188"/>
      <c r="AD33" s="1188"/>
      <c r="AE33" s="1188"/>
      <c r="AF33" s="1188"/>
      <c r="AG33" s="1188"/>
      <c r="AH33" s="1188"/>
      <c r="AI33" s="1188"/>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BF34</f>
        <v>2.32021919756754E-4</v>
      </c>
      <c r="G34" s="1050"/>
      <c r="H34" s="1051">
        <f t="shared" si="1"/>
        <v>3.8006349041700492E-5</v>
      </c>
      <c r="I34" s="1052"/>
      <c r="J34" s="1059"/>
      <c r="K34" s="1059"/>
      <c r="L34" s="1060"/>
      <c r="M34" s="1059"/>
      <c r="N34" s="1054">
        <f t="shared" si="2"/>
        <v>1.1427749029858504E-3</v>
      </c>
      <c r="O34" s="1055"/>
      <c r="P34" s="1061">
        <f t="shared" si="10"/>
        <v>0</v>
      </c>
      <c r="Q34" s="1062"/>
      <c r="R34" s="1059">
        <f>T34/$AR34</f>
        <v>0</v>
      </c>
      <c r="S34" s="1059"/>
      <c r="T34" s="1061">
        <f t="shared" si="11"/>
        <v>0</v>
      </c>
      <c r="U34" s="1062"/>
      <c r="V34" s="31"/>
      <c r="W34" s="31"/>
      <c r="X34" s="1188"/>
      <c r="Y34" s="1188"/>
      <c r="Z34" s="1188"/>
      <c r="AA34" s="1188"/>
      <c r="AB34" s="1188"/>
      <c r="AC34" s="1188"/>
      <c r="AD34" s="1188"/>
      <c r="AE34" s="1188"/>
      <c r="AF34" s="1188"/>
      <c r="AG34" s="1188"/>
      <c r="AH34" s="1188"/>
      <c r="AI34" s="1188"/>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31"/>
      <c r="W35" s="31"/>
      <c r="X35" s="1188"/>
      <c r="Y35" s="1188"/>
      <c r="Z35" s="1188"/>
      <c r="AA35" s="1188"/>
      <c r="AB35" s="1188"/>
      <c r="AC35" s="1188"/>
      <c r="AD35" s="1188"/>
      <c r="AE35" s="1188"/>
      <c r="AF35" s="1188"/>
      <c r="AG35" s="1188"/>
      <c r="AH35" s="1188"/>
      <c r="AI35" s="1188"/>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BF35</f>
        <v>4.1140406723645098E-3</v>
      </c>
      <c r="G36" s="1050"/>
      <c r="H36" s="1051">
        <f t="shared" si="1"/>
        <v>6.7390040531326229E-4</v>
      </c>
      <c r="I36" s="1052"/>
      <c r="J36" s="1059"/>
      <c r="K36" s="1059"/>
      <c r="L36" s="1060"/>
      <c r="M36" s="1059"/>
      <c r="N36" s="1054">
        <f t="shared" si="2"/>
        <v>2.9714964471882988E-2</v>
      </c>
      <c r="O36" s="1055"/>
      <c r="P36" s="1061">
        <f t="shared" si="10"/>
        <v>0</v>
      </c>
      <c r="Q36" s="1062"/>
      <c r="R36" s="1059">
        <f t="shared" si="12"/>
        <v>0</v>
      </c>
      <c r="S36" s="1059"/>
      <c r="T36" s="1061">
        <f t="shared" si="11"/>
        <v>0</v>
      </c>
      <c r="U36" s="1062"/>
      <c r="V36" s="31"/>
      <c r="W36" s="31"/>
      <c r="X36" s="1188"/>
      <c r="Y36" s="1188"/>
      <c r="Z36" s="1188"/>
      <c r="AA36" s="1188"/>
      <c r="AB36" s="1188"/>
      <c r="AC36" s="1188"/>
      <c r="AD36" s="1188"/>
      <c r="AE36" s="1188"/>
      <c r="AF36" s="1188"/>
      <c r="AG36" s="1188"/>
      <c r="AH36" s="1188"/>
      <c r="AI36" s="1188"/>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31"/>
      <c r="W37" s="31"/>
      <c r="X37" s="1188"/>
      <c r="Y37" s="1188"/>
      <c r="Z37" s="1188"/>
      <c r="AA37" s="1188"/>
      <c r="AB37" s="1188"/>
      <c r="AC37" s="1188"/>
      <c r="AD37" s="1188"/>
      <c r="AE37" s="1188"/>
      <c r="AF37" s="1188"/>
      <c r="AG37" s="1188"/>
      <c r="AH37" s="1188"/>
      <c r="AI37" s="1188"/>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BF36</f>
        <v>4.2987554978870402E-3</v>
      </c>
      <c r="G38" s="1050"/>
      <c r="H38" s="1051">
        <f t="shared" si="1"/>
        <v>7.0415761609466624E-4</v>
      </c>
      <c r="I38" s="1052"/>
      <c r="J38" s="1059"/>
      <c r="K38" s="1059"/>
      <c r="L38" s="1060"/>
      <c r="M38" s="1059"/>
      <c r="N38" s="1054">
        <f t="shared" si="2"/>
        <v>4.0925640647421997E-2</v>
      </c>
      <c r="O38" s="1055"/>
      <c r="P38" s="1061">
        <f t="shared" si="10"/>
        <v>0</v>
      </c>
      <c r="Q38" s="1062"/>
      <c r="R38" s="1059">
        <f t="shared" si="12"/>
        <v>0</v>
      </c>
      <c r="S38" s="1059"/>
      <c r="T38" s="1061">
        <f t="shared" si="11"/>
        <v>0</v>
      </c>
      <c r="U38" s="1062"/>
      <c r="V38" s="31"/>
      <c r="W38" s="31"/>
      <c r="X38" s="272"/>
      <c r="Y38" s="272"/>
      <c r="Z38" s="31"/>
      <c r="AA38" s="31"/>
      <c r="AB38" s="31"/>
      <c r="AC38" s="31"/>
      <c r="AD38" s="272"/>
      <c r="AE38" s="272"/>
      <c r="AF38" s="382"/>
      <c r="AG38" s="382"/>
      <c r="AH38" s="31"/>
      <c r="AI38" s="31"/>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f>BF37</f>
        <v>1.33109664079022E-2</v>
      </c>
      <c r="G39" s="1050"/>
      <c r="H39" s="1051">
        <f t="shared" si="1"/>
        <v>2.1804027650122689E-3</v>
      </c>
      <c r="I39" s="1052"/>
      <c r="J39" s="1059"/>
      <c r="K39" s="1059"/>
      <c r="L39" s="1060"/>
      <c r="M39" s="1059"/>
      <c r="N39" s="1054">
        <f t="shared" si="2"/>
        <v>0.12672500870251308</v>
      </c>
      <c r="O39" s="1055"/>
      <c r="P39" s="1061">
        <f t="shared" si="10"/>
        <v>0</v>
      </c>
      <c r="Q39" s="1062"/>
      <c r="R39" s="1059">
        <f t="shared" si="12"/>
        <v>0</v>
      </c>
      <c r="S39" s="1059"/>
      <c r="T39" s="1061">
        <f t="shared" si="11"/>
        <v>0</v>
      </c>
      <c r="U39" s="1062"/>
      <c r="V39" s="31"/>
      <c r="W39" s="31"/>
      <c r="X39" s="272"/>
      <c r="Y39" s="272"/>
      <c r="Z39" s="31"/>
      <c r="AA39" s="31"/>
      <c r="AB39" s="31"/>
      <c r="AC39" s="31"/>
      <c r="AD39" s="272"/>
      <c r="AE39" s="272"/>
      <c r="AF39" s="382"/>
      <c r="AG39" s="382"/>
      <c r="AH39" s="31"/>
      <c r="AI39" s="31"/>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BF38</f>
        <v>1.4450640107125301E-2</v>
      </c>
      <c r="G40" s="1050"/>
      <c r="H40" s="1051">
        <f t="shared" si="1"/>
        <v>2.3670870078274708E-3</v>
      </c>
      <c r="I40" s="1052"/>
      <c r="J40" s="1059"/>
      <c r="K40" s="1059"/>
      <c r="L40" s="1060"/>
      <c r="M40" s="1059"/>
      <c r="N40" s="1054">
        <f t="shared" si="2"/>
        <v>0.1707758592667207</v>
      </c>
      <c r="O40" s="1055"/>
      <c r="P40" s="1061">
        <f t="shared" si="10"/>
        <v>0</v>
      </c>
      <c r="Q40" s="1062"/>
      <c r="R40" s="1059">
        <f t="shared" si="12"/>
        <v>0</v>
      </c>
      <c r="S40" s="1059"/>
      <c r="T40" s="1061">
        <f t="shared" si="11"/>
        <v>0</v>
      </c>
      <c r="U40" s="1062"/>
      <c r="V40" s="1032"/>
      <c r="W40" s="1032"/>
      <c r="X40" s="1033"/>
      <c r="Y40" s="1033"/>
      <c r="Z40" s="1032"/>
      <c r="AA40" s="1032"/>
      <c r="AB40" s="1032"/>
      <c r="AC40" s="1032"/>
      <c r="AD40" s="1033"/>
      <c r="AE40" s="1033"/>
      <c r="AF40" s="1047"/>
      <c r="AG40" s="1047"/>
      <c r="AH40" s="1032"/>
      <c r="AI40" s="1032"/>
      <c r="AJ40" s="1069"/>
      <c r="AK40" s="1124"/>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BF40</f>
        <v>1.8657920075756399E-2</v>
      </c>
      <c r="G41" s="1050"/>
      <c r="H41" s="1051">
        <f t="shared" si="1"/>
        <v>3.0562604754532322E-3</v>
      </c>
      <c r="I41" s="1052"/>
      <c r="J41" s="1059"/>
      <c r="K41" s="1059"/>
      <c r="L41" s="1060"/>
      <c r="M41" s="1059"/>
      <c r="N41" s="1054">
        <f t="shared" si="2"/>
        <v>0.2204969682620489</v>
      </c>
      <c r="O41" s="1055"/>
      <c r="P41" s="1061">
        <f t="shared" si="10"/>
        <v>0</v>
      </c>
      <c r="Q41" s="1062"/>
      <c r="R41" s="1059">
        <f t="shared" si="12"/>
        <v>0</v>
      </c>
      <c r="S41" s="1059"/>
      <c r="T41" s="1061">
        <f t="shared" si="11"/>
        <v>0</v>
      </c>
      <c r="U41" s="1062"/>
      <c r="V41" s="1032"/>
      <c r="W41" s="1032"/>
      <c r="X41" s="1033"/>
      <c r="Y41" s="1033"/>
      <c r="Z41" s="1032"/>
      <c r="AA41" s="1032"/>
      <c r="AB41" s="1032"/>
      <c r="AC41" s="1032"/>
      <c r="AD41" s="1033"/>
      <c r="AE41" s="1033"/>
      <c r="AF41" s="1047"/>
      <c r="AG41" s="1047"/>
      <c r="AH41" s="1032"/>
      <c r="AI41" s="1032"/>
      <c r="AJ41" s="1069"/>
      <c r="AK41" s="1124"/>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425</v>
      </c>
      <c r="B42" s="376"/>
      <c r="C42" s="376"/>
      <c r="D42" s="376"/>
      <c r="E42" s="377"/>
      <c r="F42" s="1049">
        <f>SUM(BF41:BF75)</f>
        <v>0.94337200608568694</v>
      </c>
      <c r="G42" s="1050"/>
      <c r="H42" s="1064">
        <f t="shared" si="1"/>
        <v>0.15452904526025124</v>
      </c>
      <c r="I42" s="1065"/>
      <c r="J42" s="1059"/>
      <c r="K42" s="1059"/>
      <c r="L42" s="1060"/>
      <c r="M42" s="1059"/>
      <c r="N42" s="1054">
        <f t="shared" si="2"/>
        <v>49.403692962024095</v>
      </c>
      <c r="O42" s="1055"/>
      <c r="P42" s="1061">
        <f t="shared" si="10"/>
        <v>0</v>
      </c>
      <c r="Q42" s="1062"/>
      <c r="R42" s="1059">
        <f t="shared" si="12"/>
        <v>0</v>
      </c>
      <c r="S42" s="1059"/>
      <c r="T42" s="1061">
        <f t="shared" si="11"/>
        <v>0</v>
      </c>
      <c r="U42" s="1062"/>
      <c r="V42" s="1032"/>
      <c r="W42" s="1032"/>
      <c r="X42" s="1033"/>
      <c r="Y42" s="1033"/>
      <c r="Z42" s="1032"/>
      <c r="AA42" s="1032"/>
      <c r="AB42" s="1032"/>
      <c r="AC42" s="1032"/>
      <c r="AD42" s="1033"/>
      <c r="AE42" s="1033"/>
      <c r="AF42" s="1047"/>
      <c r="AG42" s="1047"/>
      <c r="AH42" s="1032"/>
      <c r="AI42" s="1032"/>
      <c r="AJ42" s="1048"/>
      <c r="AK42" s="105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5.3930290161319299</v>
      </c>
      <c r="K45" s="1070"/>
      <c r="L45" s="1060">
        <f>0.15*J45</f>
        <v>0.80895435241978941</v>
      </c>
      <c r="M45" s="1059"/>
      <c r="N45" s="1066">
        <f t="shared" si="2"/>
        <v>198.46346779365501</v>
      </c>
      <c r="O45" s="1067"/>
      <c r="P45" s="1061">
        <f t="shared" si="10"/>
        <v>2.66778751905953E-2</v>
      </c>
      <c r="Q45" s="1062"/>
      <c r="R45" s="1059">
        <f>L45+SUMPRODUCT(R32:R44,$AS32:$AS44)</f>
        <v>0.80895435241978941</v>
      </c>
      <c r="S45" s="1059"/>
      <c r="T45" s="1071">
        <f>R45*$AR45</f>
        <v>25.886539277433261</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BF31</f>
        <v>1.4415226502516399E-10</v>
      </c>
      <c r="G46" s="1195"/>
      <c r="H46" s="1061">
        <f t="shared" si="1"/>
        <v>2.3612860825571271E-11</v>
      </c>
      <c r="I46" s="1062"/>
      <c r="J46" s="1059">
        <f>0.79/0.21*J45</f>
        <v>20.288061536877262</v>
      </c>
      <c r="K46" s="1063"/>
      <c r="L46" s="1060">
        <f>0.71/0.29*L45</f>
        <v>1.9805434145450018</v>
      </c>
      <c r="M46" s="1059"/>
      <c r="N46" s="1066">
        <f>SUM(H46,J46,L46)*AR46</f>
        <v>623.52093864048447</v>
      </c>
      <c r="O46" s="1067"/>
      <c r="P46" s="1064">
        <f t="shared" si="10"/>
        <v>0.73437655598158191</v>
      </c>
      <c r="Q46" s="1065"/>
      <c r="R46" s="1064">
        <f>$H46+J46+L46-R49</f>
        <v>22.268531771442753</v>
      </c>
      <c r="S46" s="1065"/>
      <c r="T46" s="1066">
        <f>R46*$AR46</f>
        <v>623.51888960039707</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1.0527695483520148E-6</v>
      </c>
      <c r="Q47" s="1062"/>
      <c r="R47" s="1059">
        <f>T47/$AR$47</f>
        <v>3.1923176120660698E-5</v>
      </c>
      <c r="S47" s="1059"/>
      <c r="T47" s="1064">
        <f>$AC17*$X25</f>
        <v>8.9416816313970604E-4</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BF32</f>
        <v>1.04835044112351E-6</v>
      </c>
      <c r="G48" s="1195"/>
      <c r="H48" s="1061">
        <f t="shared" si="1"/>
        <v>1.7172503712206257E-7</v>
      </c>
      <c r="I48" s="1062"/>
      <c r="J48" s="1059"/>
      <c r="K48" s="1059"/>
      <c r="L48" s="1060"/>
      <c r="M48" s="1059"/>
      <c r="N48" s="1061">
        <f t="shared" si="2"/>
        <v>7.5576188837419732E-6</v>
      </c>
      <c r="O48" s="1062"/>
      <c r="P48" s="1064">
        <f t="shared" si="10"/>
        <v>0.11676943015700561</v>
      </c>
      <c r="Q48" s="1065"/>
      <c r="R48" s="1068">
        <f>SUMPRODUCT($H31:$H52,$AU31:$AU52)+$H48-R47-SUMPRODUCT(R32:R42,$AU32:$AU42)</f>
        <v>3.5408044336450195</v>
      </c>
      <c r="S48" s="1059"/>
      <c r="T48" s="1066">
        <f>R48*$AR48</f>
        <v>155.83080312471731</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2.4133462955981528E-6</v>
      </c>
      <c r="Q49" s="1062"/>
      <c r="R49" s="1060">
        <f>T49/$AR49</f>
        <v>7.3180003121408162E-5</v>
      </c>
      <c r="S49" s="1063"/>
      <c r="T49" s="1064">
        <f>$W17*$X25</f>
        <v>3.3662801435847757E-3</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5.4748080514399495E-7</v>
      </c>
      <c r="Q51" s="1062"/>
      <c r="R51" s="1066">
        <f>T51/$AR51</f>
        <v>1.6601283911233511E-5</v>
      </c>
      <c r="S51" s="1067"/>
      <c r="T51" s="1060">
        <f>Q22*X25</f>
        <v>1.0624821703189447E-3</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193">
        <f>BF76</f>
        <v>1.4951987737782399E-3</v>
      </c>
      <c r="G52" s="1194"/>
      <c r="H52" s="1051">
        <f t="shared" si="1"/>
        <v>2.4492102531741147E-4</v>
      </c>
      <c r="I52" s="1052"/>
      <c r="J52" s="1032"/>
      <c r="K52" s="1032"/>
      <c r="L52" s="1053"/>
      <c r="M52" s="1032"/>
      <c r="N52" s="1054">
        <f t="shared" si="2"/>
        <v>4.4124971921184848E-3</v>
      </c>
      <c r="O52" s="1055"/>
      <c r="P52" s="1056">
        <f t="shared" si="10"/>
        <v>0.12217212507416828</v>
      </c>
      <c r="Q52" s="1057"/>
      <c r="R52" s="1044">
        <f>SUMPRODUCT(H31:H52,$AV31:$AV52)+H52-SUMPRODUCT(R32:R42,$AV32:$AV42)</f>
        <v>3.7046305830969724</v>
      </c>
      <c r="S52" s="1044"/>
      <c r="T52" s="1045">
        <f>R52*$AR52</f>
        <v>66.742624585075049</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0.99993636529826091</v>
      </c>
      <c r="G53" s="1038"/>
      <c r="H53" s="1039">
        <f>SUM(H31:H52)</f>
        <v>0.16379456974951942</v>
      </c>
      <c r="I53" s="1040"/>
      <c r="J53" s="1041">
        <f>SUM(J31:J52)</f>
        <v>25.681090553009192</v>
      </c>
      <c r="K53" s="1041"/>
      <c r="L53" s="1042">
        <f>SUM(L31:L52)</f>
        <v>2.7894977669647911</v>
      </c>
      <c r="M53" s="1043"/>
      <c r="N53" s="1030">
        <f>SUM(N31:N52)</f>
        <v>871.98231056669113</v>
      </c>
      <c r="O53" s="1031"/>
      <c r="P53" s="1028">
        <f>SUM(P31:P52)</f>
        <v>1</v>
      </c>
      <c r="Q53" s="1029"/>
      <c r="R53" s="1030">
        <f>SUM(R31:R52)</f>
        <v>30.323042845067683</v>
      </c>
      <c r="S53" s="1031"/>
      <c r="T53" s="1030">
        <f>SUM(T31:T52)</f>
        <v>871.98417951809984</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9.3507781766243774E-4</v>
      </c>
      <c r="M55" s="1186"/>
      <c r="N55" s="1192">
        <f>W17*$X$25</f>
        <v>3.3662801435847757E-3</v>
      </c>
      <c r="O55" s="1192"/>
      <c r="P55" s="31" t="s">
        <v>617</v>
      </c>
      <c r="Q55" s="31"/>
      <c r="R55" s="1024">
        <f>N55*7*24/1000</f>
        <v>5.6553506412224228E-4</v>
      </c>
      <c r="S55" s="1024"/>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185">
        <f t="shared" ref="L56:L61" si="13">N56*1000/3600</f>
        <v>2.4838004531658499E-4</v>
      </c>
      <c r="M56" s="1186"/>
      <c r="N56" s="1192">
        <f>AC17*$X$25</f>
        <v>8.9416816313970604E-4</v>
      </c>
      <c r="O56" s="1192"/>
      <c r="P56" s="31" t="s">
        <v>617</v>
      </c>
      <c r="Q56" s="31"/>
      <c r="R56" s="1024">
        <f t="shared" ref="R56:R61" si="14">N56*7*24/1000</f>
        <v>1.5022025140747064E-4</v>
      </c>
      <c r="S56" s="1024"/>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185">
        <f t="shared" si="13"/>
        <v>2.9221181801951179E-5</v>
      </c>
      <c r="M57" s="1186"/>
      <c r="N57" s="1192">
        <f>AI17*$X$25</f>
        <v>1.0519625448702424E-4</v>
      </c>
      <c r="O57" s="1192"/>
      <c r="P57" s="31" t="s">
        <v>617</v>
      </c>
      <c r="Q57" s="31"/>
      <c r="R57" s="1024">
        <f t="shared" si="14"/>
        <v>1.7672970753820071E-5</v>
      </c>
      <c r="S57" s="1024"/>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185">
        <f t="shared" si="13"/>
        <v>0</v>
      </c>
      <c r="M58" s="1186"/>
      <c r="N58" s="1191">
        <f>K22*$X$25</f>
        <v>0</v>
      </c>
      <c r="O58" s="1191"/>
      <c r="P58" s="31" t="s">
        <v>617</v>
      </c>
      <c r="Q58" s="31"/>
      <c r="R58" s="1024">
        <f t="shared" si="14"/>
        <v>0</v>
      </c>
      <c r="S58" s="1024"/>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185">
        <f t="shared" si="13"/>
        <v>0</v>
      </c>
      <c r="M59" s="1186"/>
      <c r="N59" s="1192">
        <f>X25*W22</f>
        <v>0</v>
      </c>
      <c r="O59" s="1192"/>
      <c r="P59" s="31" t="s">
        <v>617</v>
      </c>
      <c r="Q59" s="31"/>
      <c r="R59" s="1024">
        <f t="shared" si="14"/>
        <v>0</v>
      </c>
      <c r="S59" s="1024"/>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2.9513393619970684E-4</v>
      </c>
      <c r="M60" s="1186"/>
      <c r="N60" s="1191">
        <f>Q22*$X$25</f>
        <v>1.0624821703189447E-3</v>
      </c>
      <c r="O60" s="1191"/>
      <c r="P60" s="31" t="s">
        <v>617</v>
      </c>
      <c r="Q60" s="31"/>
      <c r="R60" s="1024">
        <f t="shared" si="14"/>
        <v>1.7849700461358269E-4</v>
      </c>
      <c r="S60" s="1024"/>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0</v>
      </c>
      <c r="M61" s="1186"/>
      <c r="N61" s="1191">
        <f>AC22*$X$25</f>
        <v>0</v>
      </c>
      <c r="O61" s="1191"/>
      <c r="P61" s="31" t="s">
        <v>617</v>
      </c>
      <c r="Q61" s="31"/>
      <c r="R61" s="1024">
        <f t="shared" si="14"/>
        <v>0</v>
      </c>
      <c r="S61" s="1024"/>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187">
        <f>O62*1000/3600</f>
        <v>42.046331220666438</v>
      </c>
      <c r="M62" s="1188"/>
      <c r="N62" s="31"/>
      <c r="O62" s="394">
        <f>'Diesel F'!I56*X25</f>
        <v>151.36679239439917</v>
      </c>
      <c r="P62" s="395" t="s">
        <v>617</v>
      </c>
      <c r="Q62" s="395"/>
      <c r="R62" s="1025">
        <f>O62*7*24/1000</f>
        <v>25.429621122259057</v>
      </c>
      <c r="S62" s="1025"/>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680</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682</v>
      </c>
      <c r="B65" s="31" t="s">
        <v>689</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828</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232"/>
      <c r="B67" s="147"/>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2"/>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32"/>
      <c r="B68" s="147"/>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sde2YBvJFMpIBe4uY8ny9BQIvQUyyI0Ku5JA9g5ZCHnArN3iU4lr6ZTpMEwQ6Ti+vwXK9V69NqF8hQ89CTbnw==" saltValue="In+49bzLITrrd8TSKoCV0A==" spinCount="100000" sheet="1" objects="1" scenarios="1" selectLockedCells="1" selectUnlockedCells="1"/>
  <mergeCells count="473">
    <mergeCell ref="L62:M62"/>
    <mergeCell ref="R62:S62"/>
    <mergeCell ref="X33:AI37"/>
    <mergeCell ref="AE59:AF59"/>
    <mergeCell ref="L60:M60"/>
    <mergeCell ref="N60:O60"/>
    <mergeCell ref="R60:S60"/>
    <mergeCell ref="L61:M61"/>
    <mergeCell ref="N61:O61"/>
    <mergeCell ref="R61:S61"/>
    <mergeCell ref="AE57:AF57"/>
    <mergeCell ref="L58:M58"/>
    <mergeCell ref="N58:O58"/>
    <mergeCell ref="R58:S58"/>
    <mergeCell ref="L59:M59"/>
    <mergeCell ref="N59:O59"/>
    <mergeCell ref="R59:S59"/>
    <mergeCell ref="T59:U59"/>
    <mergeCell ref="Y59:Z59"/>
    <mergeCell ref="AC59:AD59"/>
    <mergeCell ref="AE55:AF55"/>
    <mergeCell ref="L56:M56"/>
    <mergeCell ref="N56:O56"/>
    <mergeCell ref="R56:S56"/>
    <mergeCell ref="L57:M57"/>
    <mergeCell ref="N57:O57"/>
    <mergeCell ref="R57:S57"/>
    <mergeCell ref="T57:U57"/>
    <mergeCell ref="Y57:Z57"/>
    <mergeCell ref="AC57:AD57"/>
    <mergeCell ref="AF53:AG53"/>
    <mergeCell ref="AH53:AI53"/>
    <mergeCell ref="AJ53:AK53"/>
    <mergeCell ref="L54:M54"/>
    <mergeCell ref="L55:M55"/>
    <mergeCell ref="N55:O55"/>
    <mergeCell ref="R55:S55"/>
    <mergeCell ref="T55:U55"/>
    <mergeCell ref="Y55:Z55"/>
    <mergeCell ref="AC55:AD55"/>
    <mergeCell ref="T53:U53"/>
    <mergeCell ref="V53:W53"/>
    <mergeCell ref="X53:Y53"/>
    <mergeCell ref="Z53:AA53"/>
    <mergeCell ref="AB53:AC53"/>
    <mergeCell ref="AD53:AE53"/>
    <mergeCell ref="AH52:AI52"/>
    <mergeCell ref="AJ52:AK52"/>
    <mergeCell ref="A53:E53"/>
    <mergeCell ref="F53:G53"/>
    <mergeCell ref="H53:I53"/>
    <mergeCell ref="J53:K53"/>
    <mergeCell ref="L53:M53"/>
    <mergeCell ref="N53:O53"/>
    <mergeCell ref="P53:Q53"/>
    <mergeCell ref="R53:S53"/>
    <mergeCell ref="V52:W52"/>
    <mergeCell ref="X52:Y52"/>
    <mergeCell ref="Z52:AA52"/>
    <mergeCell ref="AB52:AC52"/>
    <mergeCell ref="AD52:AE52"/>
    <mergeCell ref="AF52:AG52"/>
    <mergeCell ref="F52:G52"/>
    <mergeCell ref="H52:I52"/>
    <mergeCell ref="J52:K52"/>
    <mergeCell ref="L52:M52"/>
    <mergeCell ref="N52:O52"/>
    <mergeCell ref="P52:Q52"/>
    <mergeCell ref="R52:S52"/>
    <mergeCell ref="T52:U52"/>
    <mergeCell ref="V51:W51"/>
    <mergeCell ref="AH50:AI50"/>
    <mergeCell ref="AJ50:AK50"/>
    <mergeCell ref="F51:G51"/>
    <mergeCell ref="H51:I51"/>
    <mergeCell ref="J51:K51"/>
    <mergeCell ref="L51:M51"/>
    <mergeCell ref="N51:O51"/>
    <mergeCell ref="P51:Q51"/>
    <mergeCell ref="R51:S51"/>
    <mergeCell ref="T51:U51"/>
    <mergeCell ref="V50:W50"/>
    <mergeCell ref="X50:Y50"/>
    <mergeCell ref="Z50:AA50"/>
    <mergeCell ref="AB50:AC50"/>
    <mergeCell ref="AD50:AE50"/>
    <mergeCell ref="AF50:AG50"/>
    <mergeCell ref="AH51:AI51"/>
    <mergeCell ref="AJ51:AK51"/>
    <mergeCell ref="X51:Y51"/>
    <mergeCell ref="Z51:AA51"/>
    <mergeCell ref="AB51:AC51"/>
    <mergeCell ref="AD51:AE51"/>
    <mergeCell ref="AF51:AG51"/>
    <mergeCell ref="F50:G50"/>
    <mergeCell ref="H50:I50"/>
    <mergeCell ref="J50:K50"/>
    <mergeCell ref="L50:M50"/>
    <mergeCell ref="N50:O50"/>
    <mergeCell ref="P50:Q50"/>
    <mergeCell ref="R50:S50"/>
    <mergeCell ref="T50:U50"/>
    <mergeCell ref="V49:W49"/>
    <mergeCell ref="AJ48:AK48"/>
    <mergeCell ref="F49:G49"/>
    <mergeCell ref="H49:I49"/>
    <mergeCell ref="J49:K49"/>
    <mergeCell ref="L49:M49"/>
    <mergeCell ref="N49:O49"/>
    <mergeCell ref="P49:Q49"/>
    <mergeCell ref="R49:S49"/>
    <mergeCell ref="T49:U49"/>
    <mergeCell ref="V48:W48"/>
    <mergeCell ref="X48:Y48"/>
    <mergeCell ref="Z48:AA48"/>
    <mergeCell ref="AB48:AC48"/>
    <mergeCell ref="AD48:AE48"/>
    <mergeCell ref="AF48:AG48"/>
    <mergeCell ref="AH49:AI49"/>
    <mergeCell ref="AJ49:AK49"/>
    <mergeCell ref="X49:Y49"/>
    <mergeCell ref="Z49:AA49"/>
    <mergeCell ref="AB49:AC49"/>
    <mergeCell ref="AD49:AE49"/>
    <mergeCell ref="AF49:AG49"/>
    <mergeCell ref="F48:G48"/>
    <mergeCell ref="H48:I48"/>
    <mergeCell ref="J48:K48"/>
    <mergeCell ref="L48:M48"/>
    <mergeCell ref="N48:O48"/>
    <mergeCell ref="P48:Q48"/>
    <mergeCell ref="R48:S48"/>
    <mergeCell ref="T48:U48"/>
    <mergeCell ref="V47:W47"/>
    <mergeCell ref="AH46:AI46"/>
    <mergeCell ref="J46:K46"/>
    <mergeCell ref="L46:M46"/>
    <mergeCell ref="N46:O46"/>
    <mergeCell ref="P46:Q46"/>
    <mergeCell ref="R46:S46"/>
    <mergeCell ref="T46:U46"/>
    <mergeCell ref="AH48:AI48"/>
    <mergeCell ref="AJ46:AK46"/>
    <mergeCell ref="F47:G47"/>
    <mergeCell ref="H47:I47"/>
    <mergeCell ref="J47:K47"/>
    <mergeCell ref="L47:M47"/>
    <mergeCell ref="N47:O47"/>
    <mergeCell ref="P47:Q47"/>
    <mergeCell ref="R47:S47"/>
    <mergeCell ref="T47:U47"/>
    <mergeCell ref="V46:W46"/>
    <mergeCell ref="X46:Y46"/>
    <mergeCell ref="Z46:AA46"/>
    <mergeCell ref="AB46:AC46"/>
    <mergeCell ref="AD46:AE46"/>
    <mergeCell ref="AF46:AG46"/>
    <mergeCell ref="AH47:AI47"/>
    <mergeCell ref="AJ47:AK47"/>
    <mergeCell ref="X47:Y47"/>
    <mergeCell ref="Z47:AA47"/>
    <mergeCell ref="AB47:AC47"/>
    <mergeCell ref="AD47:AE47"/>
    <mergeCell ref="AF47:AG47"/>
    <mergeCell ref="F46:G46"/>
    <mergeCell ref="H46:I46"/>
    <mergeCell ref="V45:W45"/>
    <mergeCell ref="AH44:AI44"/>
    <mergeCell ref="AJ44:AK44"/>
    <mergeCell ref="F45:G45"/>
    <mergeCell ref="H45:I45"/>
    <mergeCell ref="J45:K45"/>
    <mergeCell ref="L45:M45"/>
    <mergeCell ref="N45:O45"/>
    <mergeCell ref="P45:Q45"/>
    <mergeCell ref="R45:S45"/>
    <mergeCell ref="T45:U45"/>
    <mergeCell ref="V44:W44"/>
    <mergeCell ref="X44:Y44"/>
    <mergeCell ref="Z44:AA44"/>
    <mergeCell ref="AB44:AC44"/>
    <mergeCell ref="AD44:AE44"/>
    <mergeCell ref="AF44:AG44"/>
    <mergeCell ref="AH45:AI45"/>
    <mergeCell ref="AJ45:AK45"/>
    <mergeCell ref="X45:Y45"/>
    <mergeCell ref="Z45:AA45"/>
    <mergeCell ref="AB45:AC45"/>
    <mergeCell ref="AD45:AE45"/>
    <mergeCell ref="AF45:AG45"/>
    <mergeCell ref="F44:G44"/>
    <mergeCell ref="H44:I44"/>
    <mergeCell ref="J44:K44"/>
    <mergeCell ref="L44:M44"/>
    <mergeCell ref="N44:O44"/>
    <mergeCell ref="P44:Q44"/>
    <mergeCell ref="R44:S44"/>
    <mergeCell ref="T44:U44"/>
    <mergeCell ref="V43:W43"/>
    <mergeCell ref="AJ42:AK42"/>
    <mergeCell ref="F43:G43"/>
    <mergeCell ref="H43:I43"/>
    <mergeCell ref="J43:K43"/>
    <mergeCell ref="L43:M43"/>
    <mergeCell ref="N43:O43"/>
    <mergeCell ref="P43:Q43"/>
    <mergeCell ref="R43:S43"/>
    <mergeCell ref="T43:U43"/>
    <mergeCell ref="V42:W42"/>
    <mergeCell ref="X42:Y42"/>
    <mergeCell ref="Z42:AA42"/>
    <mergeCell ref="AB42:AC42"/>
    <mergeCell ref="AD42:AE42"/>
    <mergeCell ref="AF42:AG42"/>
    <mergeCell ref="AH43:AI43"/>
    <mergeCell ref="AJ43:AK43"/>
    <mergeCell ref="X43:Y43"/>
    <mergeCell ref="Z43:AA43"/>
    <mergeCell ref="AB43:AC43"/>
    <mergeCell ref="AD43:AE43"/>
    <mergeCell ref="AF43:AG43"/>
    <mergeCell ref="F42:G42"/>
    <mergeCell ref="H42:I42"/>
    <mergeCell ref="J42:K42"/>
    <mergeCell ref="L42:M42"/>
    <mergeCell ref="N42:O42"/>
    <mergeCell ref="P42:Q42"/>
    <mergeCell ref="R42:S42"/>
    <mergeCell ref="T42:U42"/>
    <mergeCell ref="V41:W41"/>
    <mergeCell ref="AH40:AI40"/>
    <mergeCell ref="AH42:AI42"/>
    <mergeCell ref="AJ40:AK40"/>
    <mergeCell ref="F41:G41"/>
    <mergeCell ref="H41:I41"/>
    <mergeCell ref="J41:K41"/>
    <mergeCell ref="L41:M41"/>
    <mergeCell ref="N41:O41"/>
    <mergeCell ref="P41:Q41"/>
    <mergeCell ref="R41:S41"/>
    <mergeCell ref="T41:U41"/>
    <mergeCell ref="V40:W40"/>
    <mergeCell ref="X40:Y40"/>
    <mergeCell ref="Z40:AA40"/>
    <mergeCell ref="AB40:AC40"/>
    <mergeCell ref="AD40:AE40"/>
    <mergeCell ref="AF40:AG40"/>
    <mergeCell ref="AH41:AI41"/>
    <mergeCell ref="AJ41:AK41"/>
    <mergeCell ref="X41:Y41"/>
    <mergeCell ref="Z41:AA41"/>
    <mergeCell ref="AB41:AC41"/>
    <mergeCell ref="AD41:AE41"/>
    <mergeCell ref="AF41:AG41"/>
    <mergeCell ref="R39:S39"/>
    <mergeCell ref="T39:U39"/>
    <mergeCell ref="F40:G40"/>
    <mergeCell ref="H40:I40"/>
    <mergeCell ref="J40:K40"/>
    <mergeCell ref="L40:M40"/>
    <mergeCell ref="N40:O40"/>
    <mergeCell ref="P40:Q40"/>
    <mergeCell ref="R40:S40"/>
    <mergeCell ref="T40:U40"/>
    <mergeCell ref="F39:G39"/>
    <mergeCell ref="H39:I39"/>
    <mergeCell ref="J39:K39"/>
    <mergeCell ref="L39:M39"/>
    <mergeCell ref="N39:O39"/>
    <mergeCell ref="P39:Q39"/>
    <mergeCell ref="R37:S37"/>
    <mergeCell ref="T37:U37"/>
    <mergeCell ref="F38:G38"/>
    <mergeCell ref="H38:I38"/>
    <mergeCell ref="J38:K38"/>
    <mergeCell ref="L38:M38"/>
    <mergeCell ref="N38:O38"/>
    <mergeCell ref="P38:Q38"/>
    <mergeCell ref="R38:S38"/>
    <mergeCell ref="T38:U38"/>
    <mergeCell ref="F37:G37"/>
    <mergeCell ref="H37:I37"/>
    <mergeCell ref="J37:K37"/>
    <mergeCell ref="L37:M37"/>
    <mergeCell ref="N37:O37"/>
    <mergeCell ref="P37:Q37"/>
    <mergeCell ref="R35:S35"/>
    <mergeCell ref="T35:U35"/>
    <mergeCell ref="F36:G36"/>
    <mergeCell ref="H36:I36"/>
    <mergeCell ref="J36:K36"/>
    <mergeCell ref="L36:M36"/>
    <mergeCell ref="N36:O36"/>
    <mergeCell ref="P36:Q36"/>
    <mergeCell ref="R36:S36"/>
    <mergeCell ref="T36:U36"/>
    <mergeCell ref="F35:G35"/>
    <mergeCell ref="H35:I35"/>
    <mergeCell ref="J35:K35"/>
    <mergeCell ref="L35:M35"/>
    <mergeCell ref="N35:O35"/>
    <mergeCell ref="P35:Q35"/>
    <mergeCell ref="R33:S33"/>
    <mergeCell ref="T33:U33"/>
    <mergeCell ref="F34:G34"/>
    <mergeCell ref="H34:I34"/>
    <mergeCell ref="J34:K34"/>
    <mergeCell ref="L34:M34"/>
    <mergeCell ref="N34:O34"/>
    <mergeCell ref="P34:Q34"/>
    <mergeCell ref="R34:S34"/>
    <mergeCell ref="T34:U34"/>
    <mergeCell ref="F33:G33"/>
    <mergeCell ref="H33:I33"/>
    <mergeCell ref="J33:K33"/>
    <mergeCell ref="L33:M33"/>
    <mergeCell ref="N33:O33"/>
    <mergeCell ref="P33:Q33"/>
    <mergeCell ref="F31:G31"/>
    <mergeCell ref="H31:I31"/>
    <mergeCell ref="J31:K31"/>
    <mergeCell ref="L31:M31"/>
    <mergeCell ref="N31:O31"/>
    <mergeCell ref="P31:Q31"/>
    <mergeCell ref="R31:S31"/>
    <mergeCell ref="T31:U31"/>
    <mergeCell ref="F32:G32"/>
    <mergeCell ref="H32:I32"/>
    <mergeCell ref="J32:K32"/>
    <mergeCell ref="L32:M32"/>
    <mergeCell ref="N32:O32"/>
    <mergeCell ref="P32:Q32"/>
    <mergeCell ref="R32:S32"/>
    <mergeCell ref="T32:U32"/>
    <mergeCell ref="A30:E30"/>
    <mergeCell ref="F30:G30"/>
    <mergeCell ref="H30:I30"/>
    <mergeCell ref="J30:K30"/>
    <mergeCell ref="L30:M30"/>
    <mergeCell ref="N30:O30"/>
    <mergeCell ref="A27:E27"/>
    <mergeCell ref="F27:U27"/>
    <mergeCell ref="F28:I29"/>
    <mergeCell ref="J28:M28"/>
    <mergeCell ref="N28:O29"/>
    <mergeCell ref="P28:U29"/>
    <mergeCell ref="J29:K29"/>
    <mergeCell ref="L29:M29"/>
    <mergeCell ref="P30:Q30"/>
    <mergeCell ref="R30:S30"/>
    <mergeCell ref="T30:U30"/>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F31:U52">
    <cfRule type="expression" dxfId="166" priority="2">
      <formula>F31=0</formula>
    </cfRule>
  </conditionalFormatting>
  <conditionalFormatting sqref="V31:AK32 V33:W37 AJ33:AK37 V38:AK52">
    <cfRule type="expression" dxfId="165" priority="4">
      <formula>V31=0</formula>
    </cfRule>
  </conditionalFormatting>
  <conditionalFormatting sqref="V53:AK53">
    <cfRule type="expression" dxfId="164" priority="5" stopIfTrue="1">
      <formula>V53=0</formula>
    </cfRule>
  </conditionalFormatting>
  <conditionalFormatting sqref="X33">
    <cfRule type="expression" dxfId="163" priority="1">
      <formula>X33=0</formula>
    </cfRule>
  </conditionalFormatting>
  <conditionalFormatting sqref="Y56:Y62 AC56:AD62 N57 N59">
    <cfRule type="expression" dxfId="162" priority="7" stopIfTrue="1">
      <formula>N56=0</formula>
    </cfRule>
  </conditionalFormatting>
  <pageMargins left="0.7" right="0.7" top="0.75" bottom="0.75" header="0.3" footer="0.3"/>
  <pageSetup paperSize="9" scale="61" orientation="portrait" r:id="rId1"/>
  <headerFooter>
    <oddFooter>&amp;C_x000D_&amp;1#&amp;"Calibri"&amp;10&amp;K000000 Internal</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2C39D-AD4A-4E0F-A52E-A314D8A24B3A}">
  <sheetPr>
    <tabColor rgb="FFFFC000"/>
    <pageSetUpPr fitToPage="1"/>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11" width="3.7109375" style="404"/>
    <col min="12" max="12" width="5.5703125" style="404" bestFit="1" customWidth="1"/>
    <col min="13" max="14" width="3.7109375" style="404"/>
    <col min="15" max="15" width="6.7109375" style="404" customWidth="1"/>
    <col min="16" max="18" width="3.7109375" style="404"/>
    <col min="19" max="19" width="5.42578125" style="404" customWidth="1"/>
    <col min="20" max="23" width="3.7109375" style="404"/>
    <col min="24" max="24" width="6" style="404" bestFit="1"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'BSG - C'!AC5</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
        <v>97</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829</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5.737756714060031E-17</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588</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'Diesel F'!G20</f>
        <v>44.890193469756099</v>
      </c>
      <c r="R16" s="1144"/>
      <c r="S16" s="1145"/>
      <c r="T16" s="1073">
        <f>'Diesel F'!H5</f>
        <v>55161.599999999999</v>
      </c>
      <c r="U16" s="1109"/>
      <c r="V16" s="1074"/>
      <c r="W16" s="1076" t="s">
        <v>604</v>
      </c>
      <c r="X16" s="1075"/>
      <c r="Y16" s="1077"/>
      <c r="Z16" s="1073">
        <f>'Diesel F'!H6</f>
        <v>14652.3</v>
      </c>
      <c r="AA16" s="1109"/>
      <c r="AB16" s="1074"/>
      <c r="AC16" s="1076" t="s">
        <v>604</v>
      </c>
      <c r="AD16" s="1075"/>
      <c r="AE16" s="1077"/>
      <c r="AF16" s="1073">
        <f>'Diesel F'!H8</f>
        <v>1723.8</v>
      </c>
      <c r="AG16" s="1109"/>
      <c r="AH16" s="1074"/>
      <c r="AI16" s="1076" t="s">
        <v>604</v>
      </c>
      <c r="AJ16" s="1075"/>
      <c r="AK16" s="1077"/>
      <c r="AL16" s="303"/>
      <c r="AM16" s="303" t="s">
        <v>605</v>
      </c>
      <c r="AN16" s="303"/>
      <c r="AO16" s="303"/>
      <c r="AP16" s="351">
        <v>1020</v>
      </c>
      <c r="AQ16" s="352">
        <f>AP16/$AR$9/$AR$7 * ((AN18+273.15)/(AN19+273.15))</f>
        <v>37.956295834166582</v>
      </c>
      <c r="AR16" s="353">
        <f>AX4</f>
        <v>0.13333333333333333</v>
      </c>
      <c r="AS16" s="354">
        <f>AR16*$AR$6/1055.06</f>
        <v>5.7374304146999541E-5</v>
      </c>
      <c r="AT16" s="355">
        <f>AS16*$Q$16*1000000</f>
        <v>2575.543613351439</v>
      </c>
      <c r="AU16" s="356">
        <f>AX5</f>
        <v>3.3333333333333333E-2</v>
      </c>
      <c r="AV16" s="354">
        <f>AU16*$AR$6/1055.06</f>
        <v>1.4343576036749885E-5</v>
      </c>
      <c r="AW16" s="355">
        <f>AV16*$Q$16*1000000</f>
        <v>643.88590333785976</v>
      </c>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1">
        <v>305.24099999999999</v>
      </c>
      <c r="I17" s="1132"/>
      <c r="J17" s="1133"/>
      <c r="K17" s="1134">
        <v>832.5</v>
      </c>
      <c r="L17" s="1135"/>
      <c r="M17" s="1136"/>
      <c r="N17" s="1137">
        <v>42.588000000000001</v>
      </c>
      <c r="O17" s="1138"/>
      <c r="P17" s="1139"/>
      <c r="Q17" s="1137">
        <v>45.612000000000002</v>
      </c>
      <c r="R17" s="1138"/>
      <c r="S17" s="1139"/>
      <c r="T17" s="1066">
        <f>$Q$17/$Q$16*T16</f>
        <v>56048.564390686515</v>
      </c>
      <c r="U17" s="1110"/>
      <c r="V17" s="1067"/>
      <c r="W17" s="1114">
        <f>T17/1000000/K17</f>
        <v>6.7325602871695514E-5</v>
      </c>
      <c r="X17" s="1115"/>
      <c r="Y17" s="1116"/>
      <c r="Z17" s="1066">
        <f>$Q$17/$Q$16*Z16</f>
        <v>14887.899916276105</v>
      </c>
      <c r="AA17" s="1110"/>
      <c r="AB17" s="1067"/>
      <c r="AC17" s="1114">
        <f>Z17/1000000/Q17</f>
        <v>3.2640313768911918E-4</v>
      </c>
      <c r="AD17" s="1115"/>
      <c r="AE17" s="1116"/>
      <c r="AF17" s="1066">
        <f>$Q$17/$Q$16*AF16</f>
        <v>1751.5176372089536</v>
      </c>
      <c r="AG17" s="1110"/>
      <c r="AH17" s="1067"/>
      <c r="AI17" s="1114">
        <f>AF17/1000000/W17</f>
        <v>26.015625</v>
      </c>
      <c r="AJ17" s="1115"/>
      <c r="AK17" s="1116"/>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123"/>
      <c r="O18" s="1069"/>
      <c r="P18" s="1124"/>
      <c r="Q18" s="1125"/>
      <c r="R18" s="1126"/>
      <c r="S18" s="112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125</v>
      </c>
      <c r="AA19" s="1118"/>
      <c r="AB19" s="1119"/>
      <c r="AC19" s="1117" t="s">
        <v>125</v>
      </c>
      <c r="AD19" s="1118"/>
      <c r="AE19" s="1119"/>
      <c r="AF19" s="358" t="s">
        <v>610</v>
      </c>
      <c r="AG19" s="31"/>
      <c r="AH19" s="31"/>
      <c r="AI19" s="31"/>
      <c r="AJ19" s="31"/>
      <c r="AK19" s="226"/>
      <c r="AL19" s="303"/>
      <c r="AM19" s="24" t="s">
        <v>611</v>
      </c>
      <c r="AN19" s="24">
        <v>15.6</v>
      </c>
      <c r="AO19" s="23" t="s">
        <v>609</v>
      </c>
      <c r="AP19" s="303"/>
      <c r="AQ19" s="303"/>
      <c r="AR19" s="356">
        <f>AX6</f>
        <v>4.6666666666666669E-2</v>
      </c>
      <c r="AS19" s="354">
        <f>AR19*$AR$6/1055.06</f>
        <v>2.0081006451449841E-5</v>
      </c>
      <c r="AT19" s="355">
        <f>AS19*$Q$16*1000000</f>
        <v>901.44026467300375</v>
      </c>
      <c r="AU19" s="351">
        <v>0.37446000000000002</v>
      </c>
      <c r="AV19" s="354">
        <f>AU19*$AR$6/1055.06</f>
        <v>1.6113286448164087E-4</v>
      </c>
      <c r="AW19" s="355">
        <f>AV19*$Q$16*1000000</f>
        <v>7233.2854609168498</v>
      </c>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c r="I21" s="1109"/>
      <c r="J21" s="1074"/>
      <c r="K21" s="1076" t="s">
        <v>604</v>
      </c>
      <c r="L21" s="1075"/>
      <c r="M21" s="1077"/>
      <c r="N21" s="1073">
        <f>'Diesel F'!H7</f>
        <v>17410.38</v>
      </c>
      <c r="O21" s="1109"/>
      <c r="P21" s="1074"/>
      <c r="Q21" s="1076" t="s">
        <v>604</v>
      </c>
      <c r="R21" s="1075"/>
      <c r="S21" s="1077"/>
      <c r="T21" s="1073"/>
      <c r="U21" s="1109"/>
      <c r="V21" s="1074"/>
      <c r="W21" s="1214" t="s">
        <v>604</v>
      </c>
      <c r="X21" s="1215"/>
      <c r="Y21" s="1216"/>
      <c r="Z21" s="1073"/>
      <c r="AA21" s="1109"/>
      <c r="AB21" s="1074"/>
      <c r="AC21" s="1076" t="s">
        <v>604</v>
      </c>
      <c r="AD21" s="1075"/>
      <c r="AE21" s="1077"/>
      <c r="AF21" s="300"/>
      <c r="AG21" s="31"/>
      <c r="AH21" s="302"/>
      <c r="AI21" s="31"/>
      <c r="AJ21" s="31"/>
      <c r="AK21" s="32"/>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6"/>
      <c r="I22" s="1110"/>
      <c r="J22" s="1067"/>
      <c r="K22" s="1114"/>
      <c r="L22" s="1115"/>
      <c r="M22" s="1116"/>
      <c r="N22" s="1066">
        <f>$Q$17/$Q$16*N21</f>
        <v>17690.328135810432</v>
      </c>
      <c r="O22" s="1110"/>
      <c r="P22" s="1067"/>
      <c r="Q22" s="1114">
        <f>N22/1000000/K17</f>
        <v>2.1249643406378895E-5</v>
      </c>
      <c r="R22" s="1115"/>
      <c r="S22" s="1116"/>
      <c r="T22" s="1099"/>
      <c r="U22" s="1048"/>
      <c r="V22" s="1058"/>
      <c r="W22" s="1211"/>
      <c r="X22" s="1212"/>
      <c r="Y22" s="1213"/>
      <c r="Z22" s="1066"/>
      <c r="AA22" s="1110"/>
      <c r="AB22" s="1067"/>
      <c r="AC22" s="1114"/>
      <c r="AD22" s="1115"/>
      <c r="AE22" s="1116"/>
      <c r="AF22" s="31"/>
      <c r="AG22" s="31"/>
      <c r="AH22" s="31"/>
      <c r="AI22" s="31"/>
      <c r="AJ22" s="31"/>
      <c r="AK22" s="32"/>
      <c r="AL22" s="303"/>
      <c r="AM22" s="303"/>
      <c r="AN22" s="303"/>
      <c r="AO22" s="303"/>
      <c r="AP22" s="303"/>
      <c r="AQ22" s="303"/>
      <c r="AR22" s="356">
        <f>AX8</f>
        <v>6.9333333333333339E-3</v>
      </c>
      <c r="AS22" s="354">
        <f>AR22*$AR$6/1055.06</f>
        <v>2.9834638156439767E-6</v>
      </c>
      <c r="AT22" s="355">
        <f>AS22*$Q$16*1000000</f>
        <v>133.92826789427485</v>
      </c>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045"/>
      <c r="I23" s="1033"/>
      <c r="J23" s="1046"/>
      <c r="K23" s="1089"/>
      <c r="L23" s="1090"/>
      <c r="M23" s="1091"/>
      <c r="N23" s="1045"/>
      <c r="O23" s="1033"/>
      <c r="P23" s="1046"/>
      <c r="Q23" s="1096"/>
      <c r="R23" s="1097"/>
      <c r="S23" s="1098"/>
      <c r="T23" s="1099"/>
      <c r="U23" s="1048"/>
      <c r="V23" s="1058"/>
      <c r="W23" s="1096"/>
      <c r="X23" s="1097"/>
      <c r="Y23" s="1098"/>
      <c r="Z23" s="1086"/>
      <c r="AA23" s="1087"/>
      <c r="AB23" s="1088"/>
      <c r="AC23" s="1089"/>
      <c r="AD23" s="1090"/>
      <c r="AE23" s="1091"/>
      <c r="AF23" s="31"/>
      <c r="AG23" s="31"/>
      <c r="AH23" s="31"/>
      <c r="AI23" s="31"/>
      <c r="AJ23" s="31"/>
      <c r="AK23" s="32"/>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v>1.4</v>
      </c>
      <c r="I25" s="31" t="s">
        <v>590</v>
      </c>
      <c r="J25" s="31"/>
      <c r="K25" s="31"/>
      <c r="L25" s="31" t="s">
        <v>615</v>
      </c>
      <c r="M25" s="31"/>
      <c r="N25" s="31"/>
      <c r="O25" s="31"/>
      <c r="P25" s="31"/>
      <c r="Q25" s="31"/>
      <c r="R25" s="31"/>
      <c r="S25" s="32" t="s">
        <v>616</v>
      </c>
      <c r="T25" s="1092" t="str">
        <f>A17</f>
        <v>Diesel</v>
      </c>
      <c r="U25" s="1093"/>
      <c r="V25" s="1093"/>
      <c r="W25" s="1093"/>
      <c r="X25" s="1094">
        <v>319</v>
      </c>
      <c r="Y25" s="1094"/>
      <c r="Z25" s="1094"/>
      <c r="AA25" s="1093" t="s">
        <v>617</v>
      </c>
      <c r="AB25" s="1093"/>
      <c r="AC25" s="1095">
        <f>X25/H17</f>
        <v>1.0450758580924582</v>
      </c>
      <c r="AD25" s="1095"/>
      <c r="AE25" s="1093" t="s">
        <v>618</v>
      </c>
      <c r="AF25" s="1093"/>
      <c r="AG25" s="1093"/>
      <c r="AH25" s="1083">
        <f>X25*N17/3600</f>
        <v>3.7737699999999998</v>
      </c>
      <c r="AI25" s="1083"/>
      <c r="AJ25" s="361" t="s">
        <v>590</v>
      </c>
      <c r="AK25" s="362"/>
      <c r="AL25" s="303"/>
      <c r="AM25" s="363">
        <f>X25*W22</f>
        <v>0</v>
      </c>
      <c r="AN25" s="303"/>
      <c r="AO25" s="303"/>
      <c r="AP25" s="303"/>
      <c r="AQ25" s="303"/>
      <c r="AR25" s="351">
        <f>AX7</f>
        <v>0.01</v>
      </c>
      <c r="AS25" s="354">
        <f>AR25*$AR$6/1055.06</f>
        <v>4.3030728110249664E-6</v>
      </c>
      <c r="AT25" s="355">
        <f>AS25*$Q$16*1000000</f>
        <v>193.16577100135797</v>
      </c>
      <c r="AU25" s="356">
        <f>AX9</f>
        <v>3.5333333333333336E-3</v>
      </c>
      <c r="AV25" s="354">
        <f>AU25*$AR$6/1055.06</f>
        <v>1.5204190598954882E-6</v>
      </c>
      <c r="AW25" s="355">
        <f>AV25*$Q$16*1000000</f>
        <v>68.251905753813148</v>
      </c>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0</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c r="B27" s="1081"/>
      <c r="C27" s="1081"/>
      <c r="D27" s="1081"/>
      <c r="E27" s="1081"/>
      <c r="F27" s="1042" t="str">
        <f>A17</f>
        <v>Diesel</v>
      </c>
      <c r="G27" s="1043"/>
      <c r="H27" s="1043"/>
      <c r="I27" s="1043"/>
      <c r="J27" s="1043"/>
      <c r="K27" s="1043"/>
      <c r="L27" s="1043"/>
      <c r="M27" s="1043"/>
      <c r="N27" s="1043"/>
      <c r="O27" s="1043"/>
      <c r="P27" s="1043"/>
      <c r="Q27" s="1043"/>
      <c r="R27" s="1043"/>
      <c r="S27" s="1043"/>
      <c r="T27" s="1043"/>
      <c r="U27" s="1080"/>
      <c r="V27" s="31"/>
      <c r="W27" s="31"/>
      <c r="X27" s="270">
        <f>AH25</f>
        <v>3.7737699999999998</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1">
        <f>24*7</f>
        <v>168</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1">
        <f>X27*X28</f>
        <v>633.99335999999994</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1">
        <f>X29*3600/1000</f>
        <v>2282.376096</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049">
        <v>0</v>
      </c>
      <c r="G31" s="1050"/>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BF33</f>
        <v>3.7672634101823899E-6</v>
      </c>
      <c r="G32" s="1050"/>
      <c r="H32" s="1051">
        <f>F32*$AC$25</f>
        <v>3.9370760410566815E-6</v>
      </c>
      <c r="I32" s="1052"/>
      <c r="J32" s="1059"/>
      <c r="K32" s="1059"/>
      <c r="L32" s="1060"/>
      <c r="M32" s="1059"/>
      <c r="N32" s="1054">
        <f t="shared" si="2"/>
        <v>6.3158573850631287E-5</v>
      </c>
      <c r="O32" s="1055"/>
      <c r="P32" s="1061">
        <f>R32/$R$53</f>
        <v>0</v>
      </c>
      <c r="Q32" s="1062"/>
      <c r="R32" s="1060">
        <f>T32/$AR32</f>
        <v>0</v>
      </c>
      <c r="S32" s="1059"/>
      <c r="T32" s="1064">
        <f>$K$22*$X$25</f>
        <v>0</v>
      </c>
      <c r="U32" s="1065"/>
      <c r="V32" s="31"/>
      <c r="W32" s="31"/>
      <c r="X32" s="1183" t="s">
        <v>134</v>
      </c>
      <c r="Y32" s="1188"/>
      <c r="Z32" s="1188"/>
      <c r="AA32" s="1188"/>
      <c r="AB32" s="1188"/>
      <c r="AC32" s="1188"/>
      <c r="AD32" s="1188"/>
      <c r="AE32" s="1188"/>
      <c r="AF32" s="1188"/>
      <c r="AG32" s="1188"/>
      <c r="AH32" s="1188"/>
      <c r="AI32" s="1188"/>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31"/>
      <c r="W33" s="31"/>
      <c r="X33" s="1188"/>
      <c r="Y33" s="1188"/>
      <c r="Z33" s="1188"/>
      <c r="AA33" s="1188"/>
      <c r="AB33" s="1188"/>
      <c r="AC33" s="1188"/>
      <c r="AD33" s="1188"/>
      <c r="AE33" s="1188"/>
      <c r="AF33" s="1188"/>
      <c r="AG33" s="1188"/>
      <c r="AH33" s="1188"/>
      <c r="AI33" s="1188"/>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BF34</f>
        <v>2.32021919756754E-4</v>
      </c>
      <c r="G34" s="1050"/>
      <c r="H34" s="1051">
        <f t="shared" si="1"/>
        <v>2.4248050688604916E-4</v>
      </c>
      <c r="I34" s="1052"/>
      <c r="J34" s="1059"/>
      <c r="K34" s="1059"/>
      <c r="L34" s="1060"/>
      <c r="M34" s="1059"/>
      <c r="N34" s="1054">
        <f t="shared" si="2"/>
        <v>7.2909038810497259E-3</v>
      </c>
      <c r="O34" s="1055"/>
      <c r="P34" s="1061">
        <f t="shared" si="10"/>
        <v>0</v>
      </c>
      <c r="Q34" s="1062"/>
      <c r="R34" s="1059">
        <f>T34/$AR34</f>
        <v>0</v>
      </c>
      <c r="S34" s="1059"/>
      <c r="T34" s="1061">
        <f t="shared" si="11"/>
        <v>0</v>
      </c>
      <c r="U34" s="1062"/>
      <c r="V34" s="31"/>
      <c r="W34" s="31"/>
      <c r="X34" s="1188"/>
      <c r="Y34" s="1188"/>
      <c r="Z34" s="1188"/>
      <c r="AA34" s="1188"/>
      <c r="AB34" s="1188"/>
      <c r="AC34" s="1188"/>
      <c r="AD34" s="1188"/>
      <c r="AE34" s="1188"/>
      <c r="AF34" s="1188"/>
      <c r="AG34" s="1188"/>
      <c r="AH34" s="1188"/>
      <c r="AI34" s="1188"/>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31"/>
      <c r="W35" s="31"/>
      <c r="X35" s="1188"/>
      <c r="Y35" s="1188"/>
      <c r="Z35" s="1188"/>
      <c r="AA35" s="1188"/>
      <c r="AB35" s="1188"/>
      <c r="AC35" s="1188"/>
      <c r="AD35" s="1188"/>
      <c r="AE35" s="1188"/>
      <c r="AF35" s="1188"/>
      <c r="AG35" s="1188"/>
      <c r="AH35" s="1188"/>
      <c r="AI35" s="1188"/>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BF35</f>
        <v>4.1140406723645098E-3</v>
      </c>
      <c r="G36" s="1050"/>
      <c r="H36" s="1051">
        <f t="shared" si="1"/>
        <v>4.2994845858986136E-3</v>
      </c>
      <c r="I36" s="1052"/>
      <c r="J36" s="1059"/>
      <c r="K36" s="1059"/>
      <c r="L36" s="1060"/>
      <c r="M36" s="1059"/>
      <c r="N36" s="1054">
        <f t="shared" si="2"/>
        <v>0.18958147333061348</v>
      </c>
      <c r="O36" s="1055"/>
      <c r="P36" s="1061">
        <f t="shared" si="10"/>
        <v>0</v>
      </c>
      <c r="Q36" s="1062"/>
      <c r="R36" s="1059">
        <f t="shared" si="12"/>
        <v>0</v>
      </c>
      <c r="S36" s="1059"/>
      <c r="T36" s="1061">
        <f t="shared" si="11"/>
        <v>0</v>
      </c>
      <c r="U36" s="1062"/>
      <c r="V36" s="31"/>
      <c r="W36" s="31"/>
      <c r="X36" s="1188"/>
      <c r="Y36" s="1188"/>
      <c r="Z36" s="1188"/>
      <c r="AA36" s="1188"/>
      <c r="AB36" s="1188"/>
      <c r="AC36" s="1188"/>
      <c r="AD36" s="1188"/>
      <c r="AE36" s="1188"/>
      <c r="AF36" s="1188"/>
      <c r="AG36" s="1188"/>
      <c r="AH36" s="1188"/>
      <c r="AI36" s="1188"/>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31"/>
      <c r="W37" s="31"/>
      <c r="X37" s="272"/>
      <c r="Y37" s="272"/>
      <c r="Z37" s="31"/>
      <c r="AA37" s="31"/>
      <c r="AB37" s="31"/>
      <c r="AC37" s="31"/>
      <c r="AD37" s="31"/>
      <c r="AE37" s="31"/>
      <c r="AF37" s="31"/>
      <c r="AG37" s="31"/>
      <c r="AH37" s="379"/>
      <c r="AI37" s="31"/>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BF36</f>
        <v>4.2987554978870402E-3</v>
      </c>
      <c r="G38" s="1050"/>
      <c r="H38" s="1051">
        <f t="shared" si="1"/>
        <v>4.4925255906839712E-3</v>
      </c>
      <c r="I38" s="1052"/>
      <c r="J38" s="1059"/>
      <c r="K38" s="1059"/>
      <c r="L38" s="1060"/>
      <c r="M38" s="1059"/>
      <c r="N38" s="1054">
        <f t="shared" si="2"/>
        <v>0.26110558733055239</v>
      </c>
      <c r="O38" s="1055"/>
      <c r="P38" s="1061">
        <f t="shared" si="10"/>
        <v>0</v>
      </c>
      <c r="Q38" s="1062"/>
      <c r="R38" s="1059">
        <f t="shared" si="12"/>
        <v>0</v>
      </c>
      <c r="S38" s="1059"/>
      <c r="T38" s="1061">
        <f t="shared" si="11"/>
        <v>0</v>
      </c>
      <c r="U38" s="1062"/>
      <c r="V38" s="31"/>
      <c r="W38" s="31"/>
      <c r="X38" s="272"/>
      <c r="Y38" s="272"/>
      <c r="Z38" s="31"/>
      <c r="AA38" s="31"/>
      <c r="AB38" s="31"/>
      <c r="AC38" s="31"/>
      <c r="AD38" s="272"/>
      <c r="AE38" s="272"/>
      <c r="AF38" s="382"/>
      <c r="AG38" s="382"/>
      <c r="AH38" s="31"/>
      <c r="AI38" s="31"/>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f>BF37</f>
        <v>1.33109664079022E-2</v>
      </c>
      <c r="G39" s="1050"/>
      <c r="H39" s="1051">
        <f t="shared" si="1"/>
        <v>1.3910969640778278E-2</v>
      </c>
      <c r="I39" s="1052"/>
      <c r="J39" s="1059"/>
      <c r="K39" s="1059"/>
      <c r="L39" s="1060"/>
      <c r="M39" s="1059"/>
      <c r="N39" s="1054">
        <f t="shared" si="2"/>
        <v>0.80850555552203351</v>
      </c>
      <c r="O39" s="1055"/>
      <c r="P39" s="1061">
        <f t="shared" si="10"/>
        <v>0</v>
      </c>
      <c r="Q39" s="1062"/>
      <c r="R39" s="1059">
        <f t="shared" si="12"/>
        <v>0</v>
      </c>
      <c r="S39" s="1059"/>
      <c r="T39" s="1061">
        <f t="shared" si="11"/>
        <v>0</v>
      </c>
      <c r="U39" s="1062"/>
      <c r="V39" s="31"/>
      <c r="W39" s="31"/>
      <c r="X39" s="272"/>
      <c r="Y39" s="272"/>
      <c r="Z39" s="31"/>
      <c r="AA39" s="31"/>
      <c r="AB39" s="31"/>
      <c r="AC39" s="31"/>
      <c r="AD39" s="272"/>
      <c r="AE39" s="272"/>
      <c r="AF39" s="382"/>
      <c r="AG39" s="382"/>
      <c r="AH39" s="31"/>
      <c r="AI39" s="31"/>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BF38</f>
        <v>1.4450640107125301E-2</v>
      </c>
      <c r="G40" s="1050"/>
      <c r="H40" s="1051">
        <f t="shared" si="1"/>
        <v>1.5102015109939266E-2</v>
      </c>
      <c r="I40" s="1052"/>
      <c r="J40" s="1059"/>
      <c r="K40" s="1059"/>
      <c r="L40" s="1060"/>
      <c r="M40" s="1059"/>
      <c r="N40" s="1054">
        <f t="shared" si="2"/>
        <v>1.0895499821216783</v>
      </c>
      <c r="O40" s="1055"/>
      <c r="P40" s="1061">
        <f t="shared" si="10"/>
        <v>0</v>
      </c>
      <c r="Q40" s="1062"/>
      <c r="R40" s="1059">
        <f t="shared" si="12"/>
        <v>0</v>
      </c>
      <c r="S40" s="1059"/>
      <c r="T40" s="1061">
        <f t="shared" si="11"/>
        <v>0</v>
      </c>
      <c r="U40" s="1062"/>
      <c r="V40" s="31"/>
      <c r="W40" s="31"/>
      <c r="X40" s="272"/>
      <c r="Y40" s="272"/>
      <c r="Z40" s="31"/>
      <c r="AA40" s="31"/>
      <c r="AB40" s="31"/>
      <c r="AC40" s="31"/>
      <c r="AD40" s="272"/>
      <c r="AE40" s="272"/>
      <c r="AF40" s="382"/>
      <c r="AG40" s="382"/>
      <c r="AH40" s="31"/>
      <c r="AI40" s="31"/>
      <c r="AJ40" s="380"/>
      <c r="AK40" s="381"/>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BF40</f>
        <v>1.8657920075756399E-2</v>
      </c>
      <c r="G41" s="1050"/>
      <c r="H41" s="1051">
        <f t="shared" si="1"/>
        <v>1.9498941833391622E-2</v>
      </c>
      <c r="I41" s="1052"/>
      <c r="J41" s="1059"/>
      <c r="K41" s="1059"/>
      <c r="L41" s="1060"/>
      <c r="M41" s="1059"/>
      <c r="N41" s="1054">
        <f t="shared" si="2"/>
        <v>1.4067706575118719</v>
      </c>
      <c r="O41" s="1055"/>
      <c r="P41" s="1061">
        <f t="shared" si="10"/>
        <v>0</v>
      </c>
      <c r="Q41" s="1062"/>
      <c r="R41" s="1059">
        <f t="shared" si="12"/>
        <v>0</v>
      </c>
      <c r="S41" s="1059"/>
      <c r="T41" s="1061">
        <f t="shared" si="11"/>
        <v>0</v>
      </c>
      <c r="U41" s="1062"/>
      <c r="V41" s="31"/>
      <c r="W41" s="31"/>
      <c r="X41" s="272"/>
      <c r="Y41" s="272"/>
      <c r="Z41" s="31"/>
      <c r="AA41" s="31"/>
      <c r="AB41" s="31"/>
      <c r="AC41" s="31"/>
      <c r="AD41" s="272"/>
      <c r="AE41" s="272"/>
      <c r="AF41" s="382"/>
      <c r="AG41" s="382"/>
      <c r="AH41" s="31"/>
      <c r="AI41" s="31"/>
      <c r="AJ41" s="380"/>
      <c r="AK41" s="381"/>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425</v>
      </c>
      <c r="B42" s="376"/>
      <c r="C42" s="376"/>
      <c r="D42" s="376"/>
      <c r="E42" s="377"/>
      <c r="F42" s="1049">
        <f>SUM(BF41:BF75)</f>
        <v>0.94337200608568694</v>
      </c>
      <c r="G42" s="1050"/>
      <c r="H42" s="1064">
        <f t="shared" si="1"/>
        <v>0.98589530876040299</v>
      </c>
      <c r="I42" s="1065"/>
      <c r="J42" s="1059"/>
      <c r="K42" s="1059"/>
      <c r="L42" s="1060"/>
      <c r="M42" s="1059"/>
      <c r="N42" s="1054">
        <f t="shared" si="2"/>
        <v>315.19556109771378</v>
      </c>
      <c r="O42" s="1055"/>
      <c r="P42" s="1061">
        <f t="shared" si="10"/>
        <v>0</v>
      </c>
      <c r="Q42" s="1062"/>
      <c r="R42" s="1059">
        <f t="shared" si="12"/>
        <v>0</v>
      </c>
      <c r="S42" s="1059"/>
      <c r="T42" s="1061">
        <f t="shared" si="11"/>
        <v>0</v>
      </c>
      <c r="U42" s="1062"/>
      <c r="V42" s="31"/>
      <c r="W42" s="31"/>
      <c r="X42" s="272"/>
      <c r="Y42" s="272"/>
      <c r="Z42" s="31"/>
      <c r="AA42" s="31"/>
      <c r="AB42" s="31"/>
      <c r="AC42" s="31"/>
      <c r="AD42" s="272"/>
      <c r="AE42" s="272"/>
      <c r="AF42" s="382"/>
      <c r="AG42" s="382"/>
      <c r="AH42" s="31"/>
      <c r="AI42" s="31"/>
      <c r="AJ42" s="270"/>
      <c r="AK42" s="37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34.407525122921719</v>
      </c>
      <c r="K45" s="1070"/>
      <c r="L45" s="1060">
        <f>0.15*J45</f>
        <v>5.1611287684382576</v>
      </c>
      <c r="M45" s="1059"/>
      <c r="N45" s="1066">
        <f t="shared" si="2"/>
        <v>1266.1969245235193</v>
      </c>
      <c r="O45" s="1067"/>
      <c r="P45" s="1061">
        <f t="shared" si="10"/>
        <v>2.6677875190595293E-2</v>
      </c>
      <c r="Q45" s="1062"/>
      <c r="R45" s="1059">
        <f>L45+SUMPRODUCT(R32:R44,$AS32:$AS44)</f>
        <v>5.1611287684382576</v>
      </c>
      <c r="S45" s="1059"/>
      <c r="T45" s="1071">
        <f>R45*$AR45</f>
        <v>165.15612059002424</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BF31</f>
        <v>1.4415226502516399E-10</v>
      </c>
      <c r="G46" s="1050"/>
      <c r="H46" s="1061">
        <f t="shared" si="1"/>
        <v>1.506500520671447E-10</v>
      </c>
      <c r="I46" s="1062"/>
      <c r="J46" s="1059">
        <f>0.79/0.21*J45</f>
        <v>129.43783260527695</v>
      </c>
      <c r="K46" s="1063"/>
      <c r="L46" s="1060">
        <f>0.71/0.29*L45</f>
        <v>12.635866984797115</v>
      </c>
      <c r="M46" s="1059"/>
      <c r="N46" s="1066">
        <f>SUM(H46,J46,L46)*AR46</f>
        <v>3978.0635885262923</v>
      </c>
      <c r="O46" s="1067"/>
      <c r="P46" s="1064">
        <f t="shared" si="10"/>
        <v>0.7343765559815818</v>
      </c>
      <c r="Q46" s="1065"/>
      <c r="R46" s="1064">
        <f>$H46+J46+L46-R49</f>
        <v>142.07323270180481</v>
      </c>
      <c r="S46" s="1065"/>
      <c r="T46" s="1066">
        <f>R46*$AR46</f>
        <v>3978.0505156505346</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1.9214913816606416E-5</v>
      </c>
      <c r="Q47" s="1062"/>
      <c r="R47" s="1059">
        <f>T47/$AR$47</f>
        <v>3.7173366984230285E-3</v>
      </c>
      <c r="S47" s="1059"/>
      <c r="T47" s="1064">
        <f>$AC17*$X25</f>
        <v>0.10412260092282902</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BF32</f>
        <v>1.04835044112351E-6</v>
      </c>
      <c r="G48" s="1050"/>
      <c r="H48" s="1061">
        <f t="shared" si="1"/>
        <v>1.0956057368387593E-6</v>
      </c>
      <c r="I48" s="1062"/>
      <c r="J48" s="1059"/>
      <c r="K48" s="1059"/>
      <c r="L48" s="1060"/>
      <c r="M48" s="1059"/>
      <c r="N48" s="1061">
        <f t="shared" si="2"/>
        <v>4.8217608478273799E-5</v>
      </c>
      <c r="O48" s="1062"/>
      <c r="P48" s="1064">
        <f t="shared" si="10"/>
        <v>0.1167512680127373</v>
      </c>
      <c r="Q48" s="1065"/>
      <c r="R48" s="1068">
        <f>SUMPRODUCT($H31:$H52,$AU31:$AU52)+$H48-R47-SUMPRODUCT(R32:R42,$AU32:$AU42)</f>
        <v>22.586818619820452</v>
      </c>
      <c r="S48" s="1059"/>
      <c r="T48" s="1066">
        <f>R48*$AR48</f>
        <v>994.04588745829801</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2.4133462955981515E-6</v>
      </c>
      <c r="Q49" s="1062"/>
      <c r="R49" s="1060">
        <f>T49/$AR49</f>
        <v>4.6688841991458405E-4</v>
      </c>
      <c r="S49" s="1063"/>
      <c r="T49" s="1064">
        <f>$W17*$X25</f>
        <v>2.1476867316070868E-2</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5.4748080514399474E-7</v>
      </c>
      <c r="Q51" s="1062"/>
      <c r="R51" s="1066">
        <f>T51/$AR51</f>
        <v>1.059161913536698E-4</v>
      </c>
      <c r="S51" s="1067"/>
      <c r="T51" s="1060">
        <f>Q22*X25</f>
        <v>6.7786362466348673E-3</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049">
        <f>BF76</f>
        <v>1.4951987737782399E-3</v>
      </c>
      <c r="G52" s="1050"/>
      <c r="H52" s="1051">
        <f t="shared" si="1"/>
        <v>1.5625961415250854E-3</v>
      </c>
      <c r="I52" s="1052"/>
      <c r="J52" s="1032"/>
      <c r="K52" s="1032"/>
      <c r="L52" s="1053"/>
      <c r="M52" s="1032"/>
      <c r="N52" s="1054">
        <f t="shared" si="2"/>
        <v>2.8151732085715937E-2</v>
      </c>
      <c r="O52" s="1055"/>
      <c r="P52" s="1056">
        <f t="shared" si="10"/>
        <v>0.12217212507416822</v>
      </c>
      <c r="Q52" s="1057"/>
      <c r="R52" s="1044">
        <f>SUMPRODUCT(H31:H52,$AV31:$AV52)+H52-SUMPRODUCT(R32:R42,$AV32:$AV42)</f>
        <v>23.635543120158683</v>
      </c>
      <c r="S52" s="1044"/>
      <c r="T52" s="1045">
        <f>R52*$AR52</f>
        <v>425.81794485277879</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0.99993636529826091</v>
      </c>
      <c r="G53" s="1038"/>
      <c r="H53" s="1039">
        <f>SUM(H31:H52)</f>
        <v>1.0450093550019339</v>
      </c>
      <c r="I53" s="1040"/>
      <c r="J53" s="1041">
        <f>SUM(J31:J52)</f>
        <v>163.84535772819868</v>
      </c>
      <c r="K53" s="1041"/>
      <c r="L53" s="1042">
        <f>SUM(L31:L52)</f>
        <v>17.796995753235372</v>
      </c>
      <c r="M53" s="1043"/>
      <c r="N53" s="1030">
        <f>SUM(N31:N52)</f>
        <v>5563.2471414154907</v>
      </c>
      <c r="O53" s="1031"/>
      <c r="P53" s="1028">
        <f>SUM(P31:P52)</f>
        <v>0.99999999999999989</v>
      </c>
      <c r="Q53" s="1029"/>
      <c r="R53" s="1030">
        <f>SUM(R31:R52)</f>
        <v>193.4610133515319</v>
      </c>
      <c r="S53" s="1031"/>
      <c r="T53" s="1030">
        <f>SUM(T31:T52)</f>
        <v>5563.2028466561214</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5.9657964766863516E-3</v>
      </c>
      <c r="M55" s="1186"/>
      <c r="N55" s="1026">
        <f>W17*$X$25</f>
        <v>2.1476867316070868E-2</v>
      </c>
      <c r="O55" s="1026"/>
      <c r="P55" s="31" t="s">
        <v>617</v>
      </c>
      <c r="Q55" s="31"/>
      <c r="R55" s="1024">
        <f>N55*7*24/1000</f>
        <v>3.6081137090999056E-3</v>
      </c>
      <c r="S55" s="1024"/>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185">
        <f t="shared" ref="L56:L61" si="13">N56*1000/3600</f>
        <v>2.8922944700785838E-2</v>
      </c>
      <c r="M56" s="1186"/>
      <c r="N56" s="1026">
        <f>AC17*$X$25</f>
        <v>0.10412260092282902</v>
      </c>
      <c r="O56" s="1026"/>
      <c r="P56" s="31" t="s">
        <v>617</v>
      </c>
      <c r="Q56" s="31"/>
      <c r="R56" s="1024">
        <f t="shared" ref="R56:R61" si="14">N56*7*24/1000</f>
        <v>1.7492596955035276E-2</v>
      </c>
      <c r="S56" s="1024"/>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185">
        <f t="shared" si="13"/>
        <v>2305.2734375</v>
      </c>
      <c r="M57" s="1186"/>
      <c r="N57" s="1650">
        <f>AI17*$X$25</f>
        <v>8298.984375</v>
      </c>
      <c r="O57" s="1650"/>
      <c r="P57" s="31" t="s">
        <v>617</v>
      </c>
      <c r="Q57" s="31"/>
      <c r="R57" s="1651">
        <f t="shared" si="14"/>
        <v>1394.2293749999999</v>
      </c>
      <c r="S57" s="1651"/>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185">
        <f t="shared" si="13"/>
        <v>0</v>
      </c>
      <c r="M58" s="1186"/>
      <c r="N58" s="1023">
        <f>K22*$X$25</f>
        <v>0</v>
      </c>
      <c r="O58" s="1023"/>
      <c r="P58" s="31" t="s">
        <v>617</v>
      </c>
      <c r="Q58" s="31"/>
      <c r="R58" s="1024">
        <f t="shared" si="14"/>
        <v>0</v>
      </c>
      <c r="S58" s="1024"/>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185">
        <f t="shared" si="13"/>
        <v>0</v>
      </c>
      <c r="M59" s="1186"/>
      <c r="N59" s="1026">
        <f>X25*W22</f>
        <v>0</v>
      </c>
      <c r="O59" s="1026"/>
      <c r="P59" s="31" t="s">
        <v>617</v>
      </c>
      <c r="Q59" s="31"/>
      <c r="R59" s="1024">
        <f t="shared" si="14"/>
        <v>0</v>
      </c>
      <c r="S59" s="1024"/>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1.8829545129541297E-3</v>
      </c>
      <c r="M60" s="1186"/>
      <c r="N60" s="1023">
        <f>Q22*$X$25</f>
        <v>6.7786362466348673E-3</v>
      </c>
      <c r="O60" s="1023"/>
      <c r="P60" s="31" t="s">
        <v>617</v>
      </c>
      <c r="Q60" s="31"/>
      <c r="R60" s="1024">
        <f t="shared" si="14"/>
        <v>1.1388108894346575E-3</v>
      </c>
      <c r="S60" s="1024"/>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0</v>
      </c>
      <c r="M61" s="1186"/>
      <c r="N61" s="1023">
        <f>AC22*$X$25</f>
        <v>0</v>
      </c>
      <c r="O61" s="1023"/>
      <c r="P61" s="31" t="s">
        <v>617</v>
      </c>
      <c r="Q61" s="31"/>
      <c r="R61" s="1024">
        <f t="shared" si="14"/>
        <v>0</v>
      </c>
      <c r="S61" s="1024"/>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187">
        <f>O62*1000/3600</f>
        <v>268.25559318785184</v>
      </c>
      <c r="M62" s="1188"/>
      <c r="N62" s="31"/>
      <c r="O62" s="394">
        <f>'Diesel F'!I56*X25</f>
        <v>965.72013547626671</v>
      </c>
      <c r="P62" s="395" t="s">
        <v>617</v>
      </c>
      <c r="Q62" s="395"/>
      <c r="R62" s="1025">
        <f>O62*7*24/1000</f>
        <v>162.24098276001283</v>
      </c>
      <c r="S62" s="1025"/>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680</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682</v>
      </c>
      <c r="B65" s="31" t="s">
        <v>689</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830</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232"/>
      <c r="B67" s="147"/>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2"/>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32"/>
      <c r="B68" s="147"/>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quV0I0KmewCp2KL3c9bGMEhrflyIcxMA9B2LuJQToAhqR/t5RBNVrkxQR6fIpAnWTs4pUiMBiUuuD3d/YeGvpw==" saltValue="fPmETLclS4486Dhow3nc/w==" spinCount="100000" sheet="1" objects="1" scenarios="1" selectLockedCells="1" selectUnlockedCells="1"/>
  <mergeCells count="449">
    <mergeCell ref="X32:AI36"/>
    <mergeCell ref="AE59:AF59"/>
    <mergeCell ref="L60:M60"/>
    <mergeCell ref="N60:O60"/>
    <mergeCell ref="R60:S60"/>
    <mergeCell ref="L61:M61"/>
    <mergeCell ref="N61:O61"/>
    <mergeCell ref="R61:S61"/>
    <mergeCell ref="AE57:AF57"/>
    <mergeCell ref="L58:M58"/>
    <mergeCell ref="N58:O58"/>
    <mergeCell ref="R58:S58"/>
    <mergeCell ref="L59:M59"/>
    <mergeCell ref="N59:O59"/>
    <mergeCell ref="R59:S59"/>
    <mergeCell ref="T59:U59"/>
    <mergeCell ref="Y59:Z59"/>
    <mergeCell ref="AC59:AD59"/>
    <mergeCell ref="AE55:AF55"/>
    <mergeCell ref="L56:M56"/>
    <mergeCell ref="N56:O56"/>
    <mergeCell ref="R56:S56"/>
    <mergeCell ref="AC57:AD57"/>
    <mergeCell ref="L55:M55"/>
    <mergeCell ref="N55:O55"/>
    <mergeCell ref="R55:S55"/>
    <mergeCell ref="T55:U55"/>
    <mergeCell ref="Y55:Z55"/>
    <mergeCell ref="AC55:AD55"/>
    <mergeCell ref="L62:M62"/>
    <mergeCell ref="R62:S62"/>
    <mergeCell ref="L54:M54"/>
    <mergeCell ref="P53:Q53"/>
    <mergeCell ref="R53:S53"/>
    <mergeCell ref="T53:U53"/>
    <mergeCell ref="V53:W53"/>
    <mergeCell ref="X53:Y53"/>
    <mergeCell ref="Z53:AA53"/>
    <mergeCell ref="L57:M57"/>
    <mergeCell ref="N57:O57"/>
    <mergeCell ref="R57:S57"/>
    <mergeCell ref="T57:U57"/>
    <mergeCell ref="Y57:Z57"/>
    <mergeCell ref="AJ52:AK52"/>
    <mergeCell ref="A53:E53"/>
    <mergeCell ref="F53:G53"/>
    <mergeCell ref="H53:I53"/>
    <mergeCell ref="J53:K53"/>
    <mergeCell ref="L53:M53"/>
    <mergeCell ref="N53:O53"/>
    <mergeCell ref="R52:S52"/>
    <mergeCell ref="T52:U52"/>
    <mergeCell ref="V52:W52"/>
    <mergeCell ref="X52:Y52"/>
    <mergeCell ref="Z52:AA52"/>
    <mergeCell ref="AB52:AC52"/>
    <mergeCell ref="AB53:AC53"/>
    <mergeCell ref="AD53:AE53"/>
    <mergeCell ref="AF53:AG53"/>
    <mergeCell ref="AH53:AI53"/>
    <mergeCell ref="AJ53:AK53"/>
    <mergeCell ref="F52:G52"/>
    <mergeCell ref="H52:I52"/>
    <mergeCell ref="J52:K52"/>
    <mergeCell ref="L52:M52"/>
    <mergeCell ref="N52:O52"/>
    <mergeCell ref="P52:Q52"/>
    <mergeCell ref="R51:S51"/>
    <mergeCell ref="T51:U51"/>
    <mergeCell ref="V51:W51"/>
    <mergeCell ref="AD50:AE50"/>
    <mergeCell ref="AF50:AG50"/>
    <mergeCell ref="AH50:AI50"/>
    <mergeCell ref="N50:O50"/>
    <mergeCell ref="P50:Q50"/>
    <mergeCell ref="AD52:AE52"/>
    <mergeCell ref="AF52:AG52"/>
    <mergeCell ref="AH52:AI52"/>
    <mergeCell ref="AJ50:AK50"/>
    <mergeCell ref="F51:G51"/>
    <mergeCell ref="H51:I51"/>
    <mergeCell ref="J51:K51"/>
    <mergeCell ref="L51:M51"/>
    <mergeCell ref="N51:O51"/>
    <mergeCell ref="P51:Q51"/>
    <mergeCell ref="R50:S50"/>
    <mergeCell ref="T50:U50"/>
    <mergeCell ref="V50:W50"/>
    <mergeCell ref="X50:Y50"/>
    <mergeCell ref="Z50:AA50"/>
    <mergeCell ref="AB50:AC50"/>
    <mergeCell ref="AD51:AE51"/>
    <mergeCell ref="AF51:AG51"/>
    <mergeCell ref="AH51:AI51"/>
    <mergeCell ref="AJ51:AK51"/>
    <mergeCell ref="X51:Y51"/>
    <mergeCell ref="Z51:AA51"/>
    <mergeCell ref="AB51:AC51"/>
    <mergeCell ref="F50:G50"/>
    <mergeCell ref="H50:I50"/>
    <mergeCell ref="J50:K50"/>
    <mergeCell ref="L50:M50"/>
    <mergeCell ref="AD48:AE48"/>
    <mergeCell ref="AF48:AG48"/>
    <mergeCell ref="AH48:AI48"/>
    <mergeCell ref="AJ48:AK48"/>
    <mergeCell ref="F49:G49"/>
    <mergeCell ref="H49:I49"/>
    <mergeCell ref="J49:K49"/>
    <mergeCell ref="L49:M49"/>
    <mergeCell ref="N49:O49"/>
    <mergeCell ref="P49:Q49"/>
    <mergeCell ref="R48:S48"/>
    <mergeCell ref="T48:U48"/>
    <mergeCell ref="V48:W48"/>
    <mergeCell ref="X48:Y48"/>
    <mergeCell ref="Z48:AA48"/>
    <mergeCell ref="AB48:AC48"/>
    <mergeCell ref="AD49:AE49"/>
    <mergeCell ref="AF49:AG49"/>
    <mergeCell ref="AH49:AI49"/>
    <mergeCell ref="AJ49:AK49"/>
    <mergeCell ref="X49:Y49"/>
    <mergeCell ref="Z49:AA49"/>
    <mergeCell ref="AB49:AC49"/>
    <mergeCell ref="F48:G48"/>
    <mergeCell ref="H48:I48"/>
    <mergeCell ref="J48:K48"/>
    <mergeCell ref="L48:M48"/>
    <mergeCell ref="N48:O48"/>
    <mergeCell ref="P48:Q48"/>
    <mergeCell ref="R47:S47"/>
    <mergeCell ref="T47:U47"/>
    <mergeCell ref="V47:W47"/>
    <mergeCell ref="R49:S49"/>
    <mergeCell ref="T49:U49"/>
    <mergeCell ref="V49:W49"/>
    <mergeCell ref="AJ46:AK46"/>
    <mergeCell ref="F47:G47"/>
    <mergeCell ref="H47:I47"/>
    <mergeCell ref="J47:K47"/>
    <mergeCell ref="L47:M47"/>
    <mergeCell ref="N47:O47"/>
    <mergeCell ref="P47:Q47"/>
    <mergeCell ref="R46:S46"/>
    <mergeCell ref="T46:U46"/>
    <mergeCell ref="V46:W46"/>
    <mergeCell ref="X46:Y46"/>
    <mergeCell ref="Z46:AA46"/>
    <mergeCell ref="AB46:AC46"/>
    <mergeCell ref="AD47:AE47"/>
    <mergeCell ref="AF47:AG47"/>
    <mergeCell ref="AH47:AI47"/>
    <mergeCell ref="AJ47:AK47"/>
    <mergeCell ref="X47:Y47"/>
    <mergeCell ref="Z47:AA47"/>
    <mergeCell ref="AB47:AC47"/>
    <mergeCell ref="F46:G46"/>
    <mergeCell ref="H46:I46"/>
    <mergeCell ref="J46:K46"/>
    <mergeCell ref="L46:M46"/>
    <mergeCell ref="N46:O46"/>
    <mergeCell ref="P46:Q46"/>
    <mergeCell ref="R45:S45"/>
    <mergeCell ref="T45:U45"/>
    <mergeCell ref="V45:W45"/>
    <mergeCell ref="AH44:AI44"/>
    <mergeCell ref="AD46:AE46"/>
    <mergeCell ref="AF46:AG46"/>
    <mergeCell ref="AH46:AI46"/>
    <mergeCell ref="AJ44:AK44"/>
    <mergeCell ref="F45:G45"/>
    <mergeCell ref="H45:I45"/>
    <mergeCell ref="J45:K45"/>
    <mergeCell ref="L45:M45"/>
    <mergeCell ref="N45:O45"/>
    <mergeCell ref="P45:Q45"/>
    <mergeCell ref="R44:S44"/>
    <mergeCell ref="T44:U44"/>
    <mergeCell ref="V44:W44"/>
    <mergeCell ref="X44:Y44"/>
    <mergeCell ref="Z44:AA44"/>
    <mergeCell ref="AB44:AC44"/>
    <mergeCell ref="AD45:AE45"/>
    <mergeCell ref="AF45:AG45"/>
    <mergeCell ref="AH45:AI45"/>
    <mergeCell ref="AJ45:AK45"/>
    <mergeCell ref="X45:Y45"/>
    <mergeCell ref="Z45:AA45"/>
    <mergeCell ref="AB45:AC45"/>
    <mergeCell ref="AD43:AE43"/>
    <mergeCell ref="AF43:AG43"/>
    <mergeCell ref="AH43:AI43"/>
    <mergeCell ref="AJ43:AK43"/>
    <mergeCell ref="F44:G44"/>
    <mergeCell ref="H44:I44"/>
    <mergeCell ref="J44:K44"/>
    <mergeCell ref="L44:M44"/>
    <mergeCell ref="N44:O44"/>
    <mergeCell ref="P44:Q44"/>
    <mergeCell ref="R43:S43"/>
    <mergeCell ref="T43:U43"/>
    <mergeCell ref="V43:W43"/>
    <mergeCell ref="X43:Y43"/>
    <mergeCell ref="Z43:AA43"/>
    <mergeCell ref="AB43:AC43"/>
    <mergeCell ref="F43:G43"/>
    <mergeCell ref="H43:I43"/>
    <mergeCell ref="J43:K43"/>
    <mergeCell ref="L43:M43"/>
    <mergeCell ref="N43:O43"/>
    <mergeCell ref="P43:Q43"/>
    <mergeCell ref="AD44:AE44"/>
    <mergeCell ref="AF44:AG44"/>
    <mergeCell ref="R41:S41"/>
    <mergeCell ref="T41:U41"/>
    <mergeCell ref="F42:G42"/>
    <mergeCell ref="H42:I42"/>
    <mergeCell ref="J42:K42"/>
    <mergeCell ref="L42:M42"/>
    <mergeCell ref="N42:O42"/>
    <mergeCell ref="P42:Q42"/>
    <mergeCell ref="R42:S42"/>
    <mergeCell ref="T42:U42"/>
    <mergeCell ref="F41:G41"/>
    <mergeCell ref="H41:I41"/>
    <mergeCell ref="J41:K41"/>
    <mergeCell ref="L41:M41"/>
    <mergeCell ref="N41:O41"/>
    <mergeCell ref="P41:Q41"/>
    <mergeCell ref="R39:S39"/>
    <mergeCell ref="T39:U39"/>
    <mergeCell ref="F40:G40"/>
    <mergeCell ref="H40:I40"/>
    <mergeCell ref="J40:K40"/>
    <mergeCell ref="L40:M40"/>
    <mergeCell ref="N40:O40"/>
    <mergeCell ref="P40:Q40"/>
    <mergeCell ref="R40:S40"/>
    <mergeCell ref="T40:U40"/>
    <mergeCell ref="F39:G39"/>
    <mergeCell ref="H39:I39"/>
    <mergeCell ref="J39:K39"/>
    <mergeCell ref="L39:M39"/>
    <mergeCell ref="N39:O39"/>
    <mergeCell ref="P39:Q39"/>
    <mergeCell ref="R37:S37"/>
    <mergeCell ref="T37:U37"/>
    <mergeCell ref="F38:G38"/>
    <mergeCell ref="H38:I38"/>
    <mergeCell ref="J38:K38"/>
    <mergeCell ref="L38:M38"/>
    <mergeCell ref="N38:O38"/>
    <mergeCell ref="P38:Q38"/>
    <mergeCell ref="R38:S38"/>
    <mergeCell ref="T38:U38"/>
    <mergeCell ref="F37:G37"/>
    <mergeCell ref="H37:I37"/>
    <mergeCell ref="J37:K37"/>
    <mergeCell ref="L37:M37"/>
    <mergeCell ref="N37:O37"/>
    <mergeCell ref="P37:Q37"/>
    <mergeCell ref="R35:S35"/>
    <mergeCell ref="T35:U35"/>
    <mergeCell ref="F36:G36"/>
    <mergeCell ref="H36:I36"/>
    <mergeCell ref="J36:K36"/>
    <mergeCell ref="L36:M36"/>
    <mergeCell ref="N36:O36"/>
    <mergeCell ref="P36:Q36"/>
    <mergeCell ref="R36:S36"/>
    <mergeCell ref="T36:U36"/>
    <mergeCell ref="F35:G35"/>
    <mergeCell ref="H35:I35"/>
    <mergeCell ref="J35:K35"/>
    <mergeCell ref="L35:M35"/>
    <mergeCell ref="N35:O35"/>
    <mergeCell ref="P35:Q35"/>
    <mergeCell ref="R33:S33"/>
    <mergeCell ref="T33:U33"/>
    <mergeCell ref="F34:G34"/>
    <mergeCell ref="H34:I34"/>
    <mergeCell ref="J34:K34"/>
    <mergeCell ref="L34:M34"/>
    <mergeCell ref="N34:O34"/>
    <mergeCell ref="P34:Q34"/>
    <mergeCell ref="R34:S34"/>
    <mergeCell ref="T34:U34"/>
    <mergeCell ref="F33:G33"/>
    <mergeCell ref="H33:I33"/>
    <mergeCell ref="J33:K33"/>
    <mergeCell ref="L33:M33"/>
    <mergeCell ref="N33:O33"/>
    <mergeCell ref="P33:Q33"/>
    <mergeCell ref="F31:G31"/>
    <mergeCell ref="H31:I31"/>
    <mergeCell ref="J31:K31"/>
    <mergeCell ref="L31:M31"/>
    <mergeCell ref="N31:O31"/>
    <mergeCell ref="P31:Q31"/>
    <mergeCell ref="R31:S31"/>
    <mergeCell ref="T31:U31"/>
    <mergeCell ref="F32:G32"/>
    <mergeCell ref="H32:I32"/>
    <mergeCell ref="J32:K32"/>
    <mergeCell ref="L32:M32"/>
    <mergeCell ref="N32:O32"/>
    <mergeCell ref="P32:Q32"/>
    <mergeCell ref="R32:S32"/>
    <mergeCell ref="T32:U32"/>
    <mergeCell ref="A30:E30"/>
    <mergeCell ref="F30:G30"/>
    <mergeCell ref="H30:I30"/>
    <mergeCell ref="J30:K30"/>
    <mergeCell ref="L30:M30"/>
    <mergeCell ref="N30:O30"/>
    <mergeCell ref="A27:E27"/>
    <mergeCell ref="F27:U27"/>
    <mergeCell ref="F28:I29"/>
    <mergeCell ref="J28:M28"/>
    <mergeCell ref="N28:O29"/>
    <mergeCell ref="P28:U29"/>
    <mergeCell ref="J29:K29"/>
    <mergeCell ref="L29:M29"/>
    <mergeCell ref="P30:Q30"/>
    <mergeCell ref="R30:S30"/>
    <mergeCell ref="T30:U30"/>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H31:U52">
    <cfRule type="expression" dxfId="161" priority="1">
      <formula>H31=0</formula>
    </cfRule>
  </conditionalFormatting>
  <conditionalFormatting sqref="V31:AK31 V32:X32 AJ32:AK36 V33:W36 V37:AK52">
    <cfRule type="expression" dxfId="160" priority="3">
      <formula>V31=0</formula>
    </cfRule>
  </conditionalFormatting>
  <conditionalFormatting sqref="V53:AK53">
    <cfRule type="expression" dxfId="159" priority="4" stopIfTrue="1">
      <formula>V53=0</formula>
    </cfRule>
  </conditionalFormatting>
  <conditionalFormatting sqref="Y56:Y62 AC56:AD62 N57 N59">
    <cfRule type="expression" dxfId="158" priority="6" stopIfTrue="1">
      <formula>N56=0</formula>
    </cfRule>
  </conditionalFormatting>
  <pageMargins left="0.74803149606299213" right="0.19685039370078741" top="0.39370078740157483" bottom="0.39370078740157483" header="0.19685039370078741" footer="0.19685039370078741"/>
  <pageSetup paperSize="9" scale="64"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AC761-0864-4233-82F8-9FD79D404AF9}">
  <sheetPr>
    <tabColor rgb="FFFFC000"/>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14" width="3.7109375" style="404"/>
    <col min="15" max="15" width="6.7109375" style="404" customWidth="1"/>
    <col min="16" max="18" width="3.7109375" style="404"/>
    <col min="19" max="19" width="5.42578125" style="404" bestFit="1" customWidth="1"/>
    <col min="20" max="23" width="3.7109375" style="404"/>
    <col min="24" max="24" width="6.28515625" style="404"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'ESG -C'!$AC$5</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
        <v>97</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135</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5.737756714060031E-17</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727</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'Diesel F'!G20</f>
        <v>44.890193469756099</v>
      </c>
      <c r="R16" s="1144"/>
      <c r="S16" s="1145"/>
      <c r="T16" s="1073">
        <f>'Diesel F'!E5</f>
        <v>76019.579999999987</v>
      </c>
      <c r="U16" s="1109"/>
      <c r="V16" s="1074"/>
      <c r="W16" s="1076" t="s">
        <v>604</v>
      </c>
      <c r="X16" s="1075"/>
      <c r="Y16" s="1077"/>
      <c r="Z16" s="1073">
        <f>'Diesel F'!E6</f>
        <v>16376.099999999999</v>
      </c>
      <c r="AA16" s="1109"/>
      <c r="AB16" s="1074"/>
      <c r="AC16" s="1076" t="s">
        <v>604</v>
      </c>
      <c r="AD16" s="1075"/>
      <c r="AE16" s="1077"/>
      <c r="AF16" s="1146">
        <f>'Diesel F'!E8</f>
        <v>5343.78</v>
      </c>
      <c r="AG16" s="1147"/>
      <c r="AH16" s="1148"/>
      <c r="AI16" s="1076" t="s">
        <v>604</v>
      </c>
      <c r="AJ16" s="1075"/>
      <c r="AK16" s="1077"/>
      <c r="AL16" s="303"/>
      <c r="AM16" s="303" t="s">
        <v>605</v>
      </c>
      <c r="AN16" s="303"/>
      <c r="AO16" s="303"/>
      <c r="AP16" s="351">
        <v>1020</v>
      </c>
      <c r="AQ16" s="352">
        <f>AP16/$AR$9/$AR$7 * ((AN18+273.15)/(AN19+273.15))</f>
        <v>37.956295834166582</v>
      </c>
      <c r="AR16" s="353">
        <f>AX4</f>
        <v>0.13333333333333333</v>
      </c>
      <c r="AS16" s="354">
        <f>AR16*$AR$6/1055.06</f>
        <v>5.7374304146999541E-5</v>
      </c>
      <c r="AT16" s="355">
        <f>AS16*$Q$16*1000000</f>
        <v>2575.543613351439</v>
      </c>
      <c r="AU16" s="356">
        <f>AX5</f>
        <v>3.3333333333333333E-2</v>
      </c>
      <c r="AV16" s="354">
        <f>AU16*$AR$6/1055.06</f>
        <v>1.4343576036749885E-5</v>
      </c>
      <c r="AW16" s="355">
        <f>AV16*$Q$16*1000000</f>
        <v>643.88590333785976</v>
      </c>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1">
        <v>305.24099999999999</v>
      </c>
      <c r="I17" s="1132"/>
      <c r="J17" s="1133"/>
      <c r="K17" s="1134">
        <v>832.5</v>
      </c>
      <c r="L17" s="1135"/>
      <c r="M17" s="1136"/>
      <c r="N17" s="1137">
        <v>42.59</v>
      </c>
      <c r="O17" s="1138"/>
      <c r="P17" s="1139"/>
      <c r="Q17" s="1137">
        <v>45.61</v>
      </c>
      <c r="R17" s="1138"/>
      <c r="S17" s="1139"/>
      <c r="T17" s="1066">
        <f>$Q$17/$Q$16*T16</f>
        <v>77238.5408883567</v>
      </c>
      <c r="U17" s="1110"/>
      <c r="V17" s="1067"/>
      <c r="W17" s="1114">
        <f>T17/1000000/K17</f>
        <v>9.2779028094122163E-5</v>
      </c>
      <c r="X17" s="1115"/>
      <c r="Y17" s="1116"/>
      <c r="Z17" s="1066">
        <f>$Q$17/$Q$16*Z16</f>
        <v>16638.6879464714</v>
      </c>
      <c r="AA17" s="1110"/>
      <c r="AB17" s="1067"/>
      <c r="AC17" s="1114">
        <f>Z17/1000000/K17</f>
        <v>1.9986411947713393E-5</v>
      </c>
      <c r="AD17" s="1115"/>
      <c r="AE17" s="1116"/>
      <c r="AF17" s="1066">
        <f>$Q$17/$Q$16*AF16</f>
        <v>5429.4665930590891</v>
      </c>
      <c r="AG17" s="1110"/>
      <c r="AH17" s="1067"/>
      <c r="AI17" s="1060">
        <f>AF17/1000000/K17</f>
        <v>6.5218817934643711E-6</v>
      </c>
      <c r="AJ17" s="1059"/>
      <c r="AK17" s="1063"/>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123"/>
      <c r="O18" s="1069"/>
      <c r="P18" s="1124"/>
      <c r="Q18" s="1125"/>
      <c r="R18" s="1126"/>
      <c r="S18" s="112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125</v>
      </c>
      <c r="AA19" s="1118"/>
      <c r="AB19" s="1119"/>
      <c r="AC19" s="1117" t="s">
        <v>125</v>
      </c>
      <c r="AD19" s="1118"/>
      <c r="AE19" s="1119"/>
      <c r="AF19" s="358" t="s">
        <v>728</v>
      </c>
      <c r="AG19" s="31"/>
      <c r="AH19" s="31"/>
      <c r="AI19" s="31"/>
      <c r="AJ19" s="31"/>
      <c r="AK19" s="226"/>
      <c r="AL19" s="303"/>
      <c r="AM19" s="24" t="s">
        <v>699</v>
      </c>
      <c r="AN19" s="24">
        <v>15.6</v>
      </c>
      <c r="AO19" s="23" t="s">
        <v>609</v>
      </c>
      <c r="AP19" s="303"/>
      <c r="AQ19" s="303"/>
      <c r="AR19" s="356">
        <f>AX6</f>
        <v>4.6666666666666669E-2</v>
      </c>
      <c r="AS19" s="354">
        <f>AR19*$AR$6/1055.06</f>
        <v>2.0081006451449841E-5</v>
      </c>
      <c r="AT19" s="355">
        <f>AS19*$Q$16*1000000</f>
        <v>901.44026467300375</v>
      </c>
      <c r="AU19" s="351">
        <v>0.37446000000000002</v>
      </c>
      <c r="AV19" s="354">
        <f>AU19*$AR$6/1055.06</f>
        <v>1.6113286448164087E-4</v>
      </c>
      <c r="AW19" s="355">
        <f>AV19*$Q$16*1000000</f>
        <v>7233.2854609168498</v>
      </c>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c r="I21" s="1109"/>
      <c r="J21" s="1074"/>
      <c r="K21" s="1076" t="s">
        <v>604</v>
      </c>
      <c r="L21" s="1075"/>
      <c r="M21" s="1077"/>
      <c r="N21" s="1073">
        <f>'Diesel F'!E7</f>
        <v>4999.0199999999986</v>
      </c>
      <c r="O21" s="1109"/>
      <c r="P21" s="1074"/>
      <c r="Q21" s="1076" t="s">
        <v>604</v>
      </c>
      <c r="R21" s="1075"/>
      <c r="S21" s="1077"/>
      <c r="T21" s="1073"/>
      <c r="U21" s="1109"/>
      <c r="V21" s="1074"/>
      <c r="W21" s="1214" t="s">
        <v>604</v>
      </c>
      <c r="X21" s="1215"/>
      <c r="Y21" s="1216"/>
      <c r="Z21" s="1073"/>
      <c r="AA21" s="1109"/>
      <c r="AB21" s="1074"/>
      <c r="AC21" s="1076" t="s">
        <v>604</v>
      </c>
      <c r="AD21" s="1075"/>
      <c r="AE21" s="1077"/>
      <c r="AF21" s="300"/>
      <c r="AG21" s="31"/>
      <c r="AH21" s="302"/>
      <c r="AI21" s="31"/>
      <c r="AJ21" s="31"/>
      <c r="AK21" s="32"/>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6"/>
      <c r="I22" s="1110"/>
      <c r="J22" s="1067"/>
      <c r="K22" s="1114"/>
      <c r="L22" s="1115"/>
      <c r="M22" s="1116"/>
      <c r="N22" s="1066">
        <f>$Q$17/$Q$16*N21</f>
        <v>5079.1784257649533</v>
      </c>
      <c r="O22" s="1110"/>
      <c r="P22" s="1067"/>
      <c r="Q22" s="1114">
        <f>N22/1000000/K17</f>
        <v>6.1011152261440878E-6</v>
      </c>
      <c r="R22" s="1115"/>
      <c r="S22" s="1116"/>
      <c r="T22" s="1099"/>
      <c r="U22" s="1048"/>
      <c r="V22" s="1058"/>
      <c r="W22" s="1211"/>
      <c r="X22" s="1212"/>
      <c r="Y22" s="1213"/>
      <c r="Z22" s="1066"/>
      <c r="AA22" s="1110"/>
      <c r="AB22" s="1067"/>
      <c r="AC22" s="1114"/>
      <c r="AD22" s="1115"/>
      <c r="AE22" s="1116"/>
      <c r="AF22" s="31"/>
      <c r="AG22" s="31"/>
      <c r="AH22" s="31"/>
      <c r="AI22" s="31"/>
      <c r="AJ22" s="31"/>
      <c r="AK22" s="32"/>
      <c r="AL22" s="303"/>
      <c r="AM22" s="303"/>
      <c r="AN22" s="303"/>
      <c r="AO22" s="303"/>
      <c r="AP22" s="303"/>
      <c r="AQ22" s="303"/>
      <c r="AR22" s="356">
        <f>AX8</f>
        <v>6.9333333333333339E-3</v>
      </c>
      <c r="AS22" s="354">
        <f>AR22*$AR$6/1055.06</f>
        <v>2.9834638156439767E-6</v>
      </c>
      <c r="AT22" s="355">
        <f>AS22*$Q$16*1000000</f>
        <v>133.92826789427485</v>
      </c>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045"/>
      <c r="I23" s="1033"/>
      <c r="J23" s="1046"/>
      <c r="K23" s="1089"/>
      <c r="L23" s="1090"/>
      <c r="M23" s="1091"/>
      <c r="N23" s="1045"/>
      <c r="O23" s="1033"/>
      <c r="P23" s="1046"/>
      <c r="Q23" s="1096"/>
      <c r="R23" s="1097"/>
      <c r="S23" s="1098"/>
      <c r="T23" s="1099"/>
      <c r="U23" s="1048"/>
      <c r="V23" s="1058"/>
      <c r="W23" s="1096"/>
      <c r="X23" s="1097"/>
      <c r="Y23" s="1098"/>
      <c r="Z23" s="1086"/>
      <c r="AA23" s="1087"/>
      <c r="AB23" s="1088"/>
      <c r="AC23" s="1089"/>
      <c r="AD23" s="1090"/>
      <c r="AE23" s="1091"/>
      <c r="AF23" s="31"/>
      <c r="AG23" s="31"/>
      <c r="AH23" s="31"/>
      <c r="AI23" s="31"/>
      <c r="AJ23" s="31"/>
      <c r="AK23" s="32"/>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c r="I25" s="31" t="s">
        <v>590</v>
      </c>
      <c r="J25" s="31"/>
      <c r="K25" s="31"/>
      <c r="L25" s="31" t="s">
        <v>615</v>
      </c>
      <c r="M25" s="31"/>
      <c r="N25" s="31"/>
      <c r="O25" s="31"/>
      <c r="P25" s="31"/>
      <c r="Q25" s="31"/>
      <c r="R25" s="31"/>
      <c r="S25" s="32" t="s">
        <v>616</v>
      </c>
      <c r="T25" s="1092" t="str">
        <f>A17</f>
        <v>Diesel</v>
      </c>
      <c r="U25" s="1093"/>
      <c r="V25" s="1093"/>
      <c r="W25" s="1093"/>
      <c r="X25" s="1094">
        <v>170.66249999999999</v>
      </c>
      <c r="Y25" s="1094"/>
      <c r="Z25" s="1094"/>
      <c r="AA25" s="1093" t="s">
        <v>617</v>
      </c>
      <c r="AB25" s="1093"/>
      <c r="AC25" s="1095">
        <f>X25/H17</f>
        <v>0.55910739382979346</v>
      </c>
      <c r="AD25" s="1095"/>
      <c r="AE25" s="1093" t="s">
        <v>618</v>
      </c>
      <c r="AF25" s="1093"/>
      <c r="AG25" s="1093"/>
      <c r="AH25" s="1198">
        <f>X25*N17/3600</f>
        <v>2.0190321875000001</v>
      </c>
      <c r="AI25" s="1198"/>
      <c r="AJ25" s="361" t="s">
        <v>590</v>
      </c>
      <c r="AK25" s="362"/>
      <c r="AL25" s="303"/>
      <c r="AM25" s="363">
        <f>X25*W22</f>
        <v>0</v>
      </c>
      <c r="AN25" s="303"/>
      <c r="AO25" s="303"/>
      <c r="AP25" s="303"/>
      <c r="AQ25" s="303"/>
      <c r="AR25" s="351">
        <f>AX7</f>
        <v>0.01</v>
      </c>
      <c r="AS25" s="354">
        <f>AR25*$AR$6/1055.06</f>
        <v>4.3030728110249664E-6</v>
      </c>
      <c r="AT25" s="355">
        <f>AS25*$Q$16*1000000</f>
        <v>193.16577100135797</v>
      </c>
      <c r="AU25" s="356">
        <f>AX9</f>
        <v>3.5333333333333336E-3</v>
      </c>
      <c r="AV25" s="354">
        <f>AU25*$AR$6/1055.06</f>
        <v>1.5204190598954882E-6</v>
      </c>
      <c r="AW25" s="355">
        <f>AV25*$Q$16*1000000</f>
        <v>68.251905753813148</v>
      </c>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0</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c r="B27" s="1081"/>
      <c r="C27" s="1081"/>
      <c r="D27" s="1081"/>
      <c r="E27" s="1081"/>
      <c r="F27" s="1042" t="str">
        <f>A17</f>
        <v>Diesel</v>
      </c>
      <c r="G27" s="1043"/>
      <c r="H27" s="1043"/>
      <c r="I27" s="1043"/>
      <c r="J27" s="1043"/>
      <c r="K27" s="1043"/>
      <c r="L27" s="1043"/>
      <c r="M27" s="1043"/>
      <c r="N27" s="1043"/>
      <c r="O27" s="1043"/>
      <c r="P27" s="1043"/>
      <c r="Q27" s="1043"/>
      <c r="R27" s="1043"/>
      <c r="S27" s="1043"/>
      <c r="T27" s="1043"/>
      <c r="U27" s="1080"/>
      <c r="V27" s="31"/>
      <c r="W27" s="31"/>
      <c r="X27" s="426">
        <f>AH25</f>
        <v>2.0190321875000001</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29">
        <v>24</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29">
        <f>X27*X28</f>
        <v>48.4567725</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29">
        <f>X29*3600/1000</f>
        <v>174.44438099999999</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196">
        <v>0</v>
      </c>
      <c r="G31" s="1197"/>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BF33</f>
        <v>3.7672634101823899E-6</v>
      </c>
      <c r="G32" s="1195"/>
      <c r="H32" s="1051">
        <f>F32*$AC$25</f>
        <v>2.1063048271374162E-6</v>
      </c>
      <c r="I32" s="1052"/>
      <c r="J32" s="1059"/>
      <c r="K32" s="1059"/>
      <c r="L32" s="1060"/>
      <c r="M32" s="1059"/>
      <c r="N32" s="1054">
        <f t="shared" si="2"/>
        <v>3.3789342036938436E-5</v>
      </c>
      <c r="O32" s="1055"/>
      <c r="P32" s="1061">
        <f>R32/$R$53</f>
        <v>0</v>
      </c>
      <c r="Q32" s="1062"/>
      <c r="R32" s="1060">
        <f>T32/$AR32</f>
        <v>0</v>
      </c>
      <c r="S32" s="1059"/>
      <c r="T32" s="1064">
        <f>$K$22*$X$25</f>
        <v>0</v>
      </c>
      <c r="U32" s="1065"/>
      <c r="V32" s="1644" t="s">
        <v>831</v>
      </c>
      <c r="W32" s="1652"/>
      <c r="X32" s="1652"/>
      <c r="Y32" s="1652"/>
      <c r="Z32" s="1652"/>
      <c r="AA32" s="1652"/>
      <c r="AB32" s="1652"/>
      <c r="AC32" s="1652"/>
      <c r="AD32" s="1652"/>
      <c r="AE32" s="1652"/>
      <c r="AF32" s="1652"/>
      <c r="AG32" s="1652"/>
      <c r="AH32" s="1652"/>
      <c r="AI32" s="1652"/>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1653"/>
      <c r="W33" s="1652"/>
      <c r="X33" s="1652"/>
      <c r="Y33" s="1652"/>
      <c r="Z33" s="1652"/>
      <c r="AA33" s="1652"/>
      <c r="AB33" s="1652"/>
      <c r="AC33" s="1652"/>
      <c r="AD33" s="1652"/>
      <c r="AE33" s="1652"/>
      <c r="AF33" s="1652"/>
      <c r="AG33" s="1652"/>
      <c r="AH33" s="1652"/>
      <c r="AI33" s="1652"/>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BF34</f>
        <v>2.32021919756754E-4</v>
      </c>
      <c r="G34" s="1050"/>
      <c r="H34" s="1051">
        <f t="shared" si="1"/>
        <v>1.297251708665842E-4</v>
      </c>
      <c r="I34" s="1052"/>
      <c r="J34" s="1059"/>
      <c r="K34" s="1059"/>
      <c r="L34" s="1060"/>
      <c r="M34" s="1059"/>
      <c r="N34" s="1054">
        <f t="shared" si="2"/>
        <v>3.9005764376164533E-3</v>
      </c>
      <c r="O34" s="1055"/>
      <c r="P34" s="1061">
        <f t="shared" si="10"/>
        <v>0</v>
      </c>
      <c r="Q34" s="1062"/>
      <c r="R34" s="1059">
        <f>T34/$AR34</f>
        <v>0</v>
      </c>
      <c r="S34" s="1059"/>
      <c r="T34" s="1061">
        <f t="shared" si="11"/>
        <v>0</v>
      </c>
      <c r="U34" s="1062"/>
      <c r="V34" s="1653"/>
      <c r="W34" s="1652"/>
      <c r="X34" s="1652"/>
      <c r="Y34" s="1652"/>
      <c r="Z34" s="1652"/>
      <c r="AA34" s="1652"/>
      <c r="AB34" s="1652"/>
      <c r="AC34" s="1652"/>
      <c r="AD34" s="1652"/>
      <c r="AE34" s="1652"/>
      <c r="AF34" s="1652"/>
      <c r="AG34" s="1652"/>
      <c r="AH34" s="1652"/>
      <c r="AI34" s="1652"/>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1653"/>
      <c r="W35" s="1652"/>
      <c r="X35" s="1652"/>
      <c r="Y35" s="1652"/>
      <c r="Z35" s="1652"/>
      <c r="AA35" s="1652"/>
      <c r="AB35" s="1652"/>
      <c r="AC35" s="1652"/>
      <c r="AD35" s="1652"/>
      <c r="AE35" s="1652"/>
      <c r="AF35" s="1652"/>
      <c r="AG35" s="1652"/>
      <c r="AH35" s="1652"/>
      <c r="AI35" s="1652"/>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BF35</f>
        <v>4.1140406723645098E-3</v>
      </c>
      <c r="G36" s="1050"/>
      <c r="H36" s="1051">
        <f t="shared" si="1"/>
        <v>2.3001905584354924E-3</v>
      </c>
      <c r="I36" s="1052"/>
      <c r="J36" s="1059"/>
      <c r="K36" s="1059"/>
      <c r="L36" s="1060"/>
      <c r="M36" s="1059"/>
      <c r="N36" s="1054">
        <f t="shared" si="2"/>
        <v>0.10142460248365461</v>
      </c>
      <c r="O36" s="1055"/>
      <c r="P36" s="1061">
        <f t="shared" si="10"/>
        <v>0</v>
      </c>
      <c r="Q36" s="1062"/>
      <c r="R36" s="1059">
        <f t="shared" si="12"/>
        <v>0</v>
      </c>
      <c r="S36" s="1059"/>
      <c r="T36" s="1061">
        <f t="shared" si="11"/>
        <v>0</v>
      </c>
      <c r="U36" s="1062"/>
      <c r="V36" s="1653"/>
      <c r="W36" s="1652"/>
      <c r="X36" s="1652"/>
      <c r="Y36" s="1652"/>
      <c r="Z36" s="1652"/>
      <c r="AA36" s="1652"/>
      <c r="AB36" s="1652"/>
      <c r="AC36" s="1652"/>
      <c r="AD36" s="1652"/>
      <c r="AE36" s="1652"/>
      <c r="AF36" s="1652"/>
      <c r="AG36" s="1652"/>
      <c r="AH36" s="1652"/>
      <c r="AI36" s="1652"/>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1653"/>
      <c r="W37" s="1652"/>
      <c r="X37" s="1652"/>
      <c r="Y37" s="1652"/>
      <c r="Z37" s="1652"/>
      <c r="AA37" s="1652"/>
      <c r="AB37" s="1652"/>
      <c r="AC37" s="1652"/>
      <c r="AD37" s="1652"/>
      <c r="AE37" s="1652"/>
      <c r="AF37" s="1652"/>
      <c r="AG37" s="1652"/>
      <c r="AH37" s="1652"/>
      <c r="AI37" s="1652"/>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BF36</f>
        <v>4.2987554978870402E-3</v>
      </c>
      <c r="G38" s="1050"/>
      <c r="H38" s="1051">
        <f t="shared" si="1"/>
        <v>2.4034659831351193E-3</v>
      </c>
      <c r="I38" s="1052"/>
      <c r="J38" s="1059"/>
      <c r="K38" s="1059"/>
      <c r="L38" s="1060"/>
      <c r="M38" s="1059"/>
      <c r="N38" s="1054">
        <f t="shared" si="2"/>
        <v>0.13968944293981314</v>
      </c>
      <c r="O38" s="1055"/>
      <c r="P38" s="1061">
        <f t="shared" si="10"/>
        <v>0</v>
      </c>
      <c r="Q38" s="1062"/>
      <c r="R38" s="1059">
        <f t="shared" si="12"/>
        <v>0</v>
      </c>
      <c r="S38" s="1059"/>
      <c r="T38" s="1061">
        <f t="shared" si="11"/>
        <v>0</v>
      </c>
      <c r="U38" s="1062"/>
      <c r="V38" s="1653"/>
      <c r="W38" s="1652"/>
      <c r="X38" s="1652"/>
      <c r="Y38" s="1652"/>
      <c r="Z38" s="1652"/>
      <c r="AA38" s="1652"/>
      <c r="AB38" s="1652"/>
      <c r="AC38" s="1652"/>
      <c r="AD38" s="1652"/>
      <c r="AE38" s="1652"/>
      <c r="AF38" s="1652"/>
      <c r="AG38" s="1652"/>
      <c r="AH38" s="1652"/>
      <c r="AI38" s="1652"/>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f>BF37</f>
        <v>1.33109664079022E-2</v>
      </c>
      <c r="G39" s="1050"/>
      <c r="H39" s="1051">
        <f t="shared" si="1"/>
        <v>7.4422597376781266E-3</v>
      </c>
      <c r="I39" s="1052"/>
      <c r="J39" s="1059"/>
      <c r="K39" s="1059"/>
      <c r="L39" s="1060"/>
      <c r="M39" s="1059"/>
      <c r="N39" s="1054">
        <f t="shared" si="2"/>
        <v>0.43254413595385272</v>
      </c>
      <c r="O39" s="1055"/>
      <c r="P39" s="1061">
        <f t="shared" si="10"/>
        <v>0</v>
      </c>
      <c r="Q39" s="1062"/>
      <c r="R39" s="1059">
        <f t="shared" si="12"/>
        <v>0</v>
      </c>
      <c r="S39" s="1059"/>
      <c r="T39" s="1061">
        <f t="shared" si="11"/>
        <v>0</v>
      </c>
      <c r="U39" s="1062"/>
      <c r="V39" s="1653"/>
      <c r="W39" s="1652"/>
      <c r="X39" s="1652"/>
      <c r="Y39" s="1652"/>
      <c r="Z39" s="1652"/>
      <c r="AA39" s="1652"/>
      <c r="AB39" s="1652"/>
      <c r="AC39" s="1652"/>
      <c r="AD39" s="1652"/>
      <c r="AE39" s="1652"/>
      <c r="AF39" s="1652"/>
      <c r="AG39" s="1652"/>
      <c r="AH39" s="1652"/>
      <c r="AI39" s="1652"/>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BF38</f>
        <v>1.4450640107125301E-2</v>
      </c>
      <c r="G40" s="1050"/>
      <c r="H40" s="1051">
        <f t="shared" si="1"/>
        <v>8.0794597294671141E-3</v>
      </c>
      <c r="I40" s="1052"/>
      <c r="J40" s="1059"/>
      <c r="K40" s="1059"/>
      <c r="L40" s="1060"/>
      <c r="M40" s="1059"/>
      <c r="N40" s="1054">
        <f t="shared" si="2"/>
        <v>0.58290070164213437</v>
      </c>
      <c r="O40" s="1055"/>
      <c r="P40" s="1061">
        <f t="shared" si="10"/>
        <v>0</v>
      </c>
      <c r="Q40" s="1062"/>
      <c r="R40" s="1059">
        <f t="shared" si="12"/>
        <v>0</v>
      </c>
      <c r="S40" s="1059"/>
      <c r="T40" s="1061">
        <f t="shared" si="11"/>
        <v>0</v>
      </c>
      <c r="U40" s="1062"/>
      <c r="V40" s="1653"/>
      <c r="W40" s="1652"/>
      <c r="X40" s="1652"/>
      <c r="Y40" s="1652"/>
      <c r="Z40" s="1652"/>
      <c r="AA40" s="1652"/>
      <c r="AB40" s="1652"/>
      <c r="AC40" s="1652"/>
      <c r="AD40" s="1652"/>
      <c r="AE40" s="1652"/>
      <c r="AF40" s="1652"/>
      <c r="AG40" s="1652"/>
      <c r="AH40" s="1652"/>
      <c r="AI40" s="1652"/>
      <c r="AJ40" s="1069"/>
      <c r="AK40" s="1124"/>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BF40</f>
        <v>1.8657920075756399E-2</v>
      </c>
      <c r="G41" s="1050"/>
      <c r="H41" s="1051">
        <f t="shared" si="1"/>
        <v>1.0431781067840743E-2</v>
      </c>
      <c r="I41" s="1052"/>
      <c r="J41" s="1059"/>
      <c r="K41" s="1059"/>
      <c r="L41" s="1060"/>
      <c r="M41" s="1059"/>
      <c r="N41" s="1054">
        <f t="shared" si="2"/>
        <v>0.75261127692043828</v>
      </c>
      <c r="O41" s="1055"/>
      <c r="P41" s="1061">
        <f t="shared" si="10"/>
        <v>0</v>
      </c>
      <c r="Q41" s="1062"/>
      <c r="R41" s="1059">
        <f t="shared" si="12"/>
        <v>0</v>
      </c>
      <c r="S41" s="1059"/>
      <c r="T41" s="1061">
        <f t="shared" si="11"/>
        <v>0</v>
      </c>
      <c r="U41" s="1062"/>
      <c r="V41" s="1653"/>
      <c r="W41" s="1652"/>
      <c r="X41" s="1652"/>
      <c r="Y41" s="1652"/>
      <c r="Z41" s="1652"/>
      <c r="AA41" s="1652"/>
      <c r="AB41" s="1652"/>
      <c r="AC41" s="1652"/>
      <c r="AD41" s="1652"/>
      <c r="AE41" s="1652"/>
      <c r="AF41" s="1652"/>
      <c r="AG41" s="1652"/>
      <c r="AH41" s="1652"/>
      <c r="AI41" s="1652"/>
      <c r="AJ41" s="1069"/>
      <c r="AK41" s="1124"/>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425</v>
      </c>
      <c r="B42" s="376"/>
      <c r="C42" s="376"/>
      <c r="D42" s="376"/>
      <c r="E42" s="377"/>
      <c r="F42" s="1049">
        <f>SUM(BF41:BF75)</f>
        <v>0.94337200608568694</v>
      </c>
      <c r="G42" s="1050"/>
      <c r="H42" s="1064">
        <f t="shared" si="1"/>
        <v>0.5274462637345525</v>
      </c>
      <c r="I42" s="1065"/>
      <c r="J42" s="1059"/>
      <c r="K42" s="1059"/>
      <c r="L42" s="1060"/>
      <c r="M42" s="1059"/>
      <c r="N42" s="1054">
        <f t="shared" si="2"/>
        <v>168.62715500262874</v>
      </c>
      <c r="O42" s="1055"/>
      <c r="P42" s="1061">
        <f t="shared" si="10"/>
        <v>0</v>
      </c>
      <c r="Q42" s="1062"/>
      <c r="R42" s="1059">
        <f t="shared" si="12"/>
        <v>0</v>
      </c>
      <c r="S42" s="1059"/>
      <c r="T42" s="1061">
        <f t="shared" si="11"/>
        <v>0</v>
      </c>
      <c r="U42" s="1062"/>
      <c r="V42" s="1032"/>
      <c r="W42" s="1032"/>
      <c r="X42" s="1033"/>
      <c r="Y42" s="1033"/>
      <c r="Z42" s="1032"/>
      <c r="AA42" s="1032"/>
      <c r="AB42" s="1032"/>
      <c r="AC42" s="1032"/>
      <c r="AD42" s="1033"/>
      <c r="AE42" s="1033"/>
      <c r="AF42" s="1047"/>
      <c r="AG42" s="1047"/>
      <c r="AH42" s="1032"/>
      <c r="AI42" s="1032"/>
      <c r="AJ42" s="1048"/>
      <c r="AK42" s="105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18.407756289312307</v>
      </c>
      <c r="K45" s="1070"/>
      <c r="L45" s="1060">
        <f>0.15*J45</f>
        <v>2.7611634433968457</v>
      </c>
      <c r="M45" s="1059"/>
      <c r="N45" s="1066">
        <f t="shared" si="2"/>
        <v>677.40543144669289</v>
      </c>
      <c r="O45" s="1067"/>
      <c r="P45" s="1061">
        <f t="shared" si="10"/>
        <v>2.6677885602713645E-2</v>
      </c>
      <c r="Q45" s="1062"/>
      <c r="R45" s="1059">
        <f>L45+SUMPRODUCT(R32:R44,$AS32:$AS44)</f>
        <v>2.7611634433968457</v>
      </c>
      <c r="S45" s="1059"/>
      <c r="T45" s="1071">
        <f>R45*$AR45</f>
        <v>88.357230188699063</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BF31</f>
        <v>1.4415226502516399E-10</v>
      </c>
      <c r="G46" s="1195"/>
      <c r="H46" s="1061">
        <f t="shared" si="1"/>
        <v>8.0596597212881126E-11</v>
      </c>
      <c r="I46" s="1062"/>
      <c r="J46" s="1059">
        <f>0.79/0.21*J45</f>
        <v>69.248226040746303</v>
      </c>
      <c r="K46" s="1063"/>
      <c r="L46" s="1060">
        <f>0.71/0.29*L45</f>
        <v>6.7600898096957263</v>
      </c>
      <c r="M46" s="1059"/>
      <c r="N46" s="1066">
        <f>SUM(H46,J46,L46)*AR46</f>
        <v>2128.2328438146333</v>
      </c>
      <c r="O46" s="1067"/>
      <c r="P46" s="1064">
        <f t="shared" si="10"/>
        <v>0.73437593020060532</v>
      </c>
      <c r="Q46" s="1065"/>
      <c r="R46" s="1064">
        <f>$H46+J46+L46-R49</f>
        <v>76.007971635286054</v>
      </c>
      <c r="S46" s="1065"/>
      <c r="T46" s="1066">
        <f>R46*$AR46</f>
        <v>2128.2232057880096</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1.1765736557664542E-6</v>
      </c>
      <c r="Q47" s="1062"/>
      <c r="R47" s="1059">
        <f>T47/$AR$47</f>
        <v>1.2177547408163645E-4</v>
      </c>
      <c r="S47" s="1059"/>
      <c r="T47" s="1064">
        <f>$AC17*$X25</f>
        <v>3.4109310290266369E-3</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BF32</f>
        <v>1.04835044112351E-6</v>
      </c>
      <c r="G48" s="1195"/>
      <c r="H48" s="1061">
        <f t="shared" si="1"/>
        <v>5.8614048295687997E-7</v>
      </c>
      <c r="I48" s="1062"/>
      <c r="J48" s="1059"/>
      <c r="K48" s="1059"/>
      <c r="L48" s="1060"/>
      <c r="M48" s="1059"/>
      <c r="N48" s="1061">
        <f t="shared" si="2"/>
        <v>2.5796042654932285E-5</v>
      </c>
      <c r="O48" s="1062"/>
      <c r="P48" s="1064">
        <f t="shared" si="10"/>
        <v>0.11676935192729568</v>
      </c>
      <c r="Q48" s="1065"/>
      <c r="R48" s="1068">
        <f>SUMPRODUCT($H31:$H52,$AU31:$AU52)+$H48-R47-SUMPRODUCT(R32:R42,$AU32:$AU42)</f>
        <v>12.085637919445674</v>
      </c>
      <c r="S48" s="1059"/>
      <c r="T48" s="1066">
        <f>R48*$AR48</f>
        <v>531.88892483480402</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3.3257483275116946E-6</v>
      </c>
      <c r="Q49" s="1062"/>
      <c r="R49" s="1060">
        <f>T49/$AR49</f>
        <v>3.4421523656767662E-4</v>
      </c>
      <c r="S49" s="1063"/>
      <c r="T49" s="1064">
        <f>$W17*$X25</f>
        <v>1.5833900882113124E-2</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1.5719062744120609E-7</v>
      </c>
      <c r="Q51" s="1062"/>
      <c r="R51" s="1066">
        <f>T51/$AR51</f>
        <v>1.6269243395028365E-5</v>
      </c>
      <c r="S51" s="1067"/>
      <c r="T51" s="1060">
        <f>Q22*X25</f>
        <v>1.0412315772818153E-3</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193">
        <f>BF76</f>
        <v>1.4951987737782399E-3</v>
      </c>
      <c r="G52" s="1194"/>
      <c r="H52" s="1051">
        <f t="shared" si="1"/>
        <v>8.359766896646547E-4</v>
      </c>
      <c r="I52" s="1052"/>
      <c r="J52" s="1032"/>
      <c r="K52" s="1032"/>
      <c r="L52" s="1053"/>
      <c r="M52" s="1032"/>
      <c r="N52" s="1054">
        <f t="shared" si="2"/>
        <v>1.5060956040998417E-2</v>
      </c>
      <c r="O52" s="1055"/>
      <c r="P52" s="1056">
        <f t="shared" si="10"/>
        <v>0.12217217275677479</v>
      </c>
      <c r="Q52" s="1057"/>
      <c r="R52" s="1044">
        <f>SUMPRODUCT(H31:H52,$AV31:$AV52)+H52-SUMPRODUCT(R32:R42,$AV32:$AV42)</f>
        <v>12.644830337755741</v>
      </c>
      <c r="S52" s="1044"/>
      <c r="T52" s="1045">
        <f>R52*$AR52</f>
        <v>227.80926336500741</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0.99993636529826091</v>
      </c>
      <c r="G53" s="1038"/>
      <c r="H53" s="1039">
        <f>SUM(H31:H52)</f>
        <v>0.55907181519754701</v>
      </c>
      <c r="I53" s="1040"/>
      <c r="J53" s="1041">
        <f>SUM(J31:J52)</f>
        <v>87.655982330058606</v>
      </c>
      <c r="K53" s="1041"/>
      <c r="L53" s="1042">
        <f>SUM(L31:L52)</f>
        <v>9.5212532530925724</v>
      </c>
      <c r="M53" s="1043"/>
      <c r="N53" s="1030">
        <f>SUM(N31:N52)</f>
        <v>2976.2936215417581</v>
      </c>
      <c r="O53" s="1031"/>
      <c r="P53" s="1028">
        <f>SUM(P31:P52)</f>
        <v>1</v>
      </c>
      <c r="Q53" s="1029"/>
      <c r="R53" s="1030">
        <f>SUM(R31:R52)</f>
        <v>103.50008559583834</v>
      </c>
      <c r="S53" s="1031"/>
      <c r="T53" s="1030">
        <f>SUM(T31:T52)</f>
        <v>2976.2989102400088</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4.3983058005869786E-3</v>
      </c>
      <c r="M55" s="1186"/>
      <c r="N55" s="1192">
        <f>W17*$X$25</f>
        <v>1.5833900882113124E-2</v>
      </c>
      <c r="O55" s="1192"/>
      <c r="P55" s="31" t="s">
        <v>617</v>
      </c>
      <c r="Q55" s="31"/>
      <c r="R55" s="1291">
        <f>N55*24/1000</f>
        <v>3.8001362117071497E-4</v>
      </c>
      <c r="S55" s="1291"/>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436">
        <f t="shared" ref="L56:L61" si="13">N56*1000/3600</f>
        <v>9.4748084139628804E-4</v>
      </c>
      <c r="M56" s="1437"/>
      <c r="N56" s="1192">
        <f>AC17*$X$25</f>
        <v>3.4109310290266369E-3</v>
      </c>
      <c r="O56" s="1192"/>
      <c r="P56" s="31" t="s">
        <v>617</v>
      </c>
      <c r="Q56" s="31"/>
      <c r="R56" s="1291">
        <f t="shared" ref="R56:R61" si="14">N56*24/1000</f>
        <v>8.1862344696639284E-5</v>
      </c>
      <c r="S56" s="1291"/>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436">
        <f t="shared" si="13"/>
        <v>3.0917795877142033E-4</v>
      </c>
      <c r="M57" s="1437"/>
      <c r="N57" s="1192">
        <f>AI17*$X$25</f>
        <v>1.1130406515771133E-3</v>
      </c>
      <c r="O57" s="1192"/>
      <c r="P57" s="31" t="s">
        <v>617</v>
      </c>
      <c r="Q57" s="31"/>
      <c r="R57" s="1291">
        <f t="shared" si="14"/>
        <v>2.6712975637850715E-5</v>
      </c>
      <c r="S57" s="1291"/>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436">
        <f t="shared" si="13"/>
        <v>0</v>
      </c>
      <c r="M58" s="1437"/>
      <c r="N58" s="1191">
        <f>K22*$X$25</f>
        <v>0</v>
      </c>
      <c r="O58" s="1191"/>
      <c r="P58" s="31" t="s">
        <v>617</v>
      </c>
      <c r="Q58" s="31"/>
      <c r="R58" s="1291">
        <f t="shared" si="14"/>
        <v>0</v>
      </c>
      <c r="S58" s="1291"/>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436">
        <f t="shared" si="13"/>
        <v>0</v>
      </c>
      <c r="M59" s="1437"/>
      <c r="N59" s="1192">
        <f>X25*W22</f>
        <v>0</v>
      </c>
      <c r="O59" s="1192"/>
      <c r="P59" s="31" t="s">
        <v>617</v>
      </c>
      <c r="Q59" s="31"/>
      <c r="R59" s="1291">
        <f t="shared" si="14"/>
        <v>0</v>
      </c>
      <c r="S59" s="1291"/>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2.8923099368939311E-4</v>
      </c>
      <c r="M60" s="1186"/>
      <c r="N60" s="1191">
        <f>Q22*$X$25</f>
        <v>1.0412315772818153E-3</v>
      </c>
      <c r="O60" s="1191"/>
      <c r="P60" s="31" t="s">
        <v>617</v>
      </c>
      <c r="Q60" s="31"/>
      <c r="R60" s="1291">
        <f t="shared" si="14"/>
        <v>2.4989557854763567E-5</v>
      </c>
      <c r="S60" s="1291"/>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0</v>
      </c>
      <c r="M61" s="1186"/>
      <c r="N61" s="1191">
        <f>AC22*$X$25</f>
        <v>0</v>
      </c>
      <c r="O61" s="1191"/>
      <c r="P61" s="31" t="s">
        <v>617</v>
      </c>
      <c r="Q61" s="31"/>
      <c r="R61" s="1291">
        <f t="shared" si="14"/>
        <v>0</v>
      </c>
      <c r="S61" s="1291"/>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436">
        <f>O62*1000/3600</f>
        <v>143.51464003893969</v>
      </c>
      <c r="M62" s="1437"/>
      <c r="N62" s="31"/>
      <c r="O62" s="428">
        <f>'Diesel F'!I56*X25</f>
        <v>516.65270414018289</v>
      </c>
      <c r="P62" s="395" t="s">
        <v>617</v>
      </c>
      <c r="Q62" s="395"/>
      <c r="R62" s="1291">
        <f>O62*24/1000</f>
        <v>12.399664899364391</v>
      </c>
      <c r="S62" s="1291"/>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680</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682</v>
      </c>
      <c r="B65" s="31" t="s">
        <v>689</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832</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232"/>
      <c r="B67" s="147"/>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2"/>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32"/>
      <c r="B68" s="147"/>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Rxhi+Ywpqo/rC2AJAbVUuTuOnSBx+CnTzQ24HyvR6Z5jExF1GJyCxJUcTTou+SajyLIxUQbGEjqD2Tg+CwdqAg==" saltValue="GSOOZyVtT3YHw2jqz+fzgg==" spinCount="100000" sheet="1" objects="1" scenarios="1" selectLockedCells="1" selectUnlockedCells="1"/>
  <mergeCells count="459">
    <mergeCell ref="AE55:AF55"/>
    <mergeCell ref="L56:M56"/>
    <mergeCell ref="N56:O56"/>
    <mergeCell ref="R56:S56"/>
    <mergeCell ref="AE59:AF59"/>
    <mergeCell ref="L60:M60"/>
    <mergeCell ref="N60:O60"/>
    <mergeCell ref="R60:S60"/>
    <mergeCell ref="L61:M61"/>
    <mergeCell ref="N61:O61"/>
    <mergeCell ref="R61:S61"/>
    <mergeCell ref="AE57:AF57"/>
    <mergeCell ref="L58:M58"/>
    <mergeCell ref="N58:O58"/>
    <mergeCell ref="R58:S58"/>
    <mergeCell ref="L59:M59"/>
    <mergeCell ref="N59:O59"/>
    <mergeCell ref="R59:S59"/>
    <mergeCell ref="T59:U59"/>
    <mergeCell ref="Y59:Z59"/>
    <mergeCell ref="AC59:AD59"/>
    <mergeCell ref="AC57:AD57"/>
    <mergeCell ref="L55:M55"/>
    <mergeCell ref="N55:O55"/>
    <mergeCell ref="R55:S55"/>
    <mergeCell ref="T55:U55"/>
    <mergeCell ref="Y55:Z55"/>
    <mergeCell ref="AC55:AD55"/>
    <mergeCell ref="L62:M62"/>
    <mergeCell ref="R62:S62"/>
    <mergeCell ref="L54:M54"/>
    <mergeCell ref="P53:Q53"/>
    <mergeCell ref="R53:S53"/>
    <mergeCell ref="T53:U53"/>
    <mergeCell ref="V53:W53"/>
    <mergeCell ref="X53:Y53"/>
    <mergeCell ref="Z53:AA53"/>
    <mergeCell ref="L57:M57"/>
    <mergeCell ref="N57:O57"/>
    <mergeCell ref="R57:S57"/>
    <mergeCell ref="T57:U57"/>
    <mergeCell ref="Y57:Z57"/>
    <mergeCell ref="AJ52:AK52"/>
    <mergeCell ref="A53:E53"/>
    <mergeCell ref="F53:G53"/>
    <mergeCell ref="H53:I53"/>
    <mergeCell ref="J53:K53"/>
    <mergeCell ref="L53:M53"/>
    <mergeCell ref="N53:O53"/>
    <mergeCell ref="R52:S52"/>
    <mergeCell ref="T52:U52"/>
    <mergeCell ref="V52:W52"/>
    <mergeCell ref="X52:Y52"/>
    <mergeCell ref="Z52:AA52"/>
    <mergeCell ref="AB52:AC52"/>
    <mergeCell ref="AB53:AC53"/>
    <mergeCell ref="AD53:AE53"/>
    <mergeCell ref="AF53:AG53"/>
    <mergeCell ref="AH53:AI53"/>
    <mergeCell ref="AJ53:AK53"/>
    <mergeCell ref="F52:G52"/>
    <mergeCell ref="H52:I52"/>
    <mergeCell ref="J52:K52"/>
    <mergeCell ref="L52:M52"/>
    <mergeCell ref="N52:O52"/>
    <mergeCell ref="P52:Q52"/>
    <mergeCell ref="R51:S51"/>
    <mergeCell ref="T51:U51"/>
    <mergeCell ref="V51:W51"/>
    <mergeCell ref="AD50:AE50"/>
    <mergeCell ref="AF50:AG50"/>
    <mergeCell ref="AH50:AI50"/>
    <mergeCell ref="N50:O50"/>
    <mergeCell ref="P50:Q50"/>
    <mergeCell ref="AD52:AE52"/>
    <mergeCell ref="AF52:AG52"/>
    <mergeCell ref="AH52:AI52"/>
    <mergeCell ref="AJ50:AK50"/>
    <mergeCell ref="F51:G51"/>
    <mergeCell ref="H51:I51"/>
    <mergeCell ref="J51:K51"/>
    <mergeCell ref="L51:M51"/>
    <mergeCell ref="N51:O51"/>
    <mergeCell ref="P51:Q51"/>
    <mergeCell ref="R50:S50"/>
    <mergeCell ref="T50:U50"/>
    <mergeCell ref="V50:W50"/>
    <mergeCell ref="X50:Y50"/>
    <mergeCell ref="Z50:AA50"/>
    <mergeCell ref="AB50:AC50"/>
    <mergeCell ref="AD51:AE51"/>
    <mergeCell ref="AF51:AG51"/>
    <mergeCell ref="AH51:AI51"/>
    <mergeCell ref="AJ51:AK51"/>
    <mergeCell ref="X51:Y51"/>
    <mergeCell ref="Z51:AA51"/>
    <mergeCell ref="AB51:AC51"/>
    <mergeCell ref="F50:G50"/>
    <mergeCell ref="H50:I50"/>
    <mergeCell ref="J50:K50"/>
    <mergeCell ref="L50:M50"/>
    <mergeCell ref="AD48:AE48"/>
    <mergeCell ref="AF48:AG48"/>
    <mergeCell ref="AH48:AI48"/>
    <mergeCell ref="AJ48:AK48"/>
    <mergeCell ref="F49:G49"/>
    <mergeCell ref="H49:I49"/>
    <mergeCell ref="J49:K49"/>
    <mergeCell ref="L49:M49"/>
    <mergeCell ref="N49:O49"/>
    <mergeCell ref="P49:Q49"/>
    <mergeCell ref="R48:S48"/>
    <mergeCell ref="T48:U48"/>
    <mergeCell ref="V48:W48"/>
    <mergeCell ref="X48:Y48"/>
    <mergeCell ref="Z48:AA48"/>
    <mergeCell ref="AB48:AC48"/>
    <mergeCell ref="AD49:AE49"/>
    <mergeCell ref="AF49:AG49"/>
    <mergeCell ref="AH49:AI49"/>
    <mergeCell ref="AJ49:AK49"/>
    <mergeCell ref="X49:Y49"/>
    <mergeCell ref="Z49:AA49"/>
    <mergeCell ref="AB49:AC49"/>
    <mergeCell ref="F48:G48"/>
    <mergeCell ref="H48:I48"/>
    <mergeCell ref="J48:K48"/>
    <mergeCell ref="L48:M48"/>
    <mergeCell ref="N48:O48"/>
    <mergeCell ref="P48:Q48"/>
    <mergeCell ref="R47:S47"/>
    <mergeCell ref="T47:U47"/>
    <mergeCell ref="V47:W47"/>
    <mergeCell ref="R49:S49"/>
    <mergeCell ref="T49:U49"/>
    <mergeCell ref="V49:W49"/>
    <mergeCell ref="AF46:AG46"/>
    <mergeCell ref="AH46:AI46"/>
    <mergeCell ref="AJ46:AK46"/>
    <mergeCell ref="F47:G47"/>
    <mergeCell ref="H47:I47"/>
    <mergeCell ref="J47:K47"/>
    <mergeCell ref="L47:M47"/>
    <mergeCell ref="N47:O47"/>
    <mergeCell ref="P47:Q47"/>
    <mergeCell ref="R46:S46"/>
    <mergeCell ref="T46:U46"/>
    <mergeCell ref="V46:W46"/>
    <mergeCell ref="X46:Y46"/>
    <mergeCell ref="Z46:AA46"/>
    <mergeCell ref="AB46:AC46"/>
    <mergeCell ref="AD47:AE47"/>
    <mergeCell ref="AF47:AG47"/>
    <mergeCell ref="AH47:AI47"/>
    <mergeCell ref="AJ47:AK47"/>
    <mergeCell ref="X47:Y47"/>
    <mergeCell ref="Z47:AA47"/>
    <mergeCell ref="AB47:AC47"/>
    <mergeCell ref="F46:G46"/>
    <mergeCell ref="H46:I46"/>
    <mergeCell ref="J46:K46"/>
    <mergeCell ref="L46:M46"/>
    <mergeCell ref="N46:O46"/>
    <mergeCell ref="P46:Q46"/>
    <mergeCell ref="R45:S45"/>
    <mergeCell ref="T45:U45"/>
    <mergeCell ref="V45:W45"/>
    <mergeCell ref="AD44:AE44"/>
    <mergeCell ref="J44:K44"/>
    <mergeCell ref="L44:M44"/>
    <mergeCell ref="N44:O44"/>
    <mergeCell ref="P44:Q44"/>
    <mergeCell ref="AD46:AE46"/>
    <mergeCell ref="AF44:AG44"/>
    <mergeCell ref="AH44:AI44"/>
    <mergeCell ref="AJ44:AK44"/>
    <mergeCell ref="F45:G45"/>
    <mergeCell ref="H45:I45"/>
    <mergeCell ref="J45:K45"/>
    <mergeCell ref="L45:M45"/>
    <mergeCell ref="N45:O45"/>
    <mergeCell ref="P45:Q45"/>
    <mergeCell ref="R44:S44"/>
    <mergeCell ref="T44:U44"/>
    <mergeCell ref="V44:W44"/>
    <mergeCell ref="X44:Y44"/>
    <mergeCell ref="Z44:AA44"/>
    <mergeCell ref="AB44:AC44"/>
    <mergeCell ref="AD45:AE45"/>
    <mergeCell ref="AF45:AG45"/>
    <mergeCell ref="AH45:AI45"/>
    <mergeCell ref="AJ45:AK45"/>
    <mergeCell ref="X45:Y45"/>
    <mergeCell ref="Z45:AA45"/>
    <mergeCell ref="AB45:AC45"/>
    <mergeCell ref="F44:G44"/>
    <mergeCell ref="H44:I44"/>
    <mergeCell ref="AF42:AG42"/>
    <mergeCell ref="AH42:AI42"/>
    <mergeCell ref="AJ42:AK42"/>
    <mergeCell ref="F43:G43"/>
    <mergeCell ref="H43:I43"/>
    <mergeCell ref="J43:K43"/>
    <mergeCell ref="L43:M43"/>
    <mergeCell ref="N43:O43"/>
    <mergeCell ref="P43:Q43"/>
    <mergeCell ref="R42:S42"/>
    <mergeCell ref="T42:U42"/>
    <mergeCell ref="V42:W42"/>
    <mergeCell ref="X42:Y42"/>
    <mergeCell ref="Z42:AA42"/>
    <mergeCell ref="AB42:AC42"/>
    <mergeCell ref="AD43:AE43"/>
    <mergeCell ref="AF43:AG43"/>
    <mergeCell ref="AH43:AI43"/>
    <mergeCell ref="AJ43:AK43"/>
    <mergeCell ref="X43:Y43"/>
    <mergeCell ref="Z43:AA43"/>
    <mergeCell ref="AB43:AC43"/>
    <mergeCell ref="F42:G42"/>
    <mergeCell ref="H42:I42"/>
    <mergeCell ref="J42:K42"/>
    <mergeCell ref="L42:M42"/>
    <mergeCell ref="N42:O42"/>
    <mergeCell ref="P42:Q42"/>
    <mergeCell ref="R41:S41"/>
    <mergeCell ref="T41:U41"/>
    <mergeCell ref="R43:S43"/>
    <mergeCell ref="T43:U43"/>
    <mergeCell ref="V43:W43"/>
    <mergeCell ref="AD42:AE42"/>
    <mergeCell ref="V32:AI41"/>
    <mergeCell ref="AJ40:AK40"/>
    <mergeCell ref="F41:G41"/>
    <mergeCell ref="H41:I41"/>
    <mergeCell ref="J41:K41"/>
    <mergeCell ref="L41:M41"/>
    <mergeCell ref="N41:O41"/>
    <mergeCell ref="P41:Q41"/>
    <mergeCell ref="R40:S40"/>
    <mergeCell ref="T40:U40"/>
    <mergeCell ref="F40:G40"/>
    <mergeCell ref="H40:I40"/>
    <mergeCell ref="J40:K40"/>
    <mergeCell ref="L40:M40"/>
    <mergeCell ref="N40:O40"/>
    <mergeCell ref="P40:Q40"/>
    <mergeCell ref="AJ41:AK41"/>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F35:G35"/>
    <mergeCell ref="H35:I35"/>
    <mergeCell ref="J35:K35"/>
    <mergeCell ref="L35:M35"/>
    <mergeCell ref="N35:O35"/>
    <mergeCell ref="P35:Q35"/>
    <mergeCell ref="R35:S35"/>
    <mergeCell ref="T35:U35"/>
    <mergeCell ref="H34:I34"/>
    <mergeCell ref="J34:K34"/>
    <mergeCell ref="L34:M34"/>
    <mergeCell ref="N34:O34"/>
    <mergeCell ref="P34:Q34"/>
    <mergeCell ref="R34:S34"/>
    <mergeCell ref="F33:G33"/>
    <mergeCell ref="H33:I33"/>
    <mergeCell ref="J33:K33"/>
    <mergeCell ref="L33:M33"/>
    <mergeCell ref="N33:O33"/>
    <mergeCell ref="P33:Q33"/>
    <mergeCell ref="R33:S33"/>
    <mergeCell ref="T33:U33"/>
    <mergeCell ref="F34:G34"/>
    <mergeCell ref="T34:U34"/>
    <mergeCell ref="F31:G31"/>
    <mergeCell ref="H31:I31"/>
    <mergeCell ref="J31:K31"/>
    <mergeCell ref="L31:M31"/>
    <mergeCell ref="N31:O31"/>
    <mergeCell ref="P31:Q31"/>
    <mergeCell ref="R31:S31"/>
    <mergeCell ref="T31:U31"/>
    <mergeCell ref="F32:G32"/>
    <mergeCell ref="H32:I32"/>
    <mergeCell ref="J32:K32"/>
    <mergeCell ref="L32:M32"/>
    <mergeCell ref="N32:O32"/>
    <mergeCell ref="P32:Q32"/>
    <mergeCell ref="R32:S32"/>
    <mergeCell ref="T32:U32"/>
    <mergeCell ref="A30:E30"/>
    <mergeCell ref="F30:G30"/>
    <mergeCell ref="H30:I30"/>
    <mergeCell ref="J30:K30"/>
    <mergeCell ref="L30:M30"/>
    <mergeCell ref="N30:O30"/>
    <mergeCell ref="A27:E27"/>
    <mergeCell ref="F27:U27"/>
    <mergeCell ref="F28:I29"/>
    <mergeCell ref="J28:M28"/>
    <mergeCell ref="N28:O29"/>
    <mergeCell ref="P28:U29"/>
    <mergeCell ref="J29:K29"/>
    <mergeCell ref="L29:M29"/>
    <mergeCell ref="P30:Q30"/>
    <mergeCell ref="R30:S30"/>
    <mergeCell ref="T30:U30"/>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F31:U52">
    <cfRule type="expression" dxfId="157" priority="2">
      <formula>F31=0</formula>
    </cfRule>
  </conditionalFormatting>
  <conditionalFormatting sqref="R55:S62">
    <cfRule type="expression" dxfId="156" priority="1" stopIfTrue="1">
      <formula>R55=0</formula>
    </cfRule>
  </conditionalFormatting>
  <conditionalFormatting sqref="V31:AK31 AJ32:AK41 V42:AK52">
    <cfRule type="expression" dxfId="155" priority="4">
      <formula>V31=0</formula>
    </cfRule>
  </conditionalFormatting>
  <conditionalFormatting sqref="V53:AK53">
    <cfRule type="expression" dxfId="154" priority="5" stopIfTrue="1">
      <formula>V53=0</formula>
    </cfRule>
  </conditionalFormatting>
  <conditionalFormatting sqref="Y56:Y62 AC56:AD62 N57 N59">
    <cfRule type="expression" dxfId="153" priority="7" stopIfTrue="1">
      <formula>N56=0</formula>
    </cfRule>
  </conditionalFormatting>
  <pageMargins left="0.7" right="0.7" top="0.75" bottom="0.75" header="0.3" footer="0.3"/>
  <pageSetup paperSize="9" scale="61" orientation="portrait" r:id="rId1"/>
  <headerFooter>
    <oddFooter>&amp;C_x000D_&amp;1#&amp;"Calibri"&amp;10&amp;K000000 Internal</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60FF6-A4FC-4B1D-A202-6C12298A4310}">
  <sheetPr>
    <tabColor rgb="FFFFC000"/>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14" width="3.7109375" style="404"/>
    <col min="15" max="15" width="6.7109375" style="404" customWidth="1"/>
    <col min="16" max="18" width="3.7109375" style="404"/>
    <col min="19" max="19" width="5.42578125" style="404" bestFit="1" customWidth="1"/>
    <col min="20" max="23" width="3.7109375" style="404"/>
    <col min="24" max="24" width="6.28515625" style="404"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'Precom F P'!$AC$5</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
        <v>97</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137</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5.737756714060031E-17</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727</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'Diesel F'!G20</f>
        <v>44.890193469756099</v>
      </c>
      <c r="R16" s="1144"/>
      <c r="S16" s="1145"/>
      <c r="T16" s="1073">
        <f>'Diesel F'!E5</f>
        <v>76019.579999999987</v>
      </c>
      <c r="U16" s="1109"/>
      <c r="V16" s="1074"/>
      <c r="W16" s="1076" t="s">
        <v>604</v>
      </c>
      <c r="X16" s="1075"/>
      <c r="Y16" s="1077"/>
      <c r="Z16" s="1073">
        <f>'Diesel F'!E6</f>
        <v>16376.099999999999</v>
      </c>
      <c r="AA16" s="1109"/>
      <c r="AB16" s="1074"/>
      <c r="AC16" s="1076" t="s">
        <v>604</v>
      </c>
      <c r="AD16" s="1075"/>
      <c r="AE16" s="1077"/>
      <c r="AF16" s="1146">
        <f>'Diesel F'!E8</f>
        <v>5343.78</v>
      </c>
      <c r="AG16" s="1147"/>
      <c r="AH16" s="1148"/>
      <c r="AI16" s="1076" t="s">
        <v>604</v>
      </c>
      <c r="AJ16" s="1075"/>
      <c r="AK16" s="1077"/>
      <c r="AL16" s="303"/>
      <c r="AM16" s="303" t="s">
        <v>605</v>
      </c>
      <c r="AN16" s="303"/>
      <c r="AO16" s="303"/>
      <c r="AP16" s="351">
        <v>1020</v>
      </c>
      <c r="AQ16" s="352">
        <f>AP16/$AR$9/$AR$7 * ((AN18+273.15)/(AN19+273.15))</f>
        <v>37.956295834166582</v>
      </c>
      <c r="AR16" s="353">
        <f>AX4</f>
        <v>0.13333333333333333</v>
      </c>
      <c r="AS16" s="354">
        <f>AR16*$AR$6/1055.06</f>
        <v>5.7374304146999541E-5</v>
      </c>
      <c r="AT16" s="355">
        <f>AS16*$Q$16*1000000</f>
        <v>2575.543613351439</v>
      </c>
      <c r="AU16" s="356">
        <f>AX5</f>
        <v>3.3333333333333333E-2</v>
      </c>
      <c r="AV16" s="354">
        <f>AU16*$AR$6/1055.06</f>
        <v>1.4343576036749885E-5</v>
      </c>
      <c r="AW16" s="355">
        <f>AV16*$Q$16*1000000</f>
        <v>643.88590333785976</v>
      </c>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1">
        <v>305.24099999999999</v>
      </c>
      <c r="I17" s="1132"/>
      <c r="J17" s="1133"/>
      <c r="K17" s="1134">
        <v>832.5</v>
      </c>
      <c r="L17" s="1135"/>
      <c r="M17" s="1136"/>
      <c r="N17" s="1137">
        <v>42.59</v>
      </c>
      <c r="O17" s="1138"/>
      <c r="P17" s="1139"/>
      <c r="Q17" s="1137">
        <v>45.61</v>
      </c>
      <c r="R17" s="1138"/>
      <c r="S17" s="1139"/>
      <c r="T17" s="1066">
        <f>$Q$17/$Q$16*T16</f>
        <v>77238.5408883567</v>
      </c>
      <c r="U17" s="1110"/>
      <c r="V17" s="1067"/>
      <c r="W17" s="1114">
        <f>T17/1000000/K17</f>
        <v>9.2779028094122163E-5</v>
      </c>
      <c r="X17" s="1115"/>
      <c r="Y17" s="1116"/>
      <c r="Z17" s="1066">
        <f>$Q$17/$Q$16*Z16</f>
        <v>16638.6879464714</v>
      </c>
      <c r="AA17" s="1110"/>
      <c r="AB17" s="1067"/>
      <c r="AC17" s="1114">
        <f>Z17/1000000/K17</f>
        <v>1.9986411947713393E-5</v>
      </c>
      <c r="AD17" s="1115"/>
      <c r="AE17" s="1116"/>
      <c r="AF17" s="1066">
        <f>$Q$17/$Q$16*AF16</f>
        <v>5429.4665930590891</v>
      </c>
      <c r="AG17" s="1110"/>
      <c r="AH17" s="1067"/>
      <c r="AI17" s="1060">
        <f>AF17/1000000/K17</f>
        <v>6.5218817934643711E-6</v>
      </c>
      <c r="AJ17" s="1059"/>
      <c r="AK17" s="1063"/>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123"/>
      <c r="O18" s="1069"/>
      <c r="P18" s="1124"/>
      <c r="Q18" s="1125"/>
      <c r="R18" s="1126"/>
      <c r="S18" s="112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125</v>
      </c>
      <c r="AA19" s="1118"/>
      <c r="AB19" s="1119"/>
      <c r="AC19" s="1117" t="s">
        <v>125</v>
      </c>
      <c r="AD19" s="1118"/>
      <c r="AE19" s="1119"/>
      <c r="AF19" s="358" t="s">
        <v>728</v>
      </c>
      <c r="AG19" s="31"/>
      <c r="AH19" s="31"/>
      <c r="AI19" s="31"/>
      <c r="AJ19" s="31"/>
      <c r="AK19" s="226"/>
      <c r="AL19" s="303"/>
      <c r="AM19" s="24" t="s">
        <v>699</v>
      </c>
      <c r="AN19" s="24">
        <v>15.6</v>
      </c>
      <c r="AO19" s="23" t="s">
        <v>609</v>
      </c>
      <c r="AP19" s="303"/>
      <c r="AQ19" s="303"/>
      <c r="AR19" s="356">
        <f>AX6</f>
        <v>4.6666666666666669E-2</v>
      </c>
      <c r="AS19" s="354">
        <f>AR19*$AR$6/1055.06</f>
        <v>2.0081006451449841E-5</v>
      </c>
      <c r="AT19" s="355">
        <f>AS19*$Q$16*1000000</f>
        <v>901.44026467300375</v>
      </c>
      <c r="AU19" s="351">
        <v>0.37446000000000002</v>
      </c>
      <c r="AV19" s="354">
        <f>AU19*$AR$6/1055.06</f>
        <v>1.6113286448164087E-4</v>
      </c>
      <c r="AW19" s="355">
        <f>AV19*$Q$16*1000000</f>
        <v>7233.2854609168498</v>
      </c>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c r="I21" s="1109"/>
      <c r="J21" s="1074"/>
      <c r="K21" s="1076" t="s">
        <v>604</v>
      </c>
      <c r="L21" s="1075"/>
      <c r="M21" s="1077"/>
      <c r="N21" s="1073">
        <f>'Diesel F'!E7</f>
        <v>4999.0199999999986</v>
      </c>
      <c r="O21" s="1109"/>
      <c r="P21" s="1074"/>
      <c r="Q21" s="1076" t="s">
        <v>604</v>
      </c>
      <c r="R21" s="1075"/>
      <c r="S21" s="1077"/>
      <c r="T21" s="1073"/>
      <c r="U21" s="1109"/>
      <c r="V21" s="1074"/>
      <c r="W21" s="1214" t="s">
        <v>604</v>
      </c>
      <c r="X21" s="1215"/>
      <c r="Y21" s="1216"/>
      <c r="Z21" s="1073"/>
      <c r="AA21" s="1109"/>
      <c r="AB21" s="1074"/>
      <c r="AC21" s="1076" t="s">
        <v>604</v>
      </c>
      <c r="AD21" s="1075"/>
      <c r="AE21" s="1077"/>
      <c r="AF21" s="300"/>
      <c r="AG21" s="31"/>
      <c r="AH21" s="302"/>
      <c r="AI21" s="31"/>
      <c r="AJ21" s="31"/>
      <c r="AK21" s="32"/>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6"/>
      <c r="I22" s="1110"/>
      <c r="J22" s="1067"/>
      <c r="K22" s="1114"/>
      <c r="L22" s="1115"/>
      <c r="M22" s="1116"/>
      <c r="N22" s="1066">
        <f>$Q$17/$Q$16*N21</f>
        <v>5079.1784257649533</v>
      </c>
      <c r="O22" s="1110"/>
      <c r="P22" s="1067"/>
      <c r="Q22" s="1114">
        <f>N22/1000000/K17</f>
        <v>6.1011152261440878E-6</v>
      </c>
      <c r="R22" s="1115"/>
      <c r="S22" s="1116"/>
      <c r="T22" s="1099"/>
      <c r="U22" s="1048"/>
      <c r="V22" s="1058"/>
      <c r="W22" s="1211"/>
      <c r="X22" s="1212"/>
      <c r="Y22" s="1213"/>
      <c r="Z22" s="1066"/>
      <c r="AA22" s="1110"/>
      <c r="AB22" s="1067"/>
      <c r="AC22" s="1114"/>
      <c r="AD22" s="1115"/>
      <c r="AE22" s="1116"/>
      <c r="AF22" s="31"/>
      <c r="AG22" s="31"/>
      <c r="AH22" s="31"/>
      <c r="AI22" s="31"/>
      <c r="AJ22" s="31"/>
      <c r="AK22" s="32"/>
      <c r="AL22" s="303"/>
      <c r="AM22" s="303"/>
      <c r="AN22" s="303"/>
      <c r="AO22" s="303"/>
      <c r="AP22" s="303"/>
      <c r="AQ22" s="303"/>
      <c r="AR22" s="356">
        <f>AX8</f>
        <v>6.9333333333333339E-3</v>
      </c>
      <c r="AS22" s="354">
        <f>AR22*$AR$6/1055.06</f>
        <v>2.9834638156439767E-6</v>
      </c>
      <c r="AT22" s="355">
        <f>AS22*$Q$16*1000000</f>
        <v>133.92826789427485</v>
      </c>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045"/>
      <c r="I23" s="1033"/>
      <c r="J23" s="1046"/>
      <c r="K23" s="1089"/>
      <c r="L23" s="1090"/>
      <c r="M23" s="1091"/>
      <c r="N23" s="1045"/>
      <c r="O23" s="1033"/>
      <c r="P23" s="1046"/>
      <c r="Q23" s="1096"/>
      <c r="R23" s="1097"/>
      <c r="S23" s="1098"/>
      <c r="T23" s="1099"/>
      <c r="U23" s="1048"/>
      <c r="V23" s="1058"/>
      <c r="W23" s="1096"/>
      <c r="X23" s="1097"/>
      <c r="Y23" s="1098"/>
      <c r="Z23" s="1086"/>
      <c r="AA23" s="1087"/>
      <c r="AB23" s="1088"/>
      <c r="AC23" s="1089"/>
      <c r="AD23" s="1090"/>
      <c r="AE23" s="1091"/>
      <c r="AF23" s="31"/>
      <c r="AG23" s="31"/>
      <c r="AH23" s="31"/>
      <c r="AI23" s="31"/>
      <c r="AJ23" s="31"/>
      <c r="AK23" s="32"/>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c r="I25" s="31" t="s">
        <v>590</v>
      </c>
      <c r="J25" s="31"/>
      <c r="K25" s="31"/>
      <c r="L25" s="31" t="s">
        <v>615</v>
      </c>
      <c r="M25" s="31"/>
      <c r="N25" s="31"/>
      <c r="O25" s="31"/>
      <c r="P25" s="31"/>
      <c r="Q25" s="31"/>
      <c r="R25" s="31"/>
      <c r="S25" s="32" t="s">
        <v>616</v>
      </c>
      <c r="T25" s="1092" t="str">
        <f>A17</f>
        <v>Diesel</v>
      </c>
      <c r="U25" s="1093"/>
      <c r="V25" s="1093"/>
      <c r="W25" s="1093"/>
      <c r="X25" s="1094">
        <v>58.274999999999999</v>
      </c>
      <c r="Y25" s="1094"/>
      <c r="Z25" s="1094"/>
      <c r="AA25" s="1093" t="s">
        <v>617</v>
      </c>
      <c r="AB25" s="1093"/>
      <c r="AC25" s="1095">
        <f>X25/H17</f>
        <v>0.19091471984431974</v>
      </c>
      <c r="AD25" s="1095"/>
      <c r="AE25" s="1093" t="s">
        <v>618</v>
      </c>
      <c r="AF25" s="1093"/>
      <c r="AG25" s="1093"/>
      <c r="AH25" s="1198">
        <f>X25*N17/3600</f>
        <v>0.68942562500000004</v>
      </c>
      <c r="AI25" s="1198"/>
      <c r="AJ25" s="361" t="s">
        <v>590</v>
      </c>
      <c r="AK25" s="362"/>
      <c r="AL25" s="303"/>
      <c r="AM25" s="363">
        <f>X25*W22</f>
        <v>0</v>
      </c>
      <c r="AN25" s="303"/>
      <c r="AO25" s="303"/>
      <c r="AP25" s="303"/>
      <c r="AQ25" s="303"/>
      <c r="AR25" s="351">
        <f>AX7</f>
        <v>0.01</v>
      </c>
      <c r="AS25" s="354">
        <f>AR25*$AR$6/1055.06</f>
        <v>4.3030728110249664E-6</v>
      </c>
      <c r="AT25" s="355">
        <f>AS25*$Q$16*1000000</f>
        <v>193.16577100135797</v>
      </c>
      <c r="AU25" s="356">
        <f>AX9</f>
        <v>3.5333333333333336E-3</v>
      </c>
      <c r="AV25" s="354">
        <f>AU25*$AR$6/1055.06</f>
        <v>1.5204190598954882E-6</v>
      </c>
      <c r="AW25" s="355">
        <f>AV25*$Q$16*1000000</f>
        <v>68.251905753813148</v>
      </c>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0</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c r="B27" s="1081"/>
      <c r="C27" s="1081"/>
      <c r="D27" s="1081"/>
      <c r="E27" s="1081"/>
      <c r="F27" s="1042" t="str">
        <f>A17</f>
        <v>Diesel</v>
      </c>
      <c r="G27" s="1043"/>
      <c r="H27" s="1043"/>
      <c r="I27" s="1043"/>
      <c r="J27" s="1043"/>
      <c r="K27" s="1043"/>
      <c r="L27" s="1043"/>
      <c r="M27" s="1043"/>
      <c r="N27" s="1043"/>
      <c r="O27" s="1043"/>
      <c r="P27" s="1043"/>
      <c r="Q27" s="1043"/>
      <c r="R27" s="1043"/>
      <c r="S27" s="1043"/>
      <c r="T27" s="1043"/>
      <c r="U27" s="1080"/>
      <c r="V27" s="31"/>
      <c r="W27" s="31"/>
      <c r="X27" s="426">
        <f>AH25</f>
        <v>0.68942562500000004</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29">
        <v>96</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29">
        <f>X27*X28</f>
        <v>66.18486</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29">
        <f>X29*3600/1000</f>
        <v>238.26549600000001</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196">
        <v>0</v>
      </c>
      <c r="G31" s="1197"/>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BF33</f>
        <v>3.7672634101823899E-6</v>
      </c>
      <c r="G32" s="1195"/>
      <c r="H32" s="1051">
        <f>F32*$AC$25</f>
        <v>7.192260385347275E-7</v>
      </c>
      <c r="I32" s="1052"/>
      <c r="J32" s="1059"/>
      <c r="K32" s="1059"/>
      <c r="L32" s="1060"/>
      <c r="M32" s="1059"/>
      <c r="N32" s="1054">
        <f t="shared" si="2"/>
        <v>1.1537824110174099E-5</v>
      </c>
      <c r="O32" s="1055"/>
      <c r="P32" s="1061">
        <f>R32/$R$53</f>
        <v>0</v>
      </c>
      <c r="Q32" s="1062"/>
      <c r="R32" s="1060">
        <f>T32/$AR32</f>
        <v>0</v>
      </c>
      <c r="S32" s="1059"/>
      <c r="T32" s="1064">
        <f>$K$22*$X$25</f>
        <v>0</v>
      </c>
      <c r="U32" s="1065"/>
      <c r="V32" s="1241" t="s">
        <v>833</v>
      </c>
      <c r="W32" s="1576"/>
      <c r="X32" s="1576"/>
      <c r="Y32" s="1576"/>
      <c r="Z32" s="1576"/>
      <c r="AA32" s="1576"/>
      <c r="AB32" s="1576"/>
      <c r="AC32" s="1576"/>
      <c r="AD32" s="1576"/>
      <c r="AE32" s="1576"/>
      <c r="AF32" s="1576"/>
      <c r="AG32" s="1576"/>
      <c r="AH32" s="1576"/>
      <c r="AI32" s="1576"/>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1577"/>
      <c r="W33" s="1576"/>
      <c r="X33" s="1576"/>
      <c r="Y33" s="1576"/>
      <c r="Z33" s="1576"/>
      <c r="AA33" s="1576"/>
      <c r="AB33" s="1576"/>
      <c r="AC33" s="1576"/>
      <c r="AD33" s="1576"/>
      <c r="AE33" s="1576"/>
      <c r="AF33" s="1576"/>
      <c r="AG33" s="1576"/>
      <c r="AH33" s="1576"/>
      <c r="AI33" s="1576"/>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BF34</f>
        <v>2.32021919756754E-4</v>
      </c>
      <c r="G34" s="1050"/>
      <c r="H34" s="1051">
        <f t="shared" si="1"/>
        <v>4.4296399808101926E-5</v>
      </c>
      <c r="I34" s="1052"/>
      <c r="J34" s="1059"/>
      <c r="K34" s="1059"/>
      <c r="L34" s="1060"/>
      <c r="M34" s="1059"/>
      <c r="N34" s="1054">
        <f t="shared" si="2"/>
        <v>1.3319041494300086E-3</v>
      </c>
      <c r="O34" s="1055"/>
      <c r="P34" s="1061">
        <f t="shared" si="10"/>
        <v>0</v>
      </c>
      <c r="Q34" s="1062"/>
      <c r="R34" s="1059">
        <f>T34/$AR34</f>
        <v>0</v>
      </c>
      <c r="S34" s="1059"/>
      <c r="T34" s="1061">
        <f t="shared" si="11"/>
        <v>0</v>
      </c>
      <c r="U34" s="1062"/>
      <c r="V34" s="1577"/>
      <c r="W34" s="1576"/>
      <c r="X34" s="1576"/>
      <c r="Y34" s="1576"/>
      <c r="Z34" s="1576"/>
      <c r="AA34" s="1576"/>
      <c r="AB34" s="1576"/>
      <c r="AC34" s="1576"/>
      <c r="AD34" s="1576"/>
      <c r="AE34" s="1576"/>
      <c r="AF34" s="1576"/>
      <c r="AG34" s="1576"/>
      <c r="AH34" s="1576"/>
      <c r="AI34" s="1576"/>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1577"/>
      <c r="W35" s="1576"/>
      <c r="X35" s="1576"/>
      <c r="Y35" s="1576"/>
      <c r="Z35" s="1576"/>
      <c r="AA35" s="1576"/>
      <c r="AB35" s="1576"/>
      <c r="AC35" s="1576"/>
      <c r="AD35" s="1576"/>
      <c r="AE35" s="1576"/>
      <c r="AF35" s="1576"/>
      <c r="AG35" s="1576"/>
      <c r="AH35" s="1576"/>
      <c r="AI35" s="1576"/>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BF35</f>
        <v>4.1140406723645098E-3</v>
      </c>
      <c r="G36" s="1050"/>
      <c r="H36" s="1051">
        <f t="shared" si="1"/>
        <v>7.8543092239260722E-4</v>
      </c>
      <c r="I36" s="1052"/>
      <c r="J36" s="1059"/>
      <c r="K36" s="1059"/>
      <c r="L36" s="1060"/>
      <c r="M36" s="1059"/>
      <c r="N36" s="1054">
        <f t="shared" si="2"/>
        <v>3.4632791091979621E-2</v>
      </c>
      <c r="O36" s="1055"/>
      <c r="P36" s="1061">
        <f t="shared" si="10"/>
        <v>0</v>
      </c>
      <c r="Q36" s="1062"/>
      <c r="R36" s="1059">
        <f t="shared" si="12"/>
        <v>0</v>
      </c>
      <c r="S36" s="1059"/>
      <c r="T36" s="1061">
        <f t="shared" si="11"/>
        <v>0</v>
      </c>
      <c r="U36" s="1062"/>
      <c r="V36" s="1577"/>
      <c r="W36" s="1576"/>
      <c r="X36" s="1576"/>
      <c r="Y36" s="1576"/>
      <c r="Z36" s="1576"/>
      <c r="AA36" s="1576"/>
      <c r="AB36" s="1576"/>
      <c r="AC36" s="1576"/>
      <c r="AD36" s="1576"/>
      <c r="AE36" s="1576"/>
      <c r="AF36" s="1576"/>
      <c r="AG36" s="1576"/>
      <c r="AH36" s="1576"/>
      <c r="AI36" s="1576"/>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1577"/>
      <c r="W37" s="1576"/>
      <c r="X37" s="1576"/>
      <c r="Y37" s="1576"/>
      <c r="Z37" s="1576"/>
      <c r="AA37" s="1576"/>
      <c r="AB37" s="1576"/>
      <c r="AC37" s="1576"/>
      <c r="AD37" s="1576"/>
      <c r="AE37" s="1576"/>
      <c r="AF37" s="1576"/>
      <c r="AG37" s="1576"/>
      <c r="AH37" s="1576"/>
      <c r="AI37" s="1576"/>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BF36</f>
        <v>4.2987554978870402E-3</v>
      </c>
      <c r="G38" s="1050"/>
      <c r="H38" s="1051">
        <f t="shared" si="1"/>
        <v>8.2069570155833343E-4</v>
      </c>
      <c r="I38" s="1052"/>
      <c r="J38" s="1059"/>
      <c r="K38" s="1059"/>
      <c r="L38" s="1060"/>
      <c r="M38" s="1059"/>
      <c r="N38" s="1054">
        <f t="shared" si="2"/>
        <v>4.769883417457034E-2</v>
      </c>
      <c r="O38" s="1055"/>
      <c r="P38" s="1061">
        <f t="shared" si="10"/>
        <v>0</v>
      </c>
      <c r="Q38" s="1062"/>
      <c r="R38" s="1059">
        <f t="shared" si="12"/>
        <v>0</v>
      </c>
      <c r="S38" s="1059"/>
      <c r="T38" s="1061">
        <f t="shared" si="11"/>
        <v>0</v>
      </c>
      <c r="U38" s="1062"/>
      <c r="V38" s="1577"/>
      <c r="W38" s="1576"/>
      <c r="X38" s="1576"/>
      <c r="Y38" s="1576"/>
      <c r="Z38" s="1576"/>
      <c r="AA38" s="1576"/>
      <c r="AB38" s="1576"/>
      <c r="AC38" s="1576"/>
      <c r="AD38" s="1576"/>
      <c r="AE38" s="1576"/>
      <c r="AF38" s="1576"/>
      <c r="AG38" s="1576"/>
      <c r="AH38" s="1576"/>
      <c r="AI38" s="1576"/>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f>BF37</f>
        <v>1.33109664079022E-2</v>
      </c>
      <c r="G39" s="1050"/>
      <c r="H39" s="1051">
        <f t="shared" si="1"/>
        <v>2.5412594226217997E-3</v>
      </c>
      <c r="I39" s="1052"/>
      <c r="J39" s="1059"/>
      <c r="K39" s="1059"/>
      <c r="L39" s="1060"/>
      <c r="M39" s="1059"/>
      <c r="N39" s="1054">
        <f t="shared" si="2"/>
        <v>0.14769799764277899</v>
      </c>
      <c r="O39" s="1055"/>
      <c r="P39" s="1061">
        <f t="shared" si="10"/>
        <v>0</v>
      </c>
      <c r="Q39" s="1062"/>
      <c r="R39" s="1059">
        <f t="shared" si="12"/>
        <v>0</v>
      </c>
      <c r="S39" s="1059"/>
      <c r="T39" s="1061">
        <f t="shared" si="11"/>
        <v>0</v>
      </c>
      <c r="U39" s="1062"/>
      <c r="V39" s="1577"/>
      <c r="W39" s="1576"/>
      <c r="X39" s="1576"/>
      <c r="Y39" s="1576"/>
      <c r="Z39" s="1576"/>
      <c r="AA39" s="1576"/>
      <c r="AB39" s="1576"/>
      <c r="AC39" s="1576"/>
      <c r="AD39" s="1576"/>
      <c r="AE39" s="1576"/>
      <c r="AF39" s="1576"/>
      <c r="AG39" s="1576"/>
      <c r="AH39" s="1576"/>
      <c r="AI39" s="1576"/>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BF38</f>
        <v>1.4450640107125301E-2</v>
      </c>
      <c r="G40" s="1050"/>
      <c r="H40" s="1051">
        <f t="shared" si="1"/>
        <v>2.7588399076229173E-3</v>
      </c>
      <c r="I40" s="1052"/>
      <c r="J40" s="1059"/>
      <c r="K40" s="1059"/>
      <c r="L40" s="1060"/>
      <c r="M40" s="1059"/>
      <c r="N40" s="1054">
        <f t="shared" si="2"/>
        <v>0.19903926397536298</v>
      </c>
      <c r="O40" s="1055"/>
      <c r="P40" s="1061">
        <f t="shared" si="10"/>
        <v>0</v>
      </c>
      <c r="Q40" s="1062"/>
      <c r="R40" s="1059">
        <f t="shared" si="12"/>
        <v>0</v>
      </c>
      <c r="S40" s="1059"/>
      <c r="T40" s="1061">
        <f t="shared" si="11"/>
        <v>0</v>
      </c>
      <c r="U40" s="1062"/>
      <c r="V40" s="1577"/>
      <c r="W40" s="1576"/>
      <c r="X40" s="1576"/>
      <c r="Y40" s="1576"/>
      <c r="Z40" s="1576"/>
      <c r="AA40" s="1576"/>
      <c r="AB40" s="1576"/>
      <c r="AC40" s="1576"/>
      <c r="AD40" s="1576"/>
      <c r="AE40" s="1576"/>
      <c r="AF40" s="1576"/>
      <c r="AG40" s="1576"/>
      <c r="AH40" s="1576"/>
      <c r="AI40" s="1576"/>
      <c r="AJ40" s="1069"/>
      <c r="AK40" s="1124"/>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BF40</f>
        <v>1.8657920075756399E-2</v>
      </c>
      <c r="G41" s="1050"/>
      <c r="H41" s="1051">
        <f t="shared" si="1"/>
        <v>3.5620715841407418E-3</v>
      </c>
      <c r="I41" s="1052"/>
      <c r="J41" s="1059"/>
      <c r="K41" s="1059"/>
      <c r="L41" s="1060"/>
      <c r="M41" s="1059"/>
      <c r="N41" s="1054">
        <f t="shared" si="2"/>
        <v>0.25698921650941797</v>
      </c>
      <c r="O41" s="1055"/>
      <c r="P41" s="1061">
        <f t="shared" si="10"/>
        <v>0</v>
      </c>
      <c r="Q41" s="1062"/>
      <c r="R41" s="1059">
        <f t="shared" si="12"/>
        <v>0</v>
      </c>
      <c r="S41" s="1059"/>
      <c r="T41" s="1061">
        <f t="shared" si="11"/>
        <v>0</v>
      </c>
      <c r="U41" s="1062"/>
      <c r="V41" s="1577"/>
      <c r="W41" s="1576"/>
      <c r="X41" s="1576"/>
      <c r="Y41" s="1576"/>
      <c r="Z41" s="1576"/>
      <c r="AA41" s="1576"/>
      <c r="AB41" s="1576"/>
      <c r="AC41" s="1576"/>
      <c r="AD41" s="1576"/>
      <c r="AE41" s="1576"/>
      <c r="AF41" s="1576"/>
      <c r="AG41" s="1576"/>
      <c r="AH41" s="1576"/>
      <c r="AI41" s="1576"/>
      <c r="AJ41" s="1069"/>
      <c r="AK41" s="1124"/>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425</v>
      </c>
      <c r="B42" s="376"/>
      <c r="C42" s="376"/>
      <c r="D42" s="376"/>
      <c r="E42" s="377"/>
      <c r="F42" s="1049">
        <f>SUM(BF41:BF75)</f>
        <v>0.94337200608568694</v>
      </c>
      <c r="G42" s="1050"/>
      <c r="H42" s="1064">
        <f t="shared" si="1"/>
        <v>0.18010360225082281</v>
      </c>
      <c r="I42" s="1065"/>
      <c r="J42" s="1059"/>
      <c r="K42" s="1059"/>
      <c r="L42" s="1060"/>
      <c r="M42" s="1059"/>
      <c r="N42" s="1054">
        <f t="shared" si="2"/>
        <v>57.58000414723908</v>
      </c>
      <c r="O42" s="1055"/>
      <c r="P42" s="1061">
        <f t="shared" si="10"/>
        <v>0</v>
      </c>
      <c r="Q42" s="1062"/>
      <c r="R42" s="1059">
        <f t="shared" si="12"/>
        <v>0</v>
      </c>
      <c r="S42" s="1059"/>
      <c r="T42" s="1061">
        <f t="shared" si="11"/>
        <v>0</v>
      </c>
      <c r="U42" s="1062"/>
      <c r="V42" s="1032"/>
      <c r="W42" s="1032"/>
      <c r="X42" s="1033"/>
      <c r="Y42" s="1033"/>
      <c r="Z42" s="1032"/>
      <c r="AA42" s="1032"/>
      <c r="AB42" s="1032"/>
      <c r="AC42" s="1032"/>
      <c r="AD42" s="1033"/>
      <c r="AE42" s="1033"/>
      <c r="AF42" s="1047"/>
      <c r="AG42" s="1047"/>
      <c r="AH42" s="1032"/>
      <c r="AI42" s="1032"/>
      <c r="AJ42" s="1048"/>
      <c r="AK42" s="105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6.2855753183017633</v>
      </c>
      <c r="K45" s="1070"/>
      <c r="L45" s="1060">
        <f>0.15*J45</f>
        <v>0.94283629774526445</v>
      </c>
      <c r="M45" s="1059"/>
      <c r="N45" s="1066">
        <f t="shared" si="2"/>
        <v>231.3091717135049</v>
      </c>
      <c r="O45" s="1067"/>
      <c r="P45" s="1061">
        <f t="shared" si="10"/>
        <v>2.6677885602713641E-2</v>
      </c>
      <c r="Q45" s="1062"/>
      <c r="R45" s="1059">
        <f>L45+SUMPRODUCT(R32:R44,$AS32:$AS44)</f>
        <v>0.94283629774526445</v>
      </c>
      <c r="S45" s="1059"/>
      <c r="T45" s="1071">
        <f>R45*$AR45</f>
        <v>30.170761527848462</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BF31</f>
        <v>1.4415226502516399E-10</v>
      </c>
      <c r="G46" s="1195"/>
      <c r="H46" s="1061">
        <f t="shared" si="1"/>
        <v>2.7520789292203315E-11</v>
      </c>
      <c r="I46" s="1062"/>
      <c r="J46" s="1059">
        <f>0.79/0.21*J45</f>
        <v>23.645735721230444</v>
      </c>
      <c r="K46" s="1063"/>
      <c r="L46" s="1060">
        <f>0.71/0.29*L45</f>
        <v>2.3083233496521993</v>
      </c>
      <c r="M46" s="1059"/>
      <c r="N46" s="1066">
        <f>SUM(H46,J46,L46)*AR46</f>
        <v>726.7136539854846</v>
      </c>
      <c r="O46" s="1067"/>
      <c r="P46" s="1064">
        <f t="shared" si="10"/>
        <v>0.73437593020060521</v>
      </c>
      <c r="Q46" s="1065"/>
      <c r="R46" s="1064">
        <f>$H46+J46+L46-R49</f>
        <v>25.953941534000116</v>
      </c>
      <c r="S46" s="1065"/>
      <c r="T46" s="1066">
        <f>R46*$AR46</f>
        <v>726.71036295200327</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1.176573655766454E-6</v>
      </c>
      <c r="Q47" s="1062"/>
      <c r="R47" s="1059">
        <f>T47/$AR$47</f>
        <v>4.1581869198607567E-5</v>
      </c>
      <c r="S47" s="1059"/>
      <c r="T47" s="1064">
        <f>$AC17*$X25</f>
        <v>1.1647081562529979E-3</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BF32</f>
        <v>1.04835044112351E-6</v>
      </c>
      <c r="G48" s="1195"/>
      <c r="H48" s="1061">
        <f t="shared" si="1"/>
        <v>2.0014553076576393E-7</v>
      </c>
      <c r="I48" s="1062"/>
      <c r="J48" s="1059"/>
      <c r="K48" s="1059"/>
      <c r="L48" s="1060"/>
      <c r="M48" s="1059"/>
      <c r="N48" s="1061">
        <f t="shared" si="2"/>
        <v>8.8084048090012708E-6</v>
      </c>
      <c r="O48" s="1062"/>
      <c r="P48" s="1064">
        <f t="shared" si="10"/>
        <v>0.11676935192729565</v>
      </c>
      <c r="Q48" s="1065"/>
      <c r="R48" s="1068">
        <f>SUMPRODUCT($H31:$H52,$AU31:$AU52)+$H48-R47-SUMPRODUCT(R32:R42,$AU32:$AU42)</f>
        <v>4.1268031920058394</v>
      </c>
      <c r="S48" s="1059"/>
      <c r="T48" s="1066">
        <f>R48*$AR48</f>
        <v>181.620608480177</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3.3257483275116937E-6</v>
      </c>
      <c r="Q49" s="1062"/>
      <c r="R49" s="1060">
        <f>T49/$AR49</f>
        <v>1.1753691004749932E-4</v>
      </c>
      <c r="S49" s="1063"/>
      <c r="T49" s="1064">
        <f>$W17*$X25</f>
        <v>5.4066978621849686E-3</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1.5719062744120606E-7</v>
      </c>
      <c r="Q51" s="1062"/>
      <c r="R51" s="1066">
        <f>T51/$AR51</f>
        <v>5.5553514031804174E-6</v>
      </c>
      <c r="S51" s="1067"/>
      <c r="T51" s="1060">
        <f>Q22*X25</f>
        <v>3.5554248980354671E-4</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193">
        <f>BF76</f>
        <v>1.4951987737782399E-3</v>
      </c>
      <c r="G52" s="1194"/>
      <c r="H52" s="1051">
        <f t="shared" si="1"/>
        <v>2.8545545500744307E-4</v>
      </c>
      <c r="I52" s="1052"/>
      <c r="J52" s="1032"/>
      <c r="K52" s="1032"/>
      <c r="L52" s="1053"/>
      <c r="M52" s="1032"/>
      <c r="N52" s="1054">
        <f t="shared" si="2"/>
        <v>5.142765477414094E-3</v>
      </c>
      <c r="O52" s="1055"/>
      <c r="P52" s="1056">
        <f t="shared" si="10"/>
        <v>0.12217217275677479</v>
      </c>
      <c r="Q52" s="1057"/>
      <c r="R52" s="1044">
        <f>SUMPRODUCT(H31:H52,$AV31:$AV52)+H52-SUMPRODUCT(R32:R42,$AV32:$AV42)</f>
        <v>4.3177469445995218</v>
      </c>
      <c r="S52" s="1044"/>
      <c r="T52" s="1045">
        <f>R52*$AR52</f>
        <v>77.788528953904972</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0.99993636529826091</v>
      </c>
      <c r="G53" s="1038"/>
      <c r="H53" s="1039">
        <f>SUM(H31:H52)</f>
        <v>0.19090257104306482</v>
      </c>
      <c r="I53" s="1040"/>
      <c r="J53" s="1041">
        <f>SUM(J31:J52)</f>
        <v>29.931311039532208</v>
      </c>
      <c r="K53" s="1041"/>
      <c r="L53" s="1042">
        <f>SUM(L31:L52)</f>
        <v>3.251159647397464</v>
      </c>
      <c r="M53" s="1043"/>
      <c r="N53" s="1030">
        <f>SUM(N31:N52)</f>
        <v>1016.2953829654784</v>
      </c>
      <c r="O53" s="1031"/>
      <c r="P53" s="1028">
        <f>SUM(P31:P52)</f>
        <v>1</v>
      </c>
      <c r="Q53" s="1029"/>
      <c r="R53" s="1030">
        <f>SUM(R31:R52)</f>
        <v>35.341492642481391</v>
      </c>
      <c r="S53" s="1031"/>
      <c r="T53" s="1030">
        <f>SUM(T31:T52)</f>
        <v>1016.297188862442</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1.5018605172736025E-3</v>
      </c>
      <c r="M55" s="1186"/>
      <c r="N55" s="1192">
        <f>W17*$X$25</f>
        <v>5.4066978621849686E-3</v>
      </c>
      <c r="O55" s="1192"/>
      <c r="P55" s="31" t="s">
        <v>617</v>
      </c>
      <c r="Q55" s="31"/>
      <c r="R55" s="1291">
        <f>N55*4*24/1000</f>
        <v>5.1904299476975707E-4</v>
      </c>
      <c r="S55" s="1291"/>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436">
        <f t="shared" ref="L56:L61" si="13">N56*1000/3600</f>
        <v>3.2353004340361055E-4</v>
      </c>
      <c r="M56" s="1437"/>
      <c r="N56" s="1192">
        <f>AC17*$X$25</f>
        <v>1.1647081562529979E-3</v>
      </c>
      <c r="O56" s="1192"/>
      <c r="P56" s="31" t="s">
        <v>617</v>
      </c>
      <c r="Q56" s="31"/>
      <c r="R56" s="1291">
        <f t="shared" ref="R56:R61" si="14">N56*4*24/1000</f>
        <v>1.1181198300028781E-4</v>
      </c>
      <c r="S56" s="1291"/>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436">
        <f t="shared" si="13"/>
        <v>1.0557296153170452E-4</v>
      </c>
      <c r="M57" s="1437"/>
      <c r="N57" s="1192">
        <f>AI17*$X$25</f>
        <v>3.8006266151413624E-4</v>
      </c>
      <c r="O57" s="1192"/>
      <c r="P57" s="31" t="s">
        <v>617</v>
      </c>
      <c r="Q57" s="31"/>
      <c r="R57" s="1291">
        <f t="shared" si="14"/>
        <v>3.6486015505357079E-5</v>
      </c>
      <c r="S57" s="1291"/>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436">
        <f t="shared" si="13"/>
        <v>0</v>
      </c>
      <c r="M58" s="1437"/>
      <c r="N58" s="1191">
        <f>K22*$X$25</f>
        <v>0</v>
      </c>
      <c r="O58" s="1191"/>
      <c r="P58" s="31" t="s">
        <v>617</v>
      </c>
      <c r="Q58" s="31"/>
      <c r="R58" s="1291">
        <f t="shared" si="14"/>
        <v>0</v>
      </c>
      <c r="S58" s="1291"/>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436">
        <f t="shared" si="13"/>
        <v>0</v>
      </c>
      <c r="M59" s="1437"/>
      <c r="N59" s="1192">
        <f>X25*W22</f>
        <v>0</v>
      </c>
      <c r="O59" s="1192"/>
      <c r="P59" s="31" t="s">
        <v>617</v>
      </c>
      <c r="Q59" s="31"/>
      <c r="R59" s="1291">
        <f t="shared" si="14"/>
        <v>0</v>
      </c>
      <c r="S59" s="1291"/>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9.8761802723207416E-5</v>
      </c>
      <c r="M60" s="1186"/>
      <c r="N60" s="1191">
        <f>Q22*$X$25</f>
        <v>3.5554248980354671E-4</v>
      </c>
      <c r="O60" s="1191"/>
      <c r="P60" s="31" t="s">
        <v>617</v>
      </c>
      <c r="Q60" s="31"/>
      <c r="R60" s="1291">
        <f t="shared" si="14"/>
        <v>3.4132079021140486E-5</v>
      </c>
      <c r="S60" s="1291"/>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0</v>
      </c>
      <c r="M61" s="1186"/>
      <c r="N61" s="1191">
        <f>AC22*$X$25</f>
        <v>0</v>
      </c>
      <c r="O61" s="1191"/>
      <c r="P61" s="31" t="s">
        <v>617</v>
      </c>
      <c r="Q61" s="31"/>
      <c r="R61" s="1291">
        <f t="shared" si="14"/>
        <v>0</v>
      </c>
      <c r="S61" s="1291"/>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436">
        <f>O62*1000/3600</f>
        <v>49.00499903768673</v>
      </c>
      <c r="M62" s="1437"/>
      <c r="N62" s="31"/>
      <c r="O62" s="428">
        <f>'Diesel F'!I56*X25</f>
        <v>176.41799653567222</v>
      </c>
      <c r="P62" s="395" t="s">
        <v>617</v>
      </c>
      <c r="Q62" s="395"/>
      <c r="R62" s="1291">
        <f>O62*4*24/1000</f>
        <v>16.936127667424532</v>
      </c>
      <c r="S62" s="1291"/>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680</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682</v>
      </c>
      <c r="B65" s="31" t="s">
        <v>689</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832</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232"/>
      <c r="B67" s="147"/>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2"/>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32"/>
      <c r="B68" s="147"/>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hmMpC9yGIZGeHKzQBa0bwvwlW31muqBebXWAYk0u7NKN9qCAyD+dDO3huKeEp2DqrQFdnL9KNKKNj3KyuK6tiQ==" saltValue="wTI87pfxGoXMkEbdx82O8w==" spinCount="100000" sheet="1" objects="1" scenarios="1" selectLockedCells="1" selectUnlockedCells="1"/>
  <mergeCells count="459">
    <mergeCell ref="L62:M62"/>
    <mergeCell ref="R62:S62"/>
    <mergeCell ref="AE59:AF59"/>
    <mergeCell ref="L60:M60"/>
    <mergeCell ref="N60:O60"/>
    <mergeCell ref="R60:S60"/>
    <mergeCell ref="L61:M61"/>
    <mergeCell ref="N61:O61"/>
    <mergeCell ref="R61:S61"/>
    <mergeCell ref="AE57:AF57"/>
    <mergeCell ref="L58:M58"/>
    <mergeCell ref="N58:O58"/>
    <mergeCell ref="R58:S58"/>
    <mergeCell ref="L59:M59"/>
    <mergeCell ref="N59:O59"/>
    <mergeCell ref="R59:S59"/>
    <mergeCell ref="T59:U59"/>
    <mergeCell ref="Y59:Z59"/>
    <mergeCell ref="AC59:AD59"/>
    <mergeCell ref="L56:M56"/>
    <mergeCell ref="N56:O56"/>
    <mergeCell ref="R56:S56"/>
    <mergeCell ref="L57:M57"/>
    <mergeCell ref="N57:O57"/>
    <mergeCell ref="R57:S57"/>
    <mergeCell ref="T57:U57"/>
    <mergeCell ref="Y57:Z57"/>
    <mergeCell ref="AC57:AD57"/>
    <mergeCell ref="AF53:AG53"/>
    <mergeCell ref="AH53:AI53"/>
    <mergeCell ref="AJ53:AK53"/>
    <mergeCell ref="L54:M54"/>
    <mergeCell ref="L55:M55"/>
    <mergeCell ref="N55:O55"/>
    <mergeCell ref="R55:S55"/>
    <mergeCell ref="T55:U55"/>
    <mergeCell ref="Y55:Z55"/>
    <mergeCell ref="AC55:AD55"/>
    <mergeCell ref="T53:U53"/>
    <mergeCell ref="V53:W53"/>
    <mergeCell ref="X53:Y53"/>
    <mergeCell ref="Z53:AA53"/>
    <mergeCell ref="AB53:AC53"/>
    <mergeCell ref="AD53:AE53"/>
    <mergeCell ref="AE55:AF55"/>
    <mergeCell ref="A53:E53"/>
    <mergeCell ref="F53:G53"/>
    <mergeCell ref="H53:I53"/>
    <mergeCell ref="J53:K53"/>
    <mergeCell ref="L53:M53"/>
    <mergeCell ref="N53:O53"/>
    <mergeCell ref="P53:Q53"/>
    <mergeCell ref="R53:S53"/>
    <mergeCell ref="V52:W52"/>
    <mergeCell ref="AJ51:AK51"/>
    <mergeCell ref="F52:G52"/>
    <mergeCell ref="H52:I52"/>
    <mergeCell ref="J52:K52"/>
    <mergeCell ref="L52:M52"/>
    <mergeCell ref="N52:O52"/>
    <mergeCell ref="P52:Q52"/>
    <mergeCell ref="R52:S52"/>
    <mergeCell ref="T52:U52"/>
    <mergeCell ref="V51:W51"/>
    <mergeCell ref="X51:Y51"/>
    <mergeCell ref="Z51:AA51"/>
    <mergeCell ref="AB51:AC51"/>
    <mergeCell ref="AD51:AE51"/>
    <mergeCell ref="AF51:AG51"/>
    <mergeCell ref="AH52:AI52"/>
    <mergeCell ref="AJ52:AK52"/>
    <mergeCell ref="X52:Y52"/>
    <mergeCell ref="Z52:AA52"/>
    <mergeCell ref="AB52:AC52"/>
    <mergeCell ref="AD52:AE52"/>
    <mergeCell ref="AF52:AG52"/>
    <mergeCell ref="F51:G51"/>
    <mergeCell ref="H51:I51"/>
    <mergeCell ref="J51:K51"/>
    <mergeCell ref="L51:M51"/>
    <mergeCell ref="N51:O51"/>
    <mergeCell ref="P51:Q51"/>
    <mergeCell ref="R51:S51"/>
    <mergeCell ref="T51:U51"/>
    <mergeCell ref="V50:W50"/>
    <mergeCell ref="AH49:AI49"/>
    <mergeCell ref="J49:K49"/>
    <mergeCell ref="L49:M49"/>
    <mergeCell ref="N49:O49"/>
    <mergeCell ref="P49:Q49"/>
    <mergeCell ref="R49:S49"/>
    <mergeCell ref="T49:U49"/>
    <mergeCell ref="AH51:AI51"/>
    <mergeCell ref="AJ49:AK49"/>
    <mergeCell ref="F50:G50"/>
    <mergeCell ref="H50:I50"/>
    <mergeCell ref="J50:K50"/>
    <mergeCell ref="L50:M50"/>
    <mergeCell ref="N50:O50"/>
    <mergeCell ref="P50:Q50"/>
    <mergeCell ref="R50:S50"/>
    <mergeCell ref="T50:U50"/>
    <mergeCell ref="V49:W49"/>
    <mergeCell ref="X49:Y49"/>
    <mergeCell ref="Z49:AA49"/>
    <mergeCell ref="AB49:AC49"/>
    <mergeCell ref="AD49:AE49"/>
    <mergeCell ref="AF49:AG49"/>
    <mergeCell ref="AH50:AI50"/>
    <mergeCell ref="AJ50:AK50"/>
    <mergeCell ref="X50:Y50"/>
    <mergeCell ref="Z50:AA50"/>
    <mergeCell ref="AB50:AC50"/>
    <mergeCell ref="AD50:AE50"/>
    <mergeCell ref="AF50:AG50"/>
    <mergeCell ref="F49:G49"/>
    <mergeCell ref="H49:I49"/>
    <mergeCell ref="V48:W48"/>
    <mergeCell ref="AH47:AI47"/>
    <mergeCell ref="AJ47:AK47"/>
    <mergeCell ref="F48:G48"/>
    <mergeCell ref="H48:I48"/>
    <mergeCell ref="J48:K48"/>
    <mergeCell ref="L48:M48"/>
    <mergeCell ref="N48:O48"/>
    <mergeCell ref="P48:Q48"/>
    <mergeCell ref="R48:S48"/>
    <mergeCell ref="T48:U48"/>
    <mergeCell ref="V47:W47"/>
    <mergeCell ref="X47:Y47"/>
    <mergeCell ref="Z47:AA47"/>
    <mergeCell ref="AB47:AC47"/>
    <mergeCell ref="AD47:AE47"/>
    <mergeCell ref="AF47:AG47"/>
    <mergeCell ref="AH48:AI48"/>
    <mergeCell ref="AJ48:AK48"/>
    <mergeCell ref="X48:Y48"/>
    <mergeCell ref="Z48:AA48"/>
    <mergeCell ref="AB48:AC48"/>
    <mergeCell ref="AD48:AE48"/>
    <mergeCell ref="AF48:AG48"/>
    <mergeCell ref="F47:G47"/>
    <mergeCell ref="H47:I47"/>
    <mergeCell ref="J47:K47"/>
    <mergeCell ref="L47:M47"/>
    <mergeCell ref="N47:O47"/>
    <mergeCell ref="P47:Q47"/>
    <mergeCell ref="R47:S47"/>
    <mergeCell ref="T47:U47"/>
    <mergeCell ref="V46:W46"/>
    <mergeCell ref="AJ45:AK45"/>
    <mergeCell ref="F46:G46"/>
    <mergeCell ref="H46:I46"/>
    <mergeCell ref="J46:K46"/>
    <mergeCell ref="L46:M46"/>
    <mergeCell ref="N46:O46"/>
    <mergeCell ref="P46:Q46"/>
    <mergeCell ref="R46:S46"/>
    <mergeCell ref="T46:U46"/>
    <mergeCell ref="V45:W45"/>
    <mergeCell ref="X45:Y45"/>
    <mergeCell ref="Z45:AA45"/>
    <mergeCell ref="AB45:AC45"/>
    <mergeCell ref="AD45:AE45"/>
    <mergeCell ref="AF45:AG45"/>
    <mergeCell ref="AH46:AI46"/>
    <mergeCell ref="AJ46:AK46"/>
    <mergeCell ref="X46:Y46"/>
    <mergeCell ref="Z46:AA46"/>
    <mergeCell ref="AB46:AC46"/>
    <mergeCell ref="AD46:AE46"/>
    <mergeCell ref="AF46:AG46"/>
    <mergeCell ref="F45:G45"/>
    <mergeCell ref="H45:I45"/>
    <mergeCell ref="J45:K45"/>
    <mergeCell ref="L45:M45"/>
    <mergeCell ref="N45:O45"/>
    <mergeCell ref="P45:Q45"/>
    <mergeCell ref="R45:S45"/>
    <mergeCell ref="T45:U45"/>
    <mergeCell ref="V44:W44"/>
    <mergeCell ref="AH43:AI43"/>
    <mergeCell ref="J43:K43"/>
    <mergeCell ref="L43:M43"/>
    <mergeCell ref="N43:O43"/>
    <mergeCell ref="P43:Q43"/>
    <mergeCell ref="R43:S43"/>
    <mergeCell ref="T43:U43"/>
    <mergeCell ref="AH45:AI45"/>
    <mergeCell ref="AJ43:AK43"/>
    <mergeCell ref="F44:G44"/>
    <mergeCell ref="H44:I44"/>
    <mergeCell ref="J44:K44"/>
    <mergeCell ref="L44:M44"/>
    <mergeCell ref="N44:O44"/>
    <mergeCell ref="P44:Q44"/>
    <mergeCell ref="R44:S44"/>
    <mergeCell ref="T44:U44"/>
    <mergeCell ref="V43:W43"/>
    <mergeCell ref="X43:Y43"/>
    <mergeCell ref="Z43:AA43"/>
    <mergeCell ref="AB43:AC43"/>
    <mergeCell ref="AD43:AE43"/>
    <mergeCell ref="AF43:AG43"/>
    <mergeCell ref="AH44:AI44"/>
    <mergeCell ref="AJ44:AK44"/>
    <mergeCell ref="X44:Y44"/>
    <mergeCell ref="Z44:AA44"/>
    <mergeCell ref="AB44:AC44"/>
    <mergeCell ref="AD44:AE44"/>
    <mergeCell ref="AF44:AG44"/>
    <mergeCell ref="F43:G43"/>
    <mergeCell ref="H43:I43"/>
    <mergeCell ref="V42:W42"/>
    <mergeCell ref="T41:U41"/>
    <mergeCell ref="AJ41:AK41"/>
    <mergeCell ref="F42:G42"/>
    <mergeCell ref="H42:I42"/>
    <mergeCell ref="J42:K42"/>
    <mergeCell ref="L42:M42"/>
    <mergeCell ref="N42:O42"/>
    <mergeCell ref="P42:Q42"/>
    <mergeCell ref="R42:S42"/>
    <mergeCell ref="T42:U42"/>
    <mergeCell ref="AH42:AI42"/>
    <mergeCell ref="AJ42:AK42"/>
    <mergeCell ref="X42:Y42"/>
    <mergeCell ref="Z42:AA42"/>
    <mergeCell ref="AB42:AC42"/>
    <mergeCell ref="AD42:AE42"/>
    <mergeCell ref="AF42:AG42"/>
    <mergeCell ref="R40:S40"/>
    <mergeCell ref="T40:U40"/>
    <mergeCell ref="AJ40:AK40"/>
    <mergeCell ref="F41:G41"/>
    <mergeCell ref="H41:I41"/>
    <mergeCell ref="J41:K41"/>
    <mergeCell ref="L41:M41"/>
    <mergeCell ref="N41:O41"/>
    <mergeCell ref="P41:Q41"/>
    <mergeCell ref="R41:S41"/>
    <mergeCell ref="F40:G40"/>
    <mergeCell ref="H40:I40"/>
    <mergeCell ref="J40:K40"/>
    <mergeCell ref="L40:M40"/>
    <mergeCell ref="N40:O40"/>
    <mergeCell ref="P40:Q40"/>
    <mergeCell ref="V32:AI41"/>
    <mergeCell ref="F33:G33"/>
    <mergeCell ref="H33:I33"/>
    <mergeCell ref="J33:K33"/>
    <mergeCell ref="L33:M33"/>
    <mergeCell ref="N33:O33"/>
    <mergeCell ref="P33:Q33"/>
    <mergeCell ref="R33:S33"/>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F35:G35"/>
    <mergeCell ref="H35:I35"/>
    <mergeCell ref="J35:K35"/>
    <mergeCell ref="L35:M35"/>
    <mergeCell ref="N35:O35"/>
    <mergeCell ref="P35:Q35"/>
    <mergeCell ref="R35:S35"/>
    <mergeCell ref="T35:U35"/>
    <mergeCell ref="H34:I34"/>
    <mergeCell ref="J34:K34"/>
    <mergeCell ref="L34:M34"/>
    <mergeCell ref="N34:O34"/>
    <mergeCell ref="P34:Q34"/>
    <mergeCell ref="R34:S34"/>
    <mergeCell ref="F31:G31"/>
    <mergeCell ref="H31:I31"/>
    <mergeCell ref="J31:K31"/>
    <mergeCell ref="L31:M31"/>
    <mergeCell ref="N31:O31"/>
    <mergeCell ref="P31:Q31"/>
    <mergeCell ref="R31:S31"/>
    <mergeCell ref="T33:U33"/>
    <mergeCell ref="F34:G34"/>
    <mergeCell ref="T31:U31"/>
    <mergeCell ref="F32:G32"/>
    <mergeCell ref="H32:I32"/>
    <mergeCell ref="J32:K32"/>
    <mergeCell ref="L32:M32"/>
    <mergeCell ref="N32:O32"/>
    <mergeCell ref="P32:Q32"/>
    <mergeCell ref="R32:S32"/>
    <mergeCell ref="T32:U32"/>
    <mergeCell ref="T34:U34"/>
    <mergeCell ref="A30:E30"/>
    <mergeCell ref="F30:G30"/>
    <mergeCell ref="H30:I30"/>
    <mergeCell ref="J30:K30"/>
    <mergeCell ref="L30:M30"/>
    <mergeCell ref="N30:O30"/>
    <mergeCell ref="A27:E27"/>
    <mergeCell ref="F27:U27"/>
    <mergeCell ref="F28:I29"/>
    <mergeCell ref="J28:M28"/>
    <mergeCell ref="N28:O29"/>
    <mergeCell ref="P28:U29"/>
    <mergeCell ref="J29:K29"/>
    <mergeCell ref="L29:M29"/>
    <mergeCell ref="P30:Q30"/>
    <mergeCell ref="R30:S30"/>
    <mergeCell ref="T30:U30"/>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F31:U52">
    <cfRule type="expression" dxfId="152" priority="2">
      <formula>F31=0</formula>
    </cfRule>
  </conditionalFormatting>
  <conditionalFormatting sqref="R55:S62">
    <cfRule type="expression" dxfId="151" priority="1" stopIfTrue="1">
      <formula>R55=0</formula>
    </cfRule>
  </conditionalFormatting>
  <conditionalFormatting sqref="V31:AK31 AJ32:AK41 V42:AK52">
    <cfRule type="expression" dxfId="150" priority="4">
      <formula>V31=0</formula>
    </cfRule>
  </conditionalFormatting>
  <conditionalFormatting sqref="V53:AK53">
    <cfRule type="expression" dxfId="149" priority="5" stopIfTrue="1">
      <formula>V53=0</formula>
    </cfRule>
  </conditionalFormatting>
  <conditionalFormatting sqref="Y56:Y62 AC56:AD62 N57 N59">
    <cfRule type="expression" dxfId="148" priority="7" stopIfTrue="1">
      <formula>N56=0</formula>
    </cfRule>
  </conditionalFormatting>
  <pageMargins left="0.7" right="0.7" top="0.75" bottom="0.75" header="0.3" footer="0.3"/>
  <pageSetup paperSize="9" scale="61" orientation="portrait" r:id="rId1"/>
  <headerFooter>
    <oddFooter>&amp;C_x000D_&amp;1#&amp;"Calibri"&amp;10&amp;K000000 Internal</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09811-E229-4B4D-B84D-42E7410AB50C}">
  <sheetPr>
    <tabColor rgb="FFFFC000"/>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14" width="3.7109375" style="404"/>
    <col min="15" max="15" width="6.7109375" style="404" customWidth="1"/>
    <col min="16" max="18" width="3.7109375" style="404"/>
    <col min="19" max="19" width="5.42578125" style="404" bestFit="1" customWidth="1"/>
    <col min="20" max="23" width="3.7109375" style="404"/>
    <col min="24" max="24" width="6.28515625" style="404"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'Precom F P'!$AC$5</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
        <v>97</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139</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5.737756714060031E-17</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727</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'Diesel F'!G20</f>
        <v>44.890193469756099</v>
      </c>
      <c r="R16" s="1144"/>
      <c r="S16" s="1145"/>
      <c r="T16" s="1073">
        <f>'Diesel F'!E5</f>
        <v>76019.579999999987</v>
      </c>
      <c r="U16" s="1109"/>
      <c r="V16" s="1074"/>
      <c r="W16" s="1076" t="s">
        <v>604</v>
      </c>
      <c r="X16" s="1075"/>
      <c r="Y16" s="1077"/>
      <c r="Z16" s="1073">
        <f>'Diesel F'!E6</f>
        <v>16376.099999999999</v>
      </c>
      <c r="AA16" s="1109"/>
      <c r="AB16" s="1074"/>
      <c r="AC16" s="1076" t="s">
        <v>604</v>
      </c>
      <c r="AD16" s="1075"/>
      <c r="AE16" s="1077"/>
      <c r="AF16" s="1146">
        <f>'Diesel F'!E8</f>
        <v>5343.78</v>
      </c>
      <c r="AG16" s="1147"/>
      <c r="AH16" s="1148"/>
      <c r="AI16" s="1076" t="s">
        <v>604</v>
      </c>
      <c r="AJ16" s="1075"/>
      <c r="AK16" s="1077"/>
      <c r="AL16" s="303"/>
      <c r="AM16" s="303" t="s">
        <v>605</v>
      </c>
      <c r="AN16" s="303"/>
      <c r="AO16" s="303"/>
      <c r="AP16" s="351">
        <v>1020</v>
      </c>
      <c r="AQ16" s="352">
        <f>AP16/$AR$9/$AR$7 * ((AN18+273.15)/(AN19+273.15))</f>
        <v>37.956295834166582</v>
      </c>
      <c r="AR16" s="353">
        <f>AX4</f>
        <v>0.13333333333333333</v>
      </c>
      <c r="AS16" s="354">
        <f>AR16*$AR$6/1055.06</f>
        <v>5.7374304146999541E-5</v>
      </c>
      <c r="AT16" s="355">
        <f>AS16*$Q$16*1000000</f>
        <v>2575.543613351439</v>
      </c>
      <c r="AU16" s="356">
        <f>AX5</f>
        <v>3.3333333333333333E-2</v>
      </c>
      <c r="AV16" s="354">
        <f>AU16*$AR$6/1055.06</f>
        <v>1.4343576036749885E-5</v>
      </c>
      <c r="AW16" s="355">
        <f>AV16*$Q$16*1000000</f>
        <v>643.88590333785976</v>
      </c>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1">
        <v>305.24099999999999</v>
      </c>
      <c r="I17" s="1132"/>
      <c r="J17" s="1133"/>
      <c r="K17" s="1134">
        <v>832.5</v>
      </c>
      <c r="L17" s="1135"/>
      <c r="M17" s="1136"/>
      <c r="N17" s="1137">
        <v>42.59</v>
      </c>
      <c r="O17" s="1138"/>
      <c r="P17" s="1139"/>
      <c r="Q17" s="1137">
        <v>45.61</v>
      </c>
      <c r="R17" s="1138"/>
      <c r="S17" s="1139"/>
      <c r="T17" s="1066">
        <f>$Q$17/$Q$16*T16</f>
        <v>77238.5408883567</v>
      </c>
      <c r="U17" s="1110"/>
      <c r="V17" s="1067"/>
      <c r="W17" s="1114">
        <f>T17/1000000/K17</f>
        <v>9.2779028094122163E-5</v>
      </c>
      <c r="X17" s="1115"/>
      <c r="Y17" s="1116"/>
      <c r="Z17" s="1066">
        <f>$Q$17/$Q$16*Z16</f>
        <v>16638.6879464714</v>
      </c>
      <c r="AA17" s="1110"/>
      <c r="AB17" s="1067"/>
      <c r="AC17" s="1114">
        <f>Z17/1000000/K17</f>
        <v>1.9986411947713393E-5</v>
      </c>
      <c r="AD17" s="1115"/>
      <c r="AE17" s="1116"/>
      <c r="AF17" s="1066">
        <f>$Q$17/$Q$16*AF16</f>
        <v>5429.4665930590891</v>
      </c>
      <c r="AG17" s="1110"/>
      <c r="AH17" s="1067"/>
      <c r="AI17" s="1060">
        <f>AF17/1000000/K17</f>
        <v>6.5218817934643711E-6</v>
      </c>
      <c r="AJ17" s="1059"/>
      <c r="AK17" s="1063"/>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123"/>
      <c r="O18" s="1069"/>
      <c r="P18" s="1124"/>
      <c r="Q18" s="1125"/>
      <c r="R18" s="1126"/>
      <c r="S18" s="112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125</v>
      </c>
      <c r="AA19" s="1118"/>
      <c r="AB19" s="1119"/>
      <c r="AC19" s="1117" t="s">
        <v>125</v>
      </c>
      <c r="AD19" s="1118"/>
      <c r="AE19" s="1119"/>
      <c r="AF19" s="358" t="s">
        <v>728</v>
      </c>
      <c r="AG19" s="31"/>
      <c r="AH19" s="31"/>
      <c r="AI19" s="31"/>
      <c r="AJ19" s="31"/>
      <c r="AK19" s="226"/>
      <c r="AL19" s="303"/>
      <c r="AM19" s="24" t="s">
        <v>699</v>
      </c>
      <c r="AN19" s="24">
        <v>15.6</v>
      </c>
      <c r="AO19" s="23" t="s">
        <v>609</v>
      </c>
      <c r="AP19" s="303"/>
      <c r="AQ19" s="303"/>
      <c r="AR19" s="356">
        <f>AX6</f>
        <v>4.6666666666666669E-2</v>
      </c>
      <c r="AS19" s="354">
        <f>AR19*$AR$6/1055.06</f>
        <v>2.0081006451449841E-5</v>
      </c>
      <c r="AT19" s="355">
        <f>AS19*$Q$16*1000000</f>
        <v>901.44026467300375</v>
      </c>
      <c r="AU19" s="351">
        <v>0.37446000000000002</v>
      </c>
      <c r="AV19" s="354">
        <f>AU19*$AR$6/1055.06</f>
        <v>1.6113286448164087E-4</v>
      </c>
      <c r="AW19" s="355">
        <f>AV19*$Q$16*1000000</f>
        <v>7233.2854609168498</v>
      </c>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c r="I21" s="1109"/>
      <c r="J21" s="1074"/>
      <c r="K21" s="1076" t="s">
        <v>604</v>
      </c>
      <c r="L21" s="1075"/>
      <c r="M21" s="1077"/>
      <c r="N21" s="1073">
        <f>'Diesel F'!E7</f>
        <v>4999.0199999999986</v>
      </c>
      <c r="O21" s="1109"/>
      <c r="P21" s="1074"/>
      <c r="Q21" s="1076" t="s">
        <v>604</v>
      </c>
      <c r="R21" s="1075"/>
      <c r="S21" s="1077"/>
      <c r="T21" s="1073"/>
      <c r="U21" s="1109"/>
      <c r="V21" s="1074"/>
      <c r="W21" s="1214" t="s">
        <v>604</v>
      </c>
      <c r="X21" s="1215"/>
      <c r="Y21" s="1216"/>
      <c r="Z21" s="1073"/>
      <c r="AA21" s="1109"/>
      <c r="AB21" s="1074"/>
      <c r="AC21" s="1076" t="s">
        <v>604</v>
      </c>
      <c r="AD21" s="1075"/>
      <c r="AE21" s="1077"/>
      <c r="AF21" s="300"/>
      <c r="AG21" s="31"/>
      <c r="AH21" s="302"/>
      <c r="AI21" s="31"/>
      <c r="AJ21" s="31"/>
      <c r="AK21" s="32"/>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6"/>
      <c r="I22" s="1110"/>
      <c r="J22" s="1067"/>
      <c r="K22" s="1114"/>
      <c r="L22" s="1115"/>
      <c r="M22" s="1116"/>
      <c r="N22" s="1066">
        <f>$Q$17/$Q$16*N21</f>
        <v>5079.1784257649533</v>
      </c>
      <c r="O22" s="1110"/>
      <c r="P22" s="1067"/>
      <c r="Q22" s="1114">
        <f>N22/1000000/K17</f>
        <v>6.1011152261440878E-6</v>
      </c>
      <c r="R22" s="1115"/>
      <c r="S22" s="1116"/>
      <c r="T22" s="1099"/>
      <c r="U22" s="1048"/>
      <c r="V22" s="1058"/>
      <c r="W22" s="1211"/>
      <c r="X22" s="1212"/>
      <c r="Y22" s="1213"/>
      <c r="Z22" s="1066"/>
      <c r="AA22" s="1110"/>
      <c r="AB22" s="1067"/>
      <c r="AC22" s="1114"/>
      <c r="AD22" s="1115"/>
      <c r="AE22" s="1116"/>
      <c r="AF22" s="31"/>
      <c r="AG22" s="31"/>
      <c r="AH22" s="31"/>
      <c r="AI22" s="31"/>
      <c r="AJ22" s="31"/>
      <c r="AK22" s="32"/>
      <c r="AL22" s="303"/>
      <c r="AM22" s="303"/>
      <c r="AN22" s="303"/>
      <c r="AO22" s="303"/>
      <c r="AP22" s="303"/>
      <c r="AQ22" s="303"/>
      <c r="AR22" s="356">
        <f>AX8</f>
        <v>6.9333333333333339E-3</v>
      </c>
      <c r="AS22" s="354">
        <f>AR22*$AR$6/1055.06</f>
        <v>2.9834638156439767E-6</v>
      </c>
      <c r="AT22" s="355">
        <f>AS22*$Q$16*1000000</f>
        <v>133.92826789427485</v>
      </c>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045"/>
      <c r="I23" s="1033"/>
      <c r="J23" s="1046"/>
      <c r="K23" s="1089"/>
      <c r="L23" s="1090"/>
      <c r="M23" s="1091"/>
      <c r="N23" s="1045"/>
      <c r="O23" s="1033"/>
      <c r="P23" s="1046"/>
      <c r="Q23" s="1096"/>
      <c r="R23" s="1097"/>
      <c r="S23" s="1098"/>
      <c r="T23" s="1099"/>
      <c r="U23" s="1048"/>
      <c r="V23" s="1058"/>
      <c r="W23" s="1096"/>
      <c r="X23" s="1097"/>
      <c r="Y23" s="1098"/>
      <c r="Z23" s="1086"/>
      <c r="AA23" s="1087"/>
      <c r="AB23" s="1088"/>
      <c r="AC23" s="1089"/>
      <c r="AD23" s="1090"/>
      <c r="AE23" s="1091"/>
      <c r="AF23" s="31"/>
      <c r="AG23" s="31"/>
      <c r="AH23" s="31"/>
      <c r="AI23" s="31"/>
      <c r="AJ23" s="31"/>
      <c r="AK23" s="32"/>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c r="I25" s="31" t="s">
        <v>590</v>
      </c>
      <c r="J25" s="31"/>
      <c r="K25" s="31"/>
      <c r="L25" s="31" t="s">
        <v>615</v>
      </c>
      <c r="M25" s="31"/>
      <c r="N25" s="31"/>
      <c r="O25" s="31"/>
      <c r="P25" s="31"/>
      <c r="Q25" s="31"/>
      <c r="R25" s="31"/>
      <c r="S25" s="32" t="s">
        <v>616</v>
      </c>
      <c r="T25" s="1092" t="str">
        <f>A17</f>
        <v>Diesel</v>
      </c>
      <c r="U25" s="1093"/>
      <c r="V25" s="1093"/>
      <c r="W25" s="1093"/>
      <c r="X25" s="1094">
        <v>2056.2750000000001</v>
      </c>
      <c r="Y25" s="1094"/>
      <c r="Z25" s="1094"/>
      <c r="AA25" s="1093" t="s">
        <v>617</v>
      </c>
      <c r="AB25" s="1093"/>
      <c r="AC25" s="1095">
        <f>X25/H17</f>
        <v>6.7365622573638539</v>
      </c>
      <c r="AD25" s="1095"/>
      <c r="AE25" s="1093" t="s">
        <v>618</v>
      </c>
      <c r="AF25" s="1093"/>
      <c r="AG25" s="1093"/>
      <c r="AH25" s="1198">
        <f>X25*N17/3600</f>
        <v>24.326875625000003</v>
      </c>
      <c r="AI25" s="1198"/>
      <c r="AJ25" s="361" t="s">
        <v>590</v>
      </c>
      <c r="AK25" s="362"/>
      <c r="AL25" s="303"/>
      <c r="AM25" s="363">
        <f>X25*W22</f>
        <v>0</v>
      </c>
      <c r="AN25" s="303"/>
      <c r="AO25" s="303"/>
      <c r="AP25" s="303"/>
      <c r="AQ25" s="303"/>
      <c r="AR25" s="351">
        <f>AX7</f>
        <v>0.01</v>
      </c>
      <c r="AS25" s="354">
        <f>AR25*$AR$6/1055.06</f>
        <v>4.3030728110249664E-6</v>
      </c>
      <c r="AT25" s="355">
        <f>AS25*$Q$16*1000000</f>
        <v>193.16577100135797</v>
      </c>
      <c r="AU25" s="356">
        <f>AX9</f>
        <v>3.5333333333333336E-3</v>
      </c>
      <c r="AV25" s="354">
        <f>AU25*$AR$6/1055.06</f>
        <v>1.5204190598954882E-6</v>
      </c>
      <c r="AW25" s="355">
        <f>AV25*$Q$16*1000000</f>
        <v>68.251905753813148</v>
      </c>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0</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c r="B27" s="1081"/>
      <c r="C27" s="1081"/>
      <c r="D27" s="1081"/>
      <c r="E27" s="1081"/>
      <c r="F27" s="1042" t="str">
        <f>A17</f>
        <v>Diesel</v>
      </c>
      <c r="G27" s="1043"/>
      <c r="H27" s="1043"/>
      <c r="I27" s="1043"/>
      <c r="J27" s="1043"/>
      <c r="K27" s="1043"/>
      <c r="L27" s="1043"/>
      <c r="M27" s="1043"/>
      <c r="N27" s="1043"/>
      <c r="O27" s="1043"/>
      <c r="P27" s="1043"/>
      <c r="Q27" s="1043"/>
      <c r="R27" s="1043"/>
      <c r="S27" s="1043"/>
      <c r="T27" s="1043"/>
      <c r="U27" s="1080"/>
      <c r="V27" s="31"/>
      <c r="W27" s="31"/>
      <c r="X27" s="426">
        <f>AH25</f>
        <v>24.326875625000003</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29">
        <v>48</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29">
        <f>X27*X28</f>
        <v>1167.6900300000002</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29">
        <f>X29*3600/1000</f>
        <v>4203.6841080000013</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196">
        <v>0</v>
      </c>
      <c r="G31" s="1197"/>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BF33</f>
        <v>3.7672634101823899E-6</v>
      </c>
      <c r="G32" s="1195"/>
      <c r="H32" s="1051">
        <f>F32*$AC$25</f>
        <v>2.5378404502582532E-5</v>
      </c>
      <c r="I32" s="1052"/>
      <c r="J32" s="1059"/>
      <c r="K32" s="1059"/>
      <c r="L32" s="1060"/>
      <c r="M32" s="1059"/>
      <c r="N32" s="1054">
        <f t="shared" si="2"/>
        <v>4.0712036503042903E-4</v>
      </c>
      <c r="O32" s="1055"/>
      <c r="P32" s="1061">
        <f>R32/$R$53</f>
        <v>0</v>
      </c>
      <c r="Q32" s="1062"/>
      <c r="R32" s="1060">
        <f>T32/$AR32</f>
        <v>0</v>
      </c>
      <c r="S32" s="1059"/>
      <c r="T32" s="1064">
        <f>$K$22*$X$25</f>
        <v>0</v>
      </c>
      <c r="U32" s="1065"/>
      <c r="V32" s="1241" t="s">
        <v>834</v>
      </c>
      <c r="W32" s="1576"/>
      <c r="X32" s="1576"/>
      <c r="Y32" s="1576"/>
      <c r="Z32" s="1576"/>
      <c r="AA32" s="1576"/>
      <c r="AB32" s="1576"/>
      <c r="AC32" s="1576"/>
      <c r="AD32" s="1576"/>
      <c r="AE32" s="1576"/>
      <c r="AF32" s="1576"/>
      <c r="AG32" s="1576"/>
      <c r="AH32" s="1576"/>
      <c r="AI32" s="1576"/>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1577"/>
      <c r="W33" s="1576"/>
      <c r="X33" s="1576"/>
      <c r="Y33" s="1576"/>
      <c r="Z33" s="1576"/>
      <c r="AA33" s="1576"/>
      <c r="AB33" s="1576"/>
      <c r="AC33" s="1576"/>
      <c r="AD33" s="1576"/>
      <c r="AE33" s="1576"/>
      <c r="AF33" s="1576"/>
      <c r="AG33" s="1576"/>
      <c r="AH33" s="1576"/>
      <c r="AI33" s="1576"/>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BF34</f>
        <v>2.32021919756754E-4</v>
      </c>
      <c r="G34" s="1050"/>
      <c r="H34" s="1051">
        <f t="shared" si="1"/>
        <v>1.5630301075144537E-3</v>
      </c>
      <c r="I34" s="1052"/>
      <c r="J34" s="1059"/>
      <c r="K34" s="1059"/>
      <c r="L34" s="1060"/>
      <c r="M34" s="1059"/>
      <c r="N34" s="1054">
        <f t="shared" si="2"/>
        <v>4.6997189272744593E-2</v>
      </c>
      <c r="O34" s="1055"/>
      <c r="P34" s="1061">
        <f t="shared" si="10"/>
        <v>0</v>
      </c>
      <c r="Q34" s="1062"/>
      <c r="R34" s="1059">
        <f>T34/$AR34</f>
        <v>0</v>
      </c>
      <c r="S34" s="1059"/>
      <c r="T34" s="1061">
        <f t="shared" si="11"/>
        <v>0</v>
      </c>
      <c r="U34" s="1062"/>
      <c r="V34" s="1577"/>
      <c r="W34" s="1576"/>
      <c r="X34" s="1576"/>
      <c r="Y34" s="1576"/>
      <c r="Z34" s="1576"/>
      <c r="AA34" s="1576"/>
      <c r="AB34" s="1576"/>
      <c r="AC34" s="1576"/>
      <c r="AD34" s="1576"/>
      <c r="AE34" s="1576"/>
      <c r="AF34" s="1576"/>
      <c r="AG34" s="1576"/>
      <c r="AH34" s="1576"/>
      <c r="AI34" s="1576"/>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1577"/>
      <c r="W35" s="1576"/>
      <c r="X35" s="1576"/>
      <c r="Y35" s="1576"/>
      <c r="Z35" s="1576"/>
      <c r="AA35" s="1576"/>
      <c r="AB35" s="1576"/>
      <c r="AC35" s="1576"/>
      <c r="AD35" s="1576"/>
      <c r="AE35" s="1576"/>
      <c r="AF35" s="1576"/>
      <c r="AG35" s="1576"/>
      <c r="AH35" s="1576"/>
      <c r="AI35" s="1576"/>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BF35</f>
        <v>4.1140406723645098E-3</v>
      </c>
      <c r="G36" s="1050"/>
      <c r="H36" s="1051">
        <f t="shared" si="1"/>
        <v>2.771449111871057E-2</v>
      </c>
      <c r="I36" s="1052"/>
      <c r="J36" s="1059"/>
      <c r="K36" s="1059"/>
      <c r="L36" s="1060"/>
      <c r="M36" s="1059"/>
      <c r="N36" s="1054">
        <f t="shared" si="2"/>
        <v>1.2220427713884239</v>
      </c>
      <c r="O36" s="1055"/>
      <c r="P36" s="1061">
        <f t="shared" si="10"/>
        <v>0</v>
      </c>
      <c r="Q36" s="1062"/>
      <c r="R36" s="1059">
        <f t="shared" si="12"/>
        <v>0</v>
      </c>
      <c r="S36" s="1059"/>
      <c r="T36" s="1061">
        <f t="shared" si="11"/>
        <v>0</v>
      </c>
      <c r="U36" s="1062"/>
      <c r="V36" s="1577"/>
      <c r="W36" s="1576"/>
      <c r="X36" s="1576"/>
      <c r="Y36" s="1576"/>
      <c r="Z36" s="1576"/>
      <c r="AA36" s="1576"/>
      <c r="AB36" s="1576"/>
      <c r="AC36" s="1576"/>
      <c r="AD36" s="1576"/>
      <c r="AE36" s="1576"/>
      <c r="AF36" s="1576"/>
      <c r="AG36" s="1576"/>
      <c r="AH36" s="1576"/>
      <c r="AI36" s="1576"/>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1577"/>
      <c r="W37" s="1576"/>
      <c r="X37" s="1576"/>
      <c r="Y37" s="1576"/>
      <c r="Z37" s="1576"/>
      <c r="AA37" s="1576"/>
      <c r="AB37" s="1576"/>
      <c r="AC37" s="1576"/>
      <c r="AD37" s="1576"/>
      <c r="AE37" s="1576"/>
      <c r="AF37" s="1576"/>
      <c r="AG37" s="1576"/>
      <c r="AH37" s="1576"/>
      <c r="AI37" s="1576"/>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BF36</f>
        <v>4.2987554978870402E-3</v>
      </c>
      <c r="G38" s="1050"/>
      <c r="H38" s="1051">
        <f t="shared" si="1"/>
        <v>2.8958834040701199E-2</v>
      </c>
      <c r="I38" s="1052"/>
      <c r="J38" s="1059"/>
      <c r="K38" s="1059"/>
      <c r="L38" s="1060"/>
      <c r="M38" s="1059"/>
      <c r="N38" s="1054">
        <f t="shared" si="2"/>
        <v>1.6830874344455535</v>
      </c>
      <c r="O38" s="1055"/>
      <c r="P38" s="1061">
        <f t="shared" si="10"/>
        <v>0</v>
      </c>
      <c r="Q38" s="1062"/>
      <c r="R38" s="1059">
        <f t="shared" si="12"/>
        <v>0</v>
      </c>
      <c r="S38" s="1059"/>
      <c r="T38" s="1061">
        <f t="shared" si="11"/>
        <v>0</v>
      </c>
      <c r="U38" s="1062"/>
      <c r="V38" s="1577"/>
      <c r="W38" s="1576"/>
      <c r="X38" s="1576"/>
      <c r="Y38" s="1576"/>
      <c r="Z38" s="1576"/>
      <c r="AA38" s="1576"/>
      <c r="AB38" s="1576"/>
      <c r="AC38" s="1576"/>
      <c r="AD38" s="1576"/>
      <c r="AE38" s="1576"/>
      <c r="AF38" s="1576"/>
      <c r="AG38" s="1576"/>
      <c r="AH38" s="1576"/>
      <c r="AI38" s="1576"/>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f>BF37</f>
        <v>1.33109664079022E-2</v>
      </c>
      <c r="G39" s="1050"/>
      <c r="H39" s="1051">
        <f t="shared" si="1"/>
        <v>8.9670153912512082E-2</v>
      </c>
      <c r="I39" s="1052"/>
      <c r="J39" s="1059"/>
      <c r="K39" s="1059"/>
      <c r="L39" s="1060"/>
      <c r="M39" s="1059"/>
      <c r="N39" s="1054">
        <f t="shared" si="2"/>
        <v>5.2116293453952016</v>
      </c>
      <c r="O39" s="1055"/>
      <c r="P39" s="1061">
        <f t="shared" si="10"/>
        <v>0</v>
      </c>
      <c r="Q39" s="1062"/>
      <c r="R39" s="1059">
        <f t="shared" si="12"/>
        <v>0</v>
      </c>
      <c r="S39" s="1059"/>
      <c r="T39" s="1061">
        <f t="shared" si="11"/>
        <v>0</v>
      </c>
      <c r="U39" s="1062"/>
      <c r="V39" s="1577"/>
      <c r="W39" s="1576"/>
      <c r="X39" s="1576"/>
      <c r="Y39" s="1576"/>
      <c r="Z39" s="1576"/>
      <c r="AA39" s="1576"/>
      <c r="AB39" s="1576"/>
      <c r="AC39" s="1576"/>
      <c r="AD39" s="1576"/>
      <c r="AE39" s="1576"/>
      <c r="AF39" s="1576"/>
      <c r="AG39" s="1576"/>
      <c r="AH39" s="1576"/>
      <c r="AI39" s="1576"/>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BF38</f>
        <v>1.4450640107125301E-2</v>
      </c>
      <c r="G40" s="1050"/>
      <c r="H40" s="1051">
        <f t="shared" si="1"/>
        <v>9.7347636740408666E-2</v>
      </c>
      <c r="I40" s="1052"/>
      <c r="J40" s="1059"/>
      <c r="K40" s="1059"/>
      <c r="L40" s="1060"/>
      <c r="M40" s="1059"/>
      <c r="N40" s="1054">
        <f t="shared" si="2"/>
        <v>7.023242600273524</v>
      </c>
      <c r="O40" s="1055"/>
      <c r="P40" s="1061">
        <f t="shared" si="10"/>
        <v>0</v>
      </c>
      <c r="Q40" s="1062"/>
      <c r="R40" s="1059">
        <f t="shared" si="12"/>
        <v>0</v>
      </c>
      <c r="S40" s="1059"/>
      <c r="T40" s="1061">
        <f t="shared" si="11"/>
        <v>0</v>
      </c>
      <c r="U40" s="1062"/>
      <c r="V40" s="1577"/>
      <c r="W40" s="1576"/>
      <c r="X40" s="1576"/>
      <c r="Y40" s="1576"/>
      <c r="Z40" s="1576"/>
      <c r="AA40" s="1576"/>
      <c r="AB40" s="1576"/>
      <c r="AC40" s="1576"/>
      <c r="AD40" s="1576"/>
      <c r="AE40" s="1576"/>
      <c r="AF40" s="1576"/>
      <c r="AG40" s="1576"/>
      <c r="AH40" s="1576"/>
      <c r="AI40" s="1576"/>
      <c r="AJ40" s="1069"/>
      <c r="AK40" s="1124"/>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BF40</f>
        <v>1.8657920075756399E-2</v>
      </c>
      <c r="G41" s="1050"/>
      <c r="H41" s="1051">
        <f t="shared" si="1"/>
        <v>0.12569024018325189</v>
      </c>
      <c r="I41" s="1052"/>
      <c r="J41" s="1059"/>
      <c r="K41" s="1059"/>
      <c r="L41" s="1060"/>
      <c r="M41" s="1059"/>
      <c r="N41" s="1054">
        <f t="shared" si="2"/>
        <v>9.0680480682608913</v>
      </c>
      <c r="O41" s="1055"/>
      <c r="P41" s="1061">
        <f t="shared" si="10"/>
        <v>0</v>
      </c>
      <c r="Q41" s="1062"/>
      <c r="R41" s="1059">
        <f t="shared" si="12"/>
        <v>0</v>
      </c>
      <c r="S41" s="1059"/>
      <c r="T41" s="1061">
        <f t="shared" si="11"/>
        <v>0</v>
      </c>
      <c r="U41" s="1062"/>
      <c r="V41" s="1577"/>
      <c r="W41" s="1576"/>
      <c r="X41" s="1576"/>
      <c r="Y41" s="1576"/>
      <c r="Z41" s="1576"/>
      <c r="AA41" s="1576"/>
      <c r="AB41" s="1576"/>
      <c r="AC41" s="1576"/>
      <c r="AD41" s="1576"/>
      <c r="AE41" s="1576"/>
      <c r="AF41" s="1576"/>
      <c r="AG41" s="1576"/>
      <c r="AH41" s="1576"/>
      <c r="AI41" s="1576"/>
      <c r="AJ41" s="1069"/>
      <c r="AK41" s="1124"/>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425</v>
      </c>
      <c r="B42" s="376"/>
      <c r="C42" s="376"/>
      <c r="D42" s="376"/>
      <c r="E42" s="377"/>
      <c r="F42" s="1049">
        <f>SUM(BF41:BF75)</f>
        <v>0.94337200608568694</v>
      </c>
      <c r="G42" s="1050"/>
      <c r="H42" s="1064">
        <f t="shared" si="1"/>
        <v>6.3550842508504628</v>
      </c>
      <c r="I42" s="1065"/>
      <c r="J42" s="1059"/>
      <c r="K42" s="1059"/>
      <c r="L42" s="1060"/>
      <c r="M42" s="1059"/>
      <c r="N42" s="1054">
        <f t="shared" si="2"/>
        <v>2031.7515749097222</v>
      </c>
      <c r="O42" s="1055"/>
      <c r="P42" s="1061">
        <f t="shared" si="10"/>
        <v>0</v>
      </c>
      <c r="Q42" s="1062"/>
      <c r="R42" s="1059">
        <f t="shared" si="12"/>
        <v>0</v>
      </c>
      <c r="S42" s="1059"/>
      <c r="T42" s="1061">
        <f t="shared" si="11"/>
        <v>0</v>
      </c>
      <c r="U42" s="1062"/>
      <c r="V42" s="1032"/>
      <c r="W42" s="1032"/>
      <c r="X42" s="1033"/>
      <c r="Y42" s="1033"/>
      <c r="Z42" s="1032"/>
      <c r="AA42" s="1032"/>
      <c r="AB42" s="1032"/>
      <c r="AC42" s="1032"/>
      <c r="AD42" s="1033"/>
      <c r="AE42" s="1033"/>
      <c r="AF42" s="1047"/>
      <c r="AG42" s="1047"/>
      <c r="AH42" s="1032"/>
      <c r="AI42" s="1032"/>
      <c r="AJ42" s="1048"/>
      <c r="AK42" s="105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221.79101480293372</v>
      </c>
      <c r="K45" s="1070"/>
      <c r="L45" s="1060">
        <f>0.15*J45</f>
        <v>33.268652220440053</v>
      </c>
      <c r="M45" s="1059"/>
      <c r="N45" s="1066">
        <f t="shared" si="2"/>
        <v>8161.9093447479609</v>
      </c>
      <c r="O45" s="1067"/>
      <c r="P45" s="1061">
        <f t="shared" si="10"/>
        <v>2.6677885602713638E-2</v>
      </c>
      <c r="Q45" s="1062"/>
      <c r="R45" s="1059">
        <f>L45+SUMPRODUCT(R32:R44,$AS32:$AS44)</f>
        <v>33.268652220440053</v>
      </c>
      <c r="S45" s="1059"/>
      <c r="T45" s="1071">
        <f>R45*$AR45</f>
        <v>1064.5968710540817</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BF31</f>
        <v>1.4415226502516399E-10</v>
      </c>
      <c r="G46" s="1195"/>
      <c r="H46" s="1061">
        <f t="shared" si="1"/>
        <v>9.710907078820312E-10</v>
      </c>
      <c r="I46" s="1062"/>
      <c r="J46" s="1059">
        <f>0.79/0.21*J45</f>
        <v>834.35667473484602</v>
      </c>
      <c r="K46" s="1063"/>
      <c r="L46" s="1060">
        <f>0.71/0.29*L45</f>
        <v>81.450838194870485</v>
      </c>
      <c r="M46" s="1059"/>
      <c r="N46" s="1066">
        <f>SUM(H46,J46,L46)*AR46</f>
        <v>25642.610362059255</v>
      </c>
      <c r="O46" s="1067"/>
      <c r="P46" s="1064">
        <f t="shared" si="10"/>
        <v>0.73437593020060521</v>
      </c>
      <c r="Q46" s="1065"/>
      <c r="R46" s="1064">
        <f>$H46+J46+L46-R49</f>
        <v>915.80336555686165</v>
      </c>
      <c r="S46" s="1065"/>
      <c r="T46" s="1066">
        <f>R46*$AR46</f>
        <v>25642.494235592127</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1.1765736557664536E-6</v>
      </c>
      <c r="Q47" s="1062"/>
      <c r="R47" s="1059">
        <f>T47/$AR$47</f>
        <v>1.46724595600801E-3</v>
      </c>
      <c r="S47" s="1059"/>
      <c r="T47" s="1064">
        <f>$AC17*$X25</f>
        <v>4.109755922778436E-2</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BF32</f>
        <v>1.04835044112351E-6</v>
      </c>
      <c r="G48" s="1195"/>
      <c r="H48" s="1061">
        <f t="shared" si="1"/>
        <v>7.0622780141633844E-6</v>
      </c>
      <c r="I48" s="1062"/>
      <c r="J48" s="1059"/>
      <c r="K48" s="1059"/>
      <c r="L48" s="1060"/>
      <c r="M48" s="1059"/>
      <c r="N48" s="1061">
        <f t="shared" si="2"/>
        <v>3.1081085540333054E-4</v>
      </c>
      <c r="O48" s="1062"/>
      <c r="P48" s="1064">
        <f t="shared" si="10"/>
        <v>0.11676935192729559</v>
      </c>
      <c r="Q48" s="1065"/>
      <c r="R48" s="1068">
        <f>SUMPRODUCT($H31:$H52,$AU31:$AU52)+$H48-R47-SUMPRODUCT(R32:R42,$AU32:$AU42)</f>
        <v>145.61719834649176</v>
      </c>
      <c r="S48" s="1059"/>
      <c r="T48" s="1066">
        <f>R48*$AR48</f>
        <v>6408.6128992291024</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3.3257483275116924E-6</v>
      </c>
      <c r="Q49" s="1062"/>
      <c r="R49" s="1060">
        <f>T49/$AR49</f>
        <v>4.1473738259617619E-3</v>
      </c>
      <c r="S49" s="1063"/>
      <c r="T49" s="1064">
        <f>$W17*$X25</f>
        <v>0.19077919599424106</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1.5719062744120601E-7</v>
      </c>
      <c r="Q51" s="1062"/>
      <c r="R51" s="1066">
        <f>T51/$AR51</f>
        <v>1.9602454236936618E-4</v>
      </c>
      <c r="S51" s="1067"/>
      <c r="T51" s="1060">
        <f>Q22*X25</f>
        <v>1.2545570711639436E-2</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193">
        <f>BF76</f>
        <v>1.4951987737782399E-3</v>
      </c>
      <c r="G52" s="1194"/>
      <c r="H52" s="1051">
        <f t="shared" si="1"/>
        <v>1.0072499626691206E-2</v>
      </c>
      <c r="I52" s="1052"/>
      <c r="J52" s="1032"/>
      <c r="K52" s="1032"/>
      <c r="L52" s="1053"/>
      <c r="M52" s="1032"/>
      <c r="N52" s="1054">
        <f t="shared" si="2"/>
        <v>0.18146615327446874</v>
      </c>
      <c r="O52" s="1055"/>
      <c r="P52" s="1056">
        <f t="shared" si="10"/>
        <v>0.12217217275677471</v>
      </c>
      <c r="Q52" s="1057"/>
      <c r="R52" s="1044">
        <f>SUMPRODUCT(H31:H52,$AV31:$AV52)+H52-SUMPRODUCT(R32:R42,$AV32:$AV42)</f>
        <v>152.35478504515453</v>
      </c>
      <c r="S52" s="1044"/>
      <c r="T52" s="1045">
        <f>R52*$AR52</f>
        <v>2744.8238073735038</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0.99993636529826091</v>
      </c>
      <c r="G53" s="1038"/>
      <c r="H53" s="1039">
        <f>SUM(H31:H52)</f>
        <v>6.7361335782338605</v>
      </c>
      <c r="I53" s="1040"/>
      <c r="J53" s="1041">
        <f>SUM(J31:J52)</f>
        <v>1056.1476895377798</v>
      </c>
      <c r="K53" s="1041"/>
      <c r="L53" s="1042">
        <f>SUM(L31:L52)</f>
        <v>114.71949041531053</v>
      </c>
      <c r="M53" s="1043"/>
      <c r="N53" s="1030">
        <f>SUM(N31:N52)</f>
        <v>35860.708513210469</v>
      </c>
      <c r="O53" s="1031"/>
      <c r="P53" s="1028">
        <f>SUM(P31:P52)</f>
        <v>0.99999999999999978</v>
      </c>
      <c r="Q53" s="1029"/>
      <c r="R53" s="1030">
        <f>SUM(R31:R52)</f>
        <v>1247.0498118132725</v>
      </c>
      <c r="S53" s="1031"/>
      <c r="T53" s="1030">
        <f>SUM(T31:T52)</f>
        <v>35860.772235574746</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5.2994221109511408E-2</v>
      </c>
      <c r="M55" s="1186"/>
      <c r="N55" s="1192">
        <f>W17*$X$25</f>
        <v>0.19077919599424106</v>
      </c>
      <c r="O55" s="1192"/>
      <c r="P55" s="31" t="s">
        <v>617</v>
      </c>
      <c r="Q55" s="31"/>
      <c r="R55" s="1291">
        <f>N55*2*24/1000</f>
        <v>9.157401407723571E-3</v>
      </c>
      <c r="S55" s="1291"/>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436">
        <f t="shared" ref="L56:L61" si="13">N56*1000/3600</f>
        <v>1.1415988674384545E-2</v>
      </c>
      <c r="M56" s="1437"/>
      <c r="N56" s="1192">
        <f>AC17*$X$25</f>
        <v>4.109755922778436E-2</v>
      </c>
      <c r="O56" s="1192"/>
      <c r="P56" s="31" t="s">
        <v>617</v>
      </c>
      <c r="Q56" s="31"/>
      <c r="R56" s="1291">
        <f t="shared" ref="R56:R61" si="14">N56*2*24/1000</f>
        <v>1.9726828429336494E-3</v>
      </c>
      <c r="S56" s="1291"/>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436">
        <f t="shared" si="13"/>
        <v>3.7252173569044308E-3</v>
      </c>
      <c r="M57" s="1437"/>
      <c r="N57" s="1192">
        <f>AI17*$X$25</f>
        <v>1.341078248485595E-2</v>
      </c>
      <c r="O57" s="1192"/>
      <c r="P57" s="31" t="s">
        <v>617</v>
      </c>
      <c r="Q57" s="31"/>
      <c r="R57" s="1291">
        <f t="shared" si="14"/>
        <v>6.4371755927308556E-4</v>
      </c>
      <c r="S57" s="1291"/>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436">
        <f t="shared" si="13"/>
        <v>0</v>
      </c>
      <c r="M58" s="1437"/>
      <c r="N58" s="1191">
        <f>K22*$X$25</f>
        <v>0</v>
      </c>
      <c r="O58" s="1191"/>
      <c r="P58" s="31" t="s">
        <v>617</v>
      </c>
      <c r="Q58" s="31"/>
      <c r="R58" s="1291">
        <f t="shared" si="14"/>
        <v>0</v>
      </c>
      <c r="S58" s="1291"/>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436">
        <f t="shared" si="13"/>
        <v>0</v>
      </c>
      <c r="M59" s="1437"/>
      <c r="N59" s="1192">
        <f>X25*W22</f>
        <v>0</v>
      </c>
      <c r="O59" s="1192"/>
      <c r="P59" s="31" t="s">
        <v>617</v>
      </c>
      <c r="Q59" s="31"/>
      <c r="R59" s="1291">
        <f t="shared" si="14"/>
        <v>0</v>
      </c>
      <c r="S59" s="1291"/>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3.4848807532331764E-3</v>
      </c>
      <c r="M60" s="1186"/>
      <c r="N60" s="1191">
        <f>Q22*$X$25</f>
        <v>1.2545570711639436E-2</v>
      </c>
      <c r="O60" s="1191"/>
      <c r="P60" s="31" t="s">
        <v>617</v>
      </c>
      <c r="Q60" s="31"/>
      <c r="R60" s="1291">
        <f t="shared" si="14"/>
        <v>6.0218739415869289E-4</v>
      </c>
      <c r="S60" s="1291"/>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0</v>
      </c>
      <c r="M61" s="1186"/>
      <c r="N61" s="1191">
        <f>AC22*$X$25</f>
        <v>0</v>
      </c>
      <c r="O61" s="1191"/>
      <c r="P61" s="31" t="s">
        <v>617</v>
      </c>
      <c r="Q61" s="31"/>
      <c r="R61" s="1291">
        <f t="shared" si="14"/>
        <v>0</v>
      </c>
      <c r="S61" s="1291"/>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246">
        <f>O62*1000/3600</f>
        <v>1729.1763946155174</v>
      </c>
      <c r="M62" s="1247"/>
      <c r="N62" s="31"/>
      <c r="O62" s="427">
        <f>'Diesel F'!I56*X25</f>
        <v>6225.0350206158628</v>
      </c>
      <c r="P62" s="395" t="s">
        <v>617</v>
      </c>
      <c r="Q62" s="395"/>
      <c r="R62" s="1291">
        <f>O62*2*24/1000</f>
        <v>298.80168098956142</v>
      </c>
      <c r="S62" s="1291"/>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680</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682</v>
      </c>
      <c r="B65" s="31" t="s">
        <v>689</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832</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232"/>
      <c r="B67" s="147"/>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2"/>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32"/>
      <c r="B68" s="147"/>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J1YrOoQSyxth7twsIv8moLAcZJ76MOnkHv6yi/q700FnjIiimGEMzdzfcWPBrs0Qm5So2jH7XdPnEUQZLQB7uQ==" saltValue="PogUp5LL1+y518RopQXKWQ==" spinCount="100000" sheet="1" objects="1" scenarios="1" selectLockedCells="1" selectUnlockedCells="1"/>
  <mergeCells count="459">
    <mergeCell ref="L62:M62"/>
    <mergeCell ref="R62:S62"/>
    <mergeCell ref="AE59:AF59"/>
    <mergeCell ref="L60:M60"/>
    <mergeCell ref="N60:O60"/>
    <mergeCell ref="R60:S60"/>
    <mergeCell ref="L61:M61"/>
    <mergeCell ref="N61:O61"/>
    <mergeCell ref="R61:S61"/>
    <mergeCell ref="AE57:AF57"/>
    <mergeCell ref="L58:M58"/>
    <mergeCell ref="N58:O58"/>
    <mergeCell ref="R58:S58"/>
    <mergeCell ref="L59:M59"/>
    <mergeCell ref="N59:O59"/>
    <mergeCell ref="R59:S59"/>
    <mergeCell ref="T59:U59"/>
    <mergeCell ref="Y59:Z59"/>
    <mergeCell ref="AC59:AD59"/>
    <mergeCell ref="L56:M56"/>
    <mergeCell ref="N56:O56"/>
    <mergeCell ref="R56:S56"/>
    <mergeCell ref="L57:M57"/>
    <mergeCell ref="N57:O57"/>
    <mergeCell ref="R57:S57"/>
    <mergeCell ref="T57:U57"/>
    <mergeCell ref="Y57:Z57"/>
    <mergeCell ref="AC57:AD57"/>
    <mergeCell ref="AF53:AG53"/>
    <mergeCell ref="AH53:AI53"/>
    <mergeCell ref="AJ53:AK53"/>
    <mergeCell ref="L54:M54"/>
    <mergeCell ref="L55:M55"/>
    <mergeCell ref="N55:O55"/>
    <mergeCell ref="R55:S55"/>
    <mergeCell ref="T55:U55"/>
    <mergeCell ref="Y55:Z55"/>
    <mergeCell ref="AC55:AD55"/>
    <mergeCell ref="T53:U53"/>
    <mergeCell ref="V53:W53"/>
    <mergeCell ref="X53:Y53"/>
    <mergeCell ref="Z53:AA53"/>
    <mergeCell ref="AB53:AC53"/>
    <mergeCell ref="AD53:AE53"/>
    <mergeCell ref="AE55:AF55"/>
    <mergeCell ref="A53:E53"/>
    <mergeCell ref="F53:G53"/>
    <mergeCell ref="H53:I53"/>
    <mergeCell ref="J53:K53"/>
    <mergeCell ref="L53:M53"/>
    <mergeCell ref="N53:O53"/>
    <mergeCell ref="P53:Q53"/>
    <mergeCell ref="R53:S53"/>
    <mergeCell ref="V52:W52"/>
    <mergeCell ref="AJ51:AK51"/>
    <mergeCell ref="F52:G52"/>
    <mergeCell ref="H52:I52"/>
    <mergeCell ref="J52:K52"/>
    <mergeCell ref="L52:M52"/>
    <mergeCell ref="N52:O52"/>
    <mergeCell ref="P52:Q52"/>
    <mergeCell ref="R52:S52"/>
    <mergeCell ref="T52:U52"/>
    <mergeCell ref="V51:W51"/>
    <mergeCell ref="X51:Y51"/>
    <mergeCell ref="Z51:AA51"/>
    <mergeCell ref="AB51:AC51"/>
    <mergeCell ref="AD51:AE51"/>
    <mergeCell ref="AF51:AG51"/>
    <mergeCell ref="AH52:AI52"/>
    <mergeCell ref="AJ52:AK52"/>
    <mergeCell ref="X52:Y52"/>
    <mergeCell ref="Z52:AA52"/>
    <mergeCell ref="AB52:AC52"/>
    <mergeCell ref="AD52:AE52"/>
    <mergeCell ref="AF52:AG52"/>
    <mergeCell ref="F51:G51"/>
    <mergeCell ref="H51:I51"/>
    <mergeCell ref="J51:K51"/>
    <mergeCell ref="L51:M51"/>
    <mergeCell ref="N51:O51"/>
    <mergeCell ref="P51:Q51"/>
    <mergeCell ref="R51:S51"/>
    <mergeCell ref="T51:U51"/>
    <mergeCell ref="V50:W50"/>
    <mergeCell ref="AH49:AI49"/>
    <mergeCell ref="J49:K49"/>
    <mergeCell ref="L49:M49"/>
    <mergeCell ref="N49:O49"/>
    <mergeCell ref="P49:Q49"/>
    <mergeCell ref="R49:S49"/>
    <mergeCell ref="T49:U49"/>
    <mergeCell ref="AH51:AI51"/>
    <mergeCell ref="AJ49:AK49"/>
    <mergeCell ref="F50:G50"/>
    <mergeCell ref="H50:I50"/>
    <mergeCell ref="J50:K50"/>
    <mergeCell ref="L50:M50"/>
    <mergeCell ref="N50:O50"/>
    <mergeCell ref="P50:Q50"/>
    <mergeCell ref="R50:S50"/>
    <mergeCell ref="T50:U50"/>
    <mergeCell ref="V49:W49"/>
    <mergeCell ref="X49:Y49"/>
    <mergeCell ref="Z49:AA49"/>
    <mergeCell ref="AB49:AC49"/>
    <mergeCell ref="AD49:AE49"/>
    <mergeCell ref="AF49:AG49"/>
    <mergeCell ref="AH50:AI50"/>
    <mergeCell ref="AJ50:AK50"/>
    <mergeCell ref="X50:Y50"/>
    <mergeCell ref="Z50:AA50"/>
    <mergeCell ref="AB50:AC50"/>
    <mergeCell ref="AD50:AE50"/>
    <mergeCell ref="AF50:AG50"/>
    <mergeCell ref="F49:G49"/>
    <mergeCell ref="H49:I49"/>
    <mergeCell ref="V48:W48"/>
    <mergeCell ref="AH47:AI47"/>
    <mergeCell ref="AJ47:AK47"/>
    <mergeCell ref="F48:G48"/>
    <mergeCell ref="H48:I48"/>
    <mergeCell ref="J48:K48"/>
    <mergeCell ref="L48:M48"/>
    <mergeCell ref="N48:O48"/>
    <mergeCell ref="P48:Q48"/>
    <mergeCell ref="R48:S48"/>
    <mergeCell ref="T48:U48"/>
    <mergeCell ref="V47:W47"/>
    <mergeCell ref="X47:Y47"/>
    <mergeCell ref="Z47:AA47"/>
    <mergeCell ref="AB47:AC47"/>
    <mergeCell ref="AD47:AE47"/>
    <mergeCell ref="AF47:AG47"/>
    <mergeCell ref="AH48:AI48"/>
    <mergeCell ref="AJ48:AK48"/>
    <mergeCell ref="X48:Y48"/>
    <mergeCell ref="Z48:AA48"/>
    <mergeCell ref="AB48:AC48"/>
    <mergeCell ref="AD48:AE48"/>
    <mergeCell ref="AF48:AG48"/>
    <mergeCell ref="F47:G47"/>
    <mergeCell ref="H47:I47"/>
    <mergeCell ref="J47:K47"/>
    <mergeCell ref="L47:M47"/>
    <mergeCell ref="N47:O47"/>
    <mergeCell ref="P47:Q47"/>
    <mergeCell ref="R47:S47"/>
    <mergeCell ref="T47:U47"/>
    <mergeCell ref="V46:W46"/>
    <mergeCell ref="AJ45:AK45"/>
    <mergeCell ref="F46:G46"/>
    <mergeCell ref="H46:I46"/>
    <mergeCell ref="J46:K46"/>
    <mergeCell ref="L46:M46"/>
    <mergeCell ref="N46:O46"/>
    <mergeCell ref="P46:Q46"/>
    <mergeCell ref="R46:S46"/>
    <mergeCell ref="T46:U46"/>
    <mergeCell ref="V45:W45"/>
    <mergeCell ref="X45:Y45"/>
    <mergeCell ref="Z45:AA45"/>
    <mergeCell ref="AB45:AC45"/>
    <mergeCell ref="AD45:AE45"/>
    <mergeCell ref="AF45:AG45"/>
    <mergeCell ref="AH46:AI46"/>
    <mergeCell ref="AJ46:AK46"/>
    <mergeCell ref="X46:Y46"/>
    <mergeCell ref="Z46:AA46"/>
    <mergeCell ref="AB46:AC46"/>
    <mergeCell ref="AD46:AE46"/>
    <mergeCell ref="AF46:AG46"/>
    <mergeCell ref="F45:G45"/>
    <mergeCell ref="H45:I45"/>
    <mergeCell ref="J45:K45"/>
    <mergeCell ref="L45:M45"/>
    <mergeCell ref="N45:O45"/>
    <mergeCell ref="P45:Q45"/>
    <mergeCell ref="R45:S45"/>
    <mergeCell ref="T45:U45"/>
    <mergeCell ref="V44:W44"/>
    <mergeCell ref="AH43:AI43"/>
    <mergeCell ref="J43:K43"/>
    <mergeCell ref="L43:M43"/>
    <mergeCell ref="N43:O43"/>
    <mergeCell ref="P43:Q43"/>
    <mergeCell ref="R43:S43"/>
    <mergeCell ref="T43:U43"/>
    <mergeCell ref="AH45:AI45"/>
    <mergeCell ref="AJ43:AK43"/>
    <mergeCell ref="F44:G44"/>
    <mergeCell ref="H44:I44"/>
    <mergeCell ref="J44:K44"/>
    <mergeCell ref="L44:M44"/>
    <mergeCell ref="N44:O44"/>
    <mergeCell ref="P44:Q44"/>
    <mergeCell ref="R44:S44"/>
    <mergeCell ref="T44:U44"/>
    <mergeCell ref="V43:W43"/>
    <mergeCell ref="X43:Y43"/>
    <mergeCell ref="Z43:AA43"/>
    <mergeCell ref="AB43:AC43"/>
    <mergeCell ref="AD43:AE43"/>
    <mergeCell ref="AF43:AG43"/>
    <mergeCell ref="AH44:AI44"/>
    <mergeCell ref="AJ44:AK44"/>
    <mergeCell ref="X44:Y44"/>
    <mergeCell ref="Z44:AA44"/>
    <mergeCell ref="AB44:AC44"/>
    <mergeCell ref="AD44:AE44"/>
    <mergeCell ref="AF44:AG44"/>
    <mergeCell ref="F43:G43"/>
    <mergeCell ref="H43:I43"/>
    <mergeCell ref="V42:W42"/>
    <mergeCell ref="T41:U41"/>
    <mergeCell ref="AJ41:AK41"/>
    <mergeCell ref="F42:G42"/>
    <mergeCell ref="H42:I42"/>
    <mergeCell ref="J42:K42"/>
    <mergeCell ref="L42:M42"/>
    <mergeCell ref="N42:O42"/>
    <mergeCell ref="P42:Q42"/>
    <mergeCell ref="R42:S42"/>
    <mergeCell ref="T42:U42"/>
    <mergeCell ref="AH42:AI42"/>
    <mergeCell ref="AJ42:AK42"/>
    <mergeCell ref="X42:Y42"/>
    <mergeCell ref="Z42:AA42"/>
    <mergeCell ref="AB42:AC42"/>
    <mergeCell ref="AD42:AE42"/>
    <mergeCell ref="AF42:AG42"/>
    <mergeCell ref="R40:S40"/>
    <mergeCell ref="T40:U40"/>
    <mergeCell ref="AJ40:AK40"/>
    <mergeCell ref="F41:G41"/>
    <mergeCell ref="H41:I41"/>
    <mergeCell ref="J41:K41"/>
    <mergeCell ref="L41:M41"/>
    <mergeCell ref="N41:O41"/>
    <mergeCell ref="P41:Q41"/>
    <mergeCell ref="R41:S41"/>
    <mergeCell ref="F40:G40"/>
    <mergeCell ref="H40:I40"/>
    <mergeCell ref="J40:K40"/>
    <mergeCell ref="L40:M40"/>
    <mergeCell ref="N40:O40"/>
    <mergeCell ref="P40:Q40"/>
    <mergeCell ref="V32:AI41"/>
    <mergeCell ref="F33:G33"/>
    <mergeCell ref="H33:I33"/>
    <mergeCell ref="J33:K33"/>
    <mergeCell ref="L33:M33"/>
    <mergeCell ref="N33:O33"/>
    <mergeCell ref="P33:Q33"/>
    <mergeCell ref="R33:S33"/>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F35:G35"/>
    <mergeCell ref="H35:I35"/>
    <mergeCell ref="J35:K35"/>
    <mergeCell ref="L35:M35"/>
    <mergeCell ref="N35:O35"/>
    <mergeCell ref="P35:Q35"/>
    <mergeCell ref="R35:S35"/>
    <mergeCell ref="T35:U35"/>
    <mergeCell ref="H34:I34"/>
    <mergeCell ref="J34:K34"/>
    <mergeCell ref="L34:M34"/>
    <mergeCell ref="N34:O34"/>
    <mergeCell ref="P34:Q34"/>
    <mergeCell ref="R34:S34"/>
    <mergeCell ref="F31:G31"/>
    <mergeCell ref="H31:I31"/>
    <mergeCell ref="J31:K31"/>
    <mergeCell ref="L31:M31"/>
    <mergeCell ref="N31:O31"/>
    <mergeCell ref="P31:Q31"/>
    <mergeCell ref="R31:S31"/>
    <mergeCell ref="T33:U33"/>
    <mergeCell ref="F34:G34"/>
    <mergeCell ref="T31:U31"/>
    <mergeCell ref="F32:G32"/>
    <mergeCell ref="H32:I32"/>
    <mergeCell ref="J32:K32"/>
    <mergeCell ref="L32:M32"/>
    <mergeCell ref="N32:O32"/>
    <mergeCell ref="P32:Q32"/>
    <mergeCell ref="R32:S32"/>
    <mergeCell ref="T32:U32"/>
    <mergeCell ref="T34:U34"/>
    <mergeCell ref="A30:E30"/>
    <mergeCell ref="F30:G30"/>
    <mergeCell ref="H30:I30"/>
    <mergeCell ref="J30:K30"/>
    <mergeCell ref="L30:M30"/>
    <mergeCell ref="N30:O30"/>
    <mergeCell ref="A27:E27"/>
    <mergeCell ref="F27:U27"/>
    <mergeCell ref="F28:I29"/>
    <mergeCell ref="J28:M28"/>
    <mergeCell ref="N28:O29"/>
    <mergeCell ref="P28:U29"/>
    <mergeCell ref="J29:K29"/>
    <mergeCell ref="L29:M29"/>
    <mergeCell ref="P30:Q30"/>
    <mergeCell ref="R30:S30"/>
    <mergeCell ref="T30:U30"/>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F31:U52">
    <cfRule type="expression" dxfId="147" priority="2">
      <formula>F31=0</formula>
    </cfRule>
  </conditionalFormatting>
  <conditionalFormatting sqref="R55:S62">
    <cfRule type="expression" dxfId="146" priority="1" stopIfTrue="1">
      <formula>R55=0</formula>
    </cfRule>
  </conditionalFormatting>
  <conditionalFormatting sqref="V31:AK31 AJ32:AK41 V42:AK52">
    <cfRule type="expression" dxfId="145" priority="4">
      <formula>V31=0</formula>
    </cfRule>
  </conditionalFormatting>
  <conditionalFormatting sqref="V53:AK53">
    <cfRule type="expression" dxfId="144" priority="5" stopIfTrue="1">
      <formula>V53=0</formula>
    </cfRule>
  </conditionalFormatting>
  <conditionalFormatting sqref="Y56:Y62 AC56:AD62 N57 N59">
    <cfRule type="expression" dxfId="143" priority="7" stopIfTrue="1">
      <formula>N56=0</formula>
    </cfRule>
  </conditionalFormatting>
  <pageMargins left="0.7" right="0.7" top="0.75" bottom="0.75" header="0.3" footer="0.3"/>
  <pageSetup paperSize="9" scale="61" orientation="portrait" r:id="rId1"/>
  <headerFooter>
    <oddFooter>&amp;C_x000D_&amp;1#&amp;"Calibri"&amp;10&amp;K000000 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CD4FA-D8AC-40E8-BF29-EAAC463B4579}">
  <sheetPr>
    <tabColor rgb="FF00B0F0"/>
  </sheetPr>
  <dimension ref="B1:N53"/>
  <sheetViews>
    <sheetView zoomScale="70" zoomScaleNormal="70" workbookViewId="0">
      <selection activeCell="G63" sqref="G63"/>
    </sheetView>
  </sheetViews>
  <sheetFormatPr defaultColWidth="8.7109375" defaultRowHeight="12.75"/>
  <cols>
    <col min="1" max="1" width="8.7109375" style="624"/>
    <col min="2" max="2" width="28.7109375" style="624" customWidth="1"/>
    <col min="3" max="3" width="11.28515625" style="624" customWidth="1"/>
    <col min="4" max="4" width="10.5703125" style="624" customWidth="1"/>
    <col min="5" max="5" width="13.28515625" style="624" customWidth="1"/>
    <col min="6" max="6" width="17.5703125" style="635" customWidth="1"/>
    <col min="7" max="7" width="22.5703125" style="624" customWidth="1"/>
    <col min="8" max="8" width="13.7109375" style="624" customWidth="1"/>
    <col min="9" max="9" width="43.7109375" style="624" customWidth="1"/>
    <col min="10" max="11" width="8.7109375" style="624"/>
    <col min="12" max="12" width="11.42578125" style="624" customWidth="1"/>
    <col min="13" max="13" width="12.42578125" style="624" customWidth="1"/>
    <col min="14" max="14" width="13.28515625" style="624" customWidth="1"/>
    <col min="15" max="16384" width="8.7109375" style="624"/>
  </cols>
  <sheetData>
    <row r="1" spans="2:14">
      <c r="F1" s="625"/>
      <c r="G1" s="626"/>
    </row>
    <row r="2" spans="2:14">
      <c r="B2" s="627" t="s">
        <v>22</v>
      </c>
      <c r="C2" s="628" t="s">
        <v>1</v>
      </c>
      <c r="D2" s="628"/>
      <c r="E2" s="628"/>
      <c r="F2" s="629"/>
      <c r="G2" s="630"/>
      <c r="H2" s="631" t="s">
        <v>23</v>
      </c>
      <c r="I2" s="632" t="str">
        <f>'Emiss. Const. Offsh.'!$I$2</f>
        <v>PRJ-001030</v>
      </c>
    </row>
    <row r="3" spans="2:14">
      <c r="B3" s="633" t="s">
        <v>24</v>
      </c>
      <c r="C3" s="628" t="s">
        <v>5</v>
      </c>
      <c r="D3" s="634"/>
      <c r="E3" s="634"/>
      <c r="H3" s="636" t="s">
        <v>25</v>
      </c>
      <c r="I3" s="637"/>
    </row>
    <row r="4" spans="2:14" ht="12.6" customHeight="1">
      <c r="B4" s="633" t="s">
        <v>26</v>
      </c>
      <c r="C4" s="634" t="s">
        <v>96</v>
      </c>
      <c r="D4" s="634"/>
      <c r="E4" s="634"/>
      <c r="H4" s="636" t="s">
        <v>27</v>
      </c>
      <c r="I4" s="638" t="s">
        <v>191</v>
      </c>
      <c r="L4" s="879" t="s">
        <v>100</v>
      </c>
      <c r="M4" s="882" t="s">
        <v>101</v>
      </c>
      <c r="N4" s="882" t="s">
        <v>101</v>
      </c>
    </row>
    <row r="5" spans="2:14">
      <c r="B5" s="639" t="s">
        <v>98</v>
      </c>
      <c r="C5" s="640"/>
      <c r="D5" s="640"/>
      <c r="E5" s="640"/>
      <c r="H5" s="641"/>
      <c r="I5" s="642"/>
      <c r="L5" s="880"/>
      <c r="M5" s="882"/>
      <c r="N5" s="882"/>
    </row>
    <row r="6" spans="2:14">
      <c r="B6" s="639"/>
      <c r="C6" s="640"/>
      <c r="D6" s="640"/>
      <c r="E6" s="640"/>
      <c r="H6" s="641"/>
      <c r="I6" s="642"/>
      <c r="L6" s="881"/>
      <c r="M6" s="711" t="s">
        <v>104</v>
      </c>
      <c r="N6" s="711" t="s">
        <v>105</v>
      </c>
    </row>
    <row r="7" spans="2:14">
      <c r="B7" s="643" t="s">
        <v>99</v>
      </c>
      <c r="C7" s="626"/>
      <c r="D7" s="644"/>
      <c r="E7" s="644"/>
      <c r="F7" s="625"/>
      <c r="G7" s="626"/>
      <c r="H7" s="645" t="s">
        <v>28</v>
      </c>
      <c r="I7" s="646"/>
      <c r="L7" s="710" t="s">
        <v>114</v>
      </c>
      <c r="M7" s="712">
        <f>F14</f>
        <v>1.2295338224443397</v>
      </c>
      <c r="N7" s="777">
        <f>F22+F30+F38+F46</f>
        <v>9476.7862455096474</v>
      </c>
    </row>
    <row r="8" spans="2:14">
      <c r="B8" s="633"/>
      <c r="C8" s="702"/>
      <c r="D8" s="702"/>
      <c r="E8" s="702"/>
      <c r="F8" s="636"/>
      <c r="G8" s="634"/>
      <c r="H8" s="634"/>
      <c r="I8" s="638"/>
      <c r="L8" s="710" t="s">
        <v>115</v>
      </c>
      <c r="M8" s="712">
        <f>F15</f>
        <v>0.32659492158677761</v>
      </c>
      <c r="N8" s="712">
        <f>F23+F31+F39+F47</f>
        <v>595.82212820399479</v>
      </c>
    </row>
    <row r="9" spans="2:14" ht="15.75">
      <c r="B9" s="703" t="s">
        <v>191</v>
      </c>
      <c r="D9" s="704"/>
      <c r="E9" s="704"/>
      <c r="F9" s="705"/>
      <c r="G9" s="704"/>
      <c r="H9" s="704"/>
      <c r="I9" s="706"/>
      <c r="L9" s="710" t="s">
        <v>116</v>
      </c>
      <c r="M9" s="713">
        <f>F16</f>
        <v>3.8422931951385617E-2</v>
      </c>
      <c r="N9" s="714">
        <f>F24+F32</f>
        <v>1.6191500059542473E-2</v>
      </c>
    </row>
    <row r="10" spans="2:14" ht="15.75" thickBot="1">
      <c r="B10" s="707" t="s">
        <v>103</v>
      </c>
      <c r="C10" s="704"/>
      <c r="D10" s="704"/>
      <c r="E10" s="704"/>
      <c r="F10" s="705"/>
      <c r="G10" s="704"/>
      <c r="H10" s="704"/>
      <c r="I10" s="706"/>
      <c r="L10" s="710" t="s">
        <v>122</v>
      </c>
      <c r="M10" s="713">
        <v>0</v>
      </c>
      <c r="N10" s="713">
        <v>0</v>
      </c>
    </row>
    <row r="11" spans="2:14">
      <c r="B11" s="888" t="s">
        <v>106</v>
      </c>
      <c r="C11" s="888" t="s">
        <v>107</v>
      </c>
      <c r="D11" s="888" t="s">
        <v>108</v>
      </c>
      <c r="E11" s="888" t="s">
        <v>109</v>
      </c>
      <c r="F11" s="898" t="s">
        <v>192</v>
      </c>
      <c r="G11" s="888" t="s">
        <v>111</v>
      </c>
      <c r="H11" s="888" t="s">
        <v>112</v>
      </c>
      <c r="I11" s="888" t="s">
        <v>113</v>
      </c>
      <c r="L11" s="710" t="s">
        <v>123</v>
      </c>
      <c r="M11" s="713">
        <v>0</v>
      </c>
      <c r="N11" s="713">
        <f>F42+F50</f>
        <v>231.14056472727273</v>
      </c>
    </row>
    <row r="12" spans="2:14">
      <c r="B12" s="889"/>
      <c r="C12" s="889"/>
      <c r="D12" s="889"/>
      <c r="E12" s="889"/>
      <c r="F12" s="882"/>
      <c r="G12" s="889"/>
      <c r="H12" s="889"/>
      <c r="I12" s="889"/>
      <c r="L12" s="710" t="s">
        <v>124</v>
      </c>
      <c r="M12" s="713">
        <f>F19</f>
        <v>0.3880716127089946</v>
      </c>
      <c r="N12" s="713">
        <f>F27+F35+F43+F51</f>
        <v>238.96662397806156</v>
      </c>
    </row>
    <row r="13" spans="2:14">
      <c r="B13" s="889"/>
      <c r="C13" s="889"/>
      <c r="D13" s="889"/>
      <c r="E13" s="889"/>
      <c r="F13" s="882"/>
      <c r="G13" s="889"/>
      <c r="H13" s="889"/>
      <c r="I13" s="889"/>
      <c r="L13" s="710" t="s">
        <v>125</v>
      </c>
      <c r="M13" s="713">
        <v>0</v>
      </c>
      <c r="N13" s="713">
        <v>0</v>
      </c>
    </row>
    <row r="14" spans="2:14">
      <c r="B14" s="944" t="s">
        <v>193</v>
      </c>
      <c r="C14" s="708" t="s">
        <v>114</v>
      </c>
      <c r="D14" s="886" t="s">
        <v>118</v>
      </c>
      <c r="E14" s="886" t="s">
        <v>119</v>
      </c>
      <c r="F14" s="709">
        <f>DG!R55</f>
        <v>1.2295338224443397</v>
      </c>
      <c r="G14" s="886" t="s">
        <v>104</v>
      </c>
      <c r="H14" s="886" t="s">
        <v>120</v>
      </c>
      <c r="I14" s="942" t="s">
        <v>194</v>
      </c>
      <c r="L14" s="710" t="s">
        <v>126</v>
      </c>
      <c r="M14" s="713">
        <f>F21</f>
        <v>55286.720922054308</v>
      </c>
      <c r="N14" s="713">
        <f>F29+F37+F45+F53</f>
        <v>428540.37121995009</v>
      </c>
    </row>
    <row r="15" spans="2:14">
      <c r="B15" s="945"/>
      <c r="C15" s="710" t="s">
        <v>115</v>
      </c>
      <c r="D15" s="886"/>
      <c r="E15" s="886"/>
      <c r="F15" s="709">
        <f>DG!R56</f>
        <v>0.32659492158677761</v>
      </c>
      <c r="G15" s="886"/>
      <c r="H15" s="886"/>
      <c r="I15" s="942"/>
    </row>
    <row r="16" spans="2:14">
      <c r="B16" s="945"/>
      <c r="C16" s="710" t="s">
        <v>116</v>
      </c>
      <c r="D16" s="886"/>
      <c r="E16" s="886"/>
      <c r="F16" s="709">
        <f>DG!R57</f>
        <v>3.8422931951385617E-2</v>
      </c>
      <c r="G16" s="886"/>
      <c r="H16" s="886"/>
      <c r="I16" s="942"/>
    </row>
    <row r="17" spans="2:9">
      <c r="B17" s="945"/>
      <c r="C17" s="710" t="s">
        <v>122</v>
      </c>
      <c r="D17" s="886"/>
      <c r="E17" s="886"/>
      <c r="F17" s="709">
        <f>DG!R58</f>
        <v>0</v>
      </c>
      <c r="G17" s="886"/>
      <c r="H17" s="886"/>
      <c r="I17" s="942"/>
    </row>
    <row r="18" spans="2:9">
      <c r="B18" s="945"/>
      <c r="C18" s="710" t="s">
        <v>123</v>
      </c>
      <c r="D18" s="886"/>
      <c r="E18" s="886"/>
      <c r="F18" s="709">
        <f>DG!R59</f>
        <v>0</v>
      </c>
      <c r="G18" s="886"/>
      <c r="H18" s="886"/>
      <c r="I18" s="942"/>
    </row>
    <row r="19" spans="2:9">
      <c r="B19" s="945"/>
      <c r="C19" s="710" t="s">
        <v>124</v>
      </c>
      <c r="D19" s="886"/>
      <c r="E19" s="886"/>
      <c r="F19" s="709">
        <f>DG!R60</f>
        <v>0.3880716127089946</v>
      </c>
      <c r="G19" s="886"/>
      <c r="H19" s="886"/>
      <c r="I19" s="942"/>
    </row>
    <row r="20" spans="2:9">
      <c r="B20" s="945"/>
      <c r="C20" s="710" t="s">
        <v>125</v>
      </c>
      <c r="D20" s="886"/>
      <c r="E20" s="886"/>
      <c r="F20" s="709">
        <f>DG!R61</f>
        <v>0</v>
      </c>
      <c r="G20" s="886"/>
      <c r="H20" s="886"/>
      <c r="I20" s="942"/>
    </row>
    <row r="21" spans="2:9" ht="13.5" thickBot="1">
      <c r="B21" s="946"/>
      <c r="C21" s="715" t="s">
        <v>126</v>
      </c>
      <c r="D21" s="887"/>
      <c r="E21" s="887"/>
      <c r="F21" s="742">
        <f>DG!R62</f>
        <v>55286.720922054308</v>
      </c>
      <c r="G21" s="887"/>
      <c r="H21" s="887"/>
      <c r="I21" s="943"/>
    </row>
    <row r="22" spans="2:9">
      <c r="B22" s="944" t="s">
        <v>195</v>
      </c>
      <c r="C22" s="708" t="s">
        <v>114</v>
      </c>
      <c r="D22" s="886" t="s">
        <v>118</v>
      </c>
      <c r="E22" s="886" t="s">
        <v>119</v>
      </c>
      <c r="F22" s="709">
        <f>'D TP'!R55</f>
        <v>0.22848342102700936</v>
      </c>
      <c r="G22" s="886" t="s">
        <v>105</v>
      </c>
      <c r="H22" s="886" t="s">
        <v>120</v>
      </c>
      <c r="I22" s="942" t="s">
        <v>196</v>
      </c>
    </row>
    <row r="23" spans="2:9">
      <c r="B23" s="945"/>
      <c r="C23" s="710" t="s">
        <v>115</v>
      </c>
      <c r="D23" s="886"/>
      <c r="E23" s="886"/>
      <c r="F23" s="709">
        <f>'D TP'!R56</f>
        <v>4.9219784574979351E-2</v>
      </c>
      <c r="G23" s="886"/>
      <c r="H23" s="886"/>
      <c r="I23" s="942"/>
    </row>
    <row r="24" spans="2:9">
      <c r="B24" s="945"/>
      <c r="C24" s="710" t="s">
        <v>116</v>
      </c>
      <c r="D24" s="886"/>
      <c r="E24" s="886"/>
      <c r="F24" s="709">
        <f>'D TP'!R57</f>
        <v>1.6061192861309054E-2</v>
      </c>
      <c r="G24" s="886"/>
      <c r="H24" s="886"/>
      <c r="I24" s="942"/>
    </row>
    <row r="25" spans="2:9">
      <c r="B25" s="945"/>
      <c r="C25" s="710" t="s">
        <v>122</v>
      </c>
      <c r="D25" s="886"/>
      <c r="E25" s="886"/>
      <c r="F25" s="709">
        <f>'D TP'!R58</f>
        <v>0</v>
      </c>
      <c r="G25" s="886"/>
      <c r="H25" s="886"/>
      <c r="I25" s="942"/>
    </row>
    <row r="26" spans="2:9">
      <c r="B26" s="945"/>
      <c r="C26" s="710" t="s">
        <v>123</v>
      </c>
      <c r="D26" s="886"/>
      <c r="E26" s="886"/>
      <c r="F26" s="709">
        <f>'D TP'!R59</f>
        <v>0</v>
      </c>
      <c r="G26" s="886"/>
      <c r="H26" s="886"/>
      <c r="I26" s="942"/>
    </row>
    <row r="27" spans="2:9">
      <c r="B27" s="945"/>
      <c r="C27" s="710" t="s">
        <v>124</v>
      </c>
      <c r="D27" s="886"/>
      <c r="E27" s="886"/>
      <c r="F27" s="709">
        <f>'D TP'!R60</f>
        <v>1.5024986870256852E-2</v>
      </c>
      <c r="G27" s="886"/>
      <c r="H27" s="886"/>
      <c r="I27" s="942"/>
    </row>
    <row r="28" spans="2:9">
      <c r="B28" s="945"/>
      <c r="C28" s="710" t="s">
        <v>125</v>
      </c>
      <c r="D28" s="886"/>
      <c r="E28" s="886"/>
      <c r="F28" s="709">
        <f>'D TP'!R61</f>
        <v>0</v>
      </c>
      <c r="G28" s="886"/>
      <c r="H28" s="886"/>
      <c r="I28" s="942"/>
    </row>
    <row r="29" spans="2:9" ht="13.5" thickBot="1">
      <c r="B29" s="946"/>
      <c r="C29" s="715" t="s">
        <v>126</v>
      </c>
      <c r="D29" s="887"/>
      <c r="E29" s="887"/>
      <c r="F29" s="778">
        <f>'D TP'!R62</f>
        <v>7455.3060678911079</v>
      </c>
      <c r="G29" s="887"/>
      <c r="H29" s="887"/>
      <c r="I29" s="943"/>
    </row>
    <row r="30" spans="2:9" ht="12.75" customHeight="1">
      <c r="B30" s="923" t="s">
        <v>197</v>
      </c>
      <c r="C30" s="708" t="s">
        <v>114</v>
      </c>
      <c r="D30" s="894" t="s">
        <v>118</v>
      </c>
      <c r="E30" s="894" t="s">
        <v>119</v>
      </c>
      <c r="F30" s="717">
        <f>DC!R55</f>
        <v>1.853724981320561E-3</v>
      </c>
      <c r="G30" s="894" t="s">
        <v>105</v>
      </c>
      <c r="H30" s="894" t="s">
        <v>120</v>
      </c>
      <c r="I30" s="942" t="s">
        <v>198</v>
      </c>
    </row>
    <row r="31" spans="2:9">
      <c r="B31" s="923"/>
      <c r="C31" s="710" t="s">
        <v>115</v>
      </c>
      <c r="D31" s="886"/>
      <c r="E31" s="886"/>
      <c r="F31" s="717">
        <f>DC!R56</f>
        <v>3.9932851071531347E-4</v>
      </c>
      <c r="G31" s="886"/>
      <c r="H31" s="886"/>
      <c r="I31" s="942"/>
    </row>
    <row r="32" spans="2:9">
      <c r="B32" s="923"/>
      <c r="C32" s="710" t="s">
        <v>116</v>
      </c>
      <c r="D32" s="886"/>
      <c r="E32" s="886"/>
      <c r="F32" s="717">
        <f>DC!R57</f>
        <v>1.303071982334181E-4</v>
      </c>
      <c r="G32" s="886"/>
      <c r="H32" s="886"/>
      <c r="I32" s="942"/>
    </row>
    <row r="33" spans="2:9">
      <c r="B33" s="923"/>
      <c r="C33" s="710" t="s">
        <v>122</v>
      </c>
      <c r="D33" s="886"/>
      <c r="E33" s="886"/>
      <c r="F33" s="717">
        <f>DC!R58</f>
        <v>0</v>
      </c>
      <c r="G33" s="886"/>
      <c r="H33" s="886"/>
      <c r="I33" s="942"/>
    </row>
    <row r="34" spans="2:9">
      <c r="B34" s="923"/>
      <c r="C34" s="710" t="s">
        <v>123</v>
      </c>
      <c r="D34" s="886"/>
      <c r="E34" s="886"/>
      <c r="F34" s="717">
        <f>DC!R59</f>
        <v>0</v>
      </c>
      <c r="G34" s="886"/>
      <c r="H34" s="886"/>
      <c r="I34" s="942"/>
    </row>
    <row r="35" spans="2:9">
      <c r="B35" s="923"/>
      <c r="C35" s="710" t="s">
        <v>124</v>
      </c>
      <c r="D35" s="886"/>
      <c r="E35" s="886"/>
      <c r="F35" s="717">
        <f>DC!R60</f>
        <v>1.2190028221835887E-4</v>
      </c>
      <c r="G35" s="886"/>
      <c r="H35" s="886"/>
      <c r="I35" s="942"/>
    </row>
    <row r="36" spans="2:9">
      <c r="B36" s="923"/>
      <c r="C36" s="710" t="s">
        <v>125</v>
      </c>
      <c r="D36" s="886"/>
      <c r="E36" s="886"/>
      <c r="F36" s="717">
        <f>DC!R61</f>
        <v>0</v>
      </c>
      <c r="G36" s="886"/>
      <c r="H36" s="886"/>
      <c r="I36" s="942"/>
    </row>
    <row r="37" spans="2:9" ht="13.5" thickBot="1">
      <c r="B37" s="924"/>
      <c r="C37" s="715" t="s">
        <v>126</v>
      </c>
      <c r="D37" s="887"/>
      <c r="E37" s="887"/>
      <c r="F37" s="779">
        <f>DC!R62</f>
        <v>60.486170240801897</v>
      </c>
      <c r="G37" s="887"/>
      <c r="H37" s="887"/>
      <c r="I37" s="943"/>
    </row>
    <row r="38" spans="2:9" ht="14.65" customHeight="1">
      <c r="B38" s="922" t="s">
        <v>185</v>
      </c>
      <c r="C38" s="720" t="s">
        <v>114</v>
      </c>
      <c r="D38" s="894" t="s">
        <v>186</v>
      </c>
      <c r="E38" s="894" t="s">
        <v>119</v>
      </c>
      <c r="F38" s="721">
        <f>'DT H'!I23</f>
        <v>0.30590836363636364</v>
      </c>
      <c r="G38" s="894" t="s">
        <v>105</v>
      </c>
      <c r="H38" s="894" t="s">
        <v>120</v>
      </c>
      <c r="I38" s="919" t="s">
        <v>199</v>
      </c>
    </row>
    <row r="39" spans="2:9">
      <c r="B39" s="923"/>
      <c r="C39" s="710" t="s">
        <v>115</v>
      </c>
      <c r="D39" s="886"/>
      <c r="E39" s="886"/>
      <c r="F39" s="722">
        <f>'DT H'!I24</f>
        <v>91.772509090909082</v>
      </c>
      <c r="G39" s="886"/>
      <c r="H39" s="886"/>
      <c r="I39" s="920"/>
    </row>
    <row r="40" spans="2:9">
      <c r="B40" s="923"/>
      <c r="C40" s="710" t="s">
        <v>116</v>
      </c>
      <c r="D40" s="886"/>
      <c r="E40" s="886"/>
      <c r="F40" s="722" t="s">
        <v>132</v>
      </c>
      <c r="G40" s="886"/>
      <c r="H40" s="886"/>
      <c r="I40" s="920"/>
    </row>
    <row r="41" spans="2:9">
      <c r="B41" s="923"/>
      <c r="C41" s="710" t="s">
        <v>122</v>
      </c>
      <c r="D41" s="886"/>
      <c r="E41" s="886"/>
      <c r="F41" s="722" t="s">
        <v>132</v>
      </c>
      <c r="G41" s="886"/>
      <c r="H41" s="886"/>
      <c r="I41" s="920"/>
    </row>
    <row r="42" spans="2:9">
      <c r="B42" s="923"/>
      <c r="C42" s="710" t="s">
        <v>123</v>
      </c>
      <c r="D42" s="886"/>
      <c r="E42" s="886"/>
      <c r="F42" s="722">
        <f>'DT H'!I25</f>
        <v>1.4530647272727271</v>
      </c>
      <c r="G42" s="886"/>
      <c r="H42" s="886"/>
      <c r="I42" s="920"/>
    </row>
    <row r="43" spans="2:9">
      <c r="B43" s="923"/>
      <c r="C43" s="710" t="s">
        <v>124</v>
      </c>
      <c r="D43" s="886"/>
      <c r="E43" s="886"/>
      <c r="F43" s="722">
        <f>'DT H'!I26</f>
        <v>7.6477090909090911E-2</v>
      </c>
      <c r="G43" s="886"/>
      <c r="H43" s="886"/>
      <c r="I43" s="920"/>
    </row>
    <row r="44" spans="2:9">
      <c r="B44" s="923"/>
      <c r="C44" s="710" t="s">
        <v>125</v>
      </c>
      <c r="D44" s="886"/>
      <c r="E44" s="886"/>
      <c r="F44" s="722" t="s">
        <v>132</v>
      </c>
      <c r="G44" s="886"/>
      <c r="H44" s="886"/>
      <c r="I44" s="920"/>
    </row>
    <row r="45" spans="2:9" ht="12" customHeight="1" thickBot="1">
      <c r="B45" s="924"/>
      <c r="C45" s="715" t="s">
        <v>126</v>
      </c>
      <c r="D45" s="887"/>
      <c r="E45" s="887"/>
      <c r="F45" s="780">
        <f>'DT H'!I27</f>
        <v>237.0789818181818</v>
      </c>
      <c r="G45" s="887"/>
      <c r="H45" s="887"/>
      <c r="I45" s="950"/>
    </row>
    <row r="46" spans="2:9">
      <c r="B46" s="951" t="s">
        <v>188</v>
      </c>
      <c r="C46" s="720" t="s">
        <v>114</v>
      </c>
      <c r="D46" s="894" t="s">
        <v>189</v>
      </c>
      <c r="E46" s="894" t="s">
        <v>119</v>
      </c>
      <c r="F46" s="751">
        <f>'DT V'!L26</f>
        <v>9476.2500000000018</v>
      </c>
      <c r="G46" s="894" t="s">
        <v>105</v>
      </c>
      <c r="H46" s="894" t="s">
        <v>120</v>
      </c>
      <c r="I46" s="947" t="s">
        <v>200</v>
      </c>
    </row>
    <row r="47" spans="2:9">
      <c r="B47" s="952"/>
      <c r="C47" s="710" t="s">
        <v>115</v>
      </c>
      <c r="D47" s="886"/>
      <c r="E47" s="886"/>
      <c r="F47" s="754">
        <f>'DT V'!L27</f>
        <v>504.00000000000006</v>
      </c>
      <c r="G47" s="886"/>
      <c r="H47" s="886"/>
      <c r="I47" s="948"/>
    </row>
    <row r="48" spans="2:9">
      <c r="B48" s="952"/>
      <c r="C48" s="710" t="s">
        <v>116</v>
      </c>
      <c r="D48" s="886"/>
      <c r="E48" s="886"/>
      <c r="F48" s="727" t="s">
        <v>132</v>
      </c>
      <c r="G48" s="886"/>
      <c r="H48" s="886"/>
      <c r="I48" s="948"/>
    </row>
    <row r="49" spans="2:9">
      <c r="B49" s="952"/>
      <c r="C49" s="710" t="s">
        <v>122</v>
      </c>
      <c r="D49" s="886"/>
      <c r="E49" s="886"/>
      <c r="F49" s="727" t="s">
        <v>132</v>
      </c>
      <c r="G49" s="886"/>
      <c r="H49" s="886"/>
      <c r="I49" s="948"/>
    </row>
    <row r="50" spans="2:9">
      <c r="B50" s="952"/>
      <c r="C50" s="710" t="s">
        <v>123</v>
      </c>
      <c r="D50" s="886"/>
      <c r="E50" s="886"/>
      <c r="F50" s="731">
        <f>'DT V'!L28</f>
        <v>229.6875</v>
      </c>
      <c r="G50" s="886"/>
      <c r="H50" s="886"/>
      <c r="I50" s="948"/>
    </row>
    <row r="51" spans="2:9">
      <c r="B51" s="952"/>
      <c r="C51" s="710" t="s">
        <v>124</v>
      </c>
      <c r="D51" s="886"/>
      <c r="E51" s="886"/>
      <c r="F51" s="732">
        <f>'DT V'!L29</f>
        <v>238.875</v>
      </c>
      <c r="G51" s="886"/>
      <c r="H51" s="886"/>
      <c r="I51" s="948"/>
    </row>
    <row r="52" spans="2:9">
      <c r="B52" s="952"/>
      <c r="C52" s="710" t="s">
        <v>125</v>
      </c>
      <c r="D52" s="886"/>
      <c r="E52" s="886"/>
      <c r="F52" s="781" t="s">
        <v>132</v>
      </c>
      <c r="G52" s="886"/>
      <c r="H52" s="886"/>
      <c r="I52" s="948"/>
    </row>
    <row r="53" spans="2:9" ht="13.5" thickBot="1">
      <c r="B53" s="953"/>
      <c r="C53" s="715" t="s">
        <v>126</v>
      </c>
      <c r="D53" s="887"/>
      <c r="E53" s="887"/>
      <c r="F53" s="719">
        <f>'DT V'!L30</f>
        <v>420787.5</v>
      </c>
      <c r="G53" s="887"/>
      <c r="H53" s="887"/>
      <c r="I53" s="949"/>
    </row>
  </sheetData>
  <sheetProtection algorithmName="SHA-512" hashValue="Qa5nf4gr3YHhb+fDXfLdLHMIUwYtVuyit0ZEu8PBrrJKrTHbThUyNgn4vCBrvmLBSP3AxZaaZME65/N8fH6bvQ==" saltValue="94/vDpufNKgG1+jbkEMLrw==" spinCount="100000" sheet="1" objects="1" scenarios="1" selectLockedCells="1" selectUnlockedCells="1"/>
  <mergeCells count="41">
    <mergeCell ref="I46:I53"/>
    <mergeCell ref="B38:B45"/>
    <mergeCell ref="D38:D45"/>
    <mergeCell ref="E38:E45"/>
    <mergeCell ref="G38:G45"/>
    <mergeCell ref="H38:H45"/>
    <mergeCell ref="I38:I45"/>
    <mergeCell ref="B46:B53"/>
    <mergeCell ref="D46:D53"/>
    <mergeCell ref="E46:E53"/>
    <mergeCell ref="G46:G53"/>
    <mergeCell ref="H46:H53"/>
    <mergeCell ref="I30:I37"/>
    <mergeCell ref="B22:B29"/>
    <mergeCell ref="D22:D29"/>
    <mergeCell ref="E22:E29"/>
    <mergeCell ref="G22:G29"/>
    <mergeCell ref="H22:H29"/>
    <mergeCell ref="I22:I29"/>
    <mergeCell ref="B30:B37"/>
    <mergeCell ref="D30:D37"/>
    <mergeCell ref="E30:E37"/>
    <mergeCell ref="G30:G37"/>
    <mergeCell ref="H30:H37"/>
    <mergeCell ref="I14:I21"/>
    <mergeCell ref="B11:B13"/>
    <mergeCell ref="C11:C13"/>
    <mergeCell ref="D11:D13"/>
    <mergeCell ref="E11:E13"/>
    <mergeCell ref="F11:F13"/>
    <mergeCell ref="G11:G13"/>
    <mergeCell ref="B14:B21"/>
    <mergeCell ref="D14:D21"/>
    <mergeCell ref="E14:E21"/>
    <mergeCell ref="G14:G21"/>
    <mergeCell ref="H14:H21"/>
    <mergeCell ref="L4:L6"/>
    <mergeCell ref="M4:M5"/>
    <mergeCell ref="N4:N5"/>
    <mergeCell ref="H11:H13"/>
    <mergeCell ref="I11:I13"/>
  </mergeCells>
  <pageMargins left="0.7" right="0.7" top="0.75" bottom="0.75" header="0.3" footer="0.3"/>
  <pageSetup paperSize="9" orientation="portrait" r:id="rId1"/>
  <headerFooter>
    <oddFooter>&amp;C_x000D_&amp;1#&amp;"Calibri"&amp;10&amp;K000000 Internal</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086C6-7964-4E2D-A2D8-185E296766E6}">
  <sheetPr>
    <tabColor rgb="FFFFC000"/>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14" width="3.7109375" style="404"/>
    <col min="15" max="15" width="6.7109375" style="404" customWidth="1"/>
    <col min="16" max="18" width="3.7109375" style="404"/>
    <col min="19" max="19" width="5.42578125" style="404" bestFit="1" customWidth="1"/>
    <col min="20" max="23" width="3.7109375" style="404"/>
    <col min="24" max="24" width="6.28515625" style="404"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'Precom F P'!$AC$5</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
        <v>97</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141</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5.737756714060031E-17</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727</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'Diesel F'!G20</f>
        <v>44.890193469756099</v>
      </c>
      <c r="R16" s="1144"/>
      <c r="S16" s="1145"/>
      <c r="T16" s="1073">
        <f>'Diesel F'!E5</f>
        <v>76019.579999999987</v>
      </c>
      <c r="U16" s="1109"/>
      <c r="V16" s="1074"/>
      <c r="W16" s="1076" t="s">
        <v>604</v>
      </c>
      <c r="X16" s="1075"/>
      <c r="Y16" s="1077"/>
      <c r="Z16" s="1073">
        <f>'Diesel F'!E6</f>
        <v>16376.099999999999</v>
      </c>
      <c r="AA16" s="1109"/>
      <c r="AB16" s="1074"/>
      <c r="AC16" s="1076" t="s">
        <v>604</v>
      </c>
      <c r="AD16" s="1075"/>
      <c r="AE16" s="1077"/>
      <c r="AF16" s="1146">
        <f>'Diesel F'!E8</f>
        <v>5343.78</v>
      </c>
      <c r="AG16" s="1147"/>
      <c r="AH16" s="1148"/>
      <c r="AI16" s="1076" t="s">
        <v>604</v>
      </c>
      <c r="AJ16" s="1075"/>
      <c r="AK16" s="1077"/>
      <c r="AL16" s="303"/>
      <c r="AM16" s="303" t="s">
        <v>605</v>
      </c>
      <c r="AN16" s="303"/>
      <c r="AO16" s="303"/>
      <c r="AP16" s="351">
        <v>1020</v>
      </c>
      <c r="AQ16" s="352">
        <f>AP16/$AR$9/$AR$7 * ((AN18+273.15)/(AN19+273.15))</f>
        <v>37.956295834166582</v>
      </c>
      <c r="AR16" s="353">
        <f>AX4</f>
        <v>0.13333333333333333</v>
      </c>
      <c r="AS16" s="354">
        <f>AR16*$AR$6/1055.06</f>
        <v>5.7374304146999541E-5</v>
      </c>
      <c r="AT16" s="355">
        <f>AS16*$Q$16*1000000</f>
        <v>2575.543613351439</v>
      </c>
      <c r="AU16" s="356">
        <f>AX5</f>
        <v>3.3333333333333333E-2</v>
      </c>
      <c r="AV16" s="354">
        <f>AU16*$AR$6/1055.06</f>
        <v>1.4343576036749885E-5</v>
      </c>
      <c r="AW16" s="355">
        <f>AV16*$Q$16*1000000</f>
        <v>643.88590333785976</v>
      </c>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1">
        <v>305.24099999999999</v>
      </c>
      <c r="I17" s="1132"/>
      <c r="J17" s="1133"/>
      <c r="K17" s="1134">
        <v>832.5</v>
      </c>
      <c r="L17" s="1135"/>
      <c r="M17" s="1136"/>
      <c r="N17" s="1137">
        <v>42.59</v>
      </c>
      <c r="O17" s="1138"/>
      <c r="P17" s="1139"/>
      <c r="Q17" s="1137">
        <v>45.61</v>
      </c>
      <c r="R17" s="1138"/>
      <c r="S17" s="1139"/>
      <c r="T17" s="1066">
        <f>$Q$17/$Q$16*T16</f>
        <v>77238.5408883567</v>
      </c>
      <c r="U17" s="1110"/>
      <c r="V17" s="1067"/>
      <c r="W17" s="1114">
        <f>T17/1000000/K17</f>
        <v>9.2779028094122163E-5</v>
      </c>
      <c r="X17" s="1115"/>
      <c r="Y17" s="1116"/>
      <c r="Z17" s="1066">
        <f>$Q$17/$Q$16*Z16</f>
        <v>16638.6879464714</v>
      </c>
      <c r="AA17" s="1110"/>
      <c r="AB17" s="1067"/>
      <c r="AC17" s="1114">
        <f>Z17/1000000/K17</f>
        <v>1.9986411947713393E-5</v>
      </c>
      <c r="AD17" s="1115"/>
      <c r="AE17" s="1116"/>
      <c r="AF17" s="1066">
        <f>$Q$17/$Q$16*AF16</f>
        <v>5429.4665930590891</v>
      </c>
      <c r="AG17" s="1110"/>
      <c r="AH17" s="1067"/>
      <c r="AI17" s="1060">
        <f>AF17/1000000/K17</f>
        <v>6.5218817934643711E-6</v>
      </c>
      <c r="AJ17" s="1059"/>
      <c r="AK17" s="1063"/>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123"/>
      <c r="O18" s="1069"/>
      <c r="P18" s="1124"/>
      <c r="Q18" s="1125"/>
      <c r="R18" s="1126"/>
      <c r="S18" s="112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125</v>
      </c>
      <c r="AA19" s="1118"/>
      <c r="AB19" s="1119"/>
      <c r="AC19" s="1117" t="s">
        <v>125</v>
      </c>
      <c r="AD19" s="1118"/>
      <c r="AE19" s="1119"/>
      <c r="AF19" s="358" t="s">
        <v>728</v>
      </c>
      <c r="AG19" s="31"/>
      <c r="AH19" s="31"/>
      <c r="AI19" s="31"/>
      <c r="AJ19" s="31"/>
      <c r="AK19" s="226"/>
      <c r="AL19" s="303"/>
      <c r="AM19" s="24" t="s">
        <v>699</v>
      </c>
      <c r="AN19" s="24">
        <v>15.6</v>
      </c>
      <c r="AO19" s="23" t="s">
        <v>609</v>
      </c>
      <c r="AP19" s="303"/>
      <c r="AQ19" s="303"/>
      <c r="AR19" s="356">
        <f>AX6</f>
        <v>4.6666666666666669E-2</v>
      </c>
      <c r="AS19" s="354">
        <f>AR19*$AR$6/1055.06</f>
        <v>2.0081006451449841E-5</v>
      </c>
      <c r="AT19" s="355">
        <f>AS19*$Q$16*1000000</f>
        <v>901.44026467300375</v>
      </c>
      <c r="AU19" s="351">
        <v>0.37446000000000002</v>
      </c>
      <c r="AV19" s="354">
        <f>AU19*$AR$6/1055.06</f>
        <v>1.6113286448164087E-4</v>
      </c>
      <c r="AW19" s="355">
        <f>AV19*$Q$16*1000000</f>
        <v>7233.2854609168498</v>
      </c>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c r="I21" s="1109"/>
      <c r="J21" s="1074"/>
      <c r="K21" s="1076" t="s">
        <v>604</v>
      </c>
      <c r="L21" s="1075"/>
      <c r="M21" s="1077"/>
      <c r="N21" s="1073">
        <f>'Diesel F'!E7</f>
        <v>4999.0199999999986</v>
      </c>
      <c r="O21" s="1109"/>
      <c r="P21" s="1074"/>
      <c r="Q21" s="1076" t="s">
        <v>604</v>
      </c>
      <c r="R21" s="1075"/>
      <c r="S21" s="1077"/>
      <c r="T21" s="1073"/>
      <c r="U21" s="1109"/>
      <c r="V21" s="1074"/>
      <c r="W21" s="1214" t="s">
        <v>604</v>
      </c>
      <c r="X21" s="1215"/>
      <c r="Y21" s="1216"/>
      <c r="Z21" s="1073"/>
      <c r="AA21" s="1109"/>
      <c r="AB21" s="1074"/>
      <c r="AC21" s="1076" t="s">
        <v>604</v>
      </c>
      <c r="AD21" s="1075"/>
      <c r="AE21" s="1077"/>
      <c r="AF21" s="300"/>
      <c r="AG21" s="31"/>
      <c r="AH21" s="302"/>
      <c r="AI21" s="31"/>
      <c r="AJ21" s="31"/>
      <c r="AK21" s="32"/>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6"/>
      <c r="I22" s="1110"/>
      <c r="J22" s="1067"/>
      <c r="K22" s="1114"/>
      <c r="L22" s="1115"/>
      <c r="M22" s="1116"/>
      <c r="N22" s="1066">
        <f>$Q$17/$Q$16*N21</f>
        <v>5079.1784257649533</v>
      </c>
      <c r="O22" s="1110"/>
      <c r="P22" s="1067"/>
      <c r="Q22" s="1114">
        <f>N22/1000000/K17</f>
        <v>6.1011152261440878E-6</v>
      </c>
      <c r="R22" s="1115"/>
      <c r="S22" s="1116"/>
      <c r="T22" s="1099"/>
      <c r="U22" s="1048"/>
      <c r="V22" s="1058"/>
      <c r="W22" s="1211"/>
      <c r="X22" s="1212"/>
      <c r="Y22" s="1213"/>
      <c r="Z22" s="1066"/>
      <c r="AA22" s="1110"/>
      <c r="AB22" s="1067"/>
      <c r="AC22" s="1114"/>
      <c r="AD22" s="1115"/>
      <c r="AE22" s="1116"/>
      <c r="AF22" s="31"/>
      <c r="AG22" s="31"/>
      <c r="AH22" s="31"/>
      <c r="AI22" s="31"/>
      <c r="AJ22" s="31"/>
      <c r="AK22" s="32"/>
      <c r="AL22" s="303"/>
      <c r="AM22" s="303"/>
      <c r="AN22" s="303"/>
      <c r="AO22" s="303"/>
      <c r="AP22" s="303"/>
      <c r="AQ22" s="303"/>
      <c r="AR22" s="356">
        <f>AX8</f>
        <v>6.9333333333333339E-3</v>
      </c>
      <c r="AS22" s="354">
        <f>AR22*$AR$6/1055.06</f>
        <v>2.9834638156439767E-6</v>
      </c>
      <c r="AT22" s="355">
        <f>AS22*$Q$16*1000000</f>
        <v>133.92826789427485</v>
      </c>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045"/>
      <c r="I23" s="1033"/>
      <c r="J23" s="1046"/>
      <c r="K23" s="1089"/>
      <c r="L23" s="1090"/>
      <c r="M23" s="1091"/>
      <c r="N23" s="1045"/>
      <c r="O23" s="1033"/>
      <c r="P23" s="1046"/>
      <c r="Q23" s="1096"/>
      <c r="R23" s="1097"/>
      <c r="S23" s="1098"/>
      <c r="T23" s="1099"/>
      <c r="U23" s="1048"/>
      <c r="V23" s="1058"/>
      <c r="W23" s="1096"/>
      <c r="X23" s="1097"/>
      <c r="Y23" s="1098"/>
      <c r="Z23" s="1086"/>
      <c r="AA23" s="1087"/>
      <c r="AB23" s="1088"/>
      <c r="AC23" s="1089"/>
      <c r="AD23" s="1090"/>
      <c r="AE23" s="1091"/>
      <c r="AF23" s="31"/>
      <c r="AG23" s="31"/>
      <c r="AH23" s="31"/>
      <c r="AI23" s="31"/>
      <c r="AJ23" s="31"/>
      <c r="AK23" s="32"/>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c r="I25" s="31" t="s">
        <v>590</v>
      </c>
      <c r="J25" s="31"/>
      <c r="K25" s="31"/>
      <c r="L25" s="31" t="s">
        <v>615</v>
      </c>
      <c r="M25" s="31"/>
      <c r="N25" s="31"/>
      <c r="O25" s="31"/>
      <c r="P25" s="31"/>
      <c r="Q25" s="31"/>
      <c r="R25" s="31"/>
      <c r="S25" s="32" t="s">
        <v>616</v>
      </c>
      <c r="T25" s="1092" t="str">
        <f>A17</f>
        <v>Diesel</v>
      </c>
      <c r="U25" s="1093"/>
      <c r="V25" s="1093"/>
      <c r="W25" s="1093"/>
      <c r="X25" s="1094">
        <v>30.385999999999999</v>
      </c>
      <c r="Y25" s="1094"/>
      <c r="Z25" s="1094"/>
      <c r="AA25" s="1093" t="s">
        <v>617</v>
      </c>
      <c r="AB25" s="1093"/>
      <c r="AC25" s="1095">
        <f>X25/H17</f>
        <v>9.9547570608142427E-2</v>
      </c>
      <c r="AD25" s="1095"/>
      <c r="AE25" s="1093" t="s">
        <v>618</v>
      </c>
      <c r="AF25" s="1093"/>
      <c r="AG25" s="1093"/>
      <c r="AH25" s="1198">
        <f>X25*N17/3600</f>
        <v>0.35948326111111112</v>
      </c>
      <c r="AI25" s="1198"/>
      <c r="AJ25" s="361" t="s">
        <v>590</v>
      </c>
      <c r="AK25" s="362"/>
      <c r="AL25" s="303"/>
      <c r="AM25" s="363">
        <f>X25*W22</f>
        <v>0</v>
      </c>
      <c r="AN25" s="303"/>
      <c r="AO25" s="303"/>
      <c r="AP25" s="303"/>
      <c r="AQ25" s="303"/>
      <c r="AR25" s="351">
        <f>AX7</f>
        <v>0.01</v>
      </c>
      <c r="AS25" s="354">
        <f>AR25*$AR$6/1055.06</f>
        <v>4.3030728110249664E-6</v>
      </c>
      <c r="AT25" s="355">
        <f>AS25*$Q$16*1000000</f>
        <v>193.16577100135797</v>
      </c>
      <c r="AU25" s="356">
        <f>AX9</f>
        <v>3.5333333333333336E-3</v>
      </c>
      <c r="AV25" s="354">
        <f>AU25*$AR$6/1055.06</f>
        <v>1.5204190598954882E-6</v>
      </c>
      <c r="AW25" s="355">
        <f>AV25*$Q$16*1000000</f>
        <v>68.251905753813148</v>
      </c>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0</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c r="B27" s="1081"/>
      <c r="C27" s="1081"/>
      <c r="D27" s="1081"/>
      <c r="E27" s="1081"/>
      <c r="F27" s="1042" t="str">
        <f>A17</f>
        <v>Diesel</v>
      </c>
      <c r="G27" s="1043"/>
      <c r="H27" s="1043"/>
      <c r="I27" s="1043"/>
      <c r="J27" s="1043"/>
      <c r="K27" s="1043"/>
      <c r="L27" s="1043"/>
      <c r="M27" s="1043"/>
      <c r="N27" s="1043"/>
      <c r="O27" s="1043"/>
      <c r="P27" s="1043"/>
      <c r="Q27" s="1043"/>
      <c r="R27" s="1043"/>
      <c r="S27" s="1043"/>
      <c r="T27" s="1043"/>
      <c r="U27" s="1080"/>
      <c r="V27" s="31"/>
      <c r="W27" s="31"/>
      <c r="X27" s="426">
        <f>AH25</f>
        <v>0.35948326111111112</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29">
        <v>96</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29">
        <f>X27*X28</f>
        <v>34.510393066666666</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29">
        <f>X29*3600/1000</f>
        <v>124.23741503999999</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196">
        <v>0</v>
      </c>
      <c r="G31" s="1197"/>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BF33</f>
        <v>3.7672634101823899E-6</v>
      </c>
      <c r="G32" s="1195"/>
      <c r="H32" s="1051">
        <f>F32*$AC$25</f>
        <v>3.7502192032460289E-7</v>
      </c>
      <c r="I32" s="1052"/>
      <c r="J32" s="1059"/>
      <c r="K32" s="1059"/>
      <c r="L32" s="1060"/>
      <c r="M32" s="1059"/>
      <c r="N32" s="1054">
        <f t="shared" si="2"/>
        <v>6.0161016458472801E-6</v>
      </c>
      <c r="O32" s="1055"/>
      <c r="P32" s="1061">
        <f>R32/$R$53</f>
        <v>0</v>
      </c>
      <c r="Q32" s="1062"/>
      <c r="R32" s="1060">
        <f>T32/$AR32</f>
        <v>0</v>
      </c>
      <c r="S32" s="1059"/>
      <c r="T32" s="1064">
        <f>$K$22*$X$25</f>
        <v>0</v>
      </c>
      <c r="U32" s="1065"/>
      <c r="V32" s="1241" t="s">
        <v>835</v>
      </c>
      <c r="W32" s="1576"/>
      <c r="X32" s="1576"/>
      <c r="Y32" s="1576"/>
      <c r="Z32" s="1576"/>
      <c r="AA32" s="1576"/>
      <c r="AB32" s="1576"/>
      <c r="AC32" s="1576"/>
      <c r="AD32" s="1576"/>
      <c r="AE32" s="1576"/>
      <c r="AF32" s="1576"/>
      <c r="AG32" s="1576"/>
      <c r="AH32" s="1576"/>
      <c r="AI32" s="1576"/>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1577"/>
      <c r="W33" s="1576"/>
      <c r="X33" s="1576"/>
      <c r="Y33" s="1576"/>
      <c r="Z33" s="1576"/>
      <c r="AA33" s="1576"/>
      <c r="AB33" s="1576"/>
      <c r="AC33" s="1576"/>
      <c r="AD33" s="1576"/>
      <c r="AE33" s="1576"/>
      <c r="AF33" s="1576"/>
      <c r="AG33" s="1576"/>
      <c r="AH33" s="1576"/>
      <c r="AI33" s="1576"/>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BF34</f>
        <v>2.32021919756754E-4</v>
      </c>
      <c r="G34" s="1050"/>
      <c r="H34" s="1051">
        <f t="shared" si="1"/>
        <v>2.3097218439622225E-5</v>
      </c>
      <c r="I34" s="1052"/>
      <c r="J34" s="1059"/>
      <c r="K34" s="1059"/>
      <c r="L34" s="1060"/>
      <c r="M34" s="1059"/>
      <c r="N34" s="1054">
        <f t="shared" si="2"/>
        <v>6.9448716404256104E-4</v>
      </c>
      <c r="O34" s="1055"/>
      <c r="P34" s="1061">
        <f t="shared" si="10"/>
        <v>0</v>
      </c>
      <c r="Q34" s="1062"/>
      <c r="R34" s="1059">
        <f>T34/$AR34</f>
        <v>0</v>
      </c>
      <c r="S34" s="1059"/>
      <c r="T34" s="1061">
        <f t="shared" si="11"/>
        <v>0</v>
      </c>
      <c r="U34" s="1062"/>
      <c r="V34" s="1577"/>
      <c r="W34" s="1576"/>
      <c r="X34" s="1576"/>
      <c r="Y34" s="1576"/>
      <c r="Z34" s="1576"/>
      <c r="AA34" s="1576"/>
      <c r="AB34" s="1576"/>
      <c r="AC34" s="1576"/>
      <c r="AD34" s="1576"/>
      <c r="AE34" s="1576"/>
      <c r="AF34" s="1576"/>
      <c r="AG34" s="1576"/>
      <c r="AH34" s="1576"/>
      <c r="AI34" s="1576"/>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1577"/>
      <c r="W35" s="1576"/>
      <c r="X35" s="1576"/>
      <c r="Y35" s="1576"/>
      <c r="Z35" s="1576"/>
      <c r="AA35" s="1576"/>
      <c r="AB35" s="1576"/>
      <c r="AC35" s="1576"/>
      <c r="AD35" s="1576"/>
      <c r="AE35" s="1576"/>
      <c r="AF35" s="1576"/>
      <c r="AG35" s="1576"/>
      <c r="AH35" s="1576"/>
      <c r="AI35" s="1576"/>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BF35</f>
        <v>4.1140406723645098E-3</v>
      </c>
      <c r="G36" s="1050"/>
      <c r="H36" s="1051">
        <f t="shared" si="1"/>
        <v>4.0954275431697579E-4</v>
      </c>
      <c r="I36" s="1052"/>
      <c r="J36" s="1059"/>
      <c r="K36" s="1059"/>
      <c r="L36" s="1060"/>
      <c r="M36" s="1059"/>
      <c r="N36" s="1054">
        <f t="shared" si="2"/>
        <v>1.805837820885273E-2</v>
      </c>
      <c r="O36" s="1055"/>
      <c r="P36" s="1061">
        <f t="shared" si="10"/>
        <v>0</v>
      </c>
      <c r="Q36" s="1062"/>
      <c r="R36" s="1059">
        <f t="shared" si="12"/>
        <v>0</v>
      </c>
      <c r="S36" s="1059"/>
      <c r="T36" s="1061">
        <f t="shared" si="11"/>
        <v>0</v>
      </c>
      <c r="U36" s="1062"/>
      <c r="V36" s="1577"/>
      <c r="W36" s="1576"/>
      <c r="X36" s="1576"/>
      <c r="Y36" s="1576"/>
      <c r="Z36" s="1576"/>
      <c r="AA36" s="1576"/>
      <c r="AB36" s="1576"/>
      <c r="AC36" s="1576"/>
      <c r="AD36" s="1576"/>
      <c r="AE36" s="1576"/>
      <c r="AF36" s="1576"/>
      <c r="AG36" s="1576"/>
      <c r="AH36" s="1576"/>
      <c r="AI36" s="1576"/>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1577"/>
      <c r="W37" s="1576"/>
      <c r="X37" s="1576"/>
      <c r="Y37" s="1576"/>
      <c r="Z37" s="1576"/>
      <c r="AA37" s="1576"/>
      <c r="AB37" s="1576"/>
      <c r="AC37" s="1576"/>
      <c r="AD37" s="1576"/>
      <c r="AE37" s="1576"/>
      <c r="AF37" s="1576"/>
      <c r="AG37" s="1576"/>
      <c r="AH37" s="1576"/>
      <c r="AI37" s="1576"/>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BF36</f>
        <v>4.2987554978870402E-3</v>
      </c>
      <c r="G38" s="1050"/>
      <c r="H38" s="1051">
        <f t="shared" si="1"/>
        <v>4.279306664530506E-4</v>
      </c>
      <c r="I38" s="1052"/>
      <c r="J38" s="1059"/>
      <c r="K38" s="1059"/>
      <c r="L38" s="1060"/>
      <c r="M38" s="1059"/>
      <c r="N38" s="1054">
        <f t="shared" si="2"/>
        <v>2.4871330334251301E-2</v>
      </c>
      <c r="O38" s="1055"/>
      <c r="P38" s="1061">
        <f t="shared" si="10"/>
        <v>0</v>
      </c>
      <c r="Q38" s="1062"/>
      <c r="R38" s="1059">
        <f t="shared" si="12"/>
        <v>0</v>
      </c>
      <c r="S38" s="1059"/>
      <c r="T38" s="1061">
        <f t="shared" si="11"/>
        <v>0</v>
      </c>
      <c r="U38" s="1062"/>
      <c r="V38" s="1577"/>
      <c r="W38" s="1576"/>
      <c r="X38" s="1576"/>
      <c r="Y38" s="1576"/>
      <c r="Z38" s="1576"/>
      <c r="AA38" s="1576"/>
      <c r="AB38" s="1576"/>
      <c r="AC38" s="1576"/>
      <c r="AD38" s="1576"/>
      <c r="AE38" s="1576"/>
      <c r="AF38" s="1576"/>
      <c r="AG38" s="1576"/>
      <c r="AH38" s="1576"/>
      <c r="AI38" s="1576"/>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f>BF37</f>
        <v>1.33109664079022E-2</v>
      </c>
      <c r="G39" s="1050"/>
      <c r="H39" s="1051">
        <f t="shared" si="1"/>
        <v>1.3250743683532562E-3</v>
      </c>
      <c r="I39" s="1052"/>
      <c r="J39" s="1059"/>
      <c r="K39" s="1059"/>
      <c r="L39" s="1060"/>
      <c r="M39" s="1059"/>
      <c r="N39" s="1054">
        <f t="shared" si="2"/>
        <v>7.7013322288691247E-2</v>
      </c>
      <c r="O39" s="1055"/>
      <c r="P39" s="1061">
        <f t="shared" si="10"/>
        <v>0</v>
      </c>
      <c r="Q39" s="1062"/>
      <c r="R39" s="1059">
        <f t="shared" si="12"/>
        <v>0</v>
      </c>
      <c r="S39" s="1059"/>
      <c r="T39" s="1061">
        <f t="shared" si="11"/>
        <v>0</v>
      </c>
      <c r="U39" s="1062"/>
      <c r="V39" s="1577"/>
      <c r="W39" s="1576"/>
      <c r="X39" s="1576"/>
      <c r="Y39" s="1576"/>
      <c r="Z39" s="1576"/>
      <c r="AA39" s="1576"/>
      <c r="AB39" s="1576"/>
      <c r="AC39" s="1576"/>
      <c r="AD39" s="1576"/>
      <c r="AE39" s="1576"/>
      <c r="AF39" s="1576"/>
      <c r="AG39" s="1576"/>
      <c r="AH39" s="1576"/>
      <c r="AI39" s="1576"/>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BF38</f>
        <v>1.4450640107125301E-2</v>
      </c>
      <c r="G40" s="1050"/>
      <c r="H40" s="1051">
        <f t="shared" si="1"/>
        <v>1.4385261163969106E-3</v>
      </c>
      <c r="I40" s="1052"/>
      <c r="J40" s="1059"/>
      <c r="K40" s="1059"/>
      <c r="L40" s="1060"/>
      <c r="M40" s="1059"/>
      <c r="N40" s="1054">
        <f t="shared" si="2"/>
        <v>0.10378390519357152</v>
      </c>
      <c r="O40" s="1055"/>
      <c r="P40" s="1061">
        <f t="shared" si="10"/>
        <v>0</v>
      </c>
      <c r="Q40" s="1062"/>
      <c r="R40" s="1059">
        <f t="shared" si="12"/>
        <v>0</v>
      </c>
      <c r="S40" s="1059"/>
      <c r="T40" s="1061">
        <f t="shared" si="11"/>
        <v>0</v>
      </c>
      <c r="U40" s="1062"/>
      <c r="V40" s="1577"/>
      <c r="W40" s="1576"/>
      <c r="X40" s="1576"/>
      <c r="Y40" s="1576"/>
      <c r="Z40" s="1576"/>
      <c r="AA40" s="1576"/>
      <c r="AB40" s="1576"/>
      <c r="AC40" s="1576"/>
      <c r="AD40" s="1576"/>
      <c r="AE40" s="1576"/>
      <c r="AF40" s="1576"/>
      <c r="AG40" s="1576"/>
      <c r="AH40" s="1576"/>
      <c r="AI40" s="1576"/>
      <c r="AJ40" s="1069"/>
      <c r="AK40" s="1124"/>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BF40</f>
        <v>1.8657920075756399E-2</v>
      </c>
      <c r="G41" s="1050"/>
      <c r="H41" s="1051">
        <f t="shared" si="1"/>
        <v>1.8573506161424383E-3</v>
      </c>
      <c r="I41" s="1052"/>
      <c r="J41" s="1059"/>
      <c r="K41" s="1059"/>
      <c r="L41" s="1060"/>
      <c r="M41" s="1059"/>
      <c r="N41" s="1054">
        <f t="shared" si="2"/>
        <v>0.13400041755221234</v>
      </c>
      <c r="O41" s="1055"/>
      <c r="P41" s="1061">
        <f t="shared" si="10"/>
        <v>0</v>
      </c>
      <c r="Q41" s="1062"/>
      <c r="R41" s="1059">
        <f t="shared" si="12"/>
        <v>0</v>
      </c>
      <c r="S41" s="1059"/>
      <c r="T41" s="1061">
        <f t="shared" si="11"/>
        <v>0</v>
      </c>
      <c r="U41" s="1062"/>
      <c r="V41" s="1577"/>
      <c r="W41" s="1576"/>
      <c r="X41" s="1576"/>
      <c r="Y41" s="1576"/>
      <c r="Z41" s="1576"/>
      <c r="AA41" s="1576"/>
      <c r="AB41" s="1576"/>
      <c r="AC41" s="1576"/>
      <c r="AD41" s="1576"/>
      <c r="AE41" s="1576"/>
      <c r="AF41" s="1576"/>
      <c r="AG41" s="1576"/>
      <c r="AH41" s="1576"/>
      <c r="AI41" s="1576"/>
      <c r="AJ41" s="1069"/>
      <c r="AK41" s="1124"/>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425</v>
      </c>
      <c r="B42" s="376"/>
      <c r="C42" s="376"/>
      <c r="D42" s="376"/>
      <c r="E42" s="377"/>
      <c r="F42" s="1049">
        <f>SUM(BF41:BF75)</f>
        <v>0.94337200608568694</v>
      </c>
      <c r="G42" s="1050"/>
      <c r="H42" s="1064">
        <f t="shared" si="1"/>
        <v>9.3910391385559885E-2</v>
      </c>
      <c r="I42" s="1065"/>
      <c r="J42" s="1059"/>
      <c r="K42" s="1059"/>
      <c r="L42" s="1060"/>
      <c r="M42" s="1059"/>
      <c r="N42" s="1054">
        <f t="shared" si="2"/>
        <v>30.023612286881285</v>
      </c>
      <c r="O42" s="1055"/>
      <c r="P42" s="1061">
        <f t="shared" si="10"/>
        <v>0</v>
      </c>
      <c r="Q42" s="1062"/>
      <c r="R42" s="1059">
        <f t="shared" si="12"/>
        <v>0</v>
      </c>
      <c r="S42" s="1059"/>
      <c r="T42" s="1061">
        <f t="shared" si="11"/>
        <v>0</v>
      </c>
      <c r="U42" s="1062"/>
      <c r="V42" s="1032"/>
      <c r="W42" s="1032"/>
      <c r="X42" s="1033"/>
      <c r="Y42" s="1033"/>
      <c r="Z42" s="1032"/>
      <c r="AA42" s="1032"/>
      <c r="AB42" s="1032"/>
      <c r="AC42" s="1032"/>
      <c r="AD42" s="1033"/>
      <c r="AE42" s="1033"/>
      <c r="AF42" s="1047"/>
      <c r="AG42" s="1047"/>
      <c r="AH42" s="1032"/>
      <c r="AI42" s="1032"/>
      <c r="AJ42" s="1048"/>
      <c r="AK42" s="105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3.2774515936836965</v>
      </c>
      <c r="K45" s="1070"/>
      <c r="L45" s="1060">
        <f>0.15*J45</f>
        <v>0.49161773905255446</v>
      </c>
      <c r="M45" s="1059"/>
      <c r="N45" s="1066">
        <f t="shared" si="2"/>
        <v>120.61021864756003</v>
      </c>
      <c r="O45" s="1067"/>
      <c r="P45" s="1061">
        <f t="shared" si="10"/>
        <v>2.6677885602713645E-2</v>
      </c>
      <c r="Q45" s="1062"/>
      <c r="R45" s="1059">
        <f>L45+SUMPRODUCT(R32:R44,$AS32:$AS44)</f>
        <v>0.49161773905255446</v>
      </c>
      <c r="S45" s="1059"/>
      <c r="T45" s="1071">
        <f>R45*$AR45</f>
        <v>15.731767649681743</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BF31</f>
        <v>1.4415226502516399E-10</v>
      </c>
      <c r="G46" s="1195"/>
      <c r="H46" s="1061">
        <f t="shared" si="1"/>
        <v>1.4350007780916173E-11</v>
      </c>
      <c r="I46" s="1062"/>
      <c r="J46" s="1059">
        <f>0.79/0.21*J45</f>
        <v>12.32946075719105</v>
      </c>
      <c r="K46" s="1063"/>
      <c r="L46" s="1060">
        <f>0.71/0.29*L45</f>
        <v>1.2036158438872886</v>
      </c>
      <c r="M46" s="1059"/>
      <c r="N46" s="1066">
        <f>SUM(H46,J46,L46)*AR46</f>
        <v>378.92614483059526</v>
      </c>
      <c r="O46" s="1067"/>
      <c r="P46" s="1064">
        <f t="shared" si="10"/>
        <v>0.73437593020060521</v>
      </c>
      <c r="Q46" s="1065"/>
      <c r="R46" s="1064">
        <f>$H46+J46+L46-R49</f>
        <v>13.533015314493825</v>
      </c>
      <c r="S46" s="1065"/>
      <c r="T46" s="1066">
        <f>R46*$AR46</f>
        <v>378.92442880582712</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1.176573655766454E-6</v>
      </c>
      <c r="Q47" s="1062"/>
      <c r="R47" s="1059">
        <f>T47/$AR$47</f>
        <v>2.1681796267162413E-5</v>
      </c>
      <c r="S47" s="1059"/>
      <c r="T47" s="1064">
        <f>$AC17*$X25</f>
        <v>6.0730711344321919E-4</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BF32</f>
        <v>1.04835044112351E-6</v>
      </c>
      <c r="G48" s="1195"/>
      <c r="H48" s="1061">
        <f t="shared" si="1"/>
        <v>1.0436073955981987E-7</v>
      </c>
      <c r="I48" s="1062"/>
      <c r="J48" s="1059"/>
      <c r="K48" s="1059"/>
      <c r="L48" s="1060"/>
      <c r="M48" s="1059"/>
      <c r="N48" s="1061">
        <f t="shared" si="2"/>
        <v>4.5929161480276728E-6</v>
      </c>
      <c r="O48" s="1062"/>
      <c r="P48" s="1064">
        <f t="shared" si="10"/>
        <v>0.11676935192729564</v>
      </c>
      <c r="Q48" s="1065"/>
      <c r="R48" s="1068">
        <f>SUMPRODUCT($H31:$H52,$AU31:$AU52)+$H48-R47-SUMPRODUCT(R32:R42,$AU32:$AU42)</f>
        <v>2.1518153889710758</v>
      </c>
      <c r="S48" s="1059"/>
      <c r="T48" s="1066">
        <f>R48*$AR48</f>
        <v>94.701395268617048</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3.3257483275116937E-6</v>
      </c>
      <c r="Q49" s="1062"/>
      <c r="R49" s="1060">
        <f>T49/$AR49</f>
        <v>6.1286598862347742E-5</v>
      </c>
      <c r="S49" s="1063"/>
      <c r="T49" s="1064">
        <f>$W17*$X25</f>
        <v>2.8191835476679959E-3</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1.5719062744120603E-7</v>
      </c>
      <c r="Q51" s="1062"/>
      <c r="R51" s="1066">
        <f>T51/$AR51</f>
        <v>2.8966951134627228E-6</v>
      </c>
      <c r="S51" s="1067"/>
      <c r="T51" s="1060">
        <f>Q22*X25</f>
        <v>1.8538848726161426E-4</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193">
        <f>BF76</f>
        <v>1.4951987737782399E-3</v>
      </c>
      <c r="G52" s="1194"/>
      <c r="H52" s="1051">
        <f t="shared" si="1"/>
        <v>1.4884340550589732E-4</v>
      </c>
      <c r="I52" s="1052"/>
      <c r="J52" s="1032"/>
      <c r="K52" s="1032"/>
      <c r="L52" s="1053"/>
      <c r="M52" s="1032"/>
      <c r="N52" s="1054">
        <f t="shared" si="2"/>
        <v>2.6815627935942456E-3</v>
      </c>
      <c r="O52" s="1055"/>
      <c r="P52" s="1056">
        <f t="shared" si="10"/>
        <v>0.12217217275677478</v>
      </c>
      <c r="Q52" s="1057"/>
      <c r="R52" s="1044">
        <f>SUMPRODUCT(H31:H52,$AV31:$AV52)+H52-SUMPRODUCT(R32:R42,$AV32:$AV42)</f>
        <v>2.2513780979596922</v>
      </c>
      <c r="S52" s="1044"/>
      <c r="T52" s="1045">
        <f>R52*$AR52</f>
        <v>40.560827812841808</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0.99993636529826091</v>
      </c>
      <c r="G53" s="1038"/>
      <c r="H53" s="1039">
        <f>SUM(H31:H52)</f>
        <v>9.9541235928177943E-2</v>
      </c>
      <c r="I53" s="1040"/>
      <c r="J53" s="1041">
        <f>SUM(J31:J52)</f>
        <v>15.606912350874747</v>
      </c>
      <c r="K53" s="1041"/>
      <c r="L53" s="1042">
        <f>SUM(L31:L52)</f>
        <v>1.6952335829398431</v>
      </c>
      <c r="M53" s="1043"/>
      <c r="N53" s="1030">
        <f>SUM(N31:N52)</f>
        <v>529.9210897775896</v>
      </c>
      <c r="O53" s="1031"/>
      <c r="P53" s="1028">
        <f>SUM(P31:P52)</f>
        <v>1</v>
      </c>
      <c r="Q53" s="1029"/>
      <c r="R53" s="1030">
        <f>SUM(R31:R52)</f>
        <v>18.42791240556739</v>
      </c>
      <c r="S53" s="1031"/>
      <c r="T53" s="1030">
        <f>SUM(T31:T52)</f>
        <v>529.92203141611606</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7.8310654101888778E-4</v>
      </c>
      <c r="M55" s="1186"/>
      <c r="N55" s="1192">
        <f>W17*$X$25</f>
        <v>2.8191835476679959E-3</v>
      </c>
      <c r="O55" s="1192"/>
      <c r="P55" s="31" t="s">
        <v>617</v>
      </c>
      <c r="Q55" s="31"/>
      <c r="R55" s="1291">
        <f>N55*4*24/1000</f>
        <v>2.7064162057612761E-4</v>
      </c>
      <c r="S55" s="1291"/>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436">
        <f t="shared" ref="L56:L61" si="13">N56*1000/3600</f>
        <v>1.6869642040089422E-4</v>
      </c>
      <c r="M56" s="1437"/>
      <c r="N56" s="1192">
        <f>AC17*$X$25</f>
        <v>6.0730711344321919E-4</v>
      </c>
      <c r="O56" s="1192"/>
      <c r="P56" s="31" t="s">
        <v>617</v>
      </c>
      <c r="Q56" s="31"/>
      <c r="R56" s="1291">
        <f t="shared" ref="R56:R61" si="14">N56*4*24/1000</f>
        <v>5.8301482890549036E-5</v>
      </c>
      <c r="S56" s="1291"/>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436">
        <f t="shared" si="13"/>
        <v>5.5048305604502322E-5</v>
      </c>
      <c r="M57" s="1437"/>
      <c r="N57" s="1192">
        <f>AI17*$X$25</f>
        <v>1.9817390017620837E-4</v>
      </c>
      <c r="O57" s="1192"/>
      <c r="P57" s="31" t="s">
        <v>617</v>
      </c>
      <c r="Q57" s="31"/>
      <c r="R57" s="1291">
        <f t="shared" si="14"/>
        <v>1.9024694416916005E-5</v>
      </c>
      <c r="S57" s="1291"/>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436">
        <f t="shared" si="13"/>
        <v>0</v>
      </c>
      <c r="M58" s="1437"/>
      <c r="N58" s="1191">
        <f>K22*$X$25</f>
        <v>0</v>
      </c>
      <c r="O58" s="1191"/>
      <c r="P58" s="31" t="s">
        <v>617</v>
      </c>
      <c r="Q58" s="31"/>
      <c r="R58" s="1291">
        <f t="shared" si="14"/>
        <v>0</v>
      </c>
      <c r="S58" s="1291"/>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436">
        <f t="shared" si="13"/>
        <v>0</v>
      </c>
      <c r="M59" s="1437"/>
      <c r="N59" s="1192">
        <f>X25*W22</f>
        <v>0</v>
      </c>
      <c r="O59" s="1192"/>
      <c r="P59" s="31" t="s">
        <v>617</v>
      </c>
      <c r="Q59" s="31"/>
      <c r="R59" s="1291">
        <f t="shared" si="14"/>
        <v>0</v>
      </c>
      <c r="S59" s="1291"/>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5.149680201711507E-5</v>
      </c>
      <c r="M60" s="1186"/>
      <c r="N60" s="1191">
        <f>Q22*$X$25</f>
        <v>1.8538848726161426E-4</v>
      </c>
      <c r="O60" s="1191"/>
      <c r="P60" s="31" t="s">
        <v>617</v>
      </c>
      <c r="Q60" s="31"/>
      <c r="R60" s="1291">
        <f t="shared" si="14"/>
        <v>1.7797294777114968E-5</v>
      </c>
      <c r="S60" s="1291"/>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0</v>
      </c>
      <c r="M61" s="1186"/>
      <c r="N61" s="1191">
        <f>AC22*$X$25</f>
        <v>0</v>
      </c>
      <c r="O61" s="1191"/>
      <c r="P61" s="31" t="s">
        <v>617</v>
      </c>
      <c r="Q61" s="31"/>
      <c r="R61" s="1291">
        <f t="shared" si="14"/>
        <v>0</v>
      </c>
      <c r="S61" s="1291"/>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436">
        <f>O62*1000/3600</f>
        <v>25.552396409423405</v>
      </c>
      <c r="M62" s="1437"/>
      <c r="N62" s="31"/>
      <c r="O62" s="428">
        <f>'Diesel F'!I56*X25</f>
        <v>91.988627073924263</v>
      </c>
      <c r="P62" s="395" t="s">
        <v>617</v>
      </c>
      <c r="Q62" s="395"/>
      <c r="R62" s="1291">
        <f>O62*4*24/1000</f>
        <v>8.8309081990967293</v>
      </c>
      <c r="S62" s="1291"/>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680</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682</v>
      </c>
      <c r="B65" s="31" t="s">
        <v>689</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832</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232"/>
      <c r="B67" s="147"/>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2"/>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32"/>
      <c r="B68" s="147"/>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WnMGyiST503z6P6HYG169OLpCQLuul1l6DM65Bv4QsZ5RDKKSrh6ixGejLZ4ekrsvyYMmBRRFkYHgb6aGp+lCw==" saltValue="Gnli5x4sjm0Ksw8F5GxsUA==" spinCount="100000" sheet="1" objects="1" scenarios="1" selectLockedCells="1" selectUnlockedCells="1"/>
  <mergeCells count="459">
    <mergeCell ref="L62:M62"/>
    <mergeCell ref="R62:S62"/>
    <mergeCell ref="AE59:AF59"/>
    <mergeCell ref="L60:M60"/>
    <mergeCell ref="N60:O60"/>
    <mergeCell ref="R60:S60"/>
    <mergeCell ref="L61:M61"/>
    <mergeCell ref="N61:O61"/>
    <mergeCell ref="R61:S61"/>
    <mergeCell ref="AE57:AF57"/>
    <mergeCell ref="L58:M58"/>
    <mergeCell ref="N58:O58"/>
    <mergeCell ref="R58:S58"/>
    <mergeCell ref="L59:M59"/>
    <mergeCell ref="N59:O59"/>
    <mergeCell ref="R59:S59"/>
    <mergeCell ref="T59:U59"/>
    <mergeCell ref="Y59:Z59"/>
    <mergeCell ref="AC59:AD59"/>
    <mergeCell ref="L56:M56"/>
    <mergeCell ref="N56:O56"/>
    <mergeCell ref="R56:S56"/>
    <mergeCell ref="L57:M57"/>
    <mergeCell ref="N57:O57"/>
    <mergeCell ref="R57:S57"/>
    <mergeCell ref="T57:U57"/>
    <mergeCell ref="Y57:Z57"/>
    <mergeCell ref="AC57:AD57"/>
    <mergeCell ref="AF53:AG53"/>
    <mergeCell ref="AH53:AI53"/>
    <mergeCell ref="AJ53:AK53"/>
    <mergeCell ref="L54:M54"/>
    <mergeCell ref="L55:M55"/>
    <mergeCell ref="N55:O55"/>
    <mergeCell ref="R55:S55"/>
    <mergeCell ref="T55:U55"/>
    <mergeCell ref="Y55:Z55"/>
    <mergeCell ref="AC55:AD55"/>
    <mergeCell ref="T53:U53"/>
    <mergeCell ref="V53:W53"/>
    <mergeCell ref="X53:Y53"/>
    <mergeCell ref="Z53:AA53"/>
    <mergeCell ref="AB53:AC53"/>
    <mergeCell ref="AD53:AE53"/>
    <mergeCell ref="AE55:AF55"/>
    <mergeCell ref="A53:E53"/>
    <mergeCell ref="F53:G53"/>
    <mergeCell ref="H53:I53"/>
    <mergeCell ref="J53:K53"/>
    <mergeCell ref="L53:M53"/>
    <mergeCell ref="N53:O53"/>
    <mergeCell ref="P53:Q53"/>
    <mergeCell ref="R53:S53"/>
    <mergeCell ref="V52:W52"/>
    <mergeCell ref="AJ51:AK51"/>
    <mergeCell ref="F52:G52"/>
    <mergeCell ref="H52:I52"/>
    <mergeCell ref="J52:K52"/>
    <mergeCell ref="L52:M52"/>
    <mergeCell ref="N52:O52"/>
    <mergeCell ref="P52:Q52"/>
    <mergeCell ref="R52:S52"/>
    <mergeCell ref="T52:U52"/>
    <mergeCell ref="V51:W51"/>
    <mergeCell ref="X51:Y51"/>
    <mergeCell ref="Z51:AA51"/>
    <mergeCell ref="AB51:AC51"/>
    <mergeCell ref="AD51:AE51"/>
    <mergeCell ref="AF51:AG51"/>
    <mergeCell ref="AH52:AI52"/>
    <mergeCell ref="AJ52:AK52"/>
    <mergeCell ref="X52:Y52"/>
    <mergeCell ref="Z52:AA52"/>
    <mergeCell ref="AB52:AC52"/>
    <mergeCell ref="AD52:AE52"/>
    <mergeCell ref="AF52:AG52"/>
    <mergeCell ref="F51:G51"/>
    <mergeCell ref="H51:I51"/>
    <mergeCell ref="J51:K51"/>
    <mergeCell ref="L51:M51"/>
    <mergeCell ref="N51:O51"/>
    <mergeCell ref="P51:Q51"/>
    <mergeCell ref="R51:S51"/>
    <mergeCell ref="T51:U51"/>
    <mergeCell ref="V50:W50"/>
    <mergeCell ref="AH49:AI49"/>
    <mergeCell ref="J49:K49"/>
    <mergeCell ref="L49:M49"/>
    <mergeCell ref="N49:O49"/>
    <mergeCell ref="P49:Q49"/>
    <mergeCell ref="R49:S49"/>
    <mergeCell ref="T49:U49"/>
    <mergeCell ref="AH51:AI51"/>
    <mergeCell ref="AJ49:AK49"/>
    <mergeCell ref="F50:G50"/>
    <mergeCell ref="H50:I50"/>
    <mergeCell ref="J50:K50"/>
    <mergeCell ref="L50:M50"/>
    <mergeCell ref="N50:O50"/>
    <mergeCell ref="P50:Q50"/>
    <mergeCell ref="R50:S50"/>
    <mergeCell ref="T50:U50"/>
    <mergeCell ref="V49:W49"/>
    <mergeCell ref="X49:Y49"/>
    <mergeCell ref="Z49:AA49"/>
    <mergeCell ref="AB49:AC49"/>
    <mergeCell ref="AD49:AE49"/>
    <mergeCell ref="AF49:AG49"/>
    <mergeCell ref="AH50:AI50"/>
    <mergeCell ref="AJ50:AK50"/>
    <mergeCell ref="X50:Y50"/>
    <mergeCell ref="Z50:AA50"/>
    <mergeCell ref="AB50:AC50"/>
    <mergeCell ref="AD50:AE50"/>
    <mergeCell ref="AF50:AG50"/>
    <mergeCell ref="F49:G49"/>
    <mergeCell ref="H49:I49"/>
    <mergeCell ref="V48:W48"/>
    <mergeCell ref="AH47:AI47"/>
    <mergeCell ref="AJ47:AK47"/>
    <mergeCell ref="F48:G48"/>
    <mergeCell ref="H48:I48"/>
    <mergeCell ref="J48:K48"/>
    <mergeCell ref="L48:M48"/>
    <mergeCell ref="N48:O48"/>
    <mergeCell ref="P48:Q48"/>
    <mergeCell ref="R48:S48"/>
    <mergeCell ref="T48:U48"/>
    <mergeCell ref="V47:W47"/>
    <mergeCell ref="X47:Y47"/>
    <mergeCell ref="Z47:AA47"/>
    <mergeCell ref="AB47:AC47"/>
    <mergeCell ref="AD47:AE47"/>
    <mergeCell ref="AF47:AG47"/>
    <mergeCell ref="AH48:AI48"/>
    <mergeCell ref="AJ48:AK48"/>
    <mergeCell ref="X48:Y48"/>
    <mergeCell ref="Z48:AA48"/>
    <mergeCell ref="AB48:AC48"/>
    <mergeCell ref="AD48:AE48"/>
    <mergeCell ref="AF48:AG48"/>
    <mergeCell ref="F47:G47"/>
    <mergeCell ref="H47:I47"/>
    <mergeCell ref="J47:K47"/>
    <mergeCell ref="L47:M47"/>
    <mergeCell ref="N47:O47"/>
    <mergeCell ref="P47:Q47"/>
    <mergeCell ref="R47:S47"/>
    <mergeCell ref="T47:U47"/>
    <mergeCell ref="V46:W46"/>
    <mergeCell ref="AJ45:AK45"/>
    <mergeCell ref="F46:G46"/>
    <mergeCell ref="H46:I46"/>
    <mergeCell ref="J46:K46"/>
    <mergeCell ref="L46:M46"/>
    <mergeCell ref="N46:O46"/>
    <mergeCell ref="P46:Q46"/>
    <mergeCell ref="R46:S46"/>
    <mergeCell ref="T46:U46"/>
    <mergeCell ref="V45:W45"/>
    <mergeCell ref="X45:Y45"/>
    <mergeCell ref="Z45:AA45"/>
    <mergeCell ref="AB45:AC45"/>
    <mergeCell ref="AD45:AE45"/>
    <mergeCell ref="AF45:AG45"/>
    <mergeCell ref="AH46:AI46"/>
    <mergeCell ref="AJ46:AK46"/>
    <mergeCell ref="X46:Y46"/>
    <mergeCell ref="Z46:AA46"/>
    <mergeCell ref="AB46:AC46"/>
    <mergeCell ref="AD46:AE46"/>
    <mergeCell ref="AF46:AG46"/>
    <mergeCell ref="F45:G45"/>
    <mergeCell ref="H45:I45"/>
    <mergeCell ref="J45:K45"/>
    <mergeCell ref="L45:M45"/>
    <mergeCell ref="N45:O45"/>
    <mergeCell ref="P45:Q45"/>
    <mergeCell ref="R45:S45"/>
    <mergeCell ref="T45:U45"/>
    <mergeCell ref="V44:W44"/>
    <mergeCell ref="AH43:AI43"/>
    <mergeCell ref="J43:K43"/>
    <mergeCell ref="L43:M43"/>
    <mergeCell ref="N43:O43"/>
    <mergeCell ref="P43:Q43"/>
    <mergeCell ref="R43:S43"/>
    <mergeCell ref="T43:U43"/>
    <mergeCell ref="AH45:AI45"/>
    <mergeCell ref="AJ43:AK43"/>
    <mergeCell ref="F44:G44"/>
    <mergeCell ref="H44:I44"/>
    <mergeCell ref="J44:K44"/>
    <mergeCell ref="L44:M44"/>
    <mergeCell ref="N44:O44"/>
    <mergeCell ref="P44:Q44"/>
    <mergeCell ref="R44:S44"/>
    <mergeCell ref="T44:U44"/>
    <mergeCell ref="V43:W43"/>
    <mergeCell ref="X43:Y43"/>
    <mergeCell ref="Z43:AA43"/>
    <mergeCell ref="AB43:AC43"/>
    <mergeCell ref="AD43:AE43"/>
    <mergeCell ref="AF43:AG43"/>
    <mergeCell ref="AH44:AI44"/>
    <mergeCell ref="AJ44:AK44"/>
    <mergeCell ref="X44:Y44"/>
    <mergeCell ref="Z44:AA44"/>
    <mergeCell ref="AB44:AC44"/>
    <mergeCell ref="AD44:AE44"/>
    <mergeCell ref="AF44:AG44"/>
    <mergeCell ref="F43:G43"/>
    <mergeCell ref="H43:I43"/>
    <mergeCell ref="V42:W42"/>
    <mergeCell ref="T41:U41"/>
    <mergeCell ref="AJ41:AK41"/>
    <mergeCell ref="F42:G42"/>
    <mergeCell ref="H42:I42"/>
    <mergeCell ref="J42:K42"/>
    <mergeCell ref="L42:M42"/>
    <mergeCell ref="N42:O42"/>
    <mergeCell ref="P42:Q42"/>
    <mergeCell ref="R42:S42"/>
    <mergeCell ref="T42:U42"/>
    <mergeCell ref="AH42:AI42"/>
    <mergeCell ref="AJ42:AK42"/>
    <mergeCell ref="X42:Y42"/>
    <mergeCell ref="Z42:AA42"/>
    <mergeCell ref="AB42:AC42"/>
    <mergeCell ref="AD42:AE42"/>
    <mergeCell ref="AF42:AG42"/>
    <mergeCell ref="R40:S40"/>
    <mergeCell ref="T40:U40"/>
    <mergeCell ref="AJ40:AK40"/>
    <mergeCell ref="F41:G41"/>
    <mergeCell ref="H41:I41"/>
    <mergeCell ref="J41:K41"/>
    <mergeCell ref="L41:M41"/>
    <mergeCell ref="N41:O41"/>
    <mergeCell ref="P41:Q41"/>
    <mergeCell ref="R41:S41"/>
    <mergeCell ref="F40:G40"/>
    <mergeCell ref="H40:I40"/>
    <mergeCell ref="J40:K40"/>
    <mergeCell ref="L40:M40"/>
    <mergeCell ref="N40:O40"/>
    <mergeCell ref="P40:Q40"/>
    <mergeCell ref="V32:AI41"/>
    <mergeCell ref="F33:G33"/>
    <mergeCell ref="H33:I33"/>
    <mergeCell ref="J33:K33"/>
    <mergeCell ref="L33:M33"/>
    <mergeCell ref="N33:O33"/>
    <mergeCell ref="P33:Q33"/>
    <mergeCell ref="R33:S33"/>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F35:G35"/>
    <mergeCell ref="H35:I35"/>
    <mergeCell ref="J35:K35"/>
    <mergeCell ref="L35:M35"/>
    <mergeCell ref="N35:O35"/>
    <mergeCell ref="P35:Q35"/>
    <mergeCell ref="R35:S35"/>
    <mergeCell ref="T35:U35"/>
    <mergeCell ref="H34:I34"/>
    <mergeCell ref="J34:K34"/>
    <mergeCell ref="L34:M34"/>
    <mergeCell ref="N34:O34"/>
    <mergeCell ref="P34:Q34"/>
    <mergeCell ref="R34:S34"/>
    <mergeCell ref="F31:G31"/>
    <mergeCell ref="H31:I31"/>
    <mergeCell ref="J31:K31"/>
    <mergeCell ref="L31:M31"/>
    <mergeCell ref="N31:O31"/>
    <mergeCell ref="P31:Q31"/>
    <mergeCell ref="R31:S31"/>
    <mergeCell ref="T33:U33"/>
    <mergeCell ref="F34:G34"/>
    <mergeCell ref="T31:U31"/>
    <mergeCell ref="F32:G32"/>
    <mergeCell ref="H32:I32"/>
    <mergeCell ref="J32:K32"/>
    <mergeCell ref="L32:M32"/>
    <mergeCell ref="N32:O32"/>
    <mergeCell ref="P32:Q32"/>
    <mergeCell ref="R32:S32"/>
    <mergeCell ref="T32:U32"/>
    <mergeCell ref="T34:U34"/>
    <mergeCell ref="A30:E30"/>
    <mergeCell ref="F30:G30"/>
    <mergeCell ref="H30:I30"/>
    <mergeCell ref="J30:K30"/>
    <mergeCell ref="L30:M30"/>
    <mergeCell ref="N30:O30"/>
    <mergeCell ref="A27:E27"/>
    <mergeCell ref="F27:U27"/>
    <mergeCell ref="F28:I29"/>
    <mergeCell ref="J28:M28"/>
    <mergeCell ref="N28:O29"/>
    <mergeCell ref="P28:U29"/>
    <mergeCell ref="J29:K29"/>
    <mergeCell ref="L29:M29"/>
    <mergeCell ref="P30:Q30"/>
    <mergeCell ref="R30:S30"/>
    <mergeCell ref="T30:U30"/>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F31:U52">
    <cfRule type="expression" dxfId="142" priority="2">
      <formula>F31=0</formula>
    </cfRule>
  </conditionalFormatting>
  <conditionalFormatting sqref="R55:S62">
    <cfRule type="expression" dxfId="141" priority="1" stopIfTrue="1">
      <formula>R55=0</formula>
    </cfRule>
  </conditionalFormatting>
  <conditionalFormatting sqref="V31:AK31 AJ32:AK41 V42:AK52">
    <cfRule type="expression" dxfId="140" priority="4">
      <formula>V31=0</formula>
    </cfRule>
  </conditionalFormatting>
  <conditionalFormatting sqref="V53:AK53">
    <cfRule type="expression" dxfId="139" priority="5" stopIfTrue="1">
      <formula>V53=0</formula>
    </cfRule>
  </conditionalFormatting>
  <conditionalFormatting sqref="Y56:Y62 AC56:AD62 N57 N59">
    <cfRule type="expression" dxfId="138" priority="7" stopIfTrue="1">
      <formula>N56=0</formula>
    </cfRule>
  </conditionalFormatting>
  <pageMargins left="0.7" right="0.7" top="0.75" bottom="0.75" header="0.3" footer="0.3"/>
  <pageSetup paperSize="9" scale="61" orientation="portrait" r:id="rId1"/>
  <headerFooter>
    <oddFooter>&amp;C_x000D_&amp;1#&amp;"Calibri"&amp;10&amp;K000000 Internal</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38554-7874-4FDF-B9E5-781B6BFC615D}">
  <sheetPr>
    <tabColor rgb="FFFFC000"/>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14" width="3.7109375" style="404"/>
    <col min="15" max="15" width="6.7109375" style="404" customWidth="1"/>
    <col min="16" max="18" width="3.7109375" style="404"/>
    <col min="19" max="19" width="5.42578125" style="404" bestFit="1" customWidth="1"/>
    <col min="20" max="23" width="3.7109375" style="404"/>
    <col min="24" max="24" width="6.28515625" style="404"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'Precom F P'!$AC$5</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
        <v>97</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143</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5.737756714060031E-17</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727</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'Diesel F'!G20</f>
        <v>44.890193469756099</v>
      </c>
      <c r="R16" s="1144"/>
      <c r="S16" s="1145"/>
      <c r="T16" s="1073">
        <f>'Diesel F'!E5</f>
        <v>76019.579999999987</v>
      </c>
      <c r="U16" s="1109"/>
      <c r="V16" s="1074"/>
      <c r="W16" s="1076" t="s">
        <v>604</v>
      </c>
      <c r="X16" s="1075"/>
      <c r="Y16" s="1077"/>
      <c r="Z16" s="1073">
        <f>'Diesel F'!E6</f>
        <v>16376.099999999999</v>
      </c>
      <c r="AA16" s="1109"/>
      <c r="AB16" s="1074"/>
      <c r="AC16" s="1076" t="s">
        <v>604</v>
      </c>
      <c r="AD16" s="1075"/>
      <c r="AE16" s="1077"/>
      <c r="AF16" s="1146">
        <f>'Diesel F'!E8</f>
        <v>5343.78</v>
      </c>
      <c r="AG16" s="1147"/>
      <c r="AH16" s="1148"/>
      <c r="AI16" s="1076" t="s">
        <v>604</v>
      </c>
      <c r="AJ16" s="1075"/>
      <c r="AK16" s="1077"/>
      <c r="AL16" s="303"/>
      <c r="AM16" s="303" t="s">
        <v>605</v>
      </c>
      <c r="AN16" s="303"/>
      <c r="AO16" s="303"/>
      <c r="AP16" s="351">
        <v>1020</v>
      </c>
      <c r="AQ16" s="352">
        <f>AP16/$AR$9/$AR$7 * ((AN18+273.15)/(AN19+273.15))</f>
        <v>37.956295834166582</v>
      </c>
      <c r="AR16" s="353">
        <f>AX4</f>
        <v>0.13333333333333333</v>
      </c>
      <c r="AS16" s="354">
        <f>AR16*$AR$6/1055.06</f>
        <v>5.7374304146999541E-5</v>
      </c>
      <c r="AT16" s="355">
        <f>AS16*$Q$16*1000000</f>
        <v>2575.543613351439</v>
      </c>
      <c r="AU16" s="356">
        <f>AX5</f>
        <v>3.3333333333333333E-2</v>
      </c>
      <c r="AV16" s="354">
        <f>AU16*$AR$6/1055.06</f>
        <v>1.4343576036749885E-5</v>
      </c>
      <c r="AW16" s="355">
        <f>AV16*$Q$16*1000000</f>
        <v>643.88590333785976</v>
      </c>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1">
        <v>305.24099999999999</v>
      </c>
      <c r="I17" s="1132"/>
      <c r="J17" s="1133"/>
      <c r="K17" s="1134">
        <v>832.5</v>
      </c>
      <c r="L17" s="1135"/>
      <c r="M17" s="1136"/>
      <c r="N17" s="1137">
        <v>42.59</v>
      </c>
      <c r="O17" s="1138"/>
      <c r="P17" s="1139"/>
      <c r="Q17" s="1137">
        <v>45.61</v>
      </c>
      <c r="R17" s="1138"/>
      <c r="S17" s="1139"/>
      <c r="T17" s="1066">
        <f>$Q$17/$Q$16*T16</f>
        <v>77238.5408883567</v>
      </c>
      <c r="U17" s="1110"/>
      <c r="V17" s="1067"/>
      <c r="W17" s="1114">
        <f>T17/1000000/K17</f>
        <v>9.2779028094122163E-5</v>
      </c>
      <c r="X17" s="1115"/>
      <c r="Y17" s="1116"/>
      <c r="Z17" s="1066">
        <f>$Q$17/$Q$16*Z16</f>
        <v>16638.6879464714</v>
      </c>
      <c r="AA17" s="1110"/>
      <c r="AB17" s="1067"/>
      <c r="AC17" s="1114">
        <f>Z17/1000000/K17</f>
        <v>1.9986411947713393E-5</v>
      </c>
      <c r="AD17" s="1115"/>
      <c r="AE17" s="1116"/>
      <c r="AF17" s="1066">
        <f>$Q$17/$Q$16*AF16</f>
        <v>5429.4665930590891</v>
      </c>
      <c r="AG17" s="1110"/>
      <c r="AH17" s="1067"/>
      <c r="AI17" s="1060">
        <f>AF17/1000000/K17</f>
        <v>6.5218817934643711E-6</v>
      </c>
      <c r="AJ17" s="1059"/>
      <c r="AK17" s="1063"/>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123"/>
      <c r="O18" s="1069"/>
      <c r="P18" s="1124"/>
      <c r="Q18" s="1125"/>
      <c r="R18" s="1126"/>
      <c r="S18" s="112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125</v>
      </c>
      <c r="AA19" s="1118"/>
      <c r="AB19" s="1119"/>
      <c r="AC19" s="1117" t="s">
        <v>125</v>
      </c>
      <c r="AD19" s="1118"/>
      <c r="AE19" s="1119"/>
      <c r="AF19" s="358" t="s">
        <v>728</v>
      </c>
      <c r="AG19" s="31"/>
      <c r="AH19" s="31"/>
      <c r="AI19" s="31"/>
      <c r="AJ19" s="31"/>
      <c r="AK19" s="226"/>
      <c r="AL19" s="303"/>
      <c r="AM19" s="24" t="s">
        <v>699</v>
      </c>
      <c r="AN19" s="24">
        <v>15.6</v>
      </c>
      <c r="AO19" s="23" t="s">
        <v>609</v>
      </c>
      <c r="AP19" s="303"/>
      <c r="AQ19" s="303"/>
      <c r="AR19" s="356">
        <f>AX6</f>
        <v>4.6666666666666669E-2</v>
      </c>
      <c r="AS19" s="354">
        <f>AR19*$AR$6/1055.06</f>
        <v>2.0081006451449841E-5</v>
      </c>
      <c r="AT19" s="355">
        <f>AS19*$Q$16*1000000</f>
        <v>901.44026467300375</v>
      </c>
      <c r="AU19" s="351">
        <v>0.37446000000000002</v>
      </c>
      <c r="AV19" s="354">
        <f>AU19*$AR$6/1055.06</f>
        <v>1.6113286448164087E-4</v>
      </c>
      <c r="AW19" s="355">
        <f>AV19*$Q$16*1000000</f>
        <v>7233.2854609168498</v>
      </c>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c r="I21" s="1109"/>
      <c r="J21" s="1074"/>
      <c r="K21" s="1076" t="s">
        <v>604</v>
      </c>
      <c r="L21" s="1075"/>
      <c r="M21" s="1077"/>
      <c r="N21" s="1073">
        <f>'Diesel F'!E7</f>
        <v>4999.0199999999986</v>
      </c>
      <c r="O21" s="1109"/>
      <c r="P21" s="1074"/>
      <c r="Q21" s="1076" t="s">
        <v>604</v>
      </c>
      <c r="R21" s="1075"/>
      <c r="S21" s="1077"/>
      <c r="T21" s="1073"/>
      <c r="U21" s="1109"/>
      <c r="V21" s="1074"/>
      <c r="W21" s="1214" t="s">
        <v>604</v>
      </c>
      <c r="X21" s="1215"/>
      <c r="Y21" s="1216"/>
      <c r="Z21" s="1073"/>
      <c r="AA21" s="1109"/>
      <c r="AB21" s="1074"/>
      <c r="AC21" s="1076" t="s">
        <v>604</v>
      </c>
      <c r="AD21" s="1075"/>
      <c r="AE21" s="1077"/>
      <c r="AF21" s="300"/>
      <c r="AG21" s="31"/>
      <c r="AH21" s="302"/>
      <c r="AI21" s="31"/>
      <c r="AJ21" s="31"/>
      <c r="AK21" s="32"/>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6"/>
      <c r="I22" s="1110"/>
      <c r="J22" s="1067"/>
      <c r="K22" s="1114"/>
      <c r="L22" s="1115"/>
      <c r="M22" s="1116"/>
      <c r="N22" s="1066">
        <f>$Q$17/$Q$16*N21</f>
        <v>5079.1784257649533</v>
      </c>
      <c r="O22" s="1110"/>
      <c r="P22" s="1067"/>
      <c r="Q22" s="1114">
        <f>N22/1000000/K17</f>
        <v>6.1011152261440878E-6</v>
      </c>
      <c r="R22" s="1115"/>
      <c r="S22" s="1116"/>
      <c r="T22" s="1099"/>
      <c r="U22" s="1048"/>
      <c r="V22" s="1058"/>
      <c r="W22" s="1211"/>
      <c r="X22" s="1212"/>
      <c r="Y22" s="1213"/>
      <c r="Z22" s="1066"/>
      <c r="AA22" s="1110"/>
      <c r="AB22" s="1067"/>
      <c r="AC22" s="1114"/>
      <c r="AD22" s="1115"/>
      <c r="AE22" s="1116"/>
      <c r="AF22" s="31"/>
      <c r="AG22" s="31"/>
      <c r="AH22" s="31"/>
      <c r="AI22" s="31"/>
      <c r="AJ22" s="31"/>
      <c r="AK22" s="32"/>
      <c r="AL22" s="303"/>
      <c r="AM22" s="303"/>
      <c r="AN22" s="303"/>
      <c r="AO22" s="303"/>
      <c r="AP22" s="303"/>
      <c r="AQ22" s="303"/>
      <c r="AR22" s="356">
        <f>AX8</f>
        <v>6.9333333333333339E-3</v>
      </c>
      <c r="AS22" s="354">
        <f>AR22*$AR$6/1055.06</f>
        <v>2.9834638156439767E-6</v>
      </c>
      <c r="AT22" s="355">
        <f>AS22*$Q$16*1000000</f>
        <v>133.92826789427485</v>
      </c>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045"/>
      <c r="I23" s="1033"/>
      <c r="J23" s="1046"/>
      <c r="K23" s="1089"/>
      <c r="L23" s="1090"/>
      <c r="M23" s="1091"/>
      <c r="N23" s="1045"/>
      <c r="O23" s="1033"/>
      <c r="P23" s="1046"/>
      <c r="Q23" s="1096"/>
      <c r="R23" s="1097"/>
      <c r="S23" s="1098"/>
      <c r="T23" s="1099"/>
      <c r="U23" s="1048"/>
      <c r="V23" s="1058"/>
      <c r="W23" s="1096"/>
      <c r="X23" s="1097"/>
      <c r="Y23" s="1098"/>
      <c r="Z23" s="1086"/>
      <c r="AA23" s="1087"/>
      <c r="AB23" s="1088"/>
      <c r="AC23" s="1089"/>
      <c r="AD23" s="1090"/>
      <c r="AE23" s="1091"/>
      <c r="AF23" s="31"/>
      <c r="AG23" s="31"/>
      <c r="AH23" s="31"/>
      <c r="AI23" s="31"/>
      <c r="AJ23" s="31"/>
      <c r="AK23" s="32"/>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490"/>
      <c r="I25" s="31" t="s">
        <v>590</v>
      </c>
      <c r="J25" s="31"/>
      <c r="K25" s="31"/>
      <c r="L25" s="31" t="s">
        <v>615</v>
      </c>
      <c r="M25" s="31"/>
      <c r="N25" s="31"/>
      <c r="O25" s="31"/>
      <c r="P25" s="31"/>
      <c r="Q25" s="31"/>
      <c r="R25" s="31"/>
      <c r="S25" s="32" t="s">
        <v>616</v>
      </c>
      <c r="T25" s="1092" t="str">
        <f>A17</f>
        <v>Diesel</v>
      </c>
      <c r="U25" s="1093"/>
      <c r="V25" s="1093"/>
      <c r="W25" s="1093"/>
      <c r="X25" s="1094">
        <v>23.893000000000001</v>
      </c>
      <c r="Y25" s="1094"/>
      <c r="Z25" s="1094"/>
      <c r="AA25" s="1093" t="s">
        <v>617</v>
      </c>
      <c r="AB25" s="1093"/>
      <c r="AC25" s="1095">
        <f>X25/H17</f>
        <v>7.8275854161138247E-2</v>
      </c>
      <c r="AD25" s="1095"/>
      <c r="AE25" s="1093" t="s">
        <v>618</v>
      </c>
      <c r="AF25" s="1093"/>
      <c r="AG25" s="1093"/>
      <c r="AH25" s="1198">
        <f>X25*N17/3600</f>
        <v>0.28266746388888891</v>
      </c>
      <c r="AI25" s="1198"/>
      <c r="AJ25" s="361" t="s">
        <v>590</v>
      </c>
      <c r="AK25" s="362"/>
      <c r="AL25" s="303"/>
      <c r="AM25" s="363">
        <f>X25*W22</f>
        <v>0</v>
      </c>
      <c r="AN25" s="303"/>
      <c r="AO25" s="303"/>
      <c r="AP25" s="303"/>
      <c r="AQ25" s="303"/>
      <c r="AR25" s="351">
        <f>AX7</f>
        <v>0.01</v>
      </c>
      <c r="AS25" s="354">
        <f>AR25*$AR$6/1055.06</f>
        <v>4.3030728110249664E-6</v>
      </c>
      <c r="AT25" s="355">
        <f>AS25*$Q$16*1000000</f>
        <v>193.16577100135797</v>
      </c>
      <c r="AU25" s="356">
        <f>AX9</f>
        <v>3.5333333333333336E-3</v>
      </c>
      <c r="AV25" s="354">
        <f>AU25*$AR$6/1055.06</f>
        <v>1.5204190598954882E-6</v>
      </c>
      <c r="AW25" s="355">
        <f>AV25*$Q$16*1000000</f>
        <v>68.251905753813148</v>
      </c>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0</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c r="B27" s="1081"/>
      <c r="C27" s="1081"/>
      <c r="D27" s="1081"/>
      <c r="E27" s="1081"/>
      <c r="F27" s="1042" t="str">
        <f>A17</f>
        <v>Diesel</v>
      </c>
      <c r="G27" s="1043"/>
      <c r="H27" s="1043"/>
      <c r="I27" s="1043"/>
      <c r="J27" s="1043"/>
      <c r="K27" s="1043"/>
      <c r="L27" s="1043"/>
      <c r="M27" s="1043"/>
      <c r="N27" s="1043"/>
      <c r="O27" s="1043"/>
      <c r="P27" s="1043"/>
      <c r="Q27" s="1043"/>
      <c r="R27" s="1043"/>
      <c r="S27" s="1043"/>
      <c r="T27" s="1043"/>
      <c r="U27" s="1080"/>
      <c r="V27" s="31"/>
      <c r="W27" s="31"/>
      <c r="X27" s="426">
        <f>AH25</f>
        <v>0.28266746388888891</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29">
        <v>120</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29">
        <f>X27*X28</f>
        <v>33.920095666666668</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29">
        <f>X29*3600/1000</f>
        <v>122.1123444</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196">
        <v>0</v>
      </c>
      <c r="G31" s="1197"/>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BF33</f>
        <v>3.7672634101823899E-6</v>
      </c>
      <c r="G32" s="1195"/>
      <c r="H32" s="1051">
        <f>F32*$AC$25</f>
        <v>2.9488576128202909E-7</v>
      </c>
      <c r="I32" s="1052"/>
      <c r="J32" s="1059"/>
      <c r="K32" s="1059"/>
      <c r="L32" s="1060"/>
      <c r="M32" s="1059"/>
      <c r="N32" s="1054">
        <f t="shared" si="2"/>
        <v>4.7305573824863111E-6</v>
      </c>
      <c r="O32" s="1055"/>
      <c r="P32" s="1061">
        <f>R32/$R$53</f>
        <v>0</v>
      </c>
      <c r="Q32" s="1062"/>
      <c r="R32" s="1060">
        <f>T32/$AR32</f>
        <v>0</v>
      </c>
      <c r="S32" s="1059"/>
      <c r="T32" s="1064">
        <f>$K$22*$X$25</f>
        <v>0</v>
      </c>
      <c r="U32" s="1065"/>
      <c r="V32" s="1241" t="s">
        <v>836</v>
      </c>
      <c r="W32" s="1576"/>
      <c r="X32" s="1576"/>
      <c r="Y32" s="1576"/>
      <c r="Z32" s="1576"/>
      <c r="AA32" s="1576"/>
      <c r="AB32" s="1576"/>
      <c r="AC32" s="1576"/>
      <c r="AD32" s="1576"/>
      <c r="AE32" s="1576"/>
      <c r="AF32" s="1576"/>
      <c r="AG32" s="1576"/>
      <c r="AH32" s="1576"/>
      <c r="AI32" s="1576"/>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1577"/>
      <c r="W33" s="1576"/>
      <c r="X33" s="1576"/>
      <c r="Y33" s="1576"/>
      <c r="Z33" s="1576"/>
      <c r="AA33" s="1576"/>
      <c r="AB33" s="1576"/>
      <c r="AC33" s="1576"/>
      <c r="AD33" s="1576"/>
      <c r="AE33" s="1576"/>
      <c r="AF33" s="1576"/>
      <c r="AG33" s="1576"/>
      <c r="AH33" s="1576"/>
      <c r="AI33" s="1576"/>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BF34</f>
        <v>2.32021919756754E-4</v>
      </c>
      <c r="G34" s="1050"/>
      <c r="H34" s="1051">
        <f t="shared" si="1"/>
        <v>1.8161713953066996E-5</v>
      </c>
      <c r="I34" s="1052"/>
      <c r="J34" s="1059"/>
      <c r="K34" s="1059"/>
      <c r="L34" s="1060"/>
      <c r="M34" s="1059"/>
      <c r="N34" s="1054">
        <f t="shared" si="2"/>
        <v>5.4608641514081841E-4</v>
      </c>
      <c r="O34" s="1055"/>
      <c r="P34" s="1061">
        <f t="shared" si="10"/>
        <v>0</v>
      </c>
      <c r="Q34" s="1062"/>
      <c r="R34" s="1059">
        <f>T34/$AR34</f>
        <v>0</v>
      </c>
      <c r="S34" s="1059"/>
      <c r="T34" s="1061">
        <f t="shared" si="11"/>
        <v>0</v>
      </c>
      <c r="U34" s="1062"/>
      <c r="V34" s="1577"/>
      <c r="W34" s="1576"/>
      <c r="X34" s="1576"/>
      <c r="Y34" s="1576"/>
      <c r="Z34" s="1576"/>
      <c r="AA34" s="1576"/>
      <c r="AB34" s="1576"/>
      <c r="AC34" s="1576"/>
      <c r="AD34" s="1576"/>
      <c r="AE34" s="1576"/>
      <c r="AF34" s="1576"/>
      <c r="AG34" s="1576"/>
      <c r="AH34" s="1576"/>
      <c r="AI34" s="1576"/>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1577"/>
      <c r="W35" s="1576"/>
      <c r="X35" s="1576"/>
      <c r="Y35" s="1576"/>
      <c r="Z35" s="1576"/>
      <c r="AA35" s="1576"/>
      <c r="AB35" s="1576"/>
      <c r="AC35" s="1576"/>
      <c r="AD35" s="1576"/>
      <c r="AE35" s="1576"/>
      <c r="AF35" s="1576"/>
      <c r="AG35" s="1576"/>
      <c r="AH35" s="1576"/>
      <c r="AI35" s="1576"/>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BF35</f>
        <v>4.1140406723645098E-3</v>
      </c>
      <c r="G36" s="1050"/>
      <c r="H36" s="1051">
        <f t="shared" si="1"/>
        <v>3.2203004768299552E-4</v>
      </c>
      <c r="I36" s="1052"/>
      <c r="J36" s="1059"/>
      <c r="K36" s="1059"/>
      <c r="L36" s="1060"/>
      <c r="M36" s="1059"/>
      <c r="N36" s="1054">
        <f t="shared" si="2"/>
        <v>1.4199592922534005E-2</v>
      </c>
      <c r="O36" s="1055"/>
      <c r="P36" s="1061">
        <f t="shared" si="10"/>
        <v>0</v>
      </c>
      <c r="Q36" s="1062"/>
      <c r="R36" s="1059">
        <f t="shared" si="12"/>
        <v>0</v>
      </c>
      <c r="S36" s="1059"/>
      <c r="T36" s="1061">
        <f t="shared" si="11"/>
        <v>0</v>
      </c>
      <c r="U36" s="1062"/>
      <c r="V36" s="1577"/>
      <c r="W36" s="1576"/>
      <c r="X36" s="1576"/>
      <c r="Y36" s="1576"/>
      <c r="Z36" s="1576"/>
      <c r="AA36" s="1576"/>
      <c r="AB36" s="1576"/>
      <c r="AC36" s="1576"/>
      <c r="AD36" s="1576"/>
      <c r="AE36" s="1576"/>
      <c r="AF36" s="1576"/>
      <c r="AG36" s="1576"/>
      <c r="AH36" s="1576"/>
      <c r="AI36" s="1576"/>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1577"/>
      <c r="W37" s="1576"/>
      <c r="X37" s="1576"/>
      <c r="Y37" s="1576"/>
      <c r="Z37" s="1576"/>
      <c r="AA37" s="1576"/>
      <c r="AB37" s="1576"/>
      <c r="AC37" s="1576"/>
      <c r="AD37" s="1576"/>
      <c r="AE37" s="1576"/>
      <c r="AF37" s="1576"/>
      <c r="AG37" s="1576"/>
      <c r="AH37" s="1576"/>
      <c r="AI37" s="1576"/>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BF36</f>
        <v>4.2987554978870402E-3</v>
      </c>
      <c r="G38" s="1050"/>
      <c r="H38" s="1051">
        <f t="shared" si="1"/>
        <v>3.3648875842699717E-4</v>
      </c>
      <c r="I38" s="1052"/>
      <c r="J38" s="1059"/>
      <c r="K38" s="1059"/>
      <c r="L38" s="1060"/>
      <c r="M38" s="1059"/>
      <c r="N38" s="1054">
        <f t="shared" si="2"/>
        <v>1.9556726639777075E-2</v>
      </c>
      <c r="O38" s="1055"/>
      <c r="P38" s="1061">
        <f t="shared" si="10"/>
        <v>0</v>
      </c>
      <c r="Q38" s="1062"/>
      <c r="R38" s="1059">
        <f t="shared" si="12"/>
        <v>0</v>
      </c>
      <c r="S38" s="1059"/>
      <c r="T38" s="1061">
        <f t="shared" si="11"/>
        <v>0</v>
      </c>
      <c r="U38" s="1062"/>
      <c r="V38" s="1577"/>
      <c r="W38" s="1576"/>
      <c r="X38" s="1576"/>
      <c r="Y38" s="1576"/>
      <c r="Z38" s="1576"/>
      <c r="AA38" s="1576"/>
      <c r="AB38" s="1576"/>
      <c r="AC38" s="1576"/>
      <c r="AD38" s="1576"/>
      <c r="AE38" s="1576"/>
      <c r="AF38" s="1576"/>
      <c r="AG38" s="1576"/>
      <c r="AH38" s="1576"/>
      <c r="AI38" s="1576"/>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f>BF37</f>
        <v>1.33109664079022E-2</v>
      </c>
      <c r="G39" s="1050"/>
      <c r="H39" s="1051">
        <f t="shared" si="1"/>
        <v>1.041927265288763E-3</v>
      </c>
      <c r="I39" s="1052"/>
      <c r="J39" s="1059"/>
      <c r="K39" s="1059"/>
      <c r="L39" s="1060"/>
      <c r="M39" s="1059"/>
      <c r="N39" s="1054">
        <f t="shared" si="2"/>
        <v>6.0556812658582898E-2</v>
      </c>
      <c r="O39" s="1055"/>
      <c r="P39" s="1061">
        <f t="shared" si="10"/>
        <v>0</v>
      </c>
      <c r="Q39" s="1062"/>
      <c r="R39" s="1059">
        <f t="shared" si="12"/>
        <v>0</v>
      </c>
      <c r="S39" s="1059"/>
      <c r="T39" s="1061">
        <f t="shared" si="11"/>
        <v>0</v>
      </c>
      <c r="U39" s="1062"/>
      <c r="V39" s="1577"/>
      <c r="W39" s="1576"/>
      <c r="X39" s="1576"/>
      <c r="Y39" s="1576"/>
      <c r="Z39" s="1576"/>
      <c r="AA39" s="1576"/>
      <c r="AB39" s="1576"/>
      <c r="AC39" s="1576"/>
      <c r="AD39" s="1576"/>
      <c r="AE39" s="1576"/>
      <c r="AF39" s="1576"/>
      <c r="AG39" s="1576"/>
      <c r="AH39" s="1576"/>
      <c r="AI39" s="1576"/>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BF38</f>
        <v>1.4450640107125301E-2</v>
      </c>
      <c r="G40" s="1050"/>
      <c r="H40" s="1051">
        <f t="shared" si="1"/>
        <v>1.1311361975604353E-3</v>
      </c>
      <c r="I40" s="1052"/>
      <c r="J40" s="1059"/>
      <c r="K40" s="1059"/>
      <c r="L40" s="1060"/>
      <c r="M40" s="1059"/>
      <c r="N40" s="1054">
        <f t="shared" si="2"/>
        <v>8.1606952109195163E-2</v>
      </c>
      <c r="O40" s="1055"/>
      <c r="P40" s="1061">
        <f t="shared" si="10"/>
        <v>0</v>
      </c>
      <c r="Q40" s="1062"/>
      <c r="R40" s="1059">
        <f t="shared" si="12"/>
        <v>0</v>
      </c>
      <c r="S40" s="1059"/>
      <c r="T40" s="1061">
        <f t="shared" si="11"/>
        <v>0</v>
      </c>
      <c r="U40" s="1062"/>
      <c r="V40" s="1577"/>
      <c r="W40" s="1576"/>
      <c r="X40" s="1576"/>
      <c r="Y40" s="1576"/>
      <c r="Z40" s="1576"/>
      <c r="AA40" s="1576"/>
      <c r="AB40" s="1576"/>
      <c r="AC40" s="1576"/>
      <c r="AD40" s="1576"/>
      <c r="AE40" s="1576"/>
      <c r="AF40" s="1576"/>
      <c r="AG40" s="1576"/>
      <c r="AH40" s="1576"/>
      <c r="AI40" s="1576"/>
      <c r="AJ40" s="1069"/>
      <c r="AK40" s="1124"/>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BF40</f>
        <v>1.8657920075756399E-2</v>
      </c>
      <c r="G41" s="1050"/>
      <c r="H41" s="1051">
        <f t="shared" si="1"/>
        <v>1.4604646308000813E-3</v>
      </c>
      <c r="I41" s="1052"/>
      <c r="J41" s="1059"/>
      <c r="K41" s="1059"/>
      <c r="L41" s="1060"/>
      <c r="M41" s="1059"/>
      <c r="N41" s="1054">
        <f t="shared" si="2"/>
        <v>0.10536668125370266</v>
      </c>
      <c r="O41" s="1055"/>
      <c r="P41" s="1061">
        <f t="shared" si="10"/>
        <v>0</v>
      </c>
      <c r="Q41" s="1062"/>
      <c r="R41" s="1059">
        <f t="shared" si="12"/>
        <v>0</v>
      </c>
      <c r="S41" s="1059"/>
      <c r="T41" s="1061">
        <f t="shared" si="11"/>
        <v>0</v>
      </c>
      <c r="U41" s="1062"/>
      <c r="V41" s="1577"/>
      <c r="W41" s="1576"/>
      <c r="X41" s="1576"/>
      <c r="Y41" s="1576"/>
      <c r="Z41" s="1576"/>
      <c r="AA41" s="1576"/>
      <c r="AB41" s="1576"/>
      <c r="AC41" s="1576"/>
      <c r="AD41" s="1576"/>
      <c r="AE41" s="1576"/>
      <c r="AF41" s="1576"/>
      <c r="AG41" s="1576"/>
      <c r="AH41" s="1576"/>
      <c r="AI41" s="1576"/>
      <c r="AJ41" s="1069"/>
      <c r="AK41" s="1124"/>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425</v>
      </c>
      <c r="B42" s="376"/>
      <c r="C42" s="376"/>
      <c r="D42" s="376"/>
      <c r="E42" s="377"/>
      <c r="F42" s="1049">
        <f>SUM(BF41:BF75)</f>
        <v>0.94337200608568694</v>
      </c>
      <c r="G42" s="1050"/>
      <c r="H42" s="1064">
        <f t="shared" si="1"/>
        <v>7.3843249568063651E-2</v>
      </c>
      <c r="I42" s="1065"/>
      <c r="J42" s="1059"/>
      <c r="K42" s="1059"/>
      <c r="L42" s="1060"/>
      <c r="M42" s="1059"/>
      <c r="N42" s="1054">
        <f t="shared" si="2"/>
        <v>23.608048718832833</v>
      </c>
      <c r="O42" s="1055"/>
      <c r="P42" s="1061">
        <f t="shared" si="10"/>
        <v>0</v>
      </c>
      <c r="Q42" s="1062"/>
      <c r="R42" s="1059">
        <f t="shared" si="12"/>
        <v>0</v>
      </c>
      <c r="S42" s="1059"/>
      <c r="T42" s="1061">
        <f t="shared" si="11"/>
        <v>0</v>
      </c>
      <c r="U42" s="1062"/>
      <c r="V42" s="1032"/>
      <c r="W42" s="1032"/>
      <c r="X42" s="1033"/>
      <c r="Y42" s="1033"/>
      <c r="Z42" s="1032"/>
      <c r="AA42" s="1032"/>
      <c r="AB42" s="1032"/>
      <c r="AC42" s="1032"/>
      <c r="AD42" s="1033"/>
      <c r="AE42" s="1033"/>
      <c r="AF42" s="1047"/>
      <c r="AG42" s="1047"/>
      <c r="AH42" s="1032"/>
      <c r="AI42" s="1032"/>
      <c r="AJ42" s="1048"/>
      <c r="AK42" s="105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2.5771128456488039</v>
      </c>
      <c r="K45" s="1070"/>
      <c r="L45" s="1060">
        <f>0.15*J45</f>
        <v>0.38656692684732058</v>
      </c>
      <c r="M45" s="1059"/>
      <c r="N45" s="1066">
        <f t="shared" si="2"/>
        <v>94.837752719875979</v>
      </c>
      <c r="O45" s="1067"/>
      <c r="P45" s="1061">
        <f t="shared" si="10"/>
        <v>2.6677885602713645E-2</v>
      </c>
      <c r="Q45" s="1062"/>
      <c r="R45" s="1059">
        <f>L45+SUMPRODUCT(R32:R44,$AS32:$AS44)</f>
        <v>0.38656692684732058</v>
      </c>
      <c r="S45" s="1059"/>
      <c r="T45" s="1071">
        <f>R45*$AR45</f>
        <v>12.370141659114259</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BF31</f>
        <v>1.4415226502516399E-10</v>
      </c>
      <c r="G46" s="1195"/>
      <c r="H46" s="1061">
        <f t="shared" si="1"/>
        <v>1.1283641674107487E-11</v>
      </c>
      <c r="I46" s="1062"/>
      <c r="J46" s="1059">
        <f>0.79/0.21*J45</f>
        <v>9.6948530860121682</v>
      </c>
      <c r="K46" s="1063"/>
      <c r="L46" s="1060">
        <f>0.71/0.29*L45</f>
        <v>0.94642247607447461</v>
      </c>
      <c r="M46" s="1059"/>
      <c r="N46" s="1066">
        <f>SUM(H46,J46,L46)*AR46</f>
        <v>297.9557157387419</v>
      </c>
      <c r="O46" s="1067"/>
      <c r="P46" s="1064">
        <f t="shared" si="10"/>
        <v>0.73437593020060532</v>
      </c>
      <c r="Q46" s="1065"/>
      <c r="R46" s="1064">
        <f>$H46+J46+L46-R49</f>
        <v>10.641227371460573</v>
      </c>
      <c r="S46" s="1065"/>
      <c r="T46" s="1066">
        <f>R46*$AR46</f>
        <v>297.95436640089605</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1.176573655766454E-6</v>
      </c>
      <c r="Q47" s="1062"/>
      <c r="R47" s="1059">
        <f>T47/$AR$47</f>
        <v>1.7048744757826353E-5</v>
      </c>
      <c r="S47" s="1059"/>
      <c r="T47" s="1064">
        <f>$AC17*$X25</f>
        <v>4.775353406667161E-4</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BF32</f>
        <v>1.04835044112351E-6</v>
      </c>
      <c r="G48" s="1195"/>
      <c r="H48" s="1061">
        <f t="shared" si="1"/>
        <v>8.2060526239148818E-8</v>
      </c>
      <c r="I48" s="1062"/>
      <c r="J48" s="1059"/>
      <c r="K48" s="1059"/>
      <c r="L48" s="1060"/>
      <c r="M48" s="1059"/>
      <c r="N48" s="1061">
        <f t="shared" si="2"/>
        <v>3.6114837597849392E-6</v>
      </c>
      <c r="O48" s="1062"/>
      <c r="P48" s="1064">
        <f t="shared" si="10"/>
        <v>0.11676935192729565</v>
      </c>
      <c r="Q48" s="1065"/>
      <c r="R48" s="1068">
        <f>SUMPRODUCT($H31:$H52,$AU31:$AU52)+$H48-R47-SUMPRODUCT(R32:R42,$AU32:$AU42)</f>
        <v>1.692007012725792</v>
      </c>
      <c r="S48" s="1059"/>
      <c r="T48" s="1066">
        <f>R48*$AR48</f>
        <v>74.4652286300621</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3.3257483275116941E-6</v>
      </c>
      <c r="Q49" s="1062"/>
      <c r="R49" s="1060">
        <f>T49/$AR49</f>
        <v>4.8190637353323064E-5</v>
      </c>
      <c r="S49" s="1063"/>
      <c r="T49" s="1064">
        <f>$W17*$X25</f>
        <v>2.2167693182528611E-3</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1.5719062744120606E-7</v>
      </c>
      <c r="Q51" s="1062"/>
      <c r="R51" s="1066">
        <f>T51/$AR51</f>
        <v>2.2777179077853233E-6</v>
      </c>
      <c r="S51" s="1067"/>
      <c r="T51" s="1060">
        <f>Q22*X25</f>
        <v>1.4577394609826069E-4</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193">
        <f>BF76</f>
        <v>1.4951987737782399E-3</v>
      </c>
      <c r="G52" s="1194"/>
      <c r="H52" s="1051">
        <f t="shared" si="1"/>
        <v>1.1703796115817825E-4</v>
      </c>
      <c r="I52" s="1052"/>
      <c r="J52" s="1032"/>
      <c r="K52" s="1032"/>
      <c r="L52" s="1053"/>
      <c r="M52" s="1032"/>
      <c r="N52" s="1054">
        <f t="shared" si="2"/>
        <v>2.1085559082257392E-3</v>
      </c>
      <c r="O52" s="1055"/>
      <c r="P52" s="1056">
        <f t="shared" si="10"/>
        <v>0.12217217275677476</v>
      </c>
      <c r="Q52" s="1057"/>
      <c r="R52" s="1044">
        <f>SUMPRODUCT(H31:H52,$AV31:$AV52)+H52-SUMPRODUCT(R32:R42,$AV32:$AV42)</f>
        <v>1.7702947704387191</v>
      </c>
      <c r="S52" s="1044"/>
      <c r="T52" s="1045">
        <f>R52*$AR52</f>
        <v>31.89363058422396</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0.99993636529826091</v>
      </c>
      <c r="G53" s="1038"/>
      <c r="H53" s="1039">
        <f>SUM(H31:H52)</f>
        <v>7.8270873100505331E-2</v>
      </c>
      <c r="I53" s="1040"/>
      <c r="J53" s="1041">
        <f>SUM(J31:J52)</f>
        <v>12.271965931660972</v>
      </c>
      <c r="K53" s="1041"/>
      <c r="L53" s="1042">
        <f>SUM(L31:L52)</f>
        <v>1.3329894029217952</v>
      </c>
      <c r="M53" s="1043"/>
      <c r="N53" s="1030">
        <f>SUM(N31:N52)</f>
        <v>416.68546692739903</v>
      </c>
      <c r="O53" s="1031"/>
      <c r="P53" s="1028">
        <f>SUM(P31:P52)</f>
        <v>1</v>
      </c>
      <c r="Q53" s="1029"/>
      <c r="R53" s="1030">
        <f>SUM(R31:R52)</f>
        <v>14.490163598572423</v>
      </c>
      <c r="S53" s="1031"/>
      <c r="T53" s="1030">
        <f>SUM(T31:T52)</f>
        <v>416.68620735290136</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6.1576925507023919E-4</v>
      </c>
      <c r="M55" s="1186"/>
      <c r="N55" s="1192">
        <f>W17*$X$25</f>
        <v>2.2167693182528611E-3</v>
      </c>
      <c r="O55" s="1192"/>
      <c r="P55" s="31" t="s">
        <v>617</v>
      </c>
      <c r="Q55" s="31"/>
      <c r="R55" s="1291">
        <f>N55*5*24/1000</f>
        <v>2.6601231819034331E-4</v>
      </c>
      <c r="S55" s="1291"/>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436">
        <f t="shared" ref="L56:L61" si="13">N56*1000/3600</f>
        <v>1.3264870574075446E-4</v>
      </c>
      <c r="M56" s="1437"/>
      <c r="N56" s="1192">
        <f>AC17*$X$25</f>
        <v>4.775353406667161E-4</v>
      </c>
      <c r="O56" s="1192"/>
      <c r="P56" s="31" t="s">
        <v>617</v>
      </c>
      <c r="Q56" s="31"/>
      <c r="R56" s="1291">
        <f t="shared" ref="R56:R61" si="14">N56*5*24/1000</f>
        <v>5.7304240880005936E-5</v>
      </c>
      <c r="S56" s="1291"/>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436">
        <f t="shared" si="13"/>
        <v>4.328536713645673E-5</v>
      </c>
      <c r="M57" s="1437"/>
      <c r="N57" s="1192">
        <f>AI17*$X$25</f>
        <v>1.5582732169124421E-4</v>
      </c>
      <c r="O57" s="1192"/>
      <c r="P57" s="31" t="s">
        <v>617</v>
      </c>
      <c r="Q57" s="31"/>
      <c r="R57" s="1291">
        <f t="shared" si="14"/>
        <v>1.869927860294931E-5</v>
      </c>
      <c r="S57" s="1291"/>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436">
        <f t="shared" si="13"/>
        <v>0</v>
      </c>
      <c r="M58" s="1437"/>
      <c r="N58" s="1191">
        <f>K22*$X$25</f>
        <v>0</v>
      </c>
      <c r="O58" s="1191"/>
      <c r="P58" s="31" t="s">
        <v>617</v>
      </c>
      <c r="Q58" s="31"/>
      <c r="R58" s="1291">
        <f t="shared" si="14"/>
        <v>0</v>
      </c>
      <c r="S58" s="1291"/>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436">
        <f t="shared" si="13"/>
        <v>0</v>
      </c>
      <c r="M59" s="1437"/>
      <c r="N59" s="1192">
        <f>X25*W22</f>
        <v>0</v>
      </c>
      <c r="O59" s="1192"/>
      <c r="P59" s="31" t="s">
        <v>617</v>
      </c>
      <c r="Q59" s="31"/>
      <c r="R59" s="1291">
        <f t="shared" si="14"/>
        <v>0</v>
      </c>
      <c r="S59" s="1291"/>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4.0492762805072415E-5</v>
      </c>
      <c r="M60" s="1186"/>
      <c r="N60" s="1191">
        <f>Q22*$X$25</f>
        <v>1.4577394609826069E-4</v>
      </c>
      <c r="O60" s="1191"/>
      <c r="P60" s="31" t="s">
        <v>617</v>
      </c>
      <c r="Q60" s="31"/>
      <c r="R60" s="1291">
        <f t="shared" si="14"/>
        <v>1.7492873531791285E-5</v>
      </c>
      <c r="S60" s="1291"/>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0</v>
      </c>
      <c r="M61" s="1186"/>
      <c r="N61" s="1191">
        <f>AC22*$X$25</f>
        <v>0</v>
      </c>
      <c r="O61" s="1191"/>
      <c r="P61" s="31" t="s">
        <v>617</v>
      </c>
      <c r="Q61" s="31"/>
      <c r="R61" s="1291">
        <f t="shared" si="14"/>
        <v>0</v>
      </c>
      <c r="S61" s="1291"/>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436">
        <f>O62*1000/3600</f>
        <v>20.092259837107658</v>
      </c>
      <c r="M62" s="1437"/>
      <c r="N62" s="31"/>
      <c r="O62" s="428">
        <f>'Diesel F'!I56*X25</f>
        <v>72.332135413587579</v>
      </c>
      <c r="P62" s="395" t="s">
        <v>617</v>
      </c>
      <c r="Q62" s="395"/>
      <c r="R62" s="1291">
        <f>O62*5*24/1000</f>
        <v>8.6798562496305092</v>
      </c>
      <c r="S62" s="1291"/>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680</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682</v>
      </c>
      <c r="B65" s="31" t="s">
        <v>689</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832</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232"/>
      <c r="B67" s="147"/>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2"/>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32"/>
      <c r="B68" s="147"/>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Qvo3oE3zEyM0Ek1KEK5USPEbRXu34Z0rqQeTIbAXd6EAVRPIikqXRWQG8IxvHrxt6EgeyhTmLbqfLqEJ27f+lw==" saltValue="SCX/qsot4Zx0SBz/JbC5nA==" spinCount="100000" sheet="1" objects="1" scenarios="1" selectLockedCells="1" selectUnlockedCells="1"/>
  <mergeCells count="459">
    <mergeCell ref="L62:M62"/>
    <mergeCell ref="R62:S62"/>
    <mergeCell ref="AE59:AF59"/>
    <mergeCell ref="L60:M60"/>
    <mergeCell ref="N60:O60"/>
    <mergeCell ref="R60:S60"/>
    <mergeCell ref="L61:M61"/>
    <mergeCell ref="N61:O61"/>
    <mergeCell ref="R61:S61"/>
    <mergeCell ref="AE57:AF57"/>
    <mergeCell ref="L58:M58"/>
    <mergeCell ref="N58:O58"/>
    <mergeCell ref="R58:S58"/>
    <mergeCell ref="L59:M59"/>
    <mergeCell ref="N59:O59"/>
    <mergeCell ref="R59:S59"/>
    <mergeCell ref="T59:U59"/>
    <mergeCell ref="Y59:Z59"/>
    <mergeCell ref="AC59:AD59"/>
    <mergeCell ref="L56:M56"/>
    <mergeCell ref="N56:O56"/>
    <mergeCell ref="R56:S56"/>
    <mergeCell ref="L57:M57"/>
    <mergeCell ref="N57:O57"/>
    <mergeCell ref="R57:S57"/>
    <mergeCell ref="T57:U57"/>
    <mergeCell ref="Y57:Z57"/>
    <mergeCell ref="AC57:AD57"/>
    <mergeCell ref="AF53:AG53"/>
    <mergeCell ref="AH53:AI53"/>
    <mergeCell ref="AJ53:AK53"/>
    <mergeCell ref="L54:M54"/>
    <mergeCell ref="L55:M55"/>
    <mergeCell ref="N55:O55"/>
    <mergeCell ref="R55:S55"/>
    <mergeCell ref="T55:U55"/>
    <mergeCell ref="Y55:Z55"/>
    <mergeCell ref="AC55:AD55"/>
    <mergeCell ref="T53:U53"/>
    <mergeCell ref="V53:W53"/>
    <mergeCell ref="X53:Y53"/>
    <mergeCell ref="Z53:AA53"/>
    <mergeCell ref="AB53:AC53"/>
    <mergeCell ref="AD53:AE53"/>
    <mergeCell ref="AE55:AF55"/>
    <mergeCell ref="A53:E53"/>
    <mergeCell ref="F53:G53"/>
    <mergeCell ref="H53:I53"/>
    <mergeCell ref="J53:K53"/>
    <mergeCell ref="L53:M53"/>
    <mergeCell ref="N53:O53"/>
    <mergeCell ref="P53:Q53"/>
    <mergeCell ref="R53:S53"/>
    <mergeCell ref="V52:W52"/>
    <mergeCell ref="AJ51:AK51"/>
    <mergeCell ref="F52:G52"/>
    <mergeCell ref="H52:I52"/>
    <mergeCell ref="J52:K52"/>
    <mergeCell ref="L52:M52"/>
    <mergeCell ref="N52:O52"/>
    <mergeCell ref="P52:Q52"/>
    <mergeCell ref="R52:S52"/>
    <mergeCell ref="T52:U52"/>
    <mergeCell ref="V51:W51"/>
    <mergeCell ref="X51:Y51"/>
    <mergeCell ref="Z51:AA51"/>
    <mergeCell ref="AB51:AC51"/>
    <mergeCell ref="AD51:AE51"/>
    <mergeCell ref="AF51:AG51"/>
    <mergeCell ref="AH52:AI52"/>
    <mergeCell ref="AJ52:AK52"/>
    <mergeCell ref="X52:Y52"/>
    <mergeCell ref="Z52:AA52"/>
    <mergeCell ref="AB52:AC52"/>
    <mergeCell ref="AD52:AE52"/>
    <mergeCell ref="AF52:AG52"/>
    <mergeCell ref="F51:G51"/>
    <mergeCell ref="H51:I51"/>
    <mergeCell ref="J51:K51"/>
    <mergeCell ref="L51:M51"/>
    <mergeCell ref="N51:O51"/>
    <mergeCell ref="P51:Q51"/>
    <mergeCell ref="R51:S51"/>
    <mergeCell ref="T51:U51"/>
    <mergeCell ref="V50:W50"/>
    <mergeCell ref="AH49:AI49"/>
    <mergeCell ref="J49:K49"/>
    <mergeCell ref="L49:M49"/>
    <mergeCell ref="N49:O49"/>
    <mergeCell ref="P49:Q49"/>
    <mergeCell ref="R49:S49"/>
    <mergeCell ref="T49:U49"/>
    <mergeCell ref="AH51:AI51"/>
    <mergeCell ref="AJ49:AK49"/>
    <mergeCell ref="F50:G50"/>
    <mergeCell ref="H50:I50"/>
    <mergeCell ref="J50:K50"/>
    <mergeCell ref="L50:M50"/>
    <mergeCell ref="N50:O50"/>
    <mergeCell ref="P50:Q50"/>
    <mergeCell ref="R50:S50"/>
    <mergeCell ref="T50:U50"/>
    <mergeCell ref="V49:W49"/>
    <mergeCell ref="X49:Y49"/>
    <mergeCell ref="Z49:AA49"/>
    <mergeCell ref="AB49:AC49"/>
    <mergeCell ref="AD49:AE49"/>
    <mergeCell ref="AF49:AG49"/>
    <mergeCell ref="AH50:AI50"/>
    <mergeCell ref="AJ50:AK50"/>
    <mergeCell ref="X50:Y50"/>
    <mergeCell ref="Z50:AA50"/>
    <mergeCell ref="AB50:AC50"/>
    <mergeCell ref="AD50:AE50"/>
    <mergeCell ref="AF50:AG50"/>
    <mergeCell ref="F49:G49"/>
    <mergeCell ref="H49:I49"/>
    <mergeCell ref="V48:W48"/>
    <mergeCell ref="AH47:AI47"/>
    <mergeCell ref="AJ47:AK47"/>
    <mergeCell ref="F48:G48"/>
    <mergeCell ref="H48:I48"/>
    <mergeCell ref="J48:K48"/>
    <mergeCell ref="L48:M48"/>
    <mergeCell ref="N48:O48"/>
    <mergeCell ref="P48:Q48"/>
    <mergeCell ref="R48:S48"/>
    <mergeCell ref="T48:U48"/>
    <mergeCell ref="V47:W47"/>
    <mergeCell ref="X47:Y47"/>
    <mergeCell ref="Z47:AA47"/>
    <mergeCell ref="AB47:AC47"/>
    <mergeCell ref="AD47:AE47"/>
    <mergeCell ref="AF47:AG47"/>
    <mergeCell ref="AH48:AI48"/>
    <mergeCell ref="AJ48:AK48"/>
    <mergeCell ref="X48:Y48"/>
    <mergeCell ref="Z48:AA48"/>
    <mergeCell ref="AB48:AC48"/>
    <mergeCell ref="AD48:AE48"/>
    <mergeCell ref="AF48:AG48"/>
    <mergeCell ref="F47:G47"/>
    <mergeCell ref="H47:I47"/>
    <mergeCell ref="J47:K47"/>
    <mergeCell ref="L47:M47"/>
    <mergeCell ref="N47:O47"/>
    <mergeCell ref="P47:Q47"/>
    <mergeCell ref="R47:S47"/>
    <mergeCell ref="T47:U47"/>
    <mergeCell ref="V46:W46"/>
    <mergeCell ref="AJ45:AK45"/>
    <mergeCell ref="F46:G46"/>
    <mergeCell ref="H46:I46"/>
    <mergeCell ref="J46:K46"/>
    <mergeCell ref="L46:M46"/>
    <mergeCell ref="N46:O46"/>
    <mergeCell ref="P46:Q46"/>
    <mergeCell ref="R46:S46"/>
    <mergeCell ref="T46:U46"/>
    <mergeCell ref="V45:W45"/>
    <mergeCell ref="X45:Y45"/>
    <mergeCell ref="Z45:AA45"/>
    <mergeCell ref="AB45:AC45"/>
    <mergeCell ref="AD45:AE45"/>
    <mergeCell ref="AF45:AG45"/>
    <mergeCell ref="AH46:AI46"/>
    <mergeCell ref="AJ46:AK46"/>
    <mergeCell ref="X46:Y46"/>
    <mergeCell ref="Z46:AA46"/>
    <mergeCell ref="AB46:AC46"/>
    <mergeCell ref="AD46:AE46"/>
    <mergeCell ref="AF46:AG46"/>
    <mergeCell ref="F45:G45"/>
    <mergeCell ref="H45:I45"/>
    <mergeCell ref="J45:K45"/>
    <mergeCell ref="L45:M45"/>
    <mergeCell ref="N45:O45"/>
    <mergeCell ref="P45:Q45"/>
    <mergeCell ref="R45:S45"/>
    <mergeCell ref="T45:U45"/>
    <mergeCell ref="V44:W44"/>
    <mergeCell ref="AH43:AI43"/>
    <mergeCell ref="J43:K43"/>
    <mergeCell ref="L43:M43"/>
    <mergeCell ref="N43:O43"/>
    <mergeCell ref="P43:Q43"/>
    <mergeCell ref="R43:S43"/>
    <mergeCell ref="T43:U43"/>
    <mergeCell ref="AH45:AI45"/>
    <mergeCell ref="AJ43:AK43"/>
    <mergeCell ref="F44:G44"/>
    <mergeCell ref="H44:I44"/>
    <mergeCell ref="J44:K44"/>
    <mergeCell ref="L44:M44"/>
    <mergeCell ref="N44:O44"/>
    <mergeCell ref="P44:Q44"/>
    <mergeCell ref="R44:S44"/>
    <mergeCell ref="T44:U44"/>
    <mergeCell ref="V43:W43"/>
    <mergeCell ref="X43:Y43"/>
    <mergeCell ref="Z43:AA43"/>
    <mergeCell ref="AB43:AC43"/>
    <mergeCell ref="AD43:AE43"/>
    <mergeCell ref="AF43:AG43"/>
    <mergeCell ref="AH44:AI44"/>
    <mergeCell ref="AJ44:AK44"/>
    <mergeCell ref="X44:Y44"/>
    <mergeCell ref="Z44:AA44"/>
    <mergeCell ref="AB44:AC44"/>
    <mergeCell ref="AD44:AE44"/>
    <mergeCell ref="AF44:AG44"/>
    <mergeCell ref="F43:G43"/>
    <mergeCell ref="H43:I43"/>
    <mergeCell ref="V42:W42"/>
    <mergeCell ref="T41:U41"/>
    <mergeCell ref="AJ41:AK41"/>
    <mergeCell ref="F42:G42"/>
    <mergeCell ref="H42:I42"/>
    <mergeCell ref="J42:K42"/>
    <mergeCell ref="L42:M42"/>
    <mergeCell ref="N42:O42"/>
    <mergeCell ref="P42:Q42"/>
    <mergeCell ref="R42:S42"/>
    <mergeCell ref="T42:U42"/>
    <mergeCell ref="AH42:AI42"/>
    <mergeCell ref="AJ42:AK42"/>
    <mergeCell ref="X42:Y42"/>
    <mergeCell ref="Z42:AA42"/>
    <mergeCell ref="AB42:AC42"/>
    <mergeCell ref="AD42:AE42"/>
    <mergeCell ref="AF42:AG42"/>
    <mergeCell ref="R40:S40"/>
    <mergeCell ref="T40:U40"/>
    <mergeCell ref="AJ40:AK40"/>
    <mergeCell ref="F41:G41"/>
    <mergeCell ref="H41:I41"/>
    <mergeCell ref="J41:K41"/>
    <mergeCell ref="L41:M41"/>
    <mergeCell ref="N41:O41"/>
    <mergeCell ref="P41:Q41"/>
    <mergeCell ref="R41:S41"/>
    <mergeCell ref="F40:G40"/>
    <mergeCell ref="H40:I40"/>
    <mergeCell ref="J40:K40"/>
    <mergeCell ref="L40:M40"/>
    <mergeCell ref="N40:O40"/>
    <mergeCell ref="P40:Q40"/>
    <mergeCell ref="V32:AI41"/>
    <mergeCell ref="F33:G33"/>
    <mergeCell ref="H33:I33"/>
    <mergeCell ref="J33:K33"/>
    <mergeCell ref="L33:M33"/>
    <mergeCell ref="N33:O33"/>
    <mergeCell ref="P33:Q33"/>
    <mergeCell ref="R33:S33"/>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F35:G35"/>
    <mergeCell ref="H35:I35"/>
    <mergeCell ref="J35:K35"/>
    <mergeCell ref="L35:M35"/>
    <mergeCell ref="N35:O35"/>
    <mergeCell ref="P35:Q35"/>
    <mergeCell ref="R35:S35"/>
    <mergeCell ref="T35:U35"/>
    <mergeCell ref="H34:I34"/>
    <mergeCell ref="J34:K34"/>
    <mergeCell ref="L34:M34"/>
    <mergeCell ref="N34:O34"/>
    <mergeCell ref="P34:Q34"/>
    <mergeCell ref="R34:S34"/>
    <mergeCell ref="F31:G31"/>
    <mergeCell ref="H31:I31"/>
    <mergeCell ref="J31:K31"/>
    <mergeCell ref="L31:M31"/>
    <mergeCell ref="N31:O31"/>
    <mergeCell ref="P31:Q31"/>
    <mergeCell ref="R31:S31"/>
    <mergeCell ref="T33:U33"/>
    <mergeCell ref="F34:G34"/>
    <mergeCell ref="T31:U31"/>
    <mergeCell ref="F32:G32"/>
    <mergeCell ref="H32:I32"/>
    <mergeCell ref="J32:K32"/>
    <mergeCell ref="L32:M32"/>
    <mergeCell ref="N32:O32"/>
    <mergeCell ref="P32:Q32"/>
    <mergeCell ref="R32:S32"/>
    <mergeCell ref="T32:U32"/>
    <mergeCell ref="T34:U34"/>
    <mergeCell ref="A30:E30"/>
    <mergeCell ref="F30:G30"/>
    <mergeCell ref="H30:I30"/>
    <mergeCell ref="J30:K30"/>
    <mergeCell ref="L30:M30"/>
    <mergeCell ref="N30:O30"/>
    <mergeCell ref="A27:E27"/>
    <mergeCell ref="F27:U27"/>
    <mergeCell ref="F28:I29"/>
    <mergeCell ref="J28:M28"/>
    <mergeCell ref="N28:O29"/>
    <mergeCell ref="P28:U29"/>
    <mergeCell ref="J29:K29"/>
    <mergeCell ref="L29:M29"/>
    <mergeCell ref="P30:Q30"/>
    <mergeCell ref="R30:S30"/>
    <mergeCell ref="T30:U30"/>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F31:U52">
    <cfRule type="expression" dxfId="137" priority="2">
      <formula>F31=0</formula>
    </cfRule>
  </conditionalFormatting>
  <conditionalFormatting sqref="R55:S62">
    <cfRule type="expression" dxfId="136" priority="1" stopIfTrue="1">
      <formula>R55=0</formula>
    </cfRule>
  </conditionalFormatting>
  <conditionalFormatting sqref="V31:AK31 AJ32:AK41 V42:AK52">
    <cfRule type="expression" dxfId="135" priority="4">
      <formula>V31=0</formula>
    </cfRule>
  </conditionalFormatting>
  <conditionalFormatting sqref="V53:AK53">
    <cfRule type="expression" dxfId="134" priority="5" stopIfTrue="1">
      <formula>V53=0</formula>
    </cfRule>
  </conditionalFormatting>
  <conditionalFormatting sqref="Y56:Y62 AC56:AD62 N57 N59">
    <cfRule type="expression" dxfId="133" priority="7" stopIfTrue="1">
      <formula>N56=0</formula>
    </cfRule>
  </conditionalFormatting>
  <pageMargins left="0.7" right="0.7" top="0.75" bottom="0.75" header="0.3" footer="0.3"/>
  <pageSetup paperSize="9" scale="61" orientation="portrait" r:id="rId1"/>
  <headerFooter>
    <oddFooter>&amp;C_x000D_&amp;1#&amp;"Calibri"&amp;10&amp;K000000 Internal</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54997-915C-4904-AE8B-BF0EBB8EBD03}">
  <sheetPr>
    <tabColor rgb="FFFFC000"/>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14" width="3.7109375" style="404"/>
    <col min="15" max="15" width="6.7109375" style="404" customWidth="1"/>
    <col min="16" max="18" width="3.7109375" style="404"/>
    <col min="19" max="19" width="5.42578125" style="404" bestFit="1" customWidth="1"/>
    <col min="20" max="23" width="3.7109375" style="404"/>
    <col min="24" max="24" width="6.28515625" style="404"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'Precom F P'!$AC$5</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
        <v>97</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145</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5.737756714060031E-17</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727</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'Diesel F'!G20</f>
        <v>44.890193469756099</v>
      </c>
      <c r="R16" s="1144"/>
      <c r="S16" s="1145"/>
      <c r="T16" s="1073">
        <f>'Diesel F'!E5</f>
        <v>76019.579999999987</v>
      </c>
      <c r="U16" s="1109"/>
      <c r="V16" s="1074"/>
      <c r="W16" s="1076" t="s">
        <v>604</v>
      </c>
      <c r="X16" s="1075"/>
      <c r="Y16" s="1077"/>
      <c r="Z16" s="1073">
        <f>'Diesel F'!E6</f>
        <v>16376.099999999999</v>
      </c>
      <c r="AA16" s="1109"/>
      <c r="AB16" s="1074"/>
      <c r="AC16" s="1076" t="s">
        <v>604</v>
      </c>
      <c r="AD16" s="1075"/>
      <c r="AE16" s="1077"/>
      <c r="AF16" s="1146">
        <f>'Diesel F'!E8</f>
        <v>5343.78</v>
      </c>
      <c r="AG16" s="1147"/>
      <c r="AH16" s="1148"/>
      <c r="AI16" s="1076" t="s">
        <v>604</v>
      </c>
      <c r="AJ16" s="1075"/>
      <c r="AK16" s="1077"/>
      <c r="AL16" s="303"/>
      <c r="AM16" s="303" t="s">
        <v>605</v>
      </c>
      <c r="AN16" s="303"/>
      <c r="AO16" s="303"/>
      <c r="AP16" s="351">
        <v>1020</v>
      </c>
      <c r="AQ16" s="352">
        <f>AP16/$AR$9/$AR$7 * ((AN18+273.15)/(AN19+273.15))</f>
        <v>37.956295834166582</v>
      </c>
      <c r="AR16" s="353">
        <f>AX4</f>
        <v>0.13333333333333333</v>
      </c>
      <c r="AS16" s="354">
        <f>AR16*$AR$6/1055.06</f>
        <v>5.7374304146999541E-5</v>
      </c>
      <c r="AT16" s="355">
        <f>AS16*$Q$16*1000000</f>
        <v>2575.543613351439</v>
      </c>
      <c r="AU16" s="356">
        <f>AX5</f>
        <v>3.3333333333333333E-2</v>
      </c>
      <c r="AV16" s="354">
        <f>AU16*$AR$6/1055.06</f>
        <v>1.4343576036749885E-5</v>
      </c>
      <c r="AW16" s="355">
        <f>AV16*$Q$16*1000000</f>
        <v>643.88590333785976</v>
      </c>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1">
        <v>305.24099999999999</v>
      </c>
      <c r="I17" s="1132"/>
      <c r="J17" s="1133"/>
      <c r="K17" s="1134">
        <v>832.5</v>
      </c>
      <c r="L17" s="1135"/>
      <c r="M17" s="1136"/>
      <c r="N17" s="1137">
        <v>42.59</v>
      </c>
      <c r="O17" s="1138"/>
      <c r="P17" s="1139"/>
      <c r="Q17" s="1137">
        <v>45.61</v>
      </c>
      <c r="R17" s="1138"/>
      <c r="S17" s="1139"/>
      <c r="T17" s="1066">
        <f>$Q$17/$Q$16*T16</f>
        <v>77238.5408883567</v>
      </c>
      <c r="U17" s="1110"/>
      <c r="V17" s="1067"/>
      <c r="W17" s="1114">
        <f>T17/1000000/K17</f>
        <v>9.2779028094122163E-5</v>
      </c>
      <c r="X17" s="1115"/>
      <c r="Y17" s="1116"/>
      <c r="Z17" s="1066">
        <f>$Q$17/$Q$16*Z16</f>
        <v>16638.6879464714</v>
      </c>
      <c r="AA17" s="1110"/>
      <c r="AB17" s="1067"/>
      <c r="AC17" s="1114">
        <f>Z17/1000000/K17</f>
        <v>1.9986411947713393E-5</v>
      </c>
      <c r="AD17" s="1115"/>
      <c r="AE17" s="1116"/>
      <c r="AF17" s="1066">
        <f>$Q$17/$Q$16*AF16</f>
        <v>5429.4665930590891</v>
      </c>
      <c r="AG17" s="1110"/>
      <c r="AH17" s="1067"/>
      <c r="AI17" s="1060">
        <f>AF17/1000000/K17</f>
        <v>6.5218817934643711E-6</v>
      </c>
      <c r="AJ17" s="1059"/>
      <c r="AK17" s="1063"/>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123"/>
      <c r="O18" s="1069"/>
      <c r="P18" s="1124"/>
      <c r="Q18" s="1125"/>
      <c r="R18" s="1126"/>
      <c r="S18" s="112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125</v>
      </c>
      <c r="AA19" s="1118"/>
      <c r="AB19" s="1119"/>
      <c r="AC19" s="1117" t="s">
        <v>125</v>
      </c>
      <c r="AD19" s="1118"/>
      <c r="AE19" s="1119"/>
      <c r="AF19" s="358" t="s">
        <v>728</v>
      </c>
      <c r="AG19" s="31"/>
      <c r="AH19" s="31"/>
      <c r="AI19" s="31"/>
      <c r="AJ19" s="31"/>
      <c r="AK19" s="226"/>
      <c r="AL19" s="303"/>
      <c r="AM19" s="24" t="s">
        <v>699</v>
      </c>
      <c r="AN19" s="24">
        <v>15.6</v>
      </c>
      <c r="AO19" s="23" t="s">
        <v>609</v>
      </c>
      <c r="AP19" s="303"/>
      <c r="AQ19" s="303"/>
      <c r="AR19" s="356">
        <f>AX6</f>
        <v>4.6666666666666669E-2</v>
      </c>
      <c r="AS19" s="354">
        <f>AR19*$AR$6/1055.06</f>
        <v>2.0081006451449841E-5</v>
      </c>
      <c r="AT19" s="355">
        <f>AS19*$Q$16*1000000</f>
        <v>901.44026467300375</v>
      </c>
      <c r="AU19" s="351">
        <v>0.37446000000000002</v>
      </c>
      <c r="AV19" s="354">
        <f>AU19*$AR$6/1055.06</f>
        <v>1.6113286448164087E-4</v>
      </c>
      <c r="AW19" s="355">
        <f>AV19*$Q$16*1000000</f>
        <v>7233.2854609168498</v>
      </c>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c r="I21" s="1109"/>
      <c r="J21" s="1074"/>
      <c r="K21" s="1076" t="s">
        <v>604</v>
      </c>
      <c r="L21" s="1075"/>
      <c r="M21" s="1077"/>
      <c r="N21" s="1073">
        <f>'Diesel F'!E7</f>
        <v>4999.0199999999986</v>
      </c>
      <c r="O21" s="1109"/>
      <c r="P21" s="1074"/>
      <c r="Q21" s="1076" t="s">
        <v>604</v>
      </c>
      <c r="R21" s="1075"/>
      <c r="S21" s="1077"/>
      <c r="T21" s="1073"/>
      <c r="U21" s="1109"/>
      <c r="V21" s="1074"/>
      <c r="W21" s="1214" t="s">
        <v>604</v>
      </c>
      <c r="X21" s="1215"/>
      <c r="Y21" s="1216"/>
      <c r="Z21" s="1073"/>
      <c r="AA21" s="1109"/>
      <c r="AB21" s="1074"/>
      <c r="AC21" s="1076" t="s">
        <v>604</v>
      </c>
      <c r="AD21" s="1075"/>
      <c r="AE21" s="1077"/>
      <c r="AF21" s="300"/>
      <c r="AG21" s="31"/>
      <c r="AH21" s="302"/>
      <c r="AI21" s="31"/>
      <c r="AJ21" s="31"/>
      <c r="AK21" s="32"/>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6"/>
      <c r="I22" s="1110"/>
      <c r="J22" s="1067"/>
      <c r="K22" s="1114"/>
      <c r="L22" s="1115"/>
      <c r="M22" s="1116"/>
      <c r="N22" s="1066">
        <f>$Q$17/$Q$16*N21</f>
        <v>5079.1784257649533</v>
      </c>
      <c r="O22" s="1110"/>
      <c r="P22" s="1067"/>
      <c r="Q22" s="1114">
        <f>N22/1000000/K17</f>
        <v>6.1011152261440878E-6</v>
      </c>
      <c r="R22" s="1115"/>
      <c r="S22" s="1116"/>
      <c r="T22" s="1099"/>
      <c r="U22" s="1048"/>
      <c r="V22" s="1058"/>
      <c r="W22" s="1211"/>
      <c r="X22" s="1212"/>
      <c r="Y22" s="1213"/>
      <c r="Z22" s="1066"/>
      <c r="AA22" s="1110"/>
      <c r="AB22" s="1067"/>
      <c r="AC22" s="1114"/>
      <c r="AD22" s="1115"/>
      <c r="AE22" s="1116"/>
      <c r="AF22" s="31"/>
      <c r="AG22" s="31"/>
      <c r="AH22" s="31"/>
      <c r="AI22" s="31"/>
      <c r="AJ22" s="31"/>
      <c r="AK22" s="32"/>
      <c r="AL22" s="303"/>
      <c r="AM22" s="303"/>
      <c r="AN22" s="303"/>
      <c r="AO22" s="303"/>
      <c r="AP22" s="303"/>
      <c r="AQ22" s="303"/>
      <c r="AR22" s="356">
        <f>AX8</f>
        <v>6.9333333333333339E-3</v>
      </c>
      <c r="AS22" s="354">
        <f>AR22*$AR$6/1055.06</f>
        <v>2.9834638156439767E-6</v>
      </c>
      <c r="AT22" s="355">
        <f>AS22*$Q$16*1000000</f>
        <v>133.92826789427485</v>
      </c>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045"/>
      <c r="I23" s="1033"/>
      <c r="J23" s="1046"/>
      <c r="K23" s="1089"/>
      <c r="L23" s="1090"/>
      <c r="M23" s="1091"/>
      <c r="N23" s="1045"/>
      <c r="O23" s="1033"/>
      <c r="P23" s="1046"/>
      <c r="Q23" s="1096"/>
      <c r="R23" s="1097"/>
      <c r="S23" s="1098"/>
      <c r="T23" s="1099"/>
      <c r="U23" s="1048"/>
      <c r="V23" s="1058"/>
      <c r="W23" s="1096"/>
      <c r="X23" s="1097"/>
      <c r="Y23" s="1098"/>
      <c r="Z23" s="1086"/>
      <c r="AA23" s="1087"/>
      <c r="AB23" s="1088"/>
      <c r="AC23" s="1089"/>
      <c r="AD23" s="1090"/>
      <c r="AE23" s="1091"/>
      <c r="AF23" s="31"/>
      <c r="AG23" s="31"/>
      <c r="AH23" s="31"/>
      <c r="AI23" s="31"/>
      <c r="AJ23" s="31"/>
      <c r="AK23" s="32"/>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c r="I25" s="31" t="s">
        <v>590</v>
      </c>
      <c r="J25" s="31"/>
      <c r="K25" s="31"/>
      <c r="L25" s="31" t="s">
        <v>615</v>
      </c>
      <c r="M25" s="31"/>
      <c r="N25" s="31"/>
      <c r="O25" s="31"/>
      <c r="P25" s="31"/>
      <c r="Q25" s="31"/>
      <c r="R25" s="31"/>
      <c r="S25" s="32" t="s">
        <v>616</v>
      </c>
      <c r="T25" s="1092" t="str">
        <f>A17</f>
        <v>Diesel</v>
      </c>
      <c r="U25" s="1093"/>
      <c r="V25" s="1093"/>
      <c r="W25" s="1093"/>
      <c r="X25" s="1094">
        <v>2046.2850000000001</v>
      </c>
      <c r="Y25" s="1094"/>
      <c r="Z25" s="1094"/>
      <c r="AA25" s="1093" t="s">
        <v>617</v>
      </c>
      <c r="AB25" s="1093"/>
      <c r="AC25" s="1095">
        <f>X25/H17</f>
        <v>6.7038340196762567</v>
      </c>
      <c r="AD25" s="1095"/>
      <c r="AE25" s="1093" t="s">
        <v>618</v>
      </c>
      <c r="AF25" s="1093"/>
      <c r="AG25" s="1093"/>
      <c r="AH25" s="1198">
        <f>X25*N17/3600</f>
        <v>24.208688375000005</v>
      </c>
      <c r="AI25" s="1198"/>
      <c r="AJ25" s="361" t="s">
        <v>590</v>
      </c>
      <c r="AK25" s="362"/>
      <c r="AL25" s="303"/>
      <c r="AM25" s="363">
        <f>X25*W22</f>
        <v>0</v>
      </c>
      <c r="AN25" s="303"/>
      <c r="AO25" s="303"/>
      <c r="AP25" s="303"/>
      <c r="AQ25" s="303"/>
      <c r="AR25" s="351">
        <f>AX7</f>
        <v>0.01</v>
      </c>
      <c r="AS25" s="354">
        <f>AR25*$AR$6/1055.06</f>
        <v>4.3030728110249664E-6</v>
      </c>
      <c r="AT25" s="355">
        <f>AS25*$Q$16*1000000</f>
        <v>193.16577100135797</v>
      </c>
      <c r="AU25" s="356">
        <f>AX9</f>
        <v>3.5333333333333336E-3</v>
      </c>
      <c r="AV25" s="354">
        <f>AU25*$AR$6/1055.06</f>
        <v>1.5204190598954882E-6</v>
      </c>
      <c r="AW25" s="355">
        <f>AV25*$Q$16*1000000</f>
        <v>68.251905753813148</v>
      </c>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0</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c r="B27" s="1081"/>
      <c r="C27" s="1081"/>
      <c r="D27" s="1081"/>
      <c r="E27" s="1081"/>
      <c r="F27" s="1042" t="str">
        <f>A17</f>
        <v>Diesel</v>
      </c>
      <c r="G27" s="1043"/>
      <c r="H27" s="1043"/>
      <c r="I27" s="1043"/>
      <c r="J27" s="1043"/>
      <c r="K27" s="1043"/>
      <c r="L27" s="1043"/>
      <c r="M27" s="1043"/>
      <c r="N27" s="1043"/>
      <c r="O27" s="1043"/>
      <c r="P27" s="1043"/>
      <c r="Q27" s="1043"/>
      <c r="R27" s="1043"/>
      <c r="S27" s="1043"/>
      <c r="T27" s="1043"/>
      <c r="U27" s="1080"/>
      <c r="V27" s="31"/>
      <c r="W27" s="31"/>
      <c r="X27" s="426">
        <f>AH25</f>
        <v>24.208688375000005</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29">
        <v>144</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29">
        <f>X27*X28</f>
        <v>3486.0511260000007</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29">
        <f>X29*3600/1000</f>
        <v>12549.784053600002</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196">
        <v>0</v>
      </c>
      <c r="G31" s="1197"/>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BF33</f>
        <v>3.7672634101823899E-6</v>
      </c>
      <c r="G32" s="1195"/>
      <c r="H32" s="1051">
        <f>F32*$AC$25</f>
        <v>2.5255108610262292E-5</v>
      </c>
      <c r="I32" s="1052"/>
      <c r="J32" s="1059"/>
      <c r="K32" s="1059"/>
      <c r="L32" s="1060"/>
      <c r="M32" s="1059"/>
      <c r="N32" s="1054">
        <f t="shared" si="2"/>
        <v>4.0514245232582772E-4</v>
      </c>
      <c r="O32" s="1055"/>
      <c r="P32" s="1061">
        <f>R32/$R$53</f>
        <v>0</v>
      </c>
      <c r="Q32" s="1062"/>
      <c r="R32" s="1060">
        <f>T32/$AR32</f>
        <v>0</v>
      </c>
      <c r="S32" s="1059"/>
      <c r="T32" s="1064">
        <f>$K$22*$X$25</f>
        <v>0</v>
      </c>
      <c r="U32" s="1065"/>
      <c r="V32" s="1241" t="s">
        <v>837</v>
      </c>
      <c r="W32" s="1576"/>
      <c r="X32" s="1576"/>
      <c r="Y32" s="1576"/>
      <c r="Z32" s="1576"/>
      <c r="AA32" s="1576"/>
      <c r="AB32" s="1576"/>
      <c r="AC32" s="1576"/>
      <c r="AD32" s="1576"/>
      <c r="AE32" s="1576"/>
      <c r="AF32" s="1576"/>
      <c r="AG32" s="1576"/>
      <c r="AH32" s="1576"/>
      <c r="AI32" s="1576"/>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1577"/>
      <c r="W33" s="1576"/>
      <c r="X33" s="1576"/>
      <c r="Y33" s="1576"/>
      <c r="Z33" s="1576"/>
      <c r="AA33" s="1576"/>
      <c r="AB33" s="1576"/>
      <c r="AC33" s="1576"/>
      <c r="AD33" s="1576"/>
      <c r="AE33" s="1576"/>
      <c r="AF33" s="1576"/>
      <c r="AG33" s="1576"/>
      <c r="AH33" s="1576"/>
      <c r="AI33" s="1576"/>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BF34</f>
        <v>2.32021919756754E-4</v>
      </c>
      <c r="G34" s="1050"/>
      <c r="H34" s="1051">
        <f t="shared" si="1"/>
        <v>1.5554364389759221E-3</v>
      </c>
      <c r="I34" s="1052"/>
      <c r="J34" s="1059"/>
      <c r="K34" s="1059"/>
      <c r="L34" s="1060"/>
      <c r="M34" s="1059"/>
      <c r="N34" s="1054">
        <f t="shared" si="2"/>
        <v>4.6768862847128022E-2</v>
      </c>
      <c r="O34" s="1055"/>
      <c r="P34" s="1061">
        <f t="shared" si="10"/>
        <v>0</v>
      </c>
      <c r="Q34" s="1062"/>
      <c r="R34" s="1059">
        <f>T34/$AR34</f>
        <v>0</v>
      </c>
      <c r="S34" s="1059"/>
      <c r="T34" s="1061">
        <f t="shared" si="11"/>
        <v>0</v>
      </c>
      <c r="U34" s="1062"/>
      <c r="V34" s="1577"/>
      <c r="W34" s="1576"/>
      <c r="X34" s="1576"/>
      <c r="Y34" s="1576"/>
      <c r="Z34" s="1576"/>
      <c r="AA34" s="1576"/>
      <c r="AB34" s="1576"/>
      <c r="AC34" s="1576"/>
      <c r="AD34" s="1576"/>
      <c r="AE34" s="1576"/>
      <c r="AF34" s="1576"/>
      <c r="AG34" s="1576"/>
      <c r="AH34" s="1576"/>
      <c r="AI34" s="1576"/>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1577"/>
      <c r="W35" s="1576"/>
      <c r="X35" s="1576"/>
      <c r="Y35" s="1576"/>
      <c r="Z35" s="1576"/>
      <c r="AA35" s="1576"/>
      <c r="AB35" s="1576"/>
      <c r="AC35" s="1576"/>
      <c r="AD35" s="1576"/>
      <c r="AE35" s="1576"/>
      <c r="AF35" s="1576"/>
      <c r="AG35" s="1576"/>
      <c r="AH35" s="1576"/>
      <c r="AI35" s="1576"/>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BF35</f>
        <v>4.1140406723645098E-3</v>
      </c>
      <c r="G36" s="1050"/>
      <c r="H36" s="1051">
        <f t="shared" si="1"/>
        <v>2.757984581772898E-2</v>
      </c>
      <c r="I36" s="1052"/>
      <c r="J36" s="1059"/>
      <c r="K36" s="1059"/>
      <c r="L36" s="1060"/>
      <c r="M36" s="1059"/>
      <c r="N36" s="1054">
        <f t="shared" si="2"/>
        <v>1.2161057214869417</v>
      </c>
      <c r="O36" s="1055"/>
      <c r="P36" s="1061">
        <f t="shared" si="10"/>
        <v>0</v>
      </c>
      <c r="Q36" s="1062"/>
      <c r="R36" s="1059">
        <f t="shared" si="12"/>
        <v>0</v>
      </c>
      <c r="S36" s="1059"/>
      <c r="T36" s="1061">
        <f t="shared" si="11"/>
        <v>0</v>
      </c>
      <c r="U36" s="1062"/>
      <c r="V36" s="1577"/>
      <c r="W36" s="1576"/>
      <c r="X36" s="1576"/>
      <c r="Y36" s="1576"/>
      <c r="Z36" s="1576"/>
      <c r="AA36" s="1576"/>
      <c r="AB36" s="1576"/>
      <c r="AC36" s="1576"/>
      <c r="AD36" s="1576"/>
      <c r="AE36" s="1576"/>
      <c r="AF36" s="1576"/>
      <c r="AG36" s="1576"/>
      <c r="AH36" s="1576"/>
      <c r="AI36" s="1576"/>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1577"/>
      <c r="W37" s="1576"/>
      <c r="X37" s="1576"/>
      <c r="Y37" s="1576"/>
      <c r="Z37" s="1576"/>
      <c r="AA37" s="1576"/>
      <c r="AB37" s="1576"/>
      <c r="AC37" s="1576"/>
      <c r="AD37" s="1576"/>
      <c r="AE37" s="1576"/>
      <c r="AF37" s="1576"/>
      <c r="AG37" s="1576"/>
      <c r="AH37" s="1576"/>
      <c r="AI37" s="1576"/>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BF36</f>
        <v>4.2987554978870402E-3</v>
      </c>
      <c r="G38" s="1050"/>
      <c r="H38" s="1051">
        <f t="shared" si="1"/>
        <v>2.8818143349005485E-2</v>
      </c>
      <c r="I38" s="1052"/>
      <c r="J38" s="1059"/>
      <c r="K38" s="1059"/>
      <c r="L38" s="1060"/>
      <c r="M38" s="1059"/>
      <c r="N38" s="1054">
        <f t="shared" si="2"/>
        <v>1.6749104914441988</v>
      </c>
      <c r="O38" s="1055"/>
      <c r="P38" s="1061">
        <f t="shared" si="10"/>
        <v>0</v>
      </c>
      <c r="Q38" s="1062"/>
      <c r="R38" s="1059">
        <f t="shared" si="12"/>
        <v>0</v>
      </c>
      <c r="S38" s="1059"/>
      <c r="T38" s="1061">
        <f t="shared" si="11"/>
        <v>0</v>
      </c>
      <c r="U38" s="1062"/>
      <c r="V38" s="1577"/>
      <c r="W38" s="1576"/>
      <c r="X38" s="1576"/>
      <c r="Y38" s="1576"/>
      <c r="Z38" s="1576"/>
      <c r="AA38" s="1576"/>
      <c r="AB38" s="1576"/>
      <c r="AC38" s="1576"/>
      <c r="AD38" s="1576"/>
      <c r="AE38" s="1576"/>
      <c r="AF38" s="1576"/>
      <c r="AG38" s="1576"/>
      <c r="AH38" s="1576"/>
      <c r="AI38" s="1576"/>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f>BF37</f>
        <v>1.33109664079022E-2</v>
      </c>
      <c r="G39" s="1050"/>
      <c r="H39" s="1051">
        <f t="shared" si="1"/>
        <v>8.9234509440062629E-2</v>
      </c>
      <c r="I39" s="1052"/>
      <c r="J39" s="1059"/>
      <c r="K39" s="1059"/>
      <c r="L39" s="1060"/>
      <c r="M39" s="1059"/>
      <c r="N39" s="1054">
        <f t="shared" si="2"/>
        <v>5.1863096886564399</v>
      </c>
      <c r="O39" s="1055"/>
      <c r="P39" s="1061">
        <f t="shared" si="10"/>
        <v>0</v>
      </c>
      <c r="Q39" s="1062"/>
      <c r="R39" s="1059">
        <f t="shared" si="12"/>
        <v>0</v>
      </c>
      <c r="S39" s="1059"/>
      <c r="T39" s="1061">
        <f t="shared" si="11"/>
        <v>0</v>
      </c>
      <c r="U39" s="1062"/>
      <c r="V39" s="1577"/>
      <c r="W39" s="1576"/>
      <c r="X39" s="1576"/>
      <c r="Y39" s="1576"/>
      <c r="Z39" s="1576"/>
      <c r="AA39" s="1576"/>
      <c r="AB39" s="1576"/>
      <c r="AC39" s="1576"/>
      <c r="AD39" s="1576"/>
      <c r="AE39" s="1576"/>
      <c r="AF39" s="1576"/>
      <c r="AG39" s="1576"/>
      <c r="AH39" s="1576"/>
      <c r="AI39" s="1576"/>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BF38</f>
        <v>1.4450640107125301E-2</v>
      </c>
      <c r="G40" s="1050"/>
      <c r="H40" s="1051">
        <f t="shared" si="1"/>
        <v>9.6874692756244732E-2</v>
      </c>
      <c r="I40" s="1052"/>
      <c r="J40" s="1059"/>
      <c r="K40" s="1059"/>
      <c r="L40" s="1060"/>
      <c r="M40" s="1059"/>
      <c r="N40" s="1054">
        <f t="shared" si="2"/>
        <v>6.9891215835920324</v>
      </c>
      <c r="O40" s="1055"/>
      <c r="P40" s="1061">
        <f t="shared" si="10"/>
        <v>0</v>
      </c>
      <c r="Q40" s="1062"/>
      <c r="R40" s="1059">
        <f t="shared" si="12"/>
        <v>0</v>
      </c>
      <c r="S40" s="1059"/>
      <c r="T40" s="1061">
        <f t="shared" si="11"/>
        <v>0</v>
      </c>
      <c r="U40" s="1062"/>
      <c r="V40" s="1577"/>
      <c r="W40" s="1576"/>
      <c r="X40" s="1576"/>
      <c r="Y40" s="1576"/>
      <c r="Z40" s="1576"/>
      <c r="AA40" s="1576"/>
      <c r="AB40" s="1576"/>
      <c r="AC40" s="1576"/>
      <c r="AD40" s="1576"/>
      <c r="AE40" s="1576"/>
      <c r="AF40" s="1576"/>
      <c r="AG40" s="1576"/>
      <c r="AH40" s="1576"/>
      <c r="AI40" s="1576"/>
      <c r="AJ40" s="1069"/>
      <c r="AK40" s="1124"/>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BF40</f>
        <v>1.8657920075756399E-2</v>
      </c>
      <c r="G41" s="1050"/>
      <c r="H41" s="1051">
        <f t="shared" si="1"/>
        <v>0.12507959934025634</v>
      </c>
      <c r="I41" s="1052"/>
      <c r="J41" s="1059"/>
      <c r="K41" s="1059"/>
      <c r="L41" s="1060"/>
      <c r="M41" s="1059"/>
      <c r="N41" s="1054">
        <f t="shared" si="2"/>
        <v>9.0239927740021333</v>
      </c>
      <c r="O41" s="1055"/>
      <c r="P41" s="1061">
        <f t="shared" si="10"/>
        <v>0</v>
      </c>
      <c r="Q41" s="1062"/>
      <c r="R41" s="1059">
        <f t="shared" si="12"/>
        <v>0</v>
      </c>
      <c r="S41" s="1059"/>
      <c r="T41" s="1061">
        <f t="shared" si="11"/>
        <v>0</v>
      </c>
      <c r="U41" s="1062"/>
      <c r="V41" s="1577"/>
      <c r="W41" s="1576"/>
      <c r="X41" s="1576"/>
      <c r="Y41" s="1576"/>
      <c r="Z41" s="1576"/>
      <c r="AA41" s="1576"/>
      <c r="AB41" s="1576"/>
      <c r="AC41" s="1576"/>
      <c r="AD41" s="1576"/>
      <c r="AE41" s="1576"/>
      <c r="AF41" s="1576"/>
      <c r="AG41" s="1576"/>
      <c r="AH41" s="1576"/>
      <c r="AI41" s="1576"/>
      <c r="AJ41" s="1069"/>
      <c r="AK41" s="1124"/>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425</v>
      </c>
      <c r="B42" s="376"/>
      <c r="C42" s="376"/>
      <c r="D42" s="376"/>
      <c r="E42" s="377"/>
      <c r="F42" s="1049">
        <f>SUM(BF41:BF75)</f>
        <v>0.94337200608568694</v>
      </c>
      <c r="G42" s="1050"/>
      <c r="H42" s="1064">
        <f t="shared" si="1"/>
        <v>6.3242093476074652</v>
      </c>
      <c r="I42" s="1065"/>
      <c r="J42" s="1059"/>
      <c r="K42" s="1059"/>
      <c r="L42" s="1060"/>
      <c r="M42" s="1059"/>
      <c r="N42" s="1054">
        <f t="shared" si="2"/>
        <v>2021.8807170559101</v>
      </c>
      <c r="O42" s="1055"/>
      <c r="P42" s="1061">
        <f t="shared" si="10"/>
        <v>0</v>
      </c>
      <c r="Q42" s="1062"/>
      <c r="R42" s="1059">
        <f t="shared" si="12"/>
        <v>0</v>
      </c>
      <c r="S42" s="1059"/>
      <c r="T42" s="1061">
        <f t="shared" si="11"/>
        <v>0</v>
      </c>
      <c r="U42" s="1062"/>
      <c r="V42" s="1032"/>
      <c r="W42" s="1032"/>
      <c r="X42" s="1033"/>
      <c r="Y42" s="1033"/>
      <c r="Z42" s="1032"/>
      <c r="AA42" s="1032"/>
      <c r="AB42" s="1032"/>
      <c r="AC42" s="1032"/>
      <c r="AD42" s="1033"/>
      <c r="AE42" s="1033"/>
      <c r="AF42" s="1047"/>
      <c r="AG42" s="1047"/>
      <c r="AH42" s="1032"/>
      <c r="AI42" s="1032"/>
      <c r="AJ42" s="1048"/>
      <c r="AK42" s="105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220.71348760551058</v>
      </c>
      <c r="K45" s="1070"/>
      <c r="L45" s="1060">
        <f>0.15*J45</f>
        <v>33.107023140826584</v>
      </c>
      <c r="M45" s="1059"/>
      <c r="N45" s="1066">
        <f t="shared" si="2"/>
        <v>8122.2563438827892</v>
      </c>
      <c r="O45" s="1067"/>
      <c r="P45" s="1061">
        <f t="shared" si="10"/>
        <v>2.6677885602713641E-2</v>
      </c>
      <c r="Q45" s="1062"/>
      <c r="R45" s="1059">
        <f>L45+SUMPRODUCT(R32:R44,$AS32:$AS44)</f>
        <v>33.107023140826584</v>
      </c>
      <c r="S45" s="1059"/>
      <c r="T45" s="1071">
        <f>R45*$AR45</f>
        <v>1059.4247405064507</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BF31</f>
        <v>1.4415226502516399E-10</v>
      </c>
      <c r="G46" s="1195"/>
      <c r="H46" s="1061">
        <f t="shared" si="1"/>
        <v>9.6637285828908213E-10</v>
      </c>
      <c r="I46" s="1062"/>
      <c r="J46" s="1059">
        <f>0.79/0.21*J45</f>
        <v>830.30312003977804</v>
      </c>
      <c r="K46" s="1063"/>
      <c r="L46" s="1060">
        <f>0.71/0.29*L45</f>
        <v>81.055125620644404</v>
      </c>
      <c r="M46" s="1059"/>
      <c r="N46" s="1066">
        <f>SUM(H46,J46,L46)*AR46</f>
        <v>25518.030878518886</v>
      </c>
      <c r="O46" s="1067"/>
      <c r="P46" s="1064">
        <f t="shared" si="10"/>
        <v>0.73437593020060521</v>
      </c>
      <c r="Q46" s="1065"/>
      <c r="R46" s="1064">
        <f>$H46+J46+L46-R49</f>
        <v>911.3541184367474</v>
      </c>
      <c r="S46" s="1065"/>
      <c r="T46" s="1066">
        <f>R46*$AR46</f>
        <v>25517.915316228926</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1.1765736557664538E-6</v>
      </c>
      <c r="Q47" s="1062"/>
      <c r="R47" s="1059">
        <f>T47/$AR$47</f>
        <v>1.4601176355739632E-3</v>
      </c>
      <c r="S47" s="1059"/>
      <c r="T47" s="1064">
        <f>$AC17*$X25</f>
        <v>4.0897894972426706E-2</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BF32</f>
        <v>1.04835044112351E-6</v>
      </c>
      <c r="G48" s="1195"/>
      <c r="H48" s="1061">
        <f t="shared" si="1"/>
        <v>7.0279673517463971E-6</v>
      </c>
      <c r="I48" s="1062"/>
      <c r="J48" s="1059"/>
      <c r="K48" s="1059"/>
      <c r="L48" s="1060"/>
      <c r="M48" s="1059"/>
      <c r="N48" s="1061">
        <f t="shared" si="2"/>
        <v>3.0930084315035892E-4</v>
      </c>
      <c r="O48" s="1062"/>
      <c r="P48" s="1064">
        <f t="shared" si="10"/>
        <v>0.11676935192729561</v>
      </c>
      <c r="Q48" s="1065"/>
      <c r="R48" s="1068">
        <f>SUMPRODUCT($H31:$H52,$AU31:$AU52)+$H48-R47-SUMPRODUCT(R32:R42,$AU32:$AU42)</f>
        <v>144.90974637071935</v>
      </c>
      <c r="S48" s="1059"/>
      <c r="T48" s="1066">
        <f>R48*$AR48</f>
        <v>6377.4779377753584</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3.3257483275116929E-6</v>
      </c>
      <c r="Q49" s="1062"/>
      <c r="R49" s="1060">
        <f>T49/$AR49</f>
        <v>4.1272246413821909E-3</v>
      </c>
      <c r="S49" s="1063"/>
      <c r="T49" s="1064">
        <f>$W17*$X25</f>
        <v>0.18985233350358077</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1.5719062744120598E-7</v>
      </c>
      <c r="Q51" s="1062"/>
      <c r="R51" s="1066">
        <f>T51/$AR51</f>
        <v>1.9507219641453524E-4</v>
      </c>
      <c r="S51" s="1067"/>
      <c r="T51" s="1060">
        <f>Q22*X25</f>
        <v>1.2484620570530255E-2</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193">
        <f>BF76</f>
        <v>1.4951987737782399E-3</v>
      </c>
      <c r="G52" s="1194"/>
      <c r="H52" s="1051">
        <f t="shared" si="1"/>
        <v>1.0023564405832788E-2</v>
      </c>
      <c r="I52" s="1052"/>
      <c r="J52" s="1032"/>
      <c r="K52" s="1032"/>
      <c r="L52" s="1053"/>
      <c r="M52" s="1032"/>
      <c r="N52" s="1054">
        <f t="shared" si="2"/>
        <v>0.18058453633548349</v>
      </c>
      <c r="O52" s="1055"/>
      <c r="P52" s="1056">
        <f t="shared" si="10"/>
        <v>0.12217217275677475</v>
      </c>
      <c r="Q52" s="1057"/>
      <c r="R52" s="1044">
        <f>SUMPRODUCT(H31:H52,$AV31:$AV52)+H52-SUMPRODUCT(R32:R42,$AV32:$AV42)</f>
        <v>151.6145998546518</v>
      </c>
      <c r="S52" s="1044"/>
      <c r="T52" s="1045">
        <f>R52*$AR52</f>
        <v>2731.4886309814065</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0.99993636529826091</v>
      </c>
      <c r="G53" s="1038"/>
      <c r="H53" s="1039">
        <f>SUM(H31:H52)</f>
        <v>6.7034074231979073</v>
      </c>
      <c r="I53" s="1040"/>
      <c r="J53" s="1041">
        <f>SUM(J31:J52)</f>
        <v>1051.0166076452886</v>
      </c>
      <c r="K53" s="1041"/>
      <c r="L53" s="1042">
        <f>SUM(L31:L52)</f>
        <v>114.16214876147099</v>
      </c>
      <c r="M53" s="1043"/>
      <c r="N53" s="1030">
        <f>SUM(N31:N52)</f>
        <v>35686.48644755924</v>
      </c>
      <c r="O53" s="1031"/>
      <c r="P53" s="1028">
        <f>SUM(P31:P52)</f>
        <v>0.99999999999999989</v>
      </c>
      <c r="Q53" s="1029"/>
      <c r="R53" s="1030">
        <f>SUM(R31:R52)</f>
        <v>1240.9912702174186</v>
      </c>
      <c r="S53" s="1031"/>
      <c r="T53" s="1030">
        <f>SUM(T31:T52)</f>
        <v>35686.549860341183</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5.2736759306550217E-2</v>
      </c>
      <c r="M55" s="1186"/>
      <c r="N55" s="1192">
        <f>W17*$X$25</f>
        <v>0.18985233350358077</v>
      </c>
      <c r="O55" s="1192"/>
      <c r="P55" s="31" t="s">
        <v>617</v>
      </c>
      <c r="Q55" s="31"/>
      <c r="R55" s="1291">
        <f>N55*6*24/1000</f>
        <v>2.7338736024515631E-2</v>
      </c>
      <c r="S55" s="1291"/>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436">
        <f t="shared" ref="L56:L61" si="13">N56*1000/3600</f>
        <v>1.1360526381229641E-2</v>
      </c>
      <c r="M56" s="1437"/>
      <c r="N56" s="1192">
        <f>AC17*$X$25</f>
        <v>4.0897894972426706E-2</v>
      </c>
      <c r="O56" s="1192"/>
      <c r="P56" s="31" t="s">
        <v>617</v>
      </c>
      <c r="Q56" s="31"/>
      <c r="R56" s="1291">
        <f t="shared" ref="R56:R61" si="14">N56*6*24/1000</f>
        <v>5.8892968760294456E-3</v>
      </c>
      <c r="S56" s="1291"/>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436">
        <f t="shared" si="13"/>
        <v>3.7071191349275666E-3</v>
      </c>
      <c r="M57" s="1437"/>
      <c r="N57" s="1192">
        <f>AI17*$X$25</f>
        <v>1.3345628885739241E-2</v>
      </c>
      <c r="O57" s="1192"/>
      <c r="P57" s="31" t="s">
        <v>617</v>
      </c>
      <c r="Q57" s="31"/>
      <c r="R57" s="1291">
        <f t="shared" si="14"/>
        <v>1.9217705595464506E-3</v>
      </c>
      <c r="S57" s="1291"/>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436">
        <f t="shared" si="13"/>
        <v>0</v>
      </c>
      <c r="M58" s="1437"/>
      <c r="N58" s="1191">
        <f>K22*$X$25</f>
        <v>0</v>
      </c>
      <c r="O58" s="1191"/>
      <c r="P58" s="31" t="s">
        <v>617</v>
      </c>
      <c r="Q58" s="31"/>
      <c r="R58" s="1291">
        <f t="shared" si="14"/>
        <v>0</v>
      </c>
      <c r="S58" s="1291"/>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436">
        <f t="shared" si="13"/>
        <v>0</v>
      </c>
      <c r="M59" s="1437"/>
      <c r="N59" s="1192">
        <f>X25*W22</f>
        <v>0</v>
      </c>
      <c r="O59" s="1192"/>
      <c r="P59" s="31" t="s">
        <v>617</v>
      </c>
      <c r="Q59" s="31"/>
      <c r="R59" s="1291">
        <f t="shared" si="14"/>
        <v>0</v>
      </c>
      <c r="S59" s="1291"/>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3.4679501584806267E-3</v>
      </c>
      <c r="M60" s="1186"/>
      <c r="N60" s="1191">
        <f>Q22*$X$25</f>
        <v>1.2484620570530255E-2</v>
      </c>
      <c r="O60" s="1191"/>
      <c r="P60" s="31" t="s">
        <v>617</v>
      </c>
      <c r="Q60" s="31"/>
      <c r="R60" s="1291">
        <f t="shared" si="14"/>
        <v>1.7977853621563566E-3</v>
      </c>
      <c r="S60" s="1291"/>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0</v>
      </c>
      <c r="M61" s="1186"/>
      <c r="N61" s="1191">
        <f>AC22*$X$25</f>
        <v>0</v>
      </c>
      <c r="O61" s="1191"/>
      <c r="P61" s="31" t="s">
        <v>617</v>
      </c>
      <c r="Q61" s="31"/>
      <c r="R61" s="1291">
        <f t="shared" si="14"/>
        <v>0</v>
      </c>
      <c r="S61" s="1291"/>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246">
        <f>O62*1000/3600</f>
        <v>1720.7755376376283</v>
      </c>
      <c r="M62" s="1247"/>
      <c r="N62" s="31"/>
      <c r="O62" s="427">
        <f>'Diesel F'!I56*X25</f>
        <v>6194.791935495462</v>
      </c>
      <c r="P62" s="395" t="s">
        <v>617</v>
      </c>
      <c r="Q62" s="395"/>
      <c r="R62" s="1291">
        <f>O62*6*24/1000</f>
        <v>892.05003871134659</v>
      </c>
      <c r="S62" s="1291"/>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680</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682</v>
      </c>
      <c r="B65" s="31" t="s">
        <v>689</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832</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232"/>
      <c r="B67" s="147"/>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2"/>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32"/>
      <c r="B68" s="147"/>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u1oAebI6KnMd7cP0FtgF87bwrIFlKX69XrXjBwT5G9uDJNc35Ck00xxKrE4/NufY9PmkBE+fh/5no4/o/cyn8w==" saltValue="4HgZ0cAqgN6slqGpy2oqrA==" spinCount="100000" sheet="1" objects="1" scenarios="1" selectLockedCells="1" selectUnlockedCells="1"/>
  <mergeCells count="459">
    <mergeCell ref="L62:M62"/>
    <mergeCell ref="R62:S62"/>
    <mergeCell ref="AE59:AF59"/>
    <mergeCell ref="L60:M60"/>
    <mergeCell ref="N60:O60"/>
    <mergeCell ref="R60:S60"/>
    <mergeCell ref="L61:M61"/>
    <mergeCell ref="N61:O61"/>
    <mergeCell ref="R61:S61"/>
    <mergeCell ref="AE57:AF57"/>
    <mergeCell ref="L58:M58"/>
    <mergeCell ref="N58:O58"/>
    <mergeCell ref="R58:S58"/>
    <mergeCell ref="L59:M59"/>
    <mergeCell ref="N59:O59"/>
    <mergeCell ref="R59:S59"/>
    <mergeCell ref="T59:U59"/>
    <mergeCell ref="Y59:Z59"/>
    <mergeCell ref="AC59:AD59"/>
    <mergeCell ref="L56:M56"/>
    <mergeCell ref="N56:O56"/>
    <mergeCell ref="R56:S56"/>
    <mergeCell ref="L57:M57"/>
    <mergeCell ref="N57:O57"/>
    <mergeCell ref="R57:S57"/>
    <mergeCell ref="T57:U57"/>
    <mergeCell ref="Y57:Z57"/>
    <mergeCell ref="AC57:AD57"/>
    <mergeCell ref="AF53:AG53"/>
    <mergeCell ref="AH53:AI53"/>
    <mergeCell ref="AJ53:AK53"/>
    <mergeCell ref="L54:M54"/>
    <mergeCell ref="L55:M55"/>
    <mergeCell ref="N55:O55"/>
    <mergeCell ref="R55:S55"/>
    <mergeCell ref="T55:U55"/>
    <mergeCell ref="Y55:Z55"/>
    <mergeCell ref="AC55:AD55"/>
    <mergeCell ref="T53:U53"/>
    <mergeCell ref="V53:W53"/>
    <mergeCell ref="X53:Y53"/>
    <mergeCell ref="Z53:AA53"/>
    <mergeCell ref="AB53:AC53"/>
    <mergeCell ref="AD53:AE53"/>
    <mergeCell ref="AE55:AF55"/>
    <mergeCell ref="A53:E53"/>
    <mergeCell ref="F53:G53"/>
    <mergeCell ref="H53:I53"/>
    <mergeCell ref="J53:K53"/>
    <mergeCell ref="L53:M53"/>
    <mergeCell ref="N53:O53"/>
    <mergeCell ref="P53:Q53"/>
    <mergeCell ref="R53:S53"/>
    <mergeCell ref="V52:W52"/>
    <mergeCell ref="AJ51:AK51"/>
    <mergeCell ref="F52:G52"/>
    <mergeCell ref="H52:I52"/>
    <mergeCell ref="J52:K52"/>
    <mergeCell ref="L52:M52"/>
    <mergeCell ref="N52:O52"/>
    <mergeCell ref="P52:Q52"/>
    <mergeCell ref="R52:S52"/>
    <mergeCell ref="T52:U52"/>
    <mergeCell ref="V51:W51"/>
    <mergeCell ref="X51:Y51"/>
    <mergeCell ref="Z51:AA51"/>
    <mergeCell ref="AB51:AC51"/>
    <mergeCell ref="AD51:AE51"/>
    <mergeCell ref="AF51:AG51"/>
    <mergeCell ref="AH52:AI52"/>
    <mergeCell ref="AJ52:AK52"/>
    <mergeCell ref="X52:Y52"/>
    <mergeCell ref="Z52:AA52"/>
    <mergeCell ref="AB52:AC52"/>
    <mergeCell ref="AD52:AE52"/>
    <mergeCell ref="AF52:AG52"/>
    <mergeCell ref="F51:G51"/>
    <mergeCell ref="H51:I51"/>
    <mergeCell ref="J51:K51"/>
    <mergeCell ref="L51:M51"/>
    <mergeCell ref="N51:O51"/>
    <mergeCell ref="P51:Q51"/>
    <mergeCell ref="R51:S51"/>
    <mergeCell ref="T51:U51"/>
    <mergeCell ref="V50:W50"/>
    <mergeCell ref="AH49:AI49"/>
    <mergeCell ref="J49:K49"/>
    <mergeCell ref="L49:M49"/>
    <mergeCell ref="N49:O49"/>
    <mergeCell ref="P49:Q49"/>
    <mergeCell ref="R49:S49"/>
    <mergeCell ref="T49:U49"/>
    <mergeCell ref="AH51:AI51"/>
    <mergeCell ref="AJ49:AK49"/>
    <mergeCell ref="F50:G50"/>
    <mergeCell ref="H50:I50"/>
    <mergeCell ref="J50:K50"/>
    <mergeCell ref="L50:M50"/>
    <mergeCell ref="N50:O50"/>
    <mergeCell ref="P50:Q50"/>
    <mergeCell ref="R50:S50"/>
    <mergeCell ref="T50:U50"/>
    <mergeCell ref="V49:W49"/>
    <mergeCell ref="X49:Y49"/>
    <mergeCell ref="Z49:AA49"/>
    <mergeCell ref="AB49:AC49"/>
    <mergeCell ref="AD49:AE49"/>
    <mergeCell ref="AF49:AG49"/>
    <mergeCell ref="AH50:AI50"/>
    <mergeCell ref="AJ50:AK50"/>
    <mergeCell ref="X50:Y50"/>
    <mergeCell ref="Z50:AA50"/>
    <mergeCell ref="AB50:AC50"/>
    <mergeCell ref="AD50:AE50"/>
    <mergeCell ref="AF50:AG50"/>
    <mergeCell ref="F49:G49"/>
    <mergeCell ref="H49:I49"/>
    <mergeCell ref="V48:W48"/>
    <mergeCell ref="AH47:AI47"/>
    <mergeCell ref="AJ47:AK47"/>
    <mergeCell ref="F48:G48"/>
    <mergeCell ref="H48:I48"/>
    <mergeCell ref="J48:K48"/>
    <mergeCell ref="L48:M48"/>
    <mergeCell ref="N48:O48"/>
    <mergeCell ref="P48:Q48"/>
    <mergeCell ref="R48:S48"/>
    <mergeCell ref="T48:U48"/>
    <mergeCell ref="V47:W47"/>
    <mergeCell ref="X47:Y47"/>
    <mergeCell ref="Z47:AA47"/>
    <mergeCell ref="AB47:AC47"/>
    <mergeCell ref="AD47:AE47"/>
    <mergeCell ref="AF47:AG47"/>
    <mergeCell ref="AH48:AI48"/>
    <mergeCell ref="AJ48:AK48"/>
    <mergeCell ref="X48:Y48"/>
    <mergeCell ref="Z48:AA48"/>
    <mergeCell ref="AB48:AC48"/>
    <mergeCell ref="AD48:AE48"/>
    <mergeCell ref="AF48:AG48"/>
    <mergeCell ref="F47:G47"/>
    <mergeCell ref="H47:I47"/>
    <mergeCell ref="J47:K47"/>
    <mergeCell ref="L47:M47"/>
    <mergeCell ref="N47:O47"/>
    <mergeCell ref="P47:Q47"/>
    <mergeCell ref="R47:S47"/>
    <mergeCell ref="T47:U47"/>
    <mergeCell ref="V46:W46"/>
    <mergeCell ref="AJ45:AK45"/>
    <mergeCell ref="F46:G46"/>
    <mergeCell ref="H46:I46"/>
    <mergeCell ref="J46:K46"/>
    <mergeCell ref="L46:M46"/>
    <mergeCell ref="N46:O46"/>
    <mergeCell ref="P46:Q46"/>
    <mergeCell ref="R46:S46"/>
    <mergeCell ref="T46:U46"/>
    <mergeCell ref="V45:W45"/>
    <mergeCell ref="X45:Y45"/>
    <mergeCell ref="Z45:AA45"/>
    <mergeCell ref="AB45:AC45"/>
    <mergeCell ref="AD45:AE45"/>
    <mergeCell ref="AF45:AG45"/>
    <mergeCell ref="AH46:AI46"/>
    <mergeCell ref="AJ46:AK46"/>
    <mergeCell ref="X46:Y46"/>
    <mergeCell ref="Z46:AA46"/>
    <mergeCell ref="AB46:AC46"/>
    <mergeCell ref="AD46:AE46"/>
    <mergeCell ref="AF46:AG46"/>
    <mergeCell ref="F45:G45"/>
    <mergeCell ref="H45:I45"/>
    <mergeCell ref="J45:K45"/>
    <mergeCell ref="L45:M45"/>
    <mergeCell ref="N45:O45"/>
    <mergeCell ref="P45:Q45"/>
    <mergeCell ref="R45:S45"/>
    <mergeCell ref="T45:U45"/>
    <mergeCell ref="V44:W44"/>
    <mergeCell ref="AH43:AI43"/>
    <mergeCell ref="J43:K43"/>
    <mergeCell ref="L43:M43"/>
    <mergeCell ref="N43:O43"/>
    <mergeCell ref="P43:Q43"/>
    <mergeCell ref="R43:S43"/>
    <mergeCell ref="T43:U43"/>
    <mergeCell ref="AH45:AI45"/>
    <mergeCell ref="AJ43:AK43"/>
    <mergeCell ref="F44:G44"/>
    <mergeCell ref="H44:I44"/>
    <mergeCell ref="J44:K44"/>
    <mergeCell ref="L44:M44"/>
    <mergeCell ref="N44:O44"/>
    <mergeCell ref="P44:Q44"/>
    <mergeCell ref="R44:S44"/>
    <mergeCell ref="T44:U44"/>
    <mergeCell ref="V43:W43"/>
    <mergeCell ref="X43:Y43"/>
    <mergeCell ref="Z43:AA43"/>
    <mergeCell ref="AB43:AC43"/>
    <mergeCell ref="AD43:AE43"/>
    <mergeCell ref="AF43:AG43"/>
    <mergeCell ref="AH44:AI44"/>
    <mergeCell ref="AJ44:AK44"/>
    <mergeCell ref="X44:Y44"/>
    <mergeCell ref="Z44:AA44"/>
    <mergeCell ref="AB44:AC44"/>
    <mergeCell ref="AD44:AE44"/>
    <mergeCell ref="AF44:AG44"/>
    <mergeCell ref="F43:G43"/>
    <mergeCell ref="H43:I43"/>
    <mergeCell ref="V42:W42"/>
    <mergeCell ref="T41:U41"/>
    <mergeCell ref="AJ41:AK41"/>
    <mergeCell ref="F42:G42"/>
    <mergeCell ref="H42:I42"/>
    <mergeCell ref="J42:K42"/>
    <mergeCell ref="L42:M42"/>
    <mergeCell ref="N42:O42"/>
    <mergeCell ref="P42:Q42"/>
    <mergeCell ref="R42:S42"/>
    <mergeCell ref="T42:U42"/>
    <mergeCell ref="AH42:AI42"/>
    <mergeCell ref="AJ42:AK42"/>
    <mergeCell ref="X42:Y42"/>
    <mergeCell ref="Z42:AA42"/>
    <mergeCell ref="AB42:AC42"/>
    <mergeCell ref="AD42:AE42"/>
    <mergeCell ref="AF42:AG42"/>
    <mergeCell ref="R40:S40"/>
    <mergeCell ref="T40:U40"/>
    <mergeCell ref="AJ40:AK40"/>
    <mergeCell ref="F41:G41"/>
    <mergeCell ref="H41:I41"/>
    <mergeCell ref="J41:K41"/>
    <mergeCell ref="L41:M41"/>
    <mergeCell ref="N41:O41"/>
    <mergeCell ref="P41:Q41"/>
    <mergeCell ref="R41:S41"/>
    <mergeCell ref="F40:G40"/>
    <mergeCell ref="H40:I40"/>
    <mergeCell ref="J40:K40"/>
    <mergeCell ref="L40:M40"/>
    <mergeCell ref="N40:O40"/>
    <mergeCell ref="P40:Q40"/>
    <mergeCell ref="V32:AI41"/>
    <mergeCell ref="F33:G33"/>
    <mergeCell ref="H33:I33"/>
    <mergeCell ref="J33:K33"/>
    <mergeCell ref="L33:M33"/>
    <mergeCell ref="N33:O33"/>
    <mergeCell ref="P33:Q33"/>
    <mergeCell ref="R33:S33"/>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F35:G35"/>
    <mergeCell ref="H35:I35"/>
    <mergeCell ref="J35:K35"/>
    <mergeCell ref="L35:M35"/>
    <mergeCell ref="N35:O35"/>
    <mergeCell ref="P35:Q35"/>
    <mergeCell ref="R35:S35"/>
    <mergeCell ref="T35:U35"/>
    <mergeCell ref="H34:I34"/>
    <mergeCell ref="J34:K34"/>
    <mergeCell ref="L34:M34"/>
    <mergeCell ref="N34:O34"/>
    <mergeCell ref="P34:Q34"/>
    <mergeCell ref="R34:S34"/>
    <mergeCell ref="F31:G31"/>
    <mergeCell ref="H31:I31"/>
    <mergeCell ref="J31:K31"/>
    <mergeCell ref="L31:M31"/>
    <mergeCell ref="N31:O31"/>
    <mergeCell ref="P31:Q31"/>
    <mergeCell ref="R31:S31"/>
    <mergeCell ref="T33:U33"/>
    <mergeCell ref="F34:G34"/>
    <mergeCell ref="T31:U31"/>
    <mergeCell ref="F32:G32"/>
    <mergeCell ref="H32:I32"/>
    <mergeCell ref="J32:K32"/>
    <mergeCell ref="L32:M32"/>
    <mergeCell ref="N32:O32"/>
    <mergeCell ref="P32:Q32"/>
    <mergeCell ref="R32:S32"/>
    <mergeCell ref="T32:U32"/>
    <mergeCell ref="T34:U34"/>
    <mergeCell ref="A30:E30"/>
    <mergeCell ref="F30:G30"/>
    <mergeCell ref="H30:I30"/>
    <mergeCell ref="J30:K30"/>
    <mergeCell ref="L30:M30"/>
    <mergeCell ref="N30:O30"/>
    <mergeCell ref="A27:E27"/>
    <mergeCell ref="F27:U27"/>
    <mergeCell ref="F28:I29"/>
    <mergeCell ref="J28:M28"/>
    <mergeCell ref="N28:O29"/>
    <mergeCell ref="P28:U29"/>
    <mergeCell ref="J29:K29"/>
    <mergeCell ref="L29:M29"/>
    <mergeCell ref="P30:Q30"/>
    <mergeCell ref="R30:S30"/>
    <mergeCell ref="T30:U30"/>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F31:U52">
    <cfRule type="expression" dxfId="132" priority="2">
      <formula>F31=0</formula>
    </cfRule>
  </conditionalFormatting>
  <conditionalFormatting sqref="R55:S62">
    <cfRule type="expression" dxfId="131" priority="1" stopIfTrue="1">
      <formula>R55=0</formula>
    </cfRule>
  </conditionalFormatting>
  <conditionalFormatting sqref="V31:AK31 AJ32:AK41 V42:AK52">
    <cfRule type="expression" dxfId="130" priority="4">
      <formula>V31=0</formula>
    </cfRule>
  </conditionalFormatting>
  <conditionalFormatting sqref="V53:AK53">
    <cfRule type="expression" dxfId="129" priority="5" stopIfTrue="1">
      <formula>V53=0</formula>
    </cfRule>
  </conditionalFormatting>
  <conditionalFormatting sqref="Y56:Y62 AC56:AD62 N57 N59">
    <cfRule type="expression" dxfId="128" priority="7" stopIfTrue="1">
      <formula>N56=0</formula>
    </cfRule>
  </conditionalFormatting>
  <pageMargins left="0.7" right="0.7" top="0.75" bottom="0.75" header="0.3" footer="0.3"/>
  <pageSetup paperSize="9" scale="61" orientation="portrait" r:id="rId1"/>
  <headerFooter>
    <oddFooter>&amp;C_x000D_&amp;1#&amp;"Calibri"&amp;10&amp;K000000 Internal</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231A5-5FF9-4E0A-8DBC-734D3173175D}">
  <sheetPr>
    <tabColor rgb="FFFFC000"/>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14" width="3.7109375" style="404"/>
    <col min="15" max="15" width="6.7109375" style="404" customWidth="1"/>
    <col min="16" max="18" width="3.7109375" style="404"/>
    <col min="19" max="19" width="5.42578125" style="404" bestFit="1" customWidth="1"/>
    <col min="20" max="23" width="3.7109375" style="404"/>
    <col min="24" max="24" width="6.28515625" style="404"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'Precom F P'!$AC$5</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
        <v>97</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147</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5.737756714060031E-17</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727</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'Diesel F'!G20</f>
        <v>44.890193469756099</v>
      </c>
      <c r="R16" s="1144"/>
      <c r="S16" s="1145"/>
      <c r="T16" s="1073">
        <f>'Diesel F'!E5</f>
        <v>76019.579999999987</v>
      </c>
      <c r="U16" s="1109"/>
      <c r="V16" s="1074"/>
      <c r="W16" s="1076" t="s">
        <v>604</v>
      </c>
      <c r="X16" s="1075"/>
      <c r="Y16" s="1077"/>
      <c r="Z16" s="1073">
        <f>'Diesel F'!E6</f>
        <v>16376.099999999999</v>
      </c>
      <c r="AA16" s="1109"/>
      <c r="AB16" s="1074"/>
      <c r="AC16" s="1076" t="s">
        <v>604</v>
      </c>
      <c r="AD16" s="1075"/>
      <c r="AE16" s="1077"/>
      <c r="AF16" s="1146">
        <f>'Diesel F'!E8</f>
        <v>5343.78</v>
      </c>
      <c r="AG16" s="1147"/>
      <c r="AH16" s="1148"/>
      <c r="AI16" s="1076" t="s">
        <v>604</v>
      </c>
      <c r="AJ16" s="1075"/>
      <c r="AK16" s="1077"/>
      <c r="AL16" s="303"/>
      <c r="AM16" s="303" t="s">
        <v>605</v>
      </c>
      <c r="AN16" s="303"/>
      <c r="AO16" s="303"/>
      <c r="AP16" s="351">
        <v>1020</v>
      </c>
      <c r="AQ16" s="352">
        <f>AP16/$AR$9/$AR$7 * ((AN18+273.15)/(AN19+273.15))</f>
        <v>37.956295834166582</v>
      </c>
      <c r="AR16" s="353">
        <f>AX4</f>
        <v>0.13333333333333333</v>
      </c>
      <c r="AS16" s="354">
        <f>AR16*$AR$6/1055.06</f>
        <v>5.7374304146999541E-5</v>
      </c>
      <c r="AT16" s="355">
        <f>AS16*$Q$16*1000000</f>
        <v>2575.543613351439</v>
      </c>
      <c r="AU16" s="356">
        <f>AX5</f>
        <v>3.3333333333333333E-2</v>
      </c>
      <c r="AV16" s="354">
        <f>AU16*$AR$6/1055.06</f>
        <v>1.4343576036749885E-5</v>
      </c>
      <c r="AW16" s="355">
        <f>AV16*$Q$16*1000000</f>
        <v>643.88590333785976</v>
      </c>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1">
        <v>305.24099999999999</v>
      </c>
      <c r="I17" s="1132"/>
      <c r="J17" s="1133"/>
      <c r="K17" s="1134">
        <v>832.5</v>
      </c>
      <c r="L17" s="1135"/>
      <c r="M17" s="1136"/>
      <c r="N17" s="1137">
        <v>42.59</v>
      </c>
      <c r="O17" s="1138"/>
      <c r="P17" s="1139"/>
      <c r="Q17" s="1137">
        <v>45.61</v>
      </c>
      <c r="R17" s="1138"/>
      <c r="S17" s="1139"/>
      <c r="T17" s="1066">
        <f>$Q$17/$Q$16*T16</f>
        <v>77238.5408883567</v>
      </c>
      <c r="U17" s="1110"/>
      <c r="V17" s="1067"/>
      <c r="W17" s="1114">
        <f>T17/1000000/K17</f>
        <v>9.2779028094122163E-5</v>
      </c>
      <c r="X17" s="1115"/>
      <c r="Y17" s="1116"/>
      <c r="Z17" s="1066">
        <f>$Q$17/$Q$16*Z16</f>
        <v>16638.6879464714</v>
      </c>
      <c r="AA17" s="1110"/>
      <c r="AB17" s="1067"/>
      <c r="AC17" s="1114">
        <f>Z17/1000000/K17</f>
        <v>1.9986411947713393E-5</v>
      </c>
      <c r="AD17" s="1115"/>
      <c r="AE17" s="1116"/>
      <c r="AF17" s="1066">
        <f>$Q$17/$Q$16*AF16</f>
        <v>5429.4665930590891</v>
      </c>
      <c r="AG17" s="1110"/>
      <c r="AH17" s="1067"/>
      <c r="AI17" s="1060">
        <f>AF17/1000000/K17</f>
        <v>6.5218817934643711E-6</v>
      </c>
      <c r="AJ17" s="1059"/>
      <c r="AK17" s="1063"/>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123"/>
      <c r="O18" s="1069"/>
      <c r="P18" s="1124"/>
      <c r="Q18" s="1125"/>
      <c r="R18" s="1126"/>
      <c r="S18" s="112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125</v>
      </c>
      <c r="AA19" s="1118"/>
      <c r="AB19" s="1119"/>
      <c r="AC19" s="1117" t="s">
        <v>125</v>
      </c>
      <c r="AD19" s="1118"/>
      <c r="AE19" s="1119"/>
      <c r="AF19" s="358" t="s">
        <v>728</v>
      </c>
      <c r="AG19" s="31"/>
      <c r="AH19" s="31"/>
      <c r="AI19" s="31"/>
      <c r="AJ19" s="31"/>
      <c r="AK19" s="226"/>
      <c r="AL19" s="303"/>
      <c r="AM19" s="24" t="s">
        <v>699</v>
      </c>
      <c r="AN19" s="24">
        <v>15.6</v>
      </c>
      <c r="AO19" s="23" t="s">
        <v>609</v>
      </c>
      <c r="AP19" s="303"/>
      <c r="AQ19" s="303"/>
      <c r="AR19" s="356">
        <f>AX6</f>
        <v>4.6666666666666669E-2</v>
      </c>
      <c r="AS19" s="354">
        <f>AR19*$AR$6/1055.06</f>
        <v>2.0081006451449841E-5</v>
      </c>
      <c r="AT19" s="355">
        <f>AS19*$Q$16*1000000</f>
        <v>901.44026467300375</v>
      </c>
      <c r="AU19" s="351">
        <v>0.37446000000000002</v>
      </c>
      <c r="AV19" s="354">
        <f>AU19*$AR$6/1055.06</f>
        <v>1.6113286448164087E-4</v>
      </c>
      <c r="AW19" s="355">
        <f>AV19*$Q$16*1000000</f>
        <v>7233.2854609168498</v>
      </c>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c r="I21" s="1109"/>
      <c r="J21" s="1074"/>
      <c r="K21" s="1076" t="s">
        <v>604</v>
      </c>
      <c r="L21" s="1075"/>
      <c r="M21" s="1077"/>
      <c r="N21" s="1073">
        <f>'Diesel F'!E7</f>
        <v>4999.0199999999986</v>
      </c>
      <c r="O21" s="1109"/>
      <c r="P21" s="1074"/>
      <c r="Q21" s="1076" t="s">
        <v>604</v>
      </c>
      <c r="R21" s="1075"/>
      <c r="S21" s="1077"/>
      <c r="T21" s="1073"/>
      <c r="U21" s="1109"/>
      <c r="V21" s="1074"/>
      <c r="W21" s="1214" t="s">
        <v>604</v>
      </c>
      <c r="X21" s="1215"/>
      <c r="Y21" s="1216"/>
      <c r="Z21" s="1073"/>
      <c r="AA21" s="1109"/>
      <c r="AB21" s="1074"/>
      <c r="AC21" s="1076" t="s">
        <v>604</v>
      </c>
      <c r="AD21" s="1075"/>
      <c r="AE21" s="1077"/>
      <c r="AF21" s="300"/>
      <c r="AG21" s="31"/>
      <c r="AH21" s="302"/>
      <c r="AI21" s="31"/>
      <c r="AJ21" s="31"/>
      <c r="AK21" s="32"/>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6"/>
      <c r="I22" s="1110"/>
      <c r="J22" s="1067"/>
      <c r="K22" s="1114"/>
      <c r="L22" s="1115"/>
      <c r="M22" s="1116"/>
      <c r="N22" s="1066">
        <f>$Q$17/$Q$16*N21</f>
        <v>5079.1784257649533</v>
      </c>
      <c r="O22" s="1110"/>
      <c r="P22" s="1067"/>
      <c r="Q22" s="1114">
        <f>N22/1000000/K17</f>
        <v>6.1011152261440878E-6</v>
      </c>
      <c r="R22" s="1115"/>
      <c r="S22" s="1116"/>
      <c r="T22" s="1099"/>
      <c r="U22" s="1048"/>
      <c r="V22" s="1058"/>
      <c r="W22" s="1211"/>
      <c r="X22" s="1212"/>
      <c r="Y22" s="1213"/>
      <c r="Z22" s="1066"/>
      <c r="AA22" s="1110"/>
      <c r="AB22" s="1067"/>
      <c r="AC22" s="1114"/>
      <c r="AD22" s="1115"/>
      <c r="AE22" s="1116"/>
      <c r="AF22" s="31"/>
      <c r="AG22" s="31"/>
      <c r="AH22" s="31"/>
      <c r="AI22" s="31"/>
      <c r="AJ22" s="31"/>
      <c r="AK22" s="32"/>
      <c r="AL22" s="303"/>
      <c r="AM22" s="303"/>
      <c r="AN22" s="303"/>
      <c r="AO22" s="303"/>
      <c r="AP22" s="303"/>
      <c r="AQ22" s="303"/>
      <c r="AR22" s="356">
        <f>AX8</f>
        <v>6.9333333333333339E-3</v>
      </c>
      <c r="AS22" s="354">
        <f>AR22*$AR$6/1055.06</f>
        <v>2.9834638156439767E-6</v>
      </c>
      <c r="AT22" s="355">
        <f>AS22*$Q$16*1000000</f>
        <v>133.92826789427485</v>
      </c>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045"/>
      <c r="I23" s="1033"/>
      <c r="J23" s="1046"/>
      <c r="K23" s="1089"/>
      <c r="L23" s="1090"/>
      <c r="M23" s="1091"/>
      <c r="N23" s="1045"/>
      <c r="O23" s="1033"/>
      <c r="P23" s="1046"/>
      <c r="Q23" s="1096"/>
      <c r="R23" s="1097"/>
      <c r="S23" s="1098"/>
      <c r="T23" s="1099"/>
      <c r="U23" s="1048"/>
      <c r="V23" s="1058"/>
      <c r="W23" s="1096"/>
      <c r="X23" s="1097"/>
      <c r="Y23" s="1098"/>
      <c r="Z23" s="1086"/>
      <c r="AA23" s="1087"/>
      <c r="AB23" s="1088"/>
      <c r="AC23" s="1089"/>
      <c r="AD23" s="1090"/>
      <c r="AE23" s="1091"/>
      <c r="AF23" s="31"/>
      <c r="AG23" s="31"/>
      <c r="AH23" s="31"/>
      <c r="AI23" s="31"/>
      <c r="AJ23" s="31"/>
      <c r="AK23" s="32"/>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c r="I25" s="31" t="s">
        <v>590</v>
      </c>
      <c r="J25" s="31"/>
      <c r="K25" s="31"/>
      <c r="L25" s="31" t="s">
        <v>615</v>
      </c>
      <c r="M25" s="31"/>
      <c r="N25" s="31"/>
      <c r="O25" s="31"/>
      <c r="P25" s="31"/>
      <c r="Q25" s="31"/>
      <c r="R25" s="31"/>
      <c r="S25" s="32" t="s">
        <v>616</v>
      </c>
      <c r="T25" s="1092" t="str">
        <f>A17</f>
        <v>Diesel</v>
      </c>
      <c r="U25" s="1093"/>
      <c r="V25" s="1093"/>
      <c r="W25" s="1093"/>
      <c r="X25" s="1094">
        <v>63.686</v>
      </c>
      <c r="Y25" s="1094"/>
      <c r="Z25" s="1094"/>
      <c r="AA25" s="1093" t="s">
        <v>617</v>
      </c>
      <c r="AB25" s="1093"/>
      <c r="AC25" s="1095">
        <f>X25/H17</f>
        <v>0.20864169623346798</v>
      </c>
      <c r="AD25" s="1095"/>
      <c r="AE25" s="1093" t="s">
        <v>618</v>
      </c>
      <c r="AF25" s="1093"/>
      <c r="AG25" s="1093"/>
      <c r="AH25" s="1198">
        <f>X25*N17/3600</f>
        <v>0.75344076111111125</v>
      </c>
      <c r="AI25" s="1198"/>
      <c r="AJ25" s="361" t="s">
        <v>590</v>
      </c>
      <c r="AK25" s="362"/>
      <c r="AL25" s="303"/>
      <c r="AM25" s="363">
        <f>X25*W22</f>
        <v>0</v>
      </c>
      <c r="AN25" s="303"/>
      <c r="AO25" s="303"/>
      <c r="AP25" s="303"/>
      <c r="AQ25" s="303"/>
      <c r="AR25" s="351">
        <f>AX7</f>
        <v>0.01</v>
      </c>
      <c r="AS25" s="354">
        <f>AR25*$AR$6/1055.06</f>
        <v>4.3030728110249664E-6</v>
      </c>
      <c r="AT25" s="355">
        <f>AS25*$Q$16*1000000</f>
        <v>193.16577100135797</v>
      </c>
      <c r="AU25" s="356">
        <f>AX9</f>
        <v>3.5333333333333336E-3</v>
      </c>
      <c r="AV25" s="354">
        <f>AU25*$AR$6/1055.06</f>
        <v>1.5204190598954882E-6</v>
      </c>
      <c r="AW25" s="355">
        <f>AV25*$Q$16*1000000</f>
        <v>68.251905753813148</v>
      </c>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0</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c r="B27" s="1081"/>
      <c r="C27" s="1081"/>
      <c r="D27" s="1081"/>
      <c r="E27" s="1081"/>
      <c r="F27" s="1042" t="str">
        <f>A17</f>
        <v>Diesel</v>
      </c>
      <c r="G27" s="1043"/>
      <c r="H27" s="1043"/>
      <c r="I27" s="1043"/>
      <c r="J27" s="1043"/>
      <c r="K27" s="1043"/>
      <c r="L27" s="1043"/>
      <c r="M27" s="1043"/>
      <c r="N27" s="1043"/>
      <c r="O27" s="1043"/>
      <c r="P27" s="1043"/>
      <c r="Q27" s="1043"/>
      <c r="R27" s="1043"/>
      <c r="S27" s="1043"/>
      <c r="T27" s="1043"/>
      <c r="U27" s="1080"/>
      <c r="V27" s="31"/>
      <c r="W27" s="31"/>
      <c r="X27" s="426">
        <f>AH25</f>
        <v>0.75344076111111125</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29">
        <v>144</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29">
        <f>X27*X28</f>
        <v>108.49546960000002</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29">
        <f>X29*3600/1000</f>
        <v>390.58369056000009</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196">
        <v>0</v>
      </c>
      <c r="G31" s="1197"/>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BF33</f>
        <v>3.7672634101823899E-6</v>
      </c>
      <c r="G32" s="1195"/>
      <c r="H32" s="1051">
        <f>F32*$AC$25</f>
        <v>7.8600822805873291E-7</v>
      </c>
      <c r="I32" s="1052"/>
      <c r="J32" s="1059"/>
      <c r="K32" s="1059"/>
      <c r="L32" s="1060"/>
      <c r="M32" s="1059"/>
      <c r="N32" s="1054">
        <f t="shared" si="2"/>
        <v>1.2609143994518194E-5</v>
      </c>
      <c r="O32" s="1055"/>
      <c r="P32" s="1061">
        <f>R32/$R$53</f>
        <v>0</v>
      </c>
      <c r="Q32" s="1062"/>
      <c r="R32" s="1060">
        <f>T32/$AR32</f>
        <v>0</v>
      </c>
      <c r="S32" s="1059"/>
      <c r="T32" s="1064">
        <f>$K$22*$X$25</f>
        <v>0</v>
      </c>
      <c r="U32" s="1065"/>
      <c r="V32" s="1644" t="s">
        <v>838</v>
      </c>
      <c r="W32" s="1652"/>
      <c r="X32" s="1652"/>
      <c r="Y32" s="1652"/>
      <c r="Z32" s="1652"/>
      <c r="AA32" s="1652"/>
      <c r="AB32" s="1652"/>
      <c r="AC32" s="1652"/>
      <c r="AD32" s="1652"/>
      <c r="AE32" s="1652"/>
      <c r="AF32" s="1652"/>
      <c r="AG32" s="1652"/>
      <c r="AH32" s="1652"/>
      <c r="AI32" s="1652"/>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1653"/>
      <c r="W33" s="1652"/>
      <c r="X33" s="1652"/>
      <c r="Y33" s="1652"/>
      <c r="Z33" s="1652"/>
      <c r="AA33" s="1652"/>
      <c r="AB33" s="1652"/>
      <c r="AC33" s="1652"/>
      <c r="AD33" s="1652"/>
      <c r="AE33" s="1652"/>
      <c r="AF33" s="1652"/>
      <c r="AG33" s="1652"/>
      <c r="AH33" s="1652"/>
      <c r="AI33" s="1652"/>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BF34</f>
        <v>2.32021919756754E-4</v>
      </c>
      <c r="G34" s="1050"/>
      <c r="H34" s="1051">
        <f t="shared" si="1"/>
        <v>4.8409446901394753E-5</v>
      </c>
      <c r="I34" s="1052"/>
      <c r="J34" s="1059"/>
      <c r="K34" s="1059"/>
      <c r="L34" s="1060"/>
      <c r="M34" s="1059"/>
      <c r="N34" s="1054">
        <f t="shared" si="2"/>
        <v>1.4555752494311374E-3</v>
      </c>
      <c r="O34" s="1055"/>
      <c r="P34" s="1061">
        <f t="shared" si="10"/>
        <v>0</v>
      </c>
      <c r="Q34" s="1062"/>
      <c r="R34" s="1059">
        <f>T34/$AR34</f>
        <v>0</v>
      </c>
      <c r="S34" s="1059"/>
      <c r="T34" s="1061">
        <f t="shared" si="11"/>
        <v>0</v>
      </c>
      <c r="U34" s="1062"/>
      <c r="V34" s="1653"/>
      <c r="W34" s="1652"/>
      <c r="X34" s="1652"/>
      <c r="Y34" s="1652"/>
      <c r="Z34" s="1652"/>
      <c r="AA34" s="1652"/>
      <c r="AB34" s="1652"/>
      <c r="AC34" s="1652"/>
      <c r="AD34" s="1652"/>
      <c r="AE34" s="1652"/>
      <c r="AF34" s="1652"/>
      <c r="AG34" s="1652"/>
      <c r="AH34" s="1652"/>
      <c r="AI34" s="1652"/>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1653"/>
      <c r="W35" s="1652"/>
      <c r="X35" s="1652"/>
      <c r="Y35" s="1652"/>
      <c r="Z35" s="1652"/>
      <c r="AA35" s="1652"/>
      <c r="AB35" s="1652"/>
      <c r="AC35" s="1652"/>
      <c r="AD35" s="1652"/>
      <c r="AE35" s="1652"/>
      <c r="AF35" s="1652"/>
      <c r="AG35" s="1652"/>
      <c r="AH35" s="1652"/>
      <c r="AI35" s="1652"/>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BF35</f>
        <v>4.1140406723645098E-3</v>
      </c>
      <c r="G36" s="1050"/>
      <c r="H36" s="1051">
        <f t="shared" si="1"/>
        <v>8.5836042425560847E-4</v>
      </c>
      <c r="I36" s="1052"/>
      <c r="J36" s="1059"/>
      <c r="K36" s="1059"/>
      <c r="L36" s="1060"/>
      <c r="M36" s="1059"/>
      <c r="N36" s="1054">
        <f t="shared" si="2"/>
        <v>3.78485445471268E-2</v>
      </c>
      <c r="O36" s="1055"/>
      <c r="P36" s="1061">
        <f t="shared" si="10"/>
        <v>0</v>
      </c>
      <c r="Q36" s="1062"/>
      <c r="R36" s="1059">
        <f t="shared" si="12"/>
        <v>0</v>
      </c>
      <c r="S36" s="1059"/>
      <c r="T36" s="1061">
        <f t="shared" si="11"/>
        <v>0</v>
      </c>
      <c r="U36" s="1062"/>
      <c r="V36" s="1653"/>
      <c r="W36" s="1652"/>
      <c r="X36" s="1652"/>
      <c r="Y36" s="1652"/>
      <c r="Z36" s="1652"/>
      <c r="AA36" s="1652"/>
      <c r="AB36" s="1652"/>
      <c r="AC36" s="1652"/>
      <c r="AD36" s="1652"/>
      <c r="AE36" s="1652"/>
      <c r="AF36" s="1652"/>
      <c r="AG36" s="1652"/>
      <c r="AH36" s="1652"/>
      <c r="AI36" s="1652"/>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1653"/>
      <c r="W37" s="1652"/>
      <c r="X37" s="1652"/>
      <c r="Y37" s="1652"/>
      <c r="Z37" s="1652"/>
      <c r="AA37" s="1652"/>
      <c r="AB37" s="1652"/>
      <c r="AC37" s="1652"/>
      <c r="AD37" s="1652"/>
      <c r="AE37" s="1652"/>
      <c r="AF37" s="1652"/>
      <c r="AG37" s="1652"/>
      <c r="AH37" s="1652"/>
      <c r="AI37" s="1652"/>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BF36</f>
        <v>4.2987554978870402E-3</v>
      </c>
      <c r="G38" s="1050"/>
      <c r="H38" s="1051">
        <f t="shared" si="1"/>
        <v>8.9689963877209831E-4</v>
      </c>
      <c r="I38" s="1052"/>
      <c r="J38" s="1059"/>
      <c r="K38" s="1059"/>
      <c r="L38" s="1060"/>
      <c r="M38" s="1059"/>
      <c r="N38" s="1054">
        <f t="shared" si="2"/>
        <v>5.2127807005434353E-2</v>
      </c>
      <c r="O38" s="1055"/>
      <c r="P38" s="1061">
        <f t="shared" si="10"/>
        <v>0</v>
      </c>
      <c r="Q38" s="1062"/>
      <c r="R38" s="1059">
        <f t="shared" si="12"/>
        <v>0</v>
      </c>
      <c r="S38" s="1059"/>
      <c r="T38" s="1061">
        <f t="shared" si="11"/>
        <v>0</v>
      </c>
      <c r="U38" s="1062"/>
      <c r="V38" s="1653"/>
      <c r="W38" s="1652"/>
      <c r="X38" s="1652"/>
      <c r="Y38" s="1652"/>
      <c r="Z38" s="1652"/>
      <c r="AA38" s="1652"/>
      <c r="AB38" s="1652"/>
      <c r="AC38" s="1652"/>
      <c r="AD38" s="1652"/>
      <c r="AE38" s="1652"/>
      <c r="AF38" s="1652"/>
      <c r="AG38" s="1652"/>
      <c r="AH38" s="1652"/>
      <c r="AI38" s="1652"/>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f>BF37</f>
        <v>1.33109664079022E-2</v>
      </c>
      <c r="G39" s="1050"/>
      <c r="H39" s="1051">
        <f t="shared" si="1"/>
        <v>2.7772226098514274E-3</v>
      </c>
      <c r="I39" s="1052"/>
      <c r="J39" s="1059"/>
      <c r="K39" s="1059"/>
      <c r="L39" s="1060"/>
      <c r="M39" s="1059"/>
      <c r="N39" s="1054">
        <f t="shared" si="2"/>
        <v>0.16141217808456496</v>
      </c>
      <c r="O39" s="1055"/>
      <c r="P39" s="1061">
        <f t="shared" si="10"/>
        <v>0</v>
      </c>
      <c r="Q39" s="1062"/>
      <c r="R39" s="1059">
        <f t="shared" si="12"/>
        <v>0</v>
      </c>
      <c r="S39" s="1059"/>
      <c r="T39" s="1061">
        <f t="shared" si="11"/>
        <v>0</v>
      </c>
      <c r="U39" s="1062"/>
      <c r="V39" s="1653"/>
      <c r="W39" s="1652"/>
      <c r="X39" s="1652"/>
      <c r="Y39" s="1652"/>
      <c r="Z39" s="1652"/>
      <c r="AA39" s="1652"/>
      <c r="AB39" s="1652"/>
      <c r="AC39" s="1652"/>
      <c r="AD39" s="1652"/>
      <c r="AE39" s="1652"/>
      <c r="AF39" s="1652"/>
      <c r="AG39" s="1652"/>
      <c r="AH39" s="1652"/>
      <c r="AI39" s="1652"/>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BF38</f>
        <v>1.4450640107125301E-2</v>
      </c>
      <c r="G40" s="1050"/>
      <c r="H40" s="1051">
        <f t="shared" si="1"/>
        <v>3.0150060636100063E-3</v>
      </c>
      <c r="I40" s="1052"/>
      <c r="J40" s="1059"/>
      <c r="K40" s="1059"/>
      <c r="L40" s="1060"/>
      <c r="M40" s="1059"/>
      <c r="N40" s="1054">
        <f t="shared" si="2"/>
        <v>0.21752062746520753</v>
      </c>
      <c r="O40" s="1055"/>
      <c r="P40" s="1061">
        <f t="shared" si="10"/>
        <v>0</v>
      </c>
      <c r="Q40" s="1062"/>
      <c r="R40" s="1059">
        <f t="shared" si="12"/>
        <v>0</v>
      </c>
      <c r="S40" s="1059"/>
      <c r="T40" s="1061">
        <f t="shared" si="11"/>
        <v>0</v>
      </c>
      <c r="U40" s="1062"/>
      <c r="V40" s="1653"/>
      <c r="W40" s="1652"/>
      <c r="X40" s="1652"/>
      <c r="Y40" s="1652"/>
      <c r="Z40" s="1652"/>
      <c r="AA40" s="1652"/>
      <c r="AB40" s="1652"/>
      <c r="AC40" s="1652"/>
      <c r="AD40" s="1652"/>
      <c r="AE40" s="1652"/>
      <c r="AF40" s="1652"/>
      <c r="AG40" s="1652"/>
      <c r="AH40" s="1652"/>
      <c r="AI40" s="1652"/>
      <c r="AJ40" s="1069"/>
      <c r="AK40" s="1124"/>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BF40</f>
        <v>1.8657920075756399E-2</v>
      </c>
      <c r="G41" s="1050"/>
      <c r="H41" s="1051">
        <f t="shared" si="1"/>
        <v>3.8928200927942904E-3</v>
      </c>
      <c r="I41" s="1052"/>
      <c r="J41" s="1059"/>
      <c r="K41" s="1059"/>
      <c r="L41" s="1060"/>
      <c r="M41" s="1059"/>
      <c r="N41" s="1054">
        <f t="shared" si="2"/>
        <v>0.28085139841473689</v>
      </c>
      <c r="O41" s="1055"/>
      <c r="P41" s="1061">
        <f t="shared" si="10"/>
        <v>0</v>
      </c>
      <c r="Q41" s="1062"/>
      <c r="R41" s="1059">
        <f t="shared" si="12"/>
        <v>0</v>
      </c>
      <c r="S41" s="1059"/>
      <c r="T41" s="1061">
        <f t="shared" si="11"/>
        <v>0</v>
      </c>
      <c r="U41" s="1062"/>
      <c r="V41" s="1653"/>
      <c r="W41" s="1652"/>
      <c r="X41" s="1652"/>
      <c r="Y41" s="1652"/>
      <c r="Z41" s="1652"/>
      <c r="AA41" s="1652"/>
      <c r="AB41" s="1652"/>
      <c r="AC41" s="1652"/>
      <c r="AD41" s="1652"/>
      <c r="AE41" s="1652"/>
      <c r="AF41" s="1652"/>
      <c r="AG41" s="1652"/>
      <c r="AH41" s="1652"/>
      <c r="AI41" s="1652"/>
      <c r="AJ41" s="1069"/>
      <c r="AK41" s="1124"/>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425</v>
      </c>
      <c r="B42" s="376"/>
      <c r="C42" s="376"/>
      <c r="D42" s="376"/>
      <c r="E42" s="377"/>
      <c r="F42" s="1049">
        <f>SUM(BF41:BF75)</f>
        <v>0.94337200608568694</v>
      </c>
      <c r="G42" s="1050"/>
      <c r="H42" s="1064">
        <f t="shared" si="1"/>
        <v>0.19682673552888721</v>
      </c>
      <c r="I42" s="1065"/>
      <c r="J42" s="1059"/>
      <c r="K42" s="1059"/>
      <c r="L42" s="1060"/>
      <c r="M42" s="1059"/>
      <c r="N42" s="1054">
        <f t="shared" si="2"/>
        <v>62.926471799589336</v>
      </c>
      <c r="O42" s="1055"/>
      <c r="P42" s="1061">
        <f t="shared" si="10"/>
        <v>0</v>
      </c>
      <c r="Q42" s="1062"/>
      <c r="R42" s="1059">
        <f t="shared" si="12"/>
        <v>0</v>
      </c>
      <c r="S42" s="1059"/>
      <c r="T42" s="1061">
        <f t="shared" si="11"/>
        <v>0</v>
      </c>
      <c r="U42" s="1062"/>
      <c r="V42" s="1032"/>
      <c r="W42" s="1032"/>
      <c r="X42" s="1033"/>
      <c r="Y42" s="1033"/>
      <c r="Z42" s="1032"/>
      <c r="AA42" s="1032"/>
      <c r="AB42" s="1032"/>
      <c r="AC42" s="1032"/>
      <c r="AD42" s="1033"/>
      <c r="AE42" s="1033"/>
      <c r="AF42" s="1047"/>
      <c r="AG42" s="1047"/>
      <c r="AH42" s="1032"/>
      <c r="AI42" s="1032"/>
      <c r="AJ42" s="1048"/>
      <c r="AK42" s="105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6.869208918427562</v>
      </c>
      <c r="K45" s="1070"/>
      <c r="L45" s="1060">
        <f>0.15*J45</f>
        <v>1.0303813377641342</v>
      </c>
      <c r="M45" s="1059"/>
      <c r="N45" s="1066">
        <f t="shared" si="2"/>
        <v>252.78688819813428</v>
      </c>
      <c r="O45" s="1067"/>
      <c r="P45" s="1061">
        <f t="shared" si="10"/>
        <v>2.6677885602713645E-2</v>
      </c>
      <c r="Q45" s="1062"/>
      <c r="R45" s="1059">
        <f>L45+SUMPRODUCT(R32:R44,$AS32:$AS44)</f>
        <v>1.0303813377641342</v>
      </c>
      <c r="S45" s="1059"/>
      <c r="T45" s="1071">
        <f>R45*$AR45</f>
        <v>32.972202808452295</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BF31</f>
        <v>1.4415226502516399E-10</v>
      </c>
      <c r="G46" s="1195"/>
      <c r="H46" s="1061">
        <f t="shared" si="1"/>
        <v>3.007617309074664E-11</v>
      </c>
      <c r="I46" s="1062"/>
      <c r="J46" s="1059">
        <f>0.79/0.21*J45</f>
        <v>25.841309740751306</v>
      </c>
      <c r="K46" s="1063"/>
      <c r="L46" s="1060">
        <f>0.71/0.29*L45</f>
        <v>2.52265775797426</v>
      </c>
      <c r="M46" s="1059"/>
      <c r="N46" s="1066">
        <f>SUM(H46,J46,L46)*AR46</f>
        <v>794.19108996515797</v>
      </c>
      <c r="O46" s="1067"/>
      <c r="P46" s="1064">
        <f t="shared" si="10"/>
        <v>0.73437593020060532</v>
      </c>
      <c r="Q46" s="1065"/>
      <c r="R46" s="1064">
        <f>$H46+J46+L46-R49</f>
        <v>28.363839048208181</v>
      </c>
      <c r="S46" s="1065"/>
      <c r="T46" s="1066">
        <f>R46*$AR46</f>
        <v>794.18749334982908</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1.1765736557664542E-6</v>
      </c>
      <c r="Q47" s="1062"/>
      <c r="R47" s="1059">
        <f>T47/$AR$47</f>
        <v>4.5442864380652459E-5</v>
      </c>
      <c r="S47" s="1059"/>
      <c r="T47" s="1064">
        <f>$AC17*$X25</f>
        <v>1.2728546313020752E-3</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BF32</f>
        <v>1.04835044112351E-6</v>
      </c>
      <c r="G48" s="1195"/>
      <c r="H48" s="1061">
        <f t="shared" si="1"/>
        <v>2.1872961428311354E-7</v>
      </c>
      <c r="I48" s="1062"/>
      <c r="J48" s="1059"/>
      <c r="K48" s="1059"/>
      <c r="L48" s="1060"/>
      <c r="M48" s="1059"/>
      <c r="N48" s="1061">
        <f t="shared" si="2"/>
        <v>9.6262903245998261E-6</v>
      </c>
      <c r="O48" s="1062"/>
      <c r="P48" s="1064">
        <f t="shared" si="10"/>
        <v>0.11676935192729565</v>
      </c>
      <c r="Q48" s="1065"/>
      <c r="R48" s="1068">
        <f>SUMPRODUCT($H31:$H52,$AU31:$AU52)+$H48-R47-SUMPRODUCT(R32:R42,$AU32:$AU42)</f>
        <v>4.5099886415458412</v>
      </c>
      <c r="S48" s="1059"/>
      <c r="T48" s="1066">
        <f>R48*$AR48</f>
        <v>198.48460011443245</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3.3257483275116937E-6</v>
      </c>
      <c r="Q49" s="1062"/>
      <c r="R49" s="1060">
        <f>T49/$AR49</f>
        <v>1.2845054746091878E-4</v>
      </c>
      <c r="S49" s="1063"/>
      <c r="T49" s="1064">
        <f>$W17*$X25</f>
        <v>5.9087251832022642E-3</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1.5719062744120606E-7</v>
      </c>
      <c r="Q51" s="1062"/>
      <c r="R51" s="1066">
        <f>T51/$AR51</f>
        <v>6.0711816295658186E-6</v>
      </c>
      <c r="S51" s="1067"/>
      <c r="T51" s="1060">
        <f>Q22*X25</f>
        <v>3.8855562429221239E-4</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193">
        <f>BF76</f>
        <v>1.4951987737782399E-3</v>
      </c>
      <c r="G52" s="1194"/>
      <c r="H52" s="1051">
        <f t="shared" si="1"/>
        <v>3.1196080836729337E-4</v>
      </c>
      <c r="I52" s="1052"/>
      <c r="J52" s="1032"/>
      <c r="K52" s="1032"/>
      <c r="L52" s="1053"/>
      <c r="M52" s="1032"/>
      <c r="N52" s="1054">
        <f t="shared" si="2"/>
        <v>5.6202859235451571E-3</v>
      </c>
      <c r="O52" s="1055"/>
      <c r="P52" s="1056">
        <f t="shared" si="10"/>
        <v>0.12217217275677475</v>
      </c>
      <c r="Q52" s="1057"/>
      <c r="R52" s="1044">
        <f>SUMPRODUCT(H31:H52,$AV31:$AV52)+H52-SUMPRODUCT(R32:R42,$AV32:$AV42)</f>
        <v>4.7186620663022749</v>
      </c>
      <c r="S52" s="1044"/>
      <c r="T52" s="1045">
        <f>R52*$AR52</f>
        <v>85.011415786501772</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0.99993636529826091</v>
      </c>
      <c r="G53" s="1038"/>
      <c r="H53" s="1039">
        <f>SUM(H31:H52)</f>
        <v>0.20862841938135784</v>
      </c>
      <c r="I53" s="1040"/>
      <c r="J53" s="1041">
        <f>SUM(J31:J52)</f>
        <v>32.710518659178867</v>
      </c>
      <c r="K53" s="1041"/>
      <c r="L53" s="1042">
        <f>SUM(L31:L52)</f>
        <v>3.5530390957383942</v>
      </c>
      <c r="M53" s="1043"/>
      <c r="N53" s="1030">
        <f>SUM(N31:N52)</f>
        <v>1110.661308615006</v>
      </c>
      <c r="O53" s="1031"/>
      <c r="P53" s="1028">
        <f>SUM(P31:P52)</f>
        <v>1</v>
      </c>
      <c r="Q53" s="1029"/>
      <c r="R53" s="1030">
        <f>SUM(R31:R52)</f>
        <v>38.6230510584139</v>
      </c>
      <c r="S53" s="1031"/>
      <c r="T53" s="1030">
        <f>SUM(T31:T52)</f>
        <v>1110.6632821946546</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1.6413125508895178E-3</v>
      </c>
      <c r="M55" s="1186"/>
      <c r="N55" s="1192">
        <f>W17*$X$25</f>
        <v>5.9087251832022642E-3</v>
      </c>
      <c r="O55" s="1192"/>
      <c r="P55" s="31" t="s">
        <v>617</v>
      </c>
      <c r="Q55" s="31"/>
      <c r="R55" s="1291">
        <f>N55*6*24/1000</f>
        <v>8.5085642638112614E-4</v>
      </c>
      <c r="S55" s="1291"/>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436">
        <f t="shared" ref="L56:L61" si="13">N56*1000/3600</f>
        <v>3.5357073091724312E-4</v>
      </c>
      <c r="M56" s="1437"/>
      <c r="N56" s="1192">
        <f>AC17*$X$25</f>
        <v>1.2728546313020752E-3</v>
      </c>
      <c r="O56" s="1192"/>
      <c r="P56" s="31" t="s">
        <v>617</v>
      </c>
      <c r="Q56" s="31"/>
      <c r="R56" s="1291">
        <f t="shared" ref="R56:R61" si="14">N56*6*24/1000</f>
        <v>1.8329106690749883E-4</v>
      </c>
      <c r="S56" s="1291"/>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436">
        <f t="shared" si="13"/>
        <v>1.1537571219404777E-4</v>
      </c>
      <c r="M57" s="1437"/>
      <c r="N57" s="1192">
        <f>AI17*$X$25</f>
        <v>4.1535256389857195E-4</v>
      </c>
      <c r="O57" s="1192"/>
      <c r="P57" s="31" t="s">
        <v>617</v>
      </c>
      <c r="Q57" s="31"/>
      <c r="R57" s="1291">
        <f t="shared" si="14"/>
        <v>5.9810769201394364E-5</v>
      </c>
      <c r="S57" s="1291"/>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436">
        <f t="shared" si="13"/>
        <v>0</v>
      </c>
      <c r="M58" s="1437"/>
      <c r="N58" s="1191">
        <f>K22*$X$25</f>
        <v>0</v>
      </c>
      <c r="O58" s="1191"/>
      <c r="P58" s="31" t="s">
        <v>617</v>
      </c>
      <c r="Q58" s="31"/>
      <c r="R58" s="1291">
        <f t="shared" si="14"/>
        <v>0</v>
      </c>
      <c r="S58" s="1291"/>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436">
        <f t="shared" si="13"/>
        <v>0</v>
      </c>
      <c r="M59" s="1437"/>
      <c r="N59" s="1192">
        <f>X25*W22</f>
        <v>0</v>
      </c>
      <c r="O59" s="1192"/>
      <c r="P59" s="31" t="s">
        <v>617</v>
      </c>
      <c r="Q59" s="31"/>
      <c r="R59" s="1291">
        <f t="shared" si="14"/>
        <v>0</v>
      </c>
      <c r="S59" s="1291"/>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1.079321178589479E-4</v>
      </c>
      <c r="M60" s="1186"/>
      <c r="N60" s="1191">
        <f>Q22*$X$25</f>
        <v>3.8855562429221239E-4</v>
      </c>
      <c r="O60" s="1191"/>
      <c r="P60" s="31" t="s">
        <v>617</v>
      </c>
      <c r="Q60" s="31"/>
      <c r="R60" s="1291">
        <f t="shared" si="14"/>
        <v>5.5952009898078582E-5</v>
      </c>
      <c r="S60" s="1291"/>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0</v>
      </c>
      <c r="M61" s="1186"/>
      <c r="N61" s="1191">
        <f>AC22*$X$25</f>
        <v>0</v>
      </c>
      <c r="O61" s="1191"/>
      <c r="P61" s="31" t="s">
        <v>617</v>
      </c>
      <c r="Q61" s="31"/>
      <c r="R61" s="1291">
        <f t="shared" si="14"/>
        <v>0</v>
      </c>
      <c r="S61" s="1291"/>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436">
        <f>O62*1000/3600</f>
        <v>53.555253002387254</v>
      </c>
      <c r="M62" s="1437"/>
      <c r="N62" s="31"/>
      <c r="O62" s="428">
        <f>'Diesel F'!I56*X25</f>
        <v>192.79891080859412</v>
      </c>
      <c r="P62" s="395" t="s">
        <v>617</v>
      </c>
      <c r="Q62" s="395"/>
      <c r="R62" s="1291">
        <f>O62*6*24/1000</f>
        <v>27.763043156437554</v>
      </c>
      <c r="S62" s="1291"/>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680</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682</v>
      </c>
      <c r="B65" s="31" t="s">
        <v>689</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832</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232"/>
      <c r="B67" s="147"/>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2"/>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32"/>
      <c r="B68" s="147"/>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HBOGn0NsamKilZXedR9PQLCikDSKnED1MFoYbiu6VMX6uCB2JUv1bpVqfUdwAbSW68GfyPpCPKGUbZov1R4CEg==" saltValue="r1pZ8OyHGCwWF2G+ihCq8w==" spinCount="100000" sheet="1" objects="1" scenarios="1" selectLockedCells="1" selectUnlockedCells="1"/>
  <mergeCells count="459">
    <mergeCell ref="L62:M62"/>
    <mergeCell ref="R62:S62"/>
    <mergeCell ref="AE59:AF59"/>
    <mergeCell ref="L60:M60"/>
    <mergeCell ref="N60:O60"/>
    <mergeCell ref="R60:S60"/>
    <mergeCell ref="L61:M61"/>
    <mergeCell ref="N61:O61"/>
    <mergeCell ref="R61:S61"/>
    <mergeCell ref="AE57:AF57"/>
    <mergeCell ref="L58:M58"/>
    <mergeCell ref="N58:O58"/>
    <mergeCell ref="R58:S58"/>
    <mergeCell ref="L59:M59"/>
    <mergeCell ref="N59:O59"/>
    <mergeCell ref="R59:S59"/>
    <mergeCell ref="T59:U59"/>
    <mergeCell ref="Y59:Z59"/>
    <mergeCell ref="AC59:AD59"/>
    <mergeCell ref="L56:M56"/>
    <mergeCell ref="N56:O56"/>
    <mergeCell ref="R56:S56"/>
    <mergeCell ref="L57:M57"/>
    <mergeCell ref="N57:O57"/>
    <mergeCell ref="R57:S57"/>
    <mergeCell ref="T57:U57"/>
    <mergeCell ref="Y57:Z57"/>
    <mergeCell ref="AC57:AD57"/>
    <mergeCell ref="AF53:AG53"/>
    <mergeCell ref="AH53:AI53"/>
    <mergeCell ref="AJ53:AK53"/>
    <mergeCell ref="L54:M54"/>
    <mergeCell ref="L55:M55"/>
    <mergeCell ref="N55:O55"/>
    <mergeCell ref="R55:S55"/>
    <mergeCell ref="T55:U55"/>
    <mergeCell ref="Y55:Z55"/>
    <mergeCell ref="AC55:AD55"/>
    <mergeCell ref="T53:U53"/>
    <mergeCell ref="V53:W53"/>
    <mergeCell ref="X53:Y53"/>
    <mergeCell ref="Z53:AA53"/>
    <mergeCell ref="AB53:AC53"/>
    <mergeCell ref="AD53:AE53"/>
    <mergeCell ref="AE55:AF55"/>
    <mergeCell ref="A53:E53"/>
    <mergeCell ref="F53:G53"/>
    <mergeCell ref="H53:I53"/>
    <mergeCell ref="J53:K53"/>
    <mergeCell ref="L53:M53"/>
    <mergeCell ref="N53:O53"/>
    <mergeCell ref="P53:Q53"/>
    <mergeCell ref="R53:S53"/>
    <mergeCell ref="V52:W52"/>
    <mergeCell ref="AJ51:AK51"/>
    <mergeCell ref="F52:G52"/>
    <mergeCell ref="H52:I52"/>
    <mergeCell ref="J52:K52"/>
    <mergeCell ref="L52:M52"/>
    <mergeCell ref="N52:O52"/>
    <mergeCell ref="P52:Q52"/>
    <mergeCell ref="R52:S52"/>
    <mergeCell ref="T52:U52"/>
    <mergeCell ref="V51:W51"/>
    <mergeCell ref="X51:Y51"/>
    <mergeCell ref="Z51:AA51"/>
    <mergeCell ref="AB51:AC51"/>
    <mergeCell ref="AD51:AE51"/>
    <mergeCell ref="AF51:AG51"/>
    <mergeCell ref="AH52:AI52"/>
    <mergeCell ref="AJ52:AK52"/>
    <mergeCell ref="X52:Y52"/>
    <mergeCell ref="Z52:AA52"/>
    <mergeCell ref="AB52:AC52"/>
    <mergeCell ref="AD52:AE52"/>
    <mergeCell ref="AF52:AG52"/>
    <mergeCell ref="F51:G51"/>
    <mergeCell ref="H51:I51"/>
    <mergeCell ref="J51:K51"/>
    <mergeCell ref="L51:M51"/>
    <mergeCell ref="N51:O51"/>
    <mergeCell ref="P51:Q51"/>
    <mergeCell ref="R51:S51"/>
    <mergeCell ref="T51:U51"/>
    <mergeCell ref="V50:W50"/>
    <mergeCell ref="AH49:AI49"/>
    <mergeCell ref="J49:K49"/>
    <mergeCell ref="L49:M49"/>
    <mergeCell ref="N49:O49"/>
    <mergeCell ref="P49:Q49"/>
    <mergeCell ref="R49:S49"/>
    <mergeCell ref="T49:U49"/>
    <mergeCell ref="AH51:AI51"/>
    <mergeCell ref="AJ49:AK49"/>
    <mergeCell ref="F50:G50"/>
    <mergeCell ref="H50:I50"/>
    <mergeCell ref="J50:K50"/>
    <mergeCell ref="L50:M50"/>
    <mergeCell ref="N50:O50"/>
    <mergeCell ref="P50:Q50"/>
    <mergeCell ref="R50:S50"/>
    <mergeCell ref="T50:U50"/>
    <mergeCell ref="V49:W49"/>
    <mergeCell ref="X49:Y49"/>
    <mergeCell ref="Z49:AA49"/>
    <mergeCell ref="AB49:AC49"/>
    <mergeCell ref="AD49:AE49"/>
    <mergeCell ref="AF49:AG49"/>
    <mergeCell ref="AH50:AI50"/>
    <mergeCell ref="AJ50:AK50"/>
    <mergeCell ref="X50:Y50"/>
    <mergeCell ref="Z50:AA50"/>
    <mergeCell ref="AB50:AC50"/>
    <mergeCell ref="AD50:AE50"/>
    <mergeCell ref="AF50:AG50"/>
    <mergeCell ref="F49:G49"/>
    <mergeCell ref="H49:I49"/>
    <mergeCell ref="V48:W48"/>
    <mergeCell ref="AH47:AI47"/>
    <mergeCell ref="AJ47:AK47"/>
    <mergeCell ref="F48:G48"/>
    <mergeCell ref="H48:I48"/>
    <mergeCell ref="J48:K48"/>
    <mergeCell ref="L48:M48"/>
    <mergeCell ref="N48:O48"/>
    <mergeCell ref="P48:Q48"/>
    <mergeCell ref="R48:S48"/>
    <mergeCell ref="T48:U48"/>
    <mergeCell ref="V47:W47"/>
    <mergeCell ref="X47:Y47"/>
    <mergeCell ref="Z47:AA47"/>
    <mergeCell ref="AB47:AC47"/>
    <mergeCell ref="AD47:AE47"/>
    <mergeCell ref="AF47:AG47"/>
    <mergeCell ref="AH48:AI48"/>
    <mergeCell ref="AJ48:AK48"/>
    <mergeCell ref="X48:Y48"/>
    <mergeCell ref="Z48:AA48"/>
    <mergeCell ref="AB48:AC48"/>
    <mergeCell ref="AD48:AE48"/>
    <mergeCell ref="AF48:AG48"/>
    <mergeCell ref="F47:G47"/>
    <mergeCell ref="H47:I47"/>
    <mergeCell ref="J47:K47"/>
    <mergeCell ref="L47:M47"/>
    <mergeCell ref="N47:O47"/>
    <mergeCell ref="P47:Q47"/>
    <mergeCell ref="R47:S47"/>
    <mergeCell ref="T47:U47"/>
    <mergeCell ref="V46:W46"/>
    <mergeCell ref="AJ45:AK45"/>
    <mergeCell ref="F46:G46"/>
    <mergeCell ref="H46:I46"/>
    <mergeCell ref="J46:K46"/>
    <mergeCell ref="L46:M46"/>
    <mergeCell ref="N46:O46"/>
    <mergeCell ref="P46:Q46"/>
    <mergeCell ref="R46:S46"/>
    <mergeCell ref="T46:U46"/>
    <mergeCell ref="V45:W45"/>
    <mergeCell ref="X45:Y45"/>
    <mergeCell ref="Z45:AA45"/>
    <mergeCell ref="AB45:AC45"/>
    <mergeCell ref="AD45:AE45"/>
    <mergeCell ref="AF45:AG45"/>
    <mergeCell ref="AH46:AI46"/>
    <mergeCell ref="AJ46:AK46"/>
    <mergeCell ref="X46:Y46"/>
    <mergeCell ref="Z46:AA46"/>
    <mergeCell ref="AB46:AC46"/>
    <mergeCell ref="AD46:AE46"/>
    <mergeCell ref="AF46:AG46"/>
    <mergeCell ref="F45:G45"/>
    <mergeCell ref="H45:I45"/>
    <mergeCell ref="J45:K45"/>
    <mergeCell ref="L45:M45"/>
    <mergeCell ref="N45:O45"/>
    <mergeCell ref="P45:Q45"/>
    <mergeCell ref="R45:S45"/>
    <mergeCell ref="T45:U45"/>
    <mergeCell ref="V44:W44"/>
    <mergeCell ref="AH43:AI43"/>
    <mergeCell ref="J43:K43"/>
    <mergeCell ref="L43:M43"/>
    <mergeCell ref="N43:O43"/>
    <mergeCell ref="P43:Q43"/>
    <mergeCell ref="R43:S43"/>
    <mergeCell ref="T43:U43"/>
    <mergeCell ref="AH45:AI45"/>
    <mergeCell ref="AJ43:AK43"/>
    <mergeCell ref="F44:G44"/>
    <mergeCell ref="H44:I44"/>
    <mergeCell ref="J44:K44"/>
    <mergeCell ref="L44:M44"/>
    <mergeCell ref="N44:O44"/>
    <mergeCell ref="P44:Q44"/>
    <mergeCell ref="R44:S44"/>
    <mergeCell ref="T44:U44"/>
    <mergeCell ref="V43:W43"/>
    <mergeCell ref="X43:Y43"/>
    <mergeCell ref="Z43:AA43"/>
    <mergeCell ref="AB43:AC43"/>
    <mergeCell ref="AD43:AE43"/>
    <mergeCell ref="AF43:AG43"/>
    <mergeCell ref="AH44:AI44"/>
    <mergeCell ref="AJ44:AK44"/>
    <mergeCell ref="X44:Y44"/>
    <mergeCell ref="Z44:AA44"/>
    <mergeCell ref="AB44:AC44"/>
    <mergeCell ref="AD44:AE44"/>
    <mergeCell ref="AF44:AG44"/>
    <mergeCell ref="F43:G43"/>
    <mergeCell ref="H43:I43"/>
    <mergeCell ref="V42:W42"/>
    <mergeCell ref="T41:U41"/>
    <mergeCell ref="AJ41:AK41"/>
    <mergeCell ref="F42:G42"/>
    <mergeCell ref="H42:I42"/>
    <mergeCell ref="J42:K42"/>
    <mergeCell ref="L42:M42"/>
    <mergeCell ref="N42:O42"/>
    <mergeCell ref="P42:Q42"/>
    <mergeCell ref="R42:S42"/>
    <mergeCell ref="T42:U42"/>
    <mergeCell ref="AH42:AI42"/>
    <mergeCell ref="AJ42:AK42"/>
    <mergeCell ref="X42:Y42"/>
    <mergeCell ref="Z42:AA42"/>
    <mergeCell ref="AB42:AC42"/>
    <mergeCell ref="AD42:AE42"/>
    <mergeCell ref="AF42:AG42"/>
    <mergeCell ref="R40:S40"/>
    <mergeCell ref="T40:U40"/>
    <mergeCell ref="AJ40:AK40"/>
    <mergeCell ref="F41:G41"/>
    <mergeCell ref="H41:I41"/>
    <mergeCell ref="J41:K41"/>
    <mergeCell ref="L41:M41"/>
    <mergeCell ref="N41:O41"/>
    <mergeCell ref="P41:Q41"/>
    <mergeCell ref="R41:S41"/>
    <mergeCell ref="F40:G40"/>
    <mergeCell ref="H40:I40"/>
    <mergeCell ref="J40:K40"/>
    <mergeCell ref="L40:M40"/>
    <mergeCell ref="N40:O40"/>
    <mergeCell ref="P40:Q40"/>
    <mergeCell ref="V32:AI41"/>
    <mergeCell ref="F33:G33"/>
    <mergeCell ref="H33:I33"/>
    <mergeCell ref="J33:K33"/>
    <mergeCell ref="L33:M33"/>
    <mergeCell ref="N33:O33"/>
    <mergeCell ref="P33:Q33"/>
    <mergeCell ref="R33:S33"/>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F35:G35"/>
    <mergeCell ref="H35:I35"/>
    <mergeCell ref="J35:K35"/>
    <mergeCell ref="L35:M35"/>
    <mergeCell ref="N35:O35"/>
    <mergeCell ref="P35:Q35"/>
    <mergeCell ref="R35:S35"/>
    <mergeCell ref="T35:U35"/>
    <mergeCell ref="H34:I34"/>
    <mergeCell ref="J34:K34"/>
    <mergeCell ref="L34:M34"/>
    <mergeCell ref="N34:O34"/>
    <mergeCell ref="P34:Q34"/>
    <mergeCell ref="R34:S34"/>
    <mergeCell ref="F31:G31"/>
    <mergeCell ref="H31:I31"/>
    <mergeCell ref="J31:K31"/>
    <mergeCell ref="L31:M31"/>
    <mergeCell ref="N31:O31"/>
    <mergeCell ref="P31:Q31"/>
    <mergeCell ref="R31:S31"/>
    <mergeCell ref="T33:U33"/>
    <mergeCell ref="F34:G34"/>
    <mergeCell ref="T31:U31"/>
    <mergeCell ref="F32:G32"/>
    <mergeCell ref="H32:I32"/>
    <mergeCell ref="J32:K32"/>
    <mergeCell ref="L32:M32"/>
    <mergeCell ref="N32:O32"/>
    <mergeCell ref="P32:Q32"/>
    <mergeCell ref="R32:S32"/>
    <mergeCell ref="T32:U32"/>
    <mergeCell ref="T34:U34"/>
    <mergeCell ref="A30:E30"/>
    <mergeCell ref="F30:G30"/>
    <mergeCell ref="H30:I30"/>
    <mergeCell ref="J30:K30"/>
    <mergeCell ref="L30:M30"/>
    <mergeCell ref="N30:O30"/>
    <mergeCell ref="A27:E27"/>
    <mergeCell ref="F27:U27"/>
    <mergeCell ref="F28:I29"/>
    <mergeCell ref="J28:M28"/>
    <mergeCell ref="N28:O29"/>
    <mergeCell ref="P28:U29"/>
    <mergeCell ref="J29:K29"/>
    <mergeCell ref="L29:M29"/>
    <mergeCell ref="P30:Q30"/>
    <mergeCell ref="R30:S30"/>
    <mergeCell ref="T30:U30"/>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F31:U52">
    <cfRule type="expression" dxfId="127" priority="2">
      <formula>F31=0</formula>
    </cfRule>
  </conditionalFormatting>
  <conditionalFormatting sqref="R55:S62">
    <cfRule type="expression" dxfId="126" priority="1" stopIfTrue="1">
      <formula>R55=0</formula>
    </cfRule>
  </conditionalFormatting>
  <conditionalFormatting sqref="V31:AK31 AJ32:AK41 V42:AK52">
    <cfRule type="expression" dxfId="125" priority="4">
      <formula>V31=0</formula>
    </cfRule>
  </conditionalFormatting>
  <conditionalFormatting sqref="V53:AK53">
    <cfRule type="expression" dxfId="124" priority="5" stopIfTrue="1">
      <formula>V53=0</formula>
    </cfRule>
  </conditionalFormatting>
  <conditionalFormatting sqref="Y56:Y62 AC56:AD62 N57 N59">
    <cfRule type="expression" dxfId="123" priority="7" stopIfTrue="1">
      <formula>N56=0</formula>
    </cfRule>
  </conditionalFormatting>
  <pageMargins left="0.7" right="0.7" top="0.75" bottom="0.75" header="0.3" footer="0.3"/>
  <pageSetup paperSize="9" scale="61" orientation="portrait" r:id="rId1"/>
  <headerFooter>
    <oddFooter>&amp;C_x000D_&amp;1#&amp;"Calibri"&amp;10&amp;K000000 Internal</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8DE32-1D6F-4AF3-868E-4E1371481DE6}">
  <sheetPr>
    <tabColor rgb="FFFFC000"/>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14" width="3.7109375" style="404"/>
    <col min="15" max="15" width="6.7109375" style="404" customWidth="1"/>
    <col min="16" max="18" width="3.7109375" style="404"/>
    <col min="19" max="19" width="5.42578125" style="404" bestFit="1" customWidth="1"/>
    <col min="20" max="23" width="3.7109375" style="404"/>
    <col min="24" max="24" width="6.28515625" style="404"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'Precom F P'!$AC$5</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
        <v>97</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149</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5.737756714060031E-17</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727</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'Diesel F'!G20</f>
        <v>44.890193469756099</v>
      </c>
      <c r="R16" s="1144"/>
      <c r="S16" s="1145"/>
      <c r="T16" s="1073">
        <f>'Diesel F'!E5</f>
        <v>76019.579999999987</v>
      </c>
      <c r="U16" s="1109"/>
      <c r="V16" s="1074"/>
      <c r="W16" s="1076" t="s">
        <v>604</v>
      </c>
      <c r="X16" s="1075"/>
      <c r="Y16" s="1077"/>
      <c r="Z16" s="1073">
        <f>'Diesel F'!E6</f>
        <v>16376.099999999999</v>
      </c>
      <c r="AA16" s="1109"/>
      <c r="AB16" s="1074"/>
      <c r="AC16" s="1076" t="s">
        <v>604</v>
      </c>
      <c r="AD16" s="1075"/>
      <c r="AE16" s="1077"/>
      <c r="AF16" s="1146">
        <f>'Diesel F'!E8</f>
        <v>5343.78</v>
      </c>
      <c r="AG16" s="1147"/>
      <c r="AH16" s="1148"/>
      <c r="AI16" s="1076" t="s">
        <v>604</v>
      </c>
      <c r="AJ16" s="1075"/>
      <c r="AK16" s="1077"/>
      <c r="AL16" s="303"/>
      <c r="AM16" s="303" t="s">
        <v>605</v>
      </c>
      <c r="AN16" s="303"/>
      <c r="AO16" s="303"/>
      <c r="AP16" s="351">
        <v>1020</v>
      </c>
      <c r="AQ16" s="352">
        <f>AP16/$AR$9/$AR$7 * ((AN18+273.15)/(AN19+273.15))</f>
        <v>37.956295834166582</v>
      </c>
      <c r="AR16" s="353">
        <f>AX4</f>
        <v>0.13333333333333333</v>
      </c>
      <c r="AS16" s="354">
        <f>AR16*$AR$6/1055.06</f>
        <v>5.7374304146999541E-5</v>
      </c>
      <c r="AT16" s="355">
        <f>AS16*$Q$16*1000000</f>
        <v>2575.543613351439</v>
      </c>
      <c r="AU16" s="356">
        <f>AX5</f>
        <v>3.3333333333333333E-2</v>
      </c>
      <c r="AV16" s="354">
        <f>AU16*$AR$6/1055.06</f>
        <v>1.4343576036749885E-5</v>
      </c>
      <c r="AW16" s="355">
        <f>AV16*$Q$16*1000000</f>
        <v>643.88590333785976</v>
      </c>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1">
        <v>305.24099999999999</v>
      </c>
      <c r="I17" s="1132"/>
      <c r="J17" s="1133"/>
      <c r="K17" s="1134">
        <v>832.5</v>
      </c>
      <c r="L17" s="1135"/>
      <c r="M17" s="1136"/>
      <c r="N17" s="1137">
        <v>42.59</v>
      </c>
      <c r="O17" s="1138"/>
      <c r="P17" s="1139"/>
      <c r="Q17" s="1137">
        <v>45.61</v>
      </c>
      <c r="R17" s="1138"/>
      <c r="S17" s="1139"/>
      <c r="T17" s="1066">
        <f>$Q$17/$Q$16*T16</f>
        <v>77238.5408883567</v>
      </c>
      <c r="U17" s="1110"/>
      <c r="V17" s="1067"/>
      <c r="W17" s="1114">
        <f>T17/1000000/K17</f>
        <v>9.2779028094122163E-5</v>
      </c>
      <c r="X17" s="1115"/>
      <c r="Y17" s="1116"/>
      <c r="Z17" s="1066">
        <f>$Q$17/$Q$16*Z16</f>
        <v>16638.6879464714</v>
      </c>
      <c r="AA17" s="1110"/>
      <c r="AB17" s="1067"/>
      <c r="AC17" s="1114">
        <f>Z17/1000000/K17</f>
        <v>1.9986411947713393E-5</v>
      </c>
      <c r="AD17" s="1115"/>
      <c r="AE17" s="1116"/>
      <c r="AF17" s="1066">
        <f>$Q$17/$Q$16*AF16</f>
        <v>5429.4665930590891</v>
      </c>
      <c r="AG17" s="1110"/>
      <c r="AH17" s="1067"/>
      <c r="AI17" s="1060">
        <f>AF17/1000000/K17</f>
        <v>6.5218817934643711E-6</v>
      </c>
      <c r="AJ17" s="1059"/>
      <c r="AK17" s="1063"/>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123"/>
      <c r="O18" s="1069"/>
      <c r="P18" s="1124"/>
      <c r="Q18" s="1125"/>
      <c r="R18" s="1126"/>
      <c r="S18" s="112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125</v>
      </c>
      <c r="AA19" s="1118"/>
      <c r="AB19" s="1119"/>
      <c r="AC19" s="1117" t="s">
        <v>125</v>
      </c>
      <c r="AD19" s="1118"/>
      <c r="AE19" s="1119"/>
      <c r="AF19" s="358" t="s">
        <v>728</v>
      </c>
      <c r="AG19" s="31"/>
      <c r="AH19" s="31"/>
      <c r="AI19" s="31"/>
      <c r="AJ19" s="31"/>
      <c r="AK19" s="226"/>
      <c r="AL19" s="303"/>
      <c r="AM19" s="24" t="s">
        <v>699</v>
      </c>
      <c r="AN19" s="24">
        <v>15.6</v>
      </c>
      <c r="AO19" s="23" t="s">
        <v>609</v>
      </c>
      <c r="AP19" s="303"/>
      <c r="AQ19" s="303"/>
      <c r="AR19" s="356">
        <f>AX6</f>
        <v>4.6666666666666669E-2</v>
      </c>
      <c r="AS19" s="354">
        <f>AR19*$AR$6/1055.06</f>
        <v>2.0081006451449841E-5</v>
      </c>
      <c r="AT19" s="355">
        <f>AS19*$Q$16*1000000</f>
        <v>901.44026467300375</v>
      </c>
      <c r="AU19" s="351">
        <v>0.37446000000000002</v>
      </c>
      <c r="AV19" s="354">
        <f>AU19*$AR$6/1055.06</f>
        <v>1.6113286448164087E-4</v>
      </c>
      <c r="AW19" s="355">
        <f>AV19*$Q$16*1000000</f>
        <v>7233.2854609168498</v>
      </c>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c r="I21" s="1109"/>
      <c r="J21" s="1074"/>
      <c r="K21" s="1076" t="s">
        <v>604</v>
      </c>
      <c r="L21" s="1075"/>
      <c r="M21" s="1077"/>
      <c r="N21" s="1073">
        <f>'Diesel F'!E7</f>
        <v>4999.0199999999986</v>
      </c>
      <c r="O21" s="1109"/>
      <c r="P21" s="1074"/>
      <c r="Q21" s="1076" t="s">
        <v>604</v>
      </c>
      <c r="R21" s="1075"/>
      <c r="S21" s="1077"/>
      <c r="T21" s="1073"/>
      <c r="U21" s="1109"/>
      <c r="V21" s="1074"/>
      <c r="W21" s="1214" t="s">
        <v>604</v>
      </c>
      <c r="X21" s="1215"/>
      <c r="Y21" s="1216"/>
      <c r="Z21" s="1073"/>
      <c r="AA21" s="1109"/>
      <c r="AB21" s="1074"/>
      <c r="AC21" s="1076" t="s">
        <v>604</v>
      </c>
      <c r="AD21" s="1075"/>
      <c r="AE21" s="1077"/>
      <c r="AF21" s="300"/>
      <c r="AG21" s="31"/>
      <c r="AH21" s="302"/>
      <c r="AI21" s="31"/>
      <c r="AJ21" s="31"/>
      <c r="AK21" s="32"/>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6"/>
      <c r="I22" s="1110"/>
      <c r="J22" s="1067"/>
      <c r="K22" s="1114"/>
      <c r="L22" s="1115"/>
      <c r="M22" s="1116"/>
      <c r="N22" s="1066">
        <f>$Q$17/$Q$16*N21</f>
        <v>5079.1784257649533</v>
      </c>
      <c r="O22" s="1110"/>
      <c r="P22" s="1067"/>
      <c r="Q22" s="1114">
        <f>N22/1000000/K17</f>
        <v>6.1011152261440878E-6</v>
      </c>
      <c r="R22" s="1115"/>
      <c r="S22" s="1116"/>
      <c r="T22" s="1099"/>
      <c r="U22" s="1048"/>
      <c r="V22" s="1058"/>
      <c r="W22" s="1211"/>
      <c r="X22" s="1212"/>
      <c r="Y22" s="1213"/>
      <c r="Z22" s="1066"/>
      <c r="AA22" s="1110"/>
      <c r="AB22" s="1067"/>
      <c r="AC22" s="1114"/>
      <c r="AD22" s="1115"/>
      <c r="AE22" s="1116"/>
      <c r="AF22" s="31"/>
      <c r="AG22" s="31"/>
      <c r="AH22" s="31"/>
      <c r="AI22" s="31"/>
      <c r="AJ22" s="31"/>
      <c r="AK22" s="32"/>
      <c r="AL22" s="303"/>
      <c r="AM22" s="303"/>
      <c r="AN22" s="303"/>
      <c r="AO22" s="303"/>
      <c r="AP22" s="303"/>
      <c r="AQ22" s="303"/>
      <c r="AR22" s="356">
        <f>AX8</f>
        <v>6.9333333333333339E-3</v>
      </c>
      <c r="AS22" s="354">
        <f>AR22*$AR$6/1055.06</f>
        <v>2.9834638156439767E-6</v>
      </c>
      <c r="AT22" s="355">
        <f>AS22*$Q$16*1000000</f>
        <v>133.92826789427485</v>
      </c>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045"/>
      <c r="I23" s="1033"/>
      <c r="J23" s="1046"/>
      <c r="K23" s="1089"/>
      <c r="L23" s="1090"/>
      <c r="M23" s="1091"/>
      <c r="N23" s="1045"/>
      <c r="O23" s="1033"/>
      <c r="P23" s="1046"/>
      <c r="Q23" s="1096"/>
      <c r="R23" s="1097"/>
      <c r="S23" s="1098"/>
      <c r="T23" s="1099"/>
      <c r="U23" s="1048"/>
      <c r="V23" s="1058"/>
      <c r="W23" s="1096"/>
      <c r="X23" s="1097"/>
      <c r="Y23" s="1098"/>
      <c r="Z23" s="1086"/>
      <c r="AA23" s="1087"/>
      <c r="AB23" s="1088"/>
      <c r="AC23" s="1089"/>
      <c r="AD23" s="1090"/>
      <c r="AE23" s="1091"/>
      <c r="AF23" s="31"/>
      <c r="AG23" s="31"/>
      <c r="AH23" s="31"/>
      <c r="AI23" s="31"/>
      <c r="AJ23" s="31"/>
      <c r="AK23" s="32"/>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c r="I25" s="31" t="s">
        <v>590</v>
      </c>
      <c r="J25" s="31"/>
      <c r="K25" s="31"/>
      <c r="L25" s="31" t="s">
        <v>615</v>
      </c>
      <c r="M25" s="31"/>
      <c r="N25" s="31"/>
      <c r="O25" s="31"/>
      <c r="P25" s="31"/>
      <c r="Q25" s="31"/>
      <c r="R25" s="31"/>
      <c r="S25" s="32" t="s">
        <v>616</v>
      </c>
      <c r="T25" s="1092" t="str">
        <f>A17</f>
        <v>Diesel</v>
      </c>
      <c r="U25" s="1093"/>
      <c r="V25" s="1093"/>
      <c r="W25" s="1093"/>
      <c r="X25" s="1094">
        <v>58.274999999999999</v>
      </c>
      <c r="Y25" s="1094"/>
      <c r="Z25" s="1094"/>
      <c r="AA25" s="1093" t="s">
        <v>617</v>
      </c>
      <c r="AB25" s="1093"/>
      <c r="AC25" s="1095">
        <f>X25/H17</f>
        <v>0.19091471984431974</v>
      </c>
      <c r="AD25" s="1095"/>
      <c r="AE25" s="1093" t="s">
        <v>618</v>
      </c>
      <c r="AF25" s="1093"/>
      <c r="AG25" s="1093"/>
      <c r="AH25" s="1198">
        <f>X25*N17/3600</f>
        <v>0.68942562500000004</v>
      </c>
      <c r="AI25" s="1198"/>
      <c r="AJ25" s="361" t="s">
        <v>590</v>
      </c>
      <c r="AK25" s="362"/>
      <c r="AL25" s="303"/>
      <c r="AM25" s="363">
        <f>X25*W22</f>
        <v>0</v>
      </c>
      <c r="AN25" s="303"/>
      <c r="AO25" s="303"/>
      <c r="AP25" s="303"/>
      <c r="AQ25" s="303"/>
      <c r="AR25" s="351">
        <f>AX7</f>
        <v>0.01</v>
      </c>
      <c r="AS25" s="354">
        <f>AR25*$AR$6/1055.06</f>
        <v>4.3030728110249664E-6</v>
      </c>
      <c r="AT25" s="355">
        <f>AS25*$Q$16*1000000</f>
        <v>193.16577100135797</v>
      </c>
      <c r="AU25" s="356">
        <f>AX9</f>
        <v>3.5333333333333336E-3</v>
      </c>
      <c r="AV25" s="354">
        <f>AU25*$AR$6/1055.06</f>
        <v>1.5204190598954882E-6</v>
      </c>
      <c r="AW25" s="355">
        <f>AV25*$Q$16*1000000</f>
        <v>68.251905753813148</v>
      </c>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0</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c r="B27" s="1081"/>
      <c r="C27" s="1081"/>
      <c r="D27" s="1081"/>
      <c r="E27" s="1081"/>
      <c r="F27" s="1042" t="str">
        <f>A17</f>
        <v>Diesel</v>
      </c>
      <c r="G27" s="1043"/>
      <c r="H27" s="1043"/>
      <c r="I27" s="1043"/>
      <c r="J27" s="1043"/>
      <c r="K27" s="1043"/>
      <c r="L27" s="1043"/>
      <c r="M27" s="1043"/>
      <c r="N27" s="1043"/>
      <c r="O27" s="1043"/>
      <c r="P27" s="1043"/>
      <c r="Q27" s="1043"/>
      <c r="R27" s="1043"/>
      <c r="S27" s="1043"/>
      <c r="T27" s="1043"/>
      <c r="U27" s="1080"/>
      <c r="V27" s="31"/>
      <c r="W27" s="31"/>
      <c r="X27" s="426">
        <f>AH25</f>
        <v>0.68942562500000004</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29">
        <v>36</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29">
        <f>X27*X28</f>
        <v>24.819322500000002</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29">
        <f>X29*3600/1000</f>
        <v>89.349561000000008</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196">
        <v>0</v>
      </c>
      <c r="G31" s="1197"/>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BF33</f>
        <v>3.7672634101823899E-6</v>
      </c>
      <c r="G32" s="1195"/>
      <c r="H32" s="1051">
        <f>F32*$AC$25</f>
        <v>7.192260385347275E-7</v>
      </c>
      <c r="I32" s="1052"/>
      <c r="J32" s="1059"/>
      <c r="K32" s="1059"/>
      <c r="L32" s="1060"/>
      <c r="M32" s="1059"/>
      <c r="N32" s="1054">
        <f t="shared" si="2"/>
        <v>1.1537824110174099E-5</v>
      </c>
      <c r="O32" s="1055"/>
      <c r="P32" s="1061">
        <f>R32/$R$53</f>
        <v>0</v>
      </c>
      <c r="Q32" s="1062"/>
      <c r="R32" s="1060">
        <f>T32/$AR32</f>
        <v>0</v>
      </c>
      <c r="S32" s="1059"/>
      <c r="T32" s="1064">
        <f>$K$22*$X$25</f>
        <v>0</v>
      </c>
      <c r="U32" s="1065"/>
      <c r="V32" s="1644" t="s">
        <v>839</v>
      </c>
      <c r="W32" s="1652"/>
      <c r="X32" s="1652"/>
      <c r="Y32" s="1652"/>
      <c r="Z32" s="1652"/>
      <c r="AA32" s="1652"/>
      <c r="AB32" s="1652"/>
      <c r="AC32" s="1652"/>
      <c r="AD32" s="1652"/>
      <c r="AE32" s="1652"/>
      <c r="AF32" s="1652"/>
      <c r="AG32" s="1652"/>
      <c r="AH32" s="1652"/>
      <c r="AI32" s="1652"/>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1653"/>
      <c r="W33" s="1652"/>
      <c r="X33" s="1652"/>
      <c r="Y33" s="1652"/>
      <c r="Z33" s="1652"/>
      <c r="AA33" s="1652"/>
      <c r="AB33" s="1652"/>
      <c r="AC33" s="1652"/>
      <c r="AD33" s="1652"/>
      <c r="AE33" s="1652"/>
      <c r="AF33" s="1652"/>
      <c r="AG33" s="1652"/>
      <c r="AH33" s="1652"/>
      <c r="AI33" s="1652"/>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BF34</f>
        <v>2.32021919756754E-4</v>
      </c>
      <c r="G34" s="1050"/>
      <c r="H34" s="1051">
        <f t="shared" si="1"/>
        <v>4.4296399808101926E-5</v>
      </c>
      <c r="I34" s="1052"/>
      <c r="J34" s="1059"/>
      <c r="K34" s="1059"/>
      <c r="L34" s="1060"/>
      <c r="M34" s="1059"/>
      <c r="N34" s="1054">
        <f t="shared" si="2"/>
        <v>1.3319041494300086E-3</v>
      </c>
      <c r="O34" s="1055"/>
      <c r="P34" s="1061">
        <f t="shared" si="10"/>
        <v>0</v>
      </c>
      <c r="Q34" s="1062"/>
      <c r="R34" s="1059">
        <f>T34/$AR34</f>
        <v>0</v>
      </c>
      <c r="S34" s="1059"/>
      <c r="T34" s="1061">
        <f t="shared" si="11"/>
        <v>0</v>
      </c>
      <c r="U34" s="1062"/>
      <c r="V34" s="1653"/>
      <c r="W34" s="1652"/>
      <c r="X34" s="1652"/>
      <c r="Y34" s="1652"/>
      <c r="Z34" s="1652"/>
      <c r="AA34" s="1652"/>
      <c r="AB34" s="1652"/>
      <c r="AC34" s="1652"/>
      <c r="AD34" s="1652"/>
      <c r="AE34" s="1652"/>
      <c r="AF34" s="1652"/>
      <c r="AG34" s="1652"/>
      <c r="AH34" s="1652"/>
      <c r="AI34" s="1652"/>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1653"/>
      <c r="W35" s="1652"/>
      <c r="X35" s="1652"/>
      <c r="Y35" s="1652"/>
      <c r="Z35" s="1652"/>
      <c r="AA35" s="1652"/>
      <c r="AB35" s="1652"/>
      <c r="AC35" s="1652"/>
      <c r="AD35" s="1652"/>
      <c r="AE35" s="1652"/>
      <c r="AF35" s="1652"/>
      <c r="AG35" s="1652"/>
      <c r="AH35" s="1652"/>
      <c r="AI35" s="1652"/>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BF35</f>
        <v>4.1140406723645098E-3</v>
      </c>
      <c r="G36" s="1050"/>
      <c r="H36" s="1051">
        <f t="shared" si="1"/>
        <v>7.8543092239260722E-4</v>
      </c>
      <c r="I36" s="1052"/>
      <c r="J36" s="1059"/>
      <c r="K36" s="1059"/>
      <c r="L36" s="1060"/>
      <c r="M36" s="1059"/>
      <c r="N36" s="1054">
        <f t="shared" si="2"/>
        <v>3.4632791091979621E-2</v>
      </c>
      <c r="O36" s="1055"/>
      <c r="P36" s="1061">
        <f t="shared" si="10"/>
        <v>0</v>
      </c>
      <c r="Q36" s="1062"/>
      <c r="R36" s="1059">
        <f t="shared" si="12"/>
        <v>0</v>
      </c>
      <c r="S36" s="1059"/>
      <c r="T36" s="1061">
        <f t="shared" si="11"/>
        <v>0</v>
      </c>
      <c r="U36" s="1062"/>
      <c r="V36" s="1653"/>
      <c r="W36" s="1652"/>
      <c r="X36" s="1652"/>
      <c r="Y36" s="1652"/>
      <c r="Z36" s="1652"/>
      <c r="AA36" s="1652"/>
      <c r="AB36" s="1652"/>
      <c r="AC36" s="1652"/>
      <c r="AD36" s="1652"/>
      <c r="AE36" s="1652"/>
      <c r="AF36" s="1652"/>
      <c r="AG36" s="1652"/>
      <c r="AH36" s="1652"/>
      <c r="AI36" s="1652"/>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1653"/>
      <c r="W37" s="1652"/>
      <c r="X37" s="1652"/>
      <c r="Y37" s="1652"/>
      <c r="Z37" s="1652"/>
      <c r="AA37" s="1652"/>
      <c r="AB37" s="1652"/>
      <c r="AC37" s="1652"/>
      <c r="AD37" s="1652"/>
      <c r="AE37" s="1652"/>
      <c r="AF37" s="1652"/>
      <c r="AG37" s="1652"/>
      <c r="AH37" s="1652"/>
      <c r="AI37" s="1652"/>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BF36</f>
        <v>4.2987554978870402E-3</v>
      </c>
      <c r="G38" s="1050"/>
      <c r="H38" s="1051">
        <f t="shared" si="1"/>
        <v>8.2069570155833343E-4</v>
      </c>
      <c r="I38" s="1052"/>
      <c r="J38" s="1059"/>
      <c r="K38" s="1059"/>
      <c r="L38" s="1060"/>
      <c r="M38" s="1059"/>
      <c r="N38" s="1054">
        <f t="shared" si="2"/>
        <v>4.769883417457034E-2</v>
      </c>
      <c r="O38" s="1055"/>
      <c r="P38" s="1061">
        <f t="shared" si="10"/>
        <v>0</v>
      </c>
      <c r="Q38" s="1062"/>
      <c r="R38" s="1059">
        <f t="shared" si="12"/>
        <v>0</v>
      </c>
      <c r="S38" s="1059"/>
      <c r="T38" s="1061">
        <f t="shared" si="11"/>
        <v>0</v>
      </c>
      <c r="U38" s="1062"/>
      <c r="V38" s="1653"/>
      <c r="W38" s="1652"/>
      <c r="X38" s="1652"/>
      <c r="Y38" s="1652"/>
      <c r="Z38" s="1652"/>
      <c r="AA38" s="1652"/>
      <c r="AB38" s="1652"/>
      <c r="AC38" s="1652"/>
      <c r="AD38" s="1652"/>
      <c r="AE38" s="1652"/>
      <c r="AF38" s="1652"/>
      <c r="AG38" s="1652"/>
      <c r="AH38" s="1652"/>
      <c r="AI38" s="1652"/>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f>BF37</f>
        <v>1.33109664079022E-2</v>
      </c>
      <c r="G39" s="1050"/>
      <c r="H39" s="1051">
        <f t="shared" si="1"/>
        <v>2.5412594226217997E-3</v>
      </c>
      <c r="I39" s="1052"/>
      <c r="J39" s="1059"/>
      <c r="K39" s="1059"/>
      <c r="L39" s="1060"/>
      <c r="M39" s="1059"/>
      <c r="N39" s="1054">
        <f t="shared" si="2"/>
        <v>0.14769799764277899</v>
      </c>
      <c r="O39" s="1055"/>
      <c r="P39" s="1061">
        <f t="shared" si="10"/>
        <v>0</v>
      </c>
      <c r="Q39" s="1062"/>
      <c r="R39" s="1059">
        <f t="shared" si="12"/>
        <v>0</v>
      </c>
      <c r="S39" s="1059"/>
      <c r="T39" s="1061">
        <f t="shared" si="11"/>
        <v>0</v>
      </c>
      <c r="U39" s="1062"/>
      <c r="V39" s="1653"/>
      <c r="W39" s="1652"/>
      <c r="X39" s="1652"/>
      <c r="Y39" s="1652"/>
      <c r="Z39" s="1652"/>
      <c r="AA39" s="1652"/>
      <c r="AB39" s="1652"/>
      <c r="AC39" s="1652"/>
      <c r="AD39" s="1652"/>
      <c r="AE39" s="1652"/>
      <c r="AF39" s="1652"/>
      <c r="AG39" s="1652"/>
      <c r="AH39" s="1652"/>
      <c r="AI39" s="1652"/>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BF38</f>
        <v>1.4450640107125301E-2</v>
      </c>
      <c r="G40" s="1050"/>
      <c r="H40" s="1051">
        <f t="shared" si="1"/>
        <v>2.7588399076229173E-3</v>
      </c>
      <c r="I40" s="1052"/>
      <c r="J40" s="1059"/>
      <c r="K40" s="1059"/>
      <c r="L40" s="1060"/>
      <c r="M40" s="1059"/>
      <c r="N40" s="1054">
        <f t="shared" si="2"/>
        <v>0.19903926397536298</v>
      </c>
      <c r="O40" s="1055"/>
      <c r="P40" s="1061">
        <f t="shared" si="10"/>
        <v>0</v>
      </c>
      <c r="Q40" s="1062"/>
      <c r="R40" s="1059">
        <f t="shared" si="12"/>
        <v>0</v>
      </c>
      <c r="S40" s="1059"/>
      <c r="T40" s="1061">
        <f t="shared" si="11"/>
        <v>0</v>
      </c>
      <c r="U40" s="1062"/>
      <c r="V40" s="1653"/>
      <c r="W40" s="1652"/>
      <c r="X40" s="1652"/>
      <c r="Y40" s="1652"/>
      <c r="Z40" s="1652"/>
      <c r="AA40" s="1652"/>
      <c r="AB40" s="1652"/>
      <c r="AC40" s="1652"/>
      <c r="AD40" s="1652"/>
      <c r="AE40" s="1652"/>
      <c r="AF40" s="1652"/>
      <c r="AG40" s="1652"/>
      <c r="AH40" s="1652"/>
      <c r="AI40" s="1652"/>
      <c r="AJ40" s="1069"/>
      <c r="AK40" s="1124"/>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BF40</f>
        <v>1.8657920075756399E-2</v>
      </c>
      <c r="G41" s="1050"/>
      <c r="H41" s="1051">
        <f t="shared" si="1"/>
        <v>3.5620715841407418E-3</v>
      </c>
      <c r="I41" s="1052"/>
      <c r="J41" s="1059"/>
      <c r="K41" s="1059"/>
      <c r="L41" s="1060"/>
      <c r="M41" s="1059"/>
      <c r="N41" s="1054">
        <f t="shared" si="2"/>
        <v>0.25698921650941797</v>
      </c>
      <c r="O41" s="1055"/>
      <c r="P41" s="1061">
        <f t="shared" si="10"/>
        <v>0</v>
      </c>
      <c r="Q41" s="1062"/>
      <c r="R41" s="1059">
        <f t="shared" si="12"/>
        <v>0</v>
      </c>
      <c r="S41" s="1059"/>
      <c r="T41" s="1061">
        <f t="shared" si="11"/>
        <v>0</v>
      </c>
      <c r="U41" s="1062"/>
      <c r="V41" s="1653"/>
      <c r="W41" s="1652"/>
      <c r="X41" s="1652"/>
      <c r="Y41" s="1652"/>
      <c r="Z41" s="1652"/>
      <c r="AA41" s="1652"/>
      <c r="AB41" s="1652"/>
      <c r="AC41" s="1652"/>
      <c r="AD41" s="1652"/>
      <c r="AE41" s="1652"/>
      <c r="AF41" s="1652"/>
      <c r="AG41" s="1652"/>
      <c r="AH41" s="1652"/>
      <c r="AI41" s="1652"/>
      <c r="AJ41" s="1069"/>
      <c r="AK41" s="1124"/>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425</v>
      </c>
      <c r="B42" s="376"/>
      <c r="C42" s="376"/>
      <c r="D42" s="376"/>
      <c r="E42" s="377"/>
      <c r="F42" s="1049">
        <f>SUM(BF41:BF75)</f>
        <v>0.94337200608568694</v>
      </c>
      <c r="G42" s="1050"/>
      <c r="H42" s="1064">
        <f t="shared" si="1"/>
        <v>0.18010360225082281</v>
      </c>
      <c r="I42" s="1065"/>
      <c r="J42" s="1059"/>
      <c r="K42" s="1059"/>
      <c r="L42" s="1060"/>
      <c r="M42" s="1059"/>
      <c r="N42" s="1054">
        <f t="shared" si="2"/>
        <v>57.58000414723908</v>
      </c>
      <c r="O42" s="1055"/>
      <c r="P42" s="1061">
        <f t="shared" si="10"/>
        <v>0</v>
      </c>
      <c r="Q42" s="1062"/>
      <c r="R42" s="1059">
        <f t="shared" si="12"/>
        <v>0</v>
      </c>
      <c r="S42" s="1059"/>
      <c r="T42" s="1061">
        <f t="shared" si="11"/>
        <v>0</v>
      </c>
      <c r="U42" s="1062"/>
      <c r="V42" s="1032"/>
      <c r="W42" s="1032"/>
      <c r="X42" s="1033"/>
      <c r="Y42" s="1033"/>
      <c r="Z42" s="1032"/>
      <c r="AA42" s="1032"/>
      <c r="AB42" s="1032"/>
      <c r="AC42" s="1032"/>
      <c r="AD42" s="1033"/>
      <c r="AE42" s="1033"/>
      <c r="AF42" s="1047"/>
      <c r="AG42" s="1047"/>
      <c r="AH42" s="1032"/>
      <c r="AI42" s="1032"/>
      <c r="AJ42" s="1048"/>
      <c r="AK42" s="105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6.2855753183017633</v>
      </c>
      <c r="K45" s="1070"/>
      <c r="L45" s="1060">
        <f>0.15*J45</f>
        <v>0.94283629774526445</v>
      </c>
      <c r="M45" s="1059"/>
      <c r="N45" s="1066">
        <f t="shared" si="2"/>
        <v>231.3091717135049</v>
      </c>
      <c r="O45" s="1067"/>
      <c r="P45" s="1061">
        <f t="shared" si="10"/>
        <v>2.6677885602713641E-2</v>
      </c>
      <c r="Q45" s="1062"/>
      <c r="R45" s="1059">
        <f>L45+SUMPRODUCT(R32:R44,$AS32:$AS44)</f>
        <v>0.94283629774526445</v>
      </c>
      <c r="S45" s="1059"/>
      <c r="T45" s="1071">
        <f>R45*$AR45</f>
        <v>30.170761527848462</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BF31</f>
        <v>1.4415226502516399E-10</v>
      </c>
      <c r="G46" s="1195"/>
      <c r="H46" s="1061">
        <f t="shared" si="1"/>
        <v>2.7520789292203315E-11</v>
      </c>
      <c r="I46" s="1062"/>
      <c r="J46" s="1059">
        <f>0.79/0.21*J45</f>
        <v>23.645735721230444</v>
      </c>
      <c r="K46" s="1063"/>
      <c r="L46" s="1060">
        <f>0.71/0.29*L45</f>
        <v>2.3083233496521993</v>
      </c>
      <c r="M46" s="1059"/>
      <c r="N46" s="1066">
        <f>SUM(H46,J46,L46)*AR46</f>
        <v>726.7136539854846</v>
      </c>
      <c r="O46" s="1067"/>
      <c r="P46" s="1064">
        <f t="shared" si="10"/>
        <v>0.73437593020060521</v>
      </c>
      <c r="Q46" s="1065"/>
      <c r="R46" s="1064">
        <f>$H46+J46+L46-R49</f>
        <v>25.953941534000116</v>
      </c>
      <c r="S46" s="1065"/>
      <c r="T46" s="1066">
        <f>R46*$AR46</f>
        <v>726.71036295200327</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1.176573655766454E-6</v>
      </c>
      <c r="Q47" s="1062"/>
      <c r="R47" s="1059">
        <f>T47/$AR$47</f>
        <v>4.1581869198607567E-5</v>
      </c>
      <c r="S47" s="1059"/>
      <c r="T47" s="1064">
        <f>$AC17*$X25</f>
        <v>1.1647081562529979E-3</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BF32</f>
        <v>1.04835044112351E-6</v>
      </c>
      <c r="G48" s="1195"/>
      <c r="H48" s="1061">
        <f t="shared" si="1"/>
        <v>2.0014553076576393E-7</v>
      </c>
      <c r="I48" s="1062"/>
      <c r="J48" s="1059"/>
      <c r="K48" s="1059"/>
      <c r="L48" s="1060"/>
      <c r="M48" s="1059"/>
      <c r="N48" s="1061">
        <f t="shared" si="2"/>
        <v>8.8084048090012708E-6</v>
      </c>
      <c r="O48" s="1062"/>
      <c r="P48" s="1064">
        <f t="shared" si="10"/>
        <v>0.11676935192729565</v>
      </c>
      <c r="Q48" s="1065"/>
      <c r="R48" s="1068">
        <f>SUMPRODUCT($H31:$H52,$AU31:$AU52)+$H48-R47-SUMPRODUCT(R32:R42,$AU32:$AU42)</f>
        <v>4.1268031920058394</v>
      </c>
      <c r="S48" s="1059"/>
      <c r="T48" s="1066">
        <f>R48*$AR48</f>
        <v>181.620608480177</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3.3257483275116937E-6</v>
      </c>
      <c r="Q49" s="1062"/>
      <c r="R49" s="1060">
        <f>T49/$AR49</f>
        <v>1.1753691004749932E-4</v>
      </c>
      <c r="S49" s="1063"/>
      <c r="T49" s="1064">
        <f>$W17*$X25</f>
        <v>5.4066978621849686E-3</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1.5719062744120606E-7</v>
      </c>
      <c r="Q51" s="1062"/>
      <c r="R51" s="1066">
        <f>T51/$AR51</f>
        <v>5.5553514031804174E-6</v>
      </c>
      <c r="S51" s="1067"/>
      <c r="T51" s="1060">
        <f>Q22*X25</f>
        <v>3.5554248980354671E-4</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193">
        <f>BF76</f>
        <v>1.4951987737782399E-3</v>
      </c>
      <c r="G52" s="1194"/>
      <c r="H52" s="1051">
        <f t="shared" si="1"/>
        <v>2.8545545500744307E-4</v>
      </c>
      <c r="I52" s="1052"/>
      <c r="J52" s="1032"/>
      <c r="K52" s="1032"/>
      <c r="L52" s="1053"/>
      <c r="M52" s="1032"/>
      <c r="N52" s="1054">
        <f t="shared" si="2"/>
        <v>5.142765477414094E-3</v>
      </c>
      <c r="O52" s="1055"/>
      <c r="P52" s="1056">
        <f t="shared" si="10"/>
        <v>0.12217217275677479</v>
      </c>
      <c r="Q52" s="1057"/>
      <c r="R52" s="1044">
        <f>SUMPRODUCT(H31:H52,$AV31:$AV52)+H52-SUMPRODUCT(R32:R42,$AV32:$AV42)</f>
        <v>4.3177469445995218</v>
      </c>
      <c r="S52" s="1044"/>
      <c r="T52" s="1045">
        <f>R52*$AR52</f>
        <v>77.788528953904972</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0.99993636529826091</v>
      </c>
      <c r="G53" s="1038"/>
      <c r="H53" s="1039">
        <f>SUM(H31:H52)</f>
        <v>0.19090257104306482</v>
      </c>
      <c r="I53" s="1040"/>
      <c r="J53" s="1041">
        <f>SUM(J31:J52)</f>
        <v>29.931311039532208</v>
      </c>
      <c r="K53" s="1041"/>
      <c r="L53" s="1042">
        <f>SUM(L31:L52)</f>
        <v>3.251159647397464</v>
      </c>
      <c r="M53" s="1043"/>
      <c r="N53" s="1030">
        <f>SUM(N31:N52)</f>
        <v>1016.2953829654784</v>
      </c>
      <c r="O53" s="1031"/>
      <c r="P53" s="1028">
        <f>SUM(P31:P52)</f>
        <v>1</v>
      </c>
      <c r="Q53" s="1029"/>
      <c r="R53" s="1030">
        <f>SUM(R31:R52)</f>
        <v>35.341492642481391</v>
      </c>
      <c r="S53" s="1031"/>
      <c r="T53" s="1030">
        <f>SUM(T31:T52)</f>
        <v>1016.297188862442</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1.5018605172736025E-3</v>
      </c>
      <c r="M55" s="1186"/>
      <c r="N55" s="1192">
        <f>W17*$X$25</f>
        <v>5.4066978621849686E-3</v>
      </c>
      <c r="O55" s="1192"/>
      <c r="P55" s="31" t="s">
        <v>617</v>
      </c>
      <c r="Q55" s="31"/>
      <c r="R55" s="1291">
        <f>N55*1.5*24/1000</f>
        <v>1.9464112303865889E-4</v>
      </c>
      <c r="S55" s="1291"/>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436">
        <f t="shared" ref="L56:L61" si="13">N56*1000/3600</f>
        <v>3.2353004340361055E-4</v>
      </c>
      <c r="M56" s="1437"/>
      <c r="N56" s="1192">
        <f>AC17*$X$25</f>
        <v>1.1647081562529979E-3</v>
      </c>
      <c r="O56" s="1192"/>
      <c r="P56" s="31" t="s">
        <v>617</v>
      </c>
      <c r="Q56" s="31"/>
      <c r="R56" s="1291">
        <f t="shared" ref="R56:R61" si="14">N56*1.5*24/1000</f>
        <v>4.1929493625107923E-5</v>
      </c>
      <c r="S56" s="1291"/>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436">
        <f t="shared" si="13"/>
        <v>1.0557296153170452E-4</v>
      </c>
      <c r="M57" s="1437"/>
      <c r="N57" s="1192">
        <f>AI17*$X$25</f>
        <v>3.8006266151413624E-4</v>
      </c>
      <c r="O57" s="1192"/>
      <c r="P57" s="31" t="s">
        <v>617</v>
      </c>
      <c r="Q57" s="31"/>
      <c r="R57" s="1291">
        <f t="shared" si="14"/>
        <v>1.3682255814508906E-5</v>
      </c>
      <c r="S57" s="1291"/>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436">
        <f t="shared" si="13"/>
        <v>0</v>
      </c>
      <c r="M58" s="1437"/>
      <c r="N58" s="1191">
        <f>K22*$X$25</f>
        <v>0</v>
      </c>
      <c r="O58" s="1191"/>
      <c r="P58" s="31" t="s">
        <v>617</v>
      </c>
      <c r="Q58" s="31"/>
      <c r="R58" s="1291">
        <f t="shared" si="14"/>
        <v>0</v>
      </c>
      <c r="S58" s="1291"/>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436">
        <f t="shared" si="13"/>
        <v>0</v>
      </c>
      <c r="M59" s="1437"/>
      <c r="N59" s="1192">
        <f>X25*W22</f>
        <v>0</v>
      </c>
      <c r="O59" s="1192"/>
      <c r="P59" s="31" t="s">
        <v>617</v>
      </c>
      <c r="Q59" s="31"/>
      <c r="R59" s="1291">
        <f t="shared" si="14"/>
        <v>0</v>
      </c>
      <c r="S59" s="1291"/>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9.8761802723207416E-5</v>
      </c>
      <c r="M60" s="1186"/>
      <c r="N60" s="1191">
        <f>Q22*$X$25</f>
        <v>3.5554248980354671E-4</v>
      </c>
      <c r="O60" s="1191"/>
      <c r="P60" s="31" t="s">
        <v>617</v>
      </c>
      <c r="Q60" s="31"/>
      <c r="R60" s="1291">
        <f t="shared" si="14"/>
        <v>1.2799529632927683E-5</v>
      </c>
      <c r="S60" s="1291"/>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0</v>
      </c>
      <c r="M61" s="1186"/>
      <c r="N61" s="1191">
        <f>AC22*$X$25</f>
        <v>0</v>
      </c>
      <c r="O61" s="1191"/>
      <c r="P61" s="31" t="s">
        <v>617</v>
      </c>
      <c r="Q61" s="31"/>
      <c r="R61" s="1291">
        <f t="shared" si="14"/>
        <v>0</v>
      </c>
      <c r="S61" s="1291"/>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436">
        <f>O62*1000/3600</f>
        <v>49.00499903768673</v>
      </c>
      <c r="M62" s="1437"/>
      <c r="N62" s="31"/>
      <c r="O62" s="428">
        <f>'Diesel F'!I56*X25</f>
        <v>176.41799653567222</v>
      </c>
      <c r="P62" s="395" t="s">
        <v>617</v>
      </c>
      <c r="Q62" s="395"/>
      <c r="R62" s="1291">
        <f>O62*1.5*24/1000</f>
        <v>6.3510478752841992</v>
      </c>
      <c r="S62" s="1291"/>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680</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682</v>
      </c>
      <c r="B65" s="31" t="s">
        <v>689</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832</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232"/>
      <c r="B67" s="147"/>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2"/>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32"/>
      <c r="B68" s="147"/>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NyBk8MkCOzwPdf6oYL+VOWry7HO4dlEga4un6cksVSuOPYqDrH8KY3nolxmFCAacumjvjawqYA/L+SpkbrwqBQ==" saltValue="QFQ99aHSE8RAIefKqiaxPQ==" spinCount="100000" sheet="1" objects="1" scenarios="1" selectLockedCells="1" selectUnlockedCells="1"/>
  <mergeCells count="459">
    <mergeCell ref="L62:M62"/>
    <mergeCell ref="R62:S62"/>
    <mergeCell ref="AE59:AF59"/>
    <mergeCell ref="L60:M60"/>
    <mergeCell ref="N60:O60"/>
    <mergeCell ref="R60:S60"/>
    <mergeCell ref="L61:M61"/>
    <mergeCell ref="N61:O61"/>
    <mergeCell ref="R61:S61"/>
    <mergeCell ref="AE57:AF57"/>
    <mergeCell ref="L58:M58"/>
    <mergeCell ref="N58:O58"/>
    <mergeCell ref="R58:S58"/>
    <mergeCell ref="L59:M59"/>
    <mergeCell ref="N59:O59"/>
    <mergeCell ref="R59:S59"/>
    <mergeCell ref="T59:U59"/>
    <mergeCell ref="Y59:Z59"/>
    <mergeCell ref="AC59:AD59"/>
    <mergeCell ref="L56:M56"/>
    <mergeCell ref="N56:O56"/>
    <mergeCell ref="R56:S56"/>
    <mergeCell ref="L57:M57"/>
    <mergeCell ref="N57:O57"/>
    <mergeCell ref="R57:S57"/>
    <mergeCell ref="T57:U57"/>
    <mergeCell ref="Y57:Z57"/>
    <mergeCell ref="AC57:AD57"/>
    <mergeCell ref="AF53:AG53"/>
    <mergeCell ref="AH53:AI53"/>
    <mergeCell ref="AJ53:AK53"/>
    <mergeCell ref="L54:M54"/>
    <mergeCell ref="L55:M55"/>
    <mergeCell ref="N55:O55"/>
    <mergeCell ref="R55:S55"/>
    <mergeCell ref="T55:U55"/>
    <mergeCell ref="Y55:Z55"/>
    <mergeCell ref="AC55:AD55"/>
    <mergeCell ref="T53:U53"/>
    <mergeCell ref="V53:W53"/>
    <mergeCell ref="X53:Y53"/>
    <mergeCell ref="Z53:AA53"/>
    <mergeCell ref="AB53:AC53"/>
    <mergeCell ref="AD53:AE53"/>
    <mergeCell ref="AE55:AF55"/>
    <mergeCell ref="A53:E53"/>
    <mergeCell ref="F53:G53"/>
    <mergeCell ref="H53:I53"/>
    <mergeCell ref="J53:K53"/>
    <mergeCell ref="L53:M53"/>
    <mergeCell ref="N53:O53"/>
    <mergeCell ref="P53:Q53"/>
    <mergeCell ref="R53:S53"/>
    <mergeCell ref="V52:W52"/>
    <mergeCell ref="AJ51:AK51"/>
    <mergeCell ref="F52:G52"/>
    <mergeCell ref="H52:I52"/>
    <mergeCell ref="J52:K52"/>
    <mergeCell ref="L52:M52"/>
    <mergeCell ref="N52:O52"/>
    <mergeCell ref="P52:Q52"/>
    <mergeCell ref="R52:S52"/>
    <mergeCell ref="T52:U52"/>
    <mergeCell ref="V51:W51"/>
    <mergeCell ref="X51:Y51"/>
    <mergeCell ref="Z51:AA51"/>
    <mergeCell ref="AB51:AC51"/>
    <mergeCell ref="AD51:AE51"/>
    <mergeCell ref="AF51:AG51"/>
    <mergeCell ref="AH52:AI52"/>
    <mergeCell ref="AJ52:AK52"/>
    <mergeCell ref="X52:Y52"/>
    <mergeCell ref="Z52:AA52"/>
    <mergeCell ref="AB52:AC52"/>
    <mergeCell ref="AD52:AE52"/>
    <mergeCell ref="AF52:AG52"/>
    <mergeCell ref="F51:G51"/>
    <mergeCell ref="H51:I51"/>
    <mergeCell ref="J51:K51"/>
    <mergeCell ref="L51:M51"/>
    <mergeCell ref="N51:O51"/>
    <mergeCell ref="P51:Q51"/>
    <mergeCell ref="R51:S51"/>
    <mergeCell ref="T51:U51"/>
    <mergeCell ref="V50:W50"/>
    <mergeCell ref="AH49:AI49"/>
    <mergeCell ref="J49:K49"/>
    <mergeCell ref="L49:M49"/>
    <mergeCell ref="N49:O49"/>
    <mergeCell ref="P49:Q49"/>
    <mergeCell ref="R49:S49"/>
    <mergeCell ref="T49:U49"/>
    <mergeCell ref="AH51:AI51"/>
    <mergeCell ref="AJ49:AK49"/>
    <mergeCell ref="F50:G50"/>
    <mergeCell ref="H50:I50"/>
    <mergeCell ref="J50:K50"/>
    <mergeCell ref="L50:M50"/>
    <mergeCell ref="N50:O50"/>
    <mergeCell ref="P50:Q50"/>
    <mergeCell ref="R50:S50"/>
    <mergeCell ref="T50:U50"/>
    <mergeCell ref="V49:W49"/>
    <mergeCell ref="X49:Y49"/>
    <mergeCell ref="Z49:AA49"/>
    <mergeCell ref="AB49:AC49"/>
    <mergeCell ref="AD49:AE49"/>
    <mergeCell ref="AF49:AG49"/>
    <mergeCell ref="AH50:AI50"/>
    <mergeCell ref="AJ50:AK50"/>
    <mergeCell ref="X50:Y50"/>
    <mergeCell ref="Z50:AA50"/>
    <mergeCell ref="AB50:AC50"/>
    <mergeCell ref="AD50:AE50"/>
    <mergeCell ref="AF50:AG50"/>
    <mergeCell ref="F49:G49"/>
    <mergeCell ref="H49:I49"/>
    <mergeCell ref="V48:W48"/>
    <mergeCell ref="AH47:AI47"/>
    <mergeCell ref="AJ47:AK47"/>
    <mergeCell ref="F48:G48"/>
    <mergeCell ref="H48:I48"/>
    <mergeCell ref="J48:K48"/>
    <mergeCell ref="L48:M48"/>
    <mergeCell ref="N48:O48"/>
    <mergeCell ref="P48:Q48"/>
    <mergeCell ref="R48:S48"/>
    <mergeCell ref="T48:U48"/>
    <mergeCell ref="V47:W47"/>
    <mergeCell ref="X47:Y47"/>
    <mergeCell ref="Z47:AA47"/>
    <mergeCell ref="AB47:AC47"/>
    <mergeCell ref="AD47:AE47"/>
    <mergeCell ref="AF47:AG47"/>
    <mergeCell ref="AH48:AI48"/>
    <mergeCell ref="AJ48:AK48"/>
    <mergeCell ref="X48:Y48"/>
    <mergeCell ref="Z48:AA48"/>
    <mergeCell ref="AB48:AC48"/>
    <mergeCell ref="AD48:AE48"/>
    <mergeCell ref="AF48:AG48"/>
    <mergeCell ref="F47:G47"/>
    <mergeCell ref="H47:I47"/>
    <mergeCell ref="J47:K47"/>
    <mergeCell ref="L47:M47"/>
    <mergeCell ref="N47:O47"/>
    <mergeCell ref="P47:Q47"/>
    <mergeCell ref="R47:S47"/>
    <mergeCell ref="T47:U47"/>
    <mergeCell ref="V46:W46"/>
    <mergeCell ref="AJ45:AK45"/>
    <mergeCell ref="F46:G46"/>
    <mergeCell ref="H46:I46"/>
    <mergeCell ref="J46:K46"/>
    <mergeCell ref="L46:M46"/>
    <mergeCell ref="N46:O46"/>
    <mergeCell ref="P46:Q46"/>
    <mergeCell ref="R46:S46"/>
    <mergeCell ref="T46:U46"/>
    <mergeCell ref="V45:W45"/>
    <mergeCell ref="X45:Y45"/>
    <mergeCell ref="Z45:AA45"/>
    <mergeCell ref="AB45:AC45"/>
    <mergeCell ref="AD45:AE45"/>
    <mergeCell ref="AF45:AG45"/>
    <mergeCell ref="AH46:AI46"/>
    <mergeCell ref="AJ46:AK46"/>
    <mergeCell ref="X46:Y46"/>
    <mergeCell ref="Z46:AA46"/>
    <mergeCell ref="AB46:AC46"/>
    <mergeCell ref="AD46:AE46"/>
    <mergeCell ref="AF46:AG46"/>
    <mergeCell ref="F45:G45"/>
    <mergeCell ref="H45:I45"/>
    <mergeCell ref="J45:K45"/>
    <mergeCell ref="L45:M45"/>
    <mergeCell ref="N45:O45"/>
    <mergeCell ref="P45:Q45"/>
    <mergeCell ref="R45:S45"/>
    <mergeCell ref="T45:U45"/>
    <mergeCell ref="V44:W44"/>
    <mergeCell ref="AH43:AI43"/>
    <mergeCell ref="J43:K43"/>
    <mergeCell ref="L43:M43"/>
    <mergeCell ref="N43:O43"/>
    <mergeCell ref="P43:Q43"/>
    <mergeCell ref="R43:S43"/>
    <mergeCell ref="T43:U43"/>
    <mergeCell ref="AH45:AI45"/>
    <mergeCell ref="AJ43:AK43"/>
    <mergeCell ref="F44:G44"/>
    <mergeCell ref="H44:I44"/>
    <mergeCell ref="J44:K44"/>
    <mergeCell ref="L44:M44"/>
    <mergeCell ref="N44:O44"/>
    <mergeCell ref="P44:Q44"/>
    <mergeCell ref="R44:S44"/>
    <mergeCell ref="T44:U44"/>
    <mergeCell ref="V43:W43"/>
    <mergeCell ref="X43:Y43"/>
    <mergeCell ref="Z43:AA43"/>
    <mergeCell ref="AB43:AC43"/>
    <mergeCell ref="AD43:AE43"/>
    <mergeCell ref="AF43:AG43"/>
    <mergeCell ref="AH44:AI44"/>
    <mergeCell ref="AJ44:AK44"/>
    <mergeCell ref="X44:Y44"/>
    <mergeCell ref="Z44:AA44"/>
    <mergeCell ref="AB44:AC44"/>
    <mergeCell ref="AD44:AE44"/>
    <mergeCell ref="AF44:AG44"/>
    <mergeCell ref="F43:G43"/>
    <mergeCell ref="H43:I43"/>
    <mergeCell ref="V42:W42"/>
    <mergeCell ref="T41:U41"/>
    <mergeCell ref="AJ41:AK41"/>
    <mergeCell ref="F42:G42"/>
    <mergeCell ref="H42:I42"/>
    <mergeCell ref="J42:K42"/>
    <mergeCell ref="L42:M42"/>
    <mergeCell ref="N42:O42"/>
    <mergeCell ref="P42:Q42"/>
    <mergeCell ref="R42:S42"/>
    <mergeCell ref="T42:U42"/>
    <mergeCell ref="AH42:AI42"/>
    <mergeCell ref="AJ42:AK42"/>
    <mergeCell ref="X42:Y42"/>
    <mergeCell ref="Z42:AA42"/>
    <mergeCell ref="AB42:AC42"/>
    <mergeCell ref="AD42:AE42"/>
    <mergeCell ref="AF42:AG42"/>
    <mergeCell ref="R40:S40"/>
    <mergeCell ref="T40:U40"/>
    <mergeCell ref="AJ40:AK40"/>
    <mergeCell ref="F41:G41"/>
    <mergeCell ref="H41:I41"/>
    <mergeCell ref="J41:K41"/>
    <mergeCell ref="L41:M41"/>
    <mergeCell ref="N41:O41"/>
    <mergeCell ref="P41:Q41"/>
    <mergeCell ref="R41:S41"/>
    <mergeCell ref="F40:G40"/>
    <mergeCell ref="H40:I40"/>
    <mergeCell ref="J40:K40"/>
    <mergeCell ref="L40:M40"/>
    <mergeCell ref="N40:O40"/>
    <mergeCell ref="P40:Q40"/>
    <mergeCell ref="V32:AI41"/>
    <mergeCell ref="F33:G33"/>
    <mergeCell ref="H33:I33"/>
    <mergeCell ref="J33:K33"/>
    <mergeCell ref="L33:M33"/>
    <mergeCell ref="N33:O33"/>
    <mergeCell ref="P33:Q33"/>
    <mergeCell ref="R33:S33"/>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F35:G35"/>
    <mergeCell ref="H35:I35"/>
    <mergeCell ref="J35:K35"/>
    <mergeCell ref="L35:M35"/>
    <mergeCell ref="N35:O35"/>
    <mergeCell ref="P35:Q35"/>
    <mergeCell ref="R35:S35"/>
    <mergeCell ref="T35:U35"/>
    <mergeCell ref="H34:I34"/>
    <mergeCell ref="J34:K34"/>
    <mergeCell ref="L34:M34"/>
    <mergeCell ref="N34:O34"/>
    <mergeCell ref="P34:Q34"/>
    <mergeCell ref="R34:S34"/>
    <mergeCell ref="F31:G31"/>
    <mergeCell ref="H31:I31"/>
    <mergeCell ref="J31:K31"/>
    <mergeCell ref="L31:M31"/>
    <mergeCell ref="N31:O31"/>
    <mergeCell ref="P31:Q31"/>
    <mergeCell ref="R31:S31"/>
    <mergeCell ref="T33:U33"/>
    <mergeCell ref="F34:G34"/>
    <mergeCell ref="T31:U31"/>
    <mergeCell ref="F32:G32"/>
    <mergeCell ref="H32:I32"/>
    <mergeCell ref="J32:K32"/>
    <mergeCell ref="L32:M32"/>
    <mergeCell ref="N32:O32"/>
    <mergeCell ref="P32:Q32"/>
    <mergeCell ref="R32:S32"/>
    <mergeCell ref="T32:U32"/>
    <mergeCell ref="T34:U34"/>
    <mergeCell ref="A30:E30"/>
    <mergeCell ref="F30:G30"/>
    <mergeCell ref="H30:I30"/>
    <mergeCell ref="J30:K30"/>
    <mergeCell ref="L30:M30"/>
    <mergeCell ref="N30:O30"/>
    <mergeCell ref="A27:E27"/>
    <mergeCell ref="F27:U27"/>
    <mergeCell ref="F28:I29"/>
    <mergeCell ref="J28:M28"/>
    <mergeCell ref="N28:O29"/>
    <mergeCell ref="P28:U29"/>
    <mergeCell ref="J29:K29"/>
    <mergeCell ref="L29:M29"/>
    <mergeCell ref="P30:Q30"/>
    <mergeCell ref="R30:S30"/>
    <mergeCell ref="T30:U30"/>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F31:U52">
    <cfRule type="expression" dxfId="122" priority="2">
      <formula>F31=0</formula>
    </cfRule>
  </conditionalFormatting>
  <conditionalFormatting sqref="R55:S62">
    <cfRule type="expression" dxfId="121" priority="1" stopIfTrue="1">
      <formula>R55=0</formula>
    </cfRule>
  </conditionalFormatting>
  <conditionalFormatting sqref="V31:AK31 AJ32:AK41 V42:AK52">
    <cfRule type="expression" dxfId="120" priority="4">
      <formula>V31=0</formula>
    </cfRule>
  </conditionalFormatting>
  <conditionalFormatting sqref="V53:AK53">
    <cfRule type="expression" dxfId="119" priority="5" stopIfTrue="1">
      <formula>V53=0</formula>
    </cfRule>
  </conditionalFormatting>
  <conditionalFormatting sqref="Y56:Y62 AC56:AD62 N57 N59">
    <cfRule type="expression" dxfId="118" priority="7" stopIfTrue="1">
      <formula>N56=0</formula>
    </cfRule>
  </conditionalFormatting>
  <pageMargins left="0.7" right="0.7" top="0.75" bottom="0.75" header="0.3" footer="0.3"/>
  <pageSetup paperSize="9" scale="61" orientation="portrait" r:id="rId1"/>
  <headerFooter>
    <oddFooter>&amp;C_x000D_&amp;1#&amp;"Calibri"&amp;10&amp;K000000 Internal</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E910D-3B7F-4905-89DF-B6E87A5386C4}">
  <sheetPr>
    <tabColor rgb="FFFFC000"/>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14" width="3.7109375" style="404"/>
    <col min="15" max="15" width="6.7109375" style="404" customWidth="1"/>
    <col min="16" max="18" width="3.7109375" style="404"/>
    <col min="19" max="19" width="6.5703125" style="404" customWidth="1"/>
    <col min="20" max="23" width="3.7109375" style="404"/>
    <col min="24" max="24" width="6.28515625" style="404"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'Precom F P'!$AC$5</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tr">
        <f>'Emiss. Ops'!$I$4</f>
        <v>Normal Operations</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166</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5.737756714060031E-17</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799</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AQ16</f>
        <v>37.956295834166582</v>
      </c>
      <c r="R16" s="1144"/>
      <c r="S16" s="1145"/>
      <c r="T16" s="1073">
        <f>$AT$16</f>
        <v>2177.716061482965</v>
      </c>
      <c r="U16" s="1109"/>
      <c r="V16" s="1074"/>
      <c r="W16" s="1076" t="s">
        <v>604</v>
      </c>
      <c r="X16" s="1075"/>
      <c r="Y16" s="1077"/>
      <c r="Z16" s="1073">
        <f>$AW$16</f>
        <v>544.42901537074124</v>
      </c>
      <c r="AA16" s="1109"/>
      <c r="AB16" s="1074"/>
      <c r="AC16" s="1076" t="s">
        <v>604</v>
      </c>
      <c r="AD16" s="1075"/>
      <c r="AE16" s="1077"/>
      <c r="AF16" s="1146">
        <f>AT19</f>
        <v>762.20062151903778</v>
      </c>
      <c r="AG16" s="1147"/>
      <c r="AH16" s="1148"/>
      <c r="AI16" s="1076" t="s">
        <v>604</v>
      </c>
      <c r="AJ16" s="1075"/>
      <c r="AK16" s="1077"/>
      <c r="AL16" s="303"/>
      <c r="AM16" s="303" t="s">
        <v>605</v>
      </c>
      <c r="AN16" s="303"/>
      <c r="AO16" s="303"/>
      <c r="AP16" s="351">
        <v>1020</v>
      </c>
      <c r="AQ16" s="352">
        <f>AP16/$AR$9/$AR$7 * ((AN18+273.15)/(AN19+273.15))</f>
        <v>37.956295834166582</v>
      </c>
      <c r="AR16" s="353">
        <f>AX4</f>
        <v>0.13333333333333333</v>
      </c>
      <c r="AS16" s="354">
        <f>AR16*$AR$6/1055.06</f>
        <v>5.7374304146999541E-5</v>
      </c>
      <c r="AT16" s="355">
        <f>AS16*$Q$16*1000000</f>
        <v>2177.716061482965</v>
      </c>
      <c r="AU16" s="356">
        <f>AX5</f>
        <v>3.3333333333333333E-2</v>
      </c>
      <c r="AV16" s="354">
        <f>AU16*$AR$6/1055.06</f>
        <v>1.4343576036749885E-5</v>
      </c>
      <c r="AW16" s="355">
        <f>AV16*$Q$16*1000000</f>
        <v>544.42901537074124</v>
      </c>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4">
        <f>CO2eEF!M16</f>
        <v>16.2</v>
      </c>
      <c r="I17" s="1135"/>
      <c r="J17" s="1136"/>
      <c r="K17" s="1231">
        <f>CO2eEF!M12</f>
        <v>0.68300000000000005</v>
      </c>
      <c r="L17" s="1232"/>
      <c r="M17" s="1233"/>
      <c r="N17" s="1137">
        <f>CO2eEF!M19</f>
        <v>49.78</v>
      </c>
      <c r="O17" s="1138"/>
      <c r="P17" s="1139"/>
      <c r="Q17" s="1137">
        <f>CO2eEF!M21</f>
        <v>37.770000000000003</v>
      </c>
      <c r="R17" s="1138"/>
      <c r="S17" s="1139"/>
      <c r="T17" s="1066">
        <f>$Q17/$Q$16*T$16</f>
        <v>2167.0274676321724</v>
      </c>
      <c r="U17" s="1110"/>
      <c r="V17" s="1067"/>
      <c r="W17" s="1114">
        <f>T17/1000000/$K17</f>
        <v>3.1728074196664307E-3</v>
      </c>
      <c r="X17" s="1115"/>
      <c r="Y17" s="1116"/>
      <c r="Z17" s="1066">
        <f>$Q17/$Q$16*Z$16</f>
        <v>541.75686690804309</v>
      </c>
      <c r="AA17" s="1110"/>
      <c r="AB17" s="1067"/>
      <c r="AC17" s="1114">
        <f>Z17/1000000/$K17</f>
        <v>7.9320185491660766E-4</v>
      </c>
      <c r="AD17" s="1115"/>
      <c r="AE17" s="1116"/>
      <c r="AF17" s="1071">
        <f>$Q17/$Q$16*AF$16</f>
        <v>758.4596136712604</v>
      </c>
      <c r="AG17" s="1044"/>
      <c r="AH17" s="1072"/>
      <c r="AI17" s="1060">
        <f>AF17/1000000/$K17</f>
        <v>1.1104825968832508E-3</v>
      </c>
      <c r="AJ17" s="1059"/>
      <c r="AK17" s="1063"/>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632"/>
      <c r="O18" s="1633"/>
      <c r="P18" s="1634"/>
      <c r="Q18" s="1635"/>
      <c r="R18" s="1636"/>
      <c r="S18" s="163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716</v>
      </c>
      <c r="AA19" s="1118"/>
      <c r="AB19" s="1119"/>
      <c r="AC19" s="1117" t="s">
        <v>125</v>
      </c>
      <c r="AD19" s="1118"/>
      <c r="AE19" s="1119"/>
      <c r="AF19" s="31"/>
      <c r="AG19" s="31"/>
      <c r="AH19" s="31"/>
      <c r="AI19" s="31"/>
      <c r="AJ19" s="31"/>
      <c r="AK19" s="226"/>
      <c r="AL19" s="303"/>
      <c r="AM19" s="24" t="s">
        <v>699</v>
      </c>
      <c r="AN19" s="24">
        <v>15.6</v>
      </c>
      <c r="AO19" s="23" t="s">
        <v>609</v>
      </c>
      <c r="AP19" s="303"/>
      <c r="AQ19" s="303"/>
      <c r="AR19" s="356">
        <f>AX6</f>
        <v>4.6666666666666669E-2</v>
      </c>
      <c r="AS19" s="354">
        <f>AR19*$AR$6/1055.06</f>
        <v>2.0081006451449841E-5</v>
      </c>
      <c r="AT19" s="355">
        <f>AS19*$Q$16*1000000</f>
        <v>762.20062151903778</v>
      </c>
      <c r="AU19" s="351">
        <v>0.37446000000000002</v>
      </c>
      <c r="AV19" s="354">
        <f>AU19*$AR$6/1055.06</f>
        <v>1.6113286448164087E-4</v>
      </c>
      <c r="AW19" s="355">
        <f>AV19*$Q$16*1000000</f>
        <v>6116.0066728718339</v>
      </c>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f>AW19</f>
        <v>6116.0066728718339</v>
      </c>
      <c r="I21" s="1109"/>
      <c r="J21" s="1074"/>
      <c r="K21" s="1076" t="s">
        <v>604</v>
      </c>
      <c r="L21" s="1075"/>
      <c r="M21" s="1077"/>
      <c r="N21" s="1073">
        <f>AT25</f>
        <v>163.32870461122241</v>
      </c>
      <c r="O21" s="1109"/>
      <c r="P21" s="1074"/>
      <c r="Q21" s="1076" t="s">
        <v>604</v>
      </c>
      <c r="R21" s="1075"/>
      <c r="S21" s="1077"/>
      <c r="T21" s="1073">
        <f>AT22</f>
        <v>113.24123519711421</v>
      </c>
      <c r="U21" s="1109"/>
      <c r="V21" s="1074"/>
      <c r="W21" s="1214" t="s">
        <v>604</v>
      </c>
      <c r="X21" s="1215"/>
      <c r="Y21" s="1216"/>
      <c r="Z21" s="1073">
        <f>$AW$25</f>
        <v>57.709475629298588</v>
      </c>
      <c r="AA21" s="1109"/>
      <c r="AB21" s="1074"/>
      <c r="AC21" s="1076" t="s">
        <v>604</v>
      </c>
      <c r="AD21" s="1075"/>
      <c r="AE21" s="1077"/>
      <c r="AF21" s="300"/>
      <c r="AG21" s="31"/>
      <c r="AH21" s="302"/>
      <c r="AI21" s="31"/>
      <c r="AJ21" s="31"/>
      <c r="AK21" s="32"/>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4">
        <f>$Q17/$Q$16*H$21</f>
        <v>6085.9882914715763</v>
      </c>
      <c r="I22" s="1230"/>
      <c r="J22" s="1065"/>
      <c r="K22" s="1111">
        <f>H22/1000000/$K17</f>
        <v>8.9106709977621913E-3</v>
      </c>
      <c r="L22" s="1112"/>
      <c r="M22" s="1113"/>
      <c r="N22" s="1064">
        <f>$Q17/$Q$16*N$21</f>
        <v>162.52706007241298</v>
      </c>
      <c r="O22" s="1230"/>
      <c r="P22" s="1065"/>
      <c r="Q22" s="1638">
        <v>0</v>
      </c>
      <c r="R22" s="1639"/>
      <c r="S22" s="1640"/>
      <c r="T22" s="1123">
        <f>$Q17/$Q$16*T$21</f>
        <v>112.685428316873</v>
      </c>
      <c r="U22" s="1069"/>
      <c r="V22" s="1124"/>
      <c r="W22" s="1641">
        <f>T22/1000000/$K17</f>
        <v>1.6498598582265445E-4</v>
      </c>
      <c r="X22" s="1642"/>
      <c r="Y22" s="1643"/>
      <c r="Z22" s="1064">
        <f>$Q17/$Q$16*Z$21</f>
        <v>57.426227892252591</v>
      </c>
      <c r="AA22" s="1230"/>
      <c r="AB22" s="1065"/>
      <c r="AC22" s="1638">
        <f>Z22/1000000/$K17</f>
        <v>8.4079396621160454E-5</v>
      </c>
      <c r="AD22" s="1639"/>
      <c r="AE22" s="1640"/>
      <c r="AF22" s="31"/>
      <c r="AG22" s="31"/>
      <c r="AH22" s="31"/>
      <c r="AI22" s="31"/>
      <c r="AJ22" s="31"/>
      <c r="AK22" s="32"/>
      <c r="AL22" s="303"/>
      <c r="AM22" s="303"/>
      <c r="AN22" s="303"/>
      <c r="AO22" s="303"/>
      <c r="AP22" s="303"/>
      <c r="AQ22" s="303"/>
      <c r="AR22" s="356">
        <f>AX8</f>
        <v>6.9333333333333339E-3</v>
      </c>
      <c r="AS22" s="354">
        <f>AR22*$AR$6/1055.06</f>
        <v>2.9834638156439767E-6</v>
      </c>
      <c r="AT22" s="355">
        <f>AS22*$Q$16*1000000</f>
        <v>113.24123519711421</v>
      </c>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123"/>
      <c r="I23" s="1069"/>
      <c r="J23" s="1124"/>
      <c r="K23" s="1125"/>
      <c r="L23" s="1126"/>
      <c r="M23" s="1127"/>
      <c r="N23" s="1123"/>
      <c r="O23" s="1069"/>
      <c r="P23" s="1124"/>
      <c r="Q23" s="1125"/>
      <c r="R23" s="1126"/>
      <c r="S23" s="1127"/>
      <c r="T23" s="1123"/>
      <c r="U23" s="1069"/>
      <c r="V23" s="1124"/>
      <c r="W23" s="1125"/>
      <c r="X23" s="1126"/>
      <c r="Y23" s="1127"/>
      <c r="Z23" s="1125"/>
      <c r="AA23" s="1126"/>
      <c r="AB23" s="1127"/>
      <c r="AC23" s="1125"/>
      <c r="AD23" s="1126"/>
      <c r="AE23" s="1127"/>
      <c r="AF23" s="31"/>
      <c r="AG23" s="31"/>
      <c r="AH23" s="31"/>
      <c r="AI23" s="31"/>
      <c r="AJ23" s="31"/>
      <c r="AK23" s="32"/>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c r="I25" s="31" t="s">
        <v>590</v>
      </c>
      <c r="J25" s="31"/>
      <c r="K25" s="31"/>
      <c r="L25" s="31" t="s">
        <v>615</v>
      </c>
      <c r="M25" s="31"/>
      <c r="N25" s="31"/>
      <c r="O25" s="31"/>
      <c r="P25" s="31"/>
      <c r="Q25" s="31"/>
      <c r="R25" s="31"/>
      <c r="S25" s="32" t="s">
        <v>616</v>
      </c>
      <c r="T25" s="1092" t="str">
        <f>A17</f>
        <v>Diesel</v>
      </c>
      <c r="U25" s="1093"/>
      <c r="V25" s="1093"/>
      <c r="W25" s="1093"/>
      <c r="X25" s="1657">
        <f>32.8725*1000/365.25/24</f>
        <v>3.75</v>
      </c>
      <c r="Y25" s="1657"/>
      <c r="Z25" s="1657"/>
      <c r="AA25" s="1093" t="s">
        <v>617</v>
      </c>
      <c r="AB25" s="1093"/>
      <c r="AC25" s="1095">
        <f>X25/H17</f>
        <v>0.23148148148148148</v>
      </c>
      <c r="AD25" s="1095"/>
      <c r="AE25" s="1093" t="s">
        <v>618</v>
      </c>
      <c r="AF25" s="1093"/>
      <c r="AG25" s="1093"/>
      <c r="AH25" s="1198">
        <f>X25*N17/3600</f>
        <v>5.1854166666666666E-2</v>
      </c>
      <c r="AI25" s="1198"/>
      <c r="AJ25" s="361" t="s">
        <v>590</v>
      </c>
      <c r="AK25" s="362"/>
      <c r="AL25" s="303"/>
      <c r="AM25" s="363">
        <f>X25*W22</f>
        <v>6.1869744683495421E-4</v>
      </c>
      <c r="AN25" s="303"/>
      <c r="AO25" s="303"/>
      <c r="AP25" s="303"/>
      <c r="AQ25" s="303"/>
      <c r="AR25" s="351">
        <f>AX7</f>
        <v>0.01</v>
      </c>
      <c r="AS25" s="354">
        <f>AR25*$AR$6/1055.06</f>
        <v>4.3030728110249664E-6</v>
      </c>
      <c r="AT25" s="355">
        <f>AS25*$Q$16*1000000</f>
        <v>163.32870461122241</v>
      </c>
      <c r="AU25" s="356">
        <f>AX9</f>
        <v>3.5333333333333336E-3</v>
      </c>
      <c r="AV25" s="354">
        <f>AU25*$AR$6/1055.06</f>
        <v>1.5204190598954882E-6</v>
      </c>
      <c r="AW25" s="355">
        <f>AV25*$Q$16*1000000</f>
        <v>57.709475629298588</v>
      </c>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4.3556521766143223E-6</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t="s">
        <v>718</v>
      </c>
      <c r="B27" s="1081"/>
      <c r="C27" s="1081"/>
      <c r="D27" s="1081"/>
      <c r="E27" s="1081"/>
      <c r="F27" s="1042" t="s">
        <v>128</v>
      </c>
      <c r="G27" s="1043"/>
      <c r="H27" s="1043"/>
      <c r="I27" s="1043"/>
      <c r="J27" s="1043"/>
      <c r="K27" s="1043"/>
      <c r="L27" s="1043"/>
      <c r="M27" s="1043"/>
      <c r="N27" s="1043"/>
      <c r="O27" s="1043"/>
      <c r="P27" s="1043"/>
      <c r="Q27" s="1043"/>
      <c r="R27" s="1043"/>
      <c r="S27" s="1043"/>
      <c r="T27" s="1043"/>
      <c r="U27" s="1080"/>
      <c r="V27" s="31"/>
      <c r="W27" s="31"/>
      <c r="X27" s="426">
        <f>AH25</f>
        <v>5.1854166666666666E-2</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29">
        <v>48</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29">
        <f>X27*X28</f>
        <v>2.4889999999999999</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29">
        <f>X29*3600/1000</f>
        <v>8.9603999999999999</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196">
        <v>0</v>
      </c>
      <c r="G31" s="1197"/>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CO2eEF!M26</f>
        <v>0.99629999999999996</v>
      </c>
      <c r="G32" s="1195"/>
      <c r="H32" s="1051">
        <f>F32*$AC$25</f>
        <v>0.230625</v>
      </c>
      <c r="I32" s="1052"/>
      <c r="J32" s="1059"/>
      <c r="K32" s="1059"/>
      <c r="L32" s="1060"/>
      <c r="M32" s="1059"/>
      <c r="N32" s="1054">
        <f t="shared" si="2"/>
        <v>3.6996862500000005</v>
      </c>
      <c r="O32" s="1055"/>
      <c r="P32" s="1061">
        <f>R32/$R$53</f>
        <v>7.7646453922991651E-4</v>
      </c>
      <c r="Q32" s="1062"/>
      <c r="R32" s="1060">
        <f>T32/$AR32</f>
        <v>2.0829707169684711E-3</v>
      </c>
      <c r="S32" s="1059"/>
      <c r="T32" s="1064">
        <f>$K$22*$X$25</f>
        <v>3.3415016241608218E-2</v>
      </c>
      <c r="U32" s="1065"/>
      <c r="V32" s="1644" t="s">
        <v>840</v>
      </c>
      <c r="W32" s="1652"/>
      <c r="X32" s="1652"/>
      <c r="Y32" s="1652"/>
      <c r="Z32" s="1652"/>
      <c r="AA32" s="1652"/>
      <c r="AB32" s="1652"/>
      <c r="AC32" s="1652"/>
      <c r="AD32" s="1652"/>
      <c r="AE32" s="1652"/>
      <c r="AF32" s="1652"/>
      <c r="AG32" s="1652"/>
      <c r="AH32" s="1652"/>
      <c r="AI32" s="1652"/>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1653"/>
      <c r="W33" s="1652"/>
      <c r="X33" s="1652"/>
      <c r="Y33" s="1652"/>
      <c r="Z33" s="1652"/>
      <c r="AA33" s="1652"/>
      <c r="AB33" s="1652"/>
      <c r="AC33" s="1652"/>
      <c r="AD33" s="1652"/>
      <c r="AE33" s="1652"/>
      <c r="AF33" s="1652"/>
      <c r="AG33" s="1652"/>
      <c r="AH33" s="1652"/>
      <c r="AI33" s="1652"/>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CO2eEF!M27</f>
        <v>7.000000000000001E-4</v>
      </c>
      <c r="G34" s="1050"/>
      <c r="H34" s="1051">
        <f t="shared" si="1"/>
        <v>1.6203703703703706E-4</v>
      </c>
      <c r="I34" s="1052"/>
      <c r="J34" s="1059"/>
      <c r="K34" s="1059"/>
      <c r="L34" s="1060"/>
      <c r="M34" s="1059"/>
      <c r="N34" s="1054">
        <f t="shared" si="2"/>
        <v>4.8721296296296299E-3</v>
      </c>
      <c r="O34" s="1055"/>
      <c r="P34" s="1061">
        <f t="shared" si="10"/>
        <v>9.9655164701384683E-9</v>
      </c>
      <c r="Q34" s="1062"/>
      <c r="R34" s="1059">
        <f>T34/$AR34</f>
        <v>2.673384029533753E-8</v>
      </c>
      <c r="S34" s="1059"/>
      <c r="T34" s="1061">
        <f t="shared" si="11"/>
        <v>8.0383311000020876E-7</v>
      </c>
      <c r="U34" s="1062"/>
      <c r="V34" s="1653"/>
      <c r="W34" s="1652"/>
      <c r="X34" s="1652"/>
      <c r="Y34" s="1652"/>
      <c r="Z34" s="1652"/>
      <c r="AA34" s="1652"/>
      <c r="AB34" s="1652"/>
      <c r="AC34" s="1652"/>
      <c r="AD34" s="1652"/>
      <c r="AE34" s="1652"/>
      <c r="AF34" s="1652"/>
      <c r="AG34" s="1652"/>
      <c r="AH34" s="1652"/>
      <c r="AI34" s="1652"/>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1653"/>
      <c r="W35" s="1652"/>
      <c r="X35" s="1652"/>
      <c r="Y35" s="1652"/>
      <c r="Z35" s="1652"/>
      <c r="AA35" s="1652"/>
      <c r="AB35" s="1652"/>
      <c r="AC35" s="1652"/>
      <c r="AD35" s="1652"/>
      <c r="AE35" s="1652"/>
      <c r="AF35" s="1652"/>
      <c r="AG35" s="1652"/>
      <c r="AH35" s="1652"/>
      <c r="AI35" s="1652"/>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CO2eEF!M28</f>
        <v>2.0000000000000001E-4</v>
      </c>
      <c r="G36" s="1050"/>
      <c r="H36" s="1051">
        <f t="shared" si="1"/>
        <v>4.6296296296296301E-5</v>
      </c>
      <c r="I36" s="1052"/>
      <c r="J36" s="1059"/>
      <c r="K36" s="1059"/>
      <c r="L36" s="1060"/>
      <c r="M36" s="1059"/>
      <c r="N36" s="1054">
        <f t="shared" si="2"/>
        <v>2.041388888888889E-3</v>
      </c>
      <c r="O36" s="1055"/>
      <c r="P36" s="1061">
        <f t="shared" si="10"/>
        <v>2.8472904200395618E-9</v>
      </c>
      <c r="Q36" s="1062"/>
      <c r="R36" s="1059">
        <f t="shared" si="12"/>
        <v>7.6382400843821508E-9</v>
      </c>
      <c r="S36" s="1059"/>
      <c r="T36" s="1061">
        <f t="shared" si="11"/>
        <v>3.3680055828074654E-7</v>
      </c>
      <c r="U36" s="1062"/>
      <c r="V36" s="1653"/>
      <c r="W36" s="1652"/>
      <c r="X36" s="1652"/>
      <c r="Y36" s="1652"/>
      <c r="Z36" s="1652"/>
      <c r="AA36" s="1652"/>
      <c r="AB36" s="1652"/>
      <c r="AC36" s="1652"/>
      <c r="AD36" s="1652"/>
      <c r="AE36" s="1652"/>
      <c r="AF36" s="1652"/>
      <c r="AG36" s="1652"/>
      <c r="AH36" s="1652"/>
      <c r="AI36" s="1652"/>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1653"/>
      <c r="W37" s="1652"/>
      <c r="X37" s="1652"/>
      <c r="Y37" s="1652"/>
      <c r="Z37" s="1652"/>
      <c r="AA37" s="1652"/>
      <c r="AB37" s="1652"/>
      <c r="AC37" s="1652"/>
      <c r="AD37" s="1652"/>
      <c r="AE37" s="1652"/>
      <c r="AF37" s="1652"/>
      <c r="AG37" s="1652"/>
      <c r="AH37" s="1652"/>
      <c r="AI37" s="1652"/>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CO2eEF!M29</f>
        <v>1E-4</v>
      </c>
      <c r="G38" s="1050"/>
      <c r="H38" s="1051">
        <f t="shared" si="1"/>
        <v>2.314814814814815E-5</v>
      </c>
      <c r="I38" s="1052"/>
      <c r="J38" s="1059"/>
      <c r="K38" s="1059"/>
      <c r="L38" s="1060"/>
      <c r="M38" s="1059"/>
      <c r="N38" s="1054">
        <f t="shared" si="2"/>
        <v>1.3453703703703705E-3</v>
      </c>
      <c r="O38" s="1055"/>
      <c r="P38" s="1061">
        <f t="shared" si="10"/>
        <v>1.4236452100197809E-9</v>
      </c>
      <c r="Q38" s="1062"/>
      <c r="R38" s="1059">
        <f t="shared" si="12"/>
        <v>3.8191200421910754E-9</v>
      </c>
      <c r="S38" s="1059"/>
      <c r="T38" s="1061">
        <f t="shared" si="11"/>
        <v>2.2196725685214531E-7</v>
      </c>
      <c r="U38" s="1062"/>
      <c r="V38" s="1653"/>
      <c r="W38" s="1652"/>
      <c r="X38" s="1652"/>
      <c r="Y38" s="1652"/>
      <c r="Z38" s="1652"/>
      <c r="AA38" s="1652"/>
      <c r="AB38" s="1652"/>
      <c r="AC38" s="1652"/>
      <c r="AD38" s="1652"/>
      <c r="AE38" s="1652"/>
      <c r="AF38" s="1652"/>
      <c r="AG38" s="1652"/>
      <c r="AH38" s="1652"/>
      <c r="AI38" s="1652"/>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v>0</v>
      </c>
      <c r="G39" s="1050"/>
      <c r="H39" s="1051">
        <f t="shared" si="1"/>
        <v>0</v>
      </c>
      <c r="I39" s="1052"/>
      <c r="J39" s="1059"/>
      <c r="K39" s="1059"/>
      <c r="L39" s="1060"/>
      <c r="M39" s="1059"/>
      <c r="N39" s="1054">
        <f t="shared" si="2"/>
        <v>0</v>
      </c>
      <c r="O39" s="1055"/>
      <c r="P39" s="1061">
        <f t="shared" si="10"/>
        <v>0</v>
      </c>
      <c r="Q39" s="1062"/>
      <c r="R39" s="1059">
        <f t="shared" si="12"/>
        <v>0</v>
      </c>
      <c r="S39" s="1059"/>
      <c r="T39" s="1061">
        <f t="shared" si="11"/>
        <v>0</v>
      </c>
      <c r="U39" s="1062"/>
      <c r="V39" s="1653"/>
      <c r="W39" s="1652"/>
      <c r="X39" s="1652"/>
      <c r="Y39" s="1652"/>
      <c r="Z39" s="1652"/>
      <c r="AA39" s="1652"/>
      <c r="AB39" s="1652"/>
      <c r="AC39" s="1652"/>
      <c r="AD39" s="1652"/>
      <c r="AE39" s="1652"/>
      <c r="AF39" s="1652"/>
      <c r="AG39" s="1652"/>
      <c r="AH39" s="1652"/>
      <c r="AI39" s="1652"/>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CO2eEF!M31</f>
        <v>1E-4</v>
      </c>
      <c r="G40" s="1050"/>
      <c r="H40" s="1051">
        <f t="shared" si="1"/>
        <v>2.314814814814815E-5</v>
      </c>
      <c r="I40" s="1052"/>
      <c r="J40" s="1059"/>
      <c r="K40" s="1059"/>
      <c r="L40" s="1060"/>
      <c r="M40" s="1059"/>
      <c r="N40" s="1054">
        <f t="shared" si="2"/>
        <v>1.6700462962962964E-3</v>
      </c>
      <c r="O40" s="1055"/>
      <c r="P40" s="1061">
        <f t="shared" si="10"/>
        <v>1.4236452100197809E-9</v>
      </c>
      <c r="Q40" s="1062"/>
      <c r="R40" s="1059">
        <f t="shared" si="12"/>
        <v>3.8191200421910754E-9</v>
      </c>
      <c r="S40" s="1059"/>
      <c r="T40" s="1061">
        <f t="shared" si="11"/>
        <v>2.7553423456391731E-7</v>
      </c>
      <c r="U40" s="1062"/>
      <c r="V40" s="1653"/>
      <c r="W40" s="1652"/>
      <c r="X40" s="1652"/>
      <c r="Y40" s="1652"/>
      <c r="Z40" s="1652"/>
      <c r="AA40" s="1652"/>
      <c r="AB40" s="1652"/>
      <c r="AC40" s="1652"/>
      <c r="AD40" s="1652"/>
      <c r="AE40" s="1652"/>
      <c r="AF40" s="1652"/>
      <c r="AG40" s="1652"/>
      <c r="AH40" s="1652"/>
      <c r="AI40" s="1652"/>
      <c r="AJ40" s="1069"/>
      <c r="AK40" s="1124"/>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CO2eEF!M33</f>
        <v>1E-4</v>
      </c>
      <c r="G41" s="1050"/>
      <c r="H41" s="1051">
        <f t="shared" si="1"/>
        <v>2.314814814814815E-5</v>
      </c>
      <c r="I41" s="1052"/>
      <c r="J41" s="1059"/>
      <c r="K41" s="1059"/>
      <c r="L41" s="1060"/>
      <c r="M41" s="1059"/>
      <c r="N41" s="1054">
        <f t="shared" si="2"/>
        <v>1.6700462962962964E-3</v>
      </c>
      <c r="O41" s="1055"/>
      <c r="P41" s="1061">
        <f t="shared" si="10"/>
        <v>1.4236452100197809E-9</v>
      </c>
      <c r="Q41" s="1062"/>
      <c r="R41" s="1059">
        <f t="shared" si="12"/>
        <v>3.8191200421910754E-9</v>
      </c>
      <c r="S41" s="1059"/>
      <c r="T41" s="1061">
        <f t="shared" si="11"/>
        <v>2.7553423456391731E-7</v>
      </c>
      <c r="U41" s="1062"/>
      <c r="V41" s="1653"/>
      <c r="W41" s="1652"/>
      <c r="X41" s="1652"/>
      <c r="Y41" s="1652"/>
      <c r="Z41" s="1652"/>
      <c r="AA41" s="1652"/>
      <c r="AB41" s="1652"/>
      <c r="AC41" s="1652"/>
      <c r="AD41" s="1652"/>
      <c r="AE41" s="1652"/>
      <c r="AF41" s="1652"/>
      <c r="AG41" s="1652"/>
      <c r="AH41" s="1652"/>
      <c r="AI41" s="1652"/>
      <c r="AJ41" s="1069"/>
      <c r="AK41" s="1124"/>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721</v>
      </c>
      <c r="B42" s="376"/>
      <c r="C42" s="376"/>
      <c r="D42" s="376"/>
      <c r="E42" s="377"/>
      <c r="F42" s="1049">
        <f>CO2eEF!M39</f>
        <v>2.0000000000000001E-4</v>
      </c>
      <c r="G42" s="1050"/>
      <c r="H42" s="1064">
        <f t="shared" si="1"/>
        <v>4.6296296296296301E-5</v>
      </c>
      <c r="I42" s="1065"/>
      <c r="J42" s="1059"/>
      <c r="K42" s="1059"/>
      <c r="L42" s="1060"/>
      <c r="M42" s="1059"/>
      <c r="N42" s="1054">
        <f t="shared" si="2"/>
        <v>1.4801152777777779E-2</v>
      </c>
      <c r="O42" s="1055"/>
      <c r="P42" s="1061">
        <f t="shared" si="10"/>
        <v>2.8472904200395618E-9</v>
      </c>
      <c r="Q42" s="1062"/>
      <c r="R42" s="1059">
        <f t="shared" si="12"/>
        <v>7.6382400843821508E-9</v>
      </c>
      <c r="S42" s="1059"/>
      <c r="T42" s="1061">
        <f t="shared" si="11"/>
        <v>2.4419827823533873E-6</v>
      </c>
      <c r="U42" s="1062"/>
      <c r="V42" s="1032"/>
      <c r="W42" s="1032"/>
      <c r="X42" s="1033"/>
      <c r="Y42" s="1033"/>
      <c r="Z42" s="1032"/>
      <c r="AA42" s="1032"/>
      <c r="AB42" s="1032"/>
      <c r="AC42" s="1032"/>
      <c r="AD42" s="1033"/>
      <c r="AE42" s="1033"/>
      <c r="AF42" s="1047"/>
      <c r="AG42" s="1047"/>
      <c r="AH42" s="1032"/>
      <c r="AI42" s="1032"/>
      <c r="AJ42" s="1048"/>
      <c r="AK42" s="105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654" t="s">
        <v>720</v>
      </c>
      <c r="W43" s="1655"/>
      <c r="X43" s="1656"/>
      <c r="Y43" s="1656"/>
      <c r="Z43" s="1656"/>
      <c r="AA43" s="1656"/>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48"/>
      <c r="Y44" s="1048"/>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0.46416550925925926</v>
      </c>
      <c r="K45" s="1070"/>
      <c r="L45" s="1060">
        <f>0.15*J45</f>
        <v>6.962482638888888E-2</v>
      </c>
      <c r="M45" s="1059"/>
      <c r="N45" s="1066">
        <f t="shared" si="2"/>
        <v>17.081290740740741</v>
      </c>
      <c r="O45" s="1067"/>
      <c r="P45" s="1061">
        <f t="shared" si="10"/>
        <v>2.7507006010104494E-2</v>
      </c>
      <c r="Q45" s="1062"/>
      <c r="R45" s="1059">
        <f>L45+SUMPRODUCT(R32:R44,$AS32:$AS44)</f>
        <v>7.3791248840995138E-2</v>
      </c>
      <c r="S45" s="1059"/>
      <c r="T45" s="1071">
        <f>R45*$AR45</f>
        <v>2.3613199629118444</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CO2eEF!M24</f>
        <v>1.5E-3</v>
      </c>
      <c r="G46" s="1195"/>
      <c r="H46" s="1061">
        <f t="shared" si="1"/>
        <v>3.4722222222222224E-4</v>
      </c>
      <c r="I46" s="1062"/>
      <c r="J46" s="1059">
        <f>0.79/0.21*J45</f>
        <v>1.7461464395943564</v>
      </c>
      <c r="K46" s="1063"/>
      <c r="L46" s="1060">
        <f>0.71/0.29*L45</f>
        <v>0.17046078184865901</v>
      </c>
      <c r="M46" s="1059"/>
      <c r="N46" s="1066">
        <f>SUM(H46,J46,L46)*AR46</f>
        <v>53.674724422626653</v>
      </c>
      <c r="O46" s="1067"/>
      <c r="P46" s="1064">
        <f t="shared" si="10"/>
        <v>0.71448259065329089</v>
      </c>
      <c r="Q46" s="1065"/>
      <c r="R46" s="1064">
        <f>$H46+J46+L46-R49</f>
        <v>1.9166957908864606</v>
      </c>
      <c r="S46" s="1065"/>
      <c r="T46" s="1066">
        <f>R46*$AR46</f>
        <v>53.667482144820895</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3.9585883479664617E-5</v>
      </c>
      <c r="Q47" s="1062"/>
      <c r="R47" s="1059">
        <f>T47/$AR$47</f>
        <v>1.0619446468894248E-4</v>
      </c>
      <c r="S47" s="1059"/>
      <c r="T47" s="1064">
        <f>$AC17*$X25</f>
        <v>2.9745069559372786E-3</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CO2eEF!M25</f>
        <v>8.0000000000000004E-4</v>
      </c>
      <c r="G48" s="1195"/>
      <c r="H48" s="1061">
        <f t="shared" si="1"/>
        <v>1.851851851851852E-4</v>
      </c>
      <c r="I48" s="1062"/>
      <c r="J48" s="1059"/>
      <c r="K48" s="1059"/>
      <c r="L48" s="1060"/>
      <c r="M48" s="1059"/>
      <c r="N48" s="1061">
        <f t="shared" si="2"/>
        <v>8.150000000000001E-3</v>
      </c>
      <c r="O48" s="1062"/>
      <c r="P48" s="1064">
        <f t="shared" si="10"/>
        <v>8.5906726404760381E-2</v>
      </c>
      <c r="Q48" s="1065"/>
      <c r="R48" s="1068">
        <f>SUMPRODUCT($H31:$H52,$AU31:$AU52)+$H48-R47-SUMPRODUCT(R32:R42,$AU32:$AU42)</f>
        <v>0.23045636529545657</v>
      </c>
      <c r="S48" s="1059"/>
      <c r="T48" s="1066">
        <f>R48*$AR48</f>
        <v>10.142384636653043</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9.6417443153513541E-5</v>
      </c>
      <c r="Q49" s="1062"/>
      <c r="R49" s="1060">
        <f>T49/$AR49</f>
        <v>2.5865277877715464E-4</v>
      </c>
      <c r="S49" s="1063"/>
      <c r="T49" s="1064">
        <f>$W17*$X25</f>
        <v>1.1898027823749114E-2</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0</v>
      </c>
      <c r="Q51" s="1062"/>
      <c r="R51" s="1066">
        <f>T51/$AR51</f>
        <v>0</v>
      </c>
      <c r="S51" s="1067"/>
      <c r="T51" s="1060">
        <f>Q22*X25</f>
        <v>0</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193">
        <v>0</v>
      </c>
      <c r="G52" s="1194"/>
      <c r="H52" s="1051">
        <f t="shared" si="1"/>
        <v>0</v>
      </c>
      <c r="I52" s="1052"/>
      <c r="J52" s="1032"/>
      <c r="K52" s="1032"/>
      <c r="L52" s="1053"/>
      <c r="M52" s="1032"/>
      <c r="N52" s="1054">
        <f t="shared" si="2"/>
        <v>0</v>
      </c>
      <c r="O52" s="1055"/>
      <c r="P52" s="1056">
        <f t="shared" si="10"/>
        <v>0.1711911891349481</v>
      </c>
      <c r="Q52" s="1057"/>
      <c r="R52" s="1044">
        <f>SUMPRODUCT(H31:H52,$AV31:$AV52)+H52-SUMPRODUCT(R32:R42,$AV32:$AV42)</f>
        <v>0.45924342446438537</v>
      </c>
      <c r="S52" s="1044"/>
      <c r="T52" s="1045">
        <f>R52*$AR52</f>
        <v>8.2737295351503661</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0.99999999999999989</v>
      </c>
      <c r="G53" s="1038"/>
      <c r="H53" s="1039">
        <f>SUM(H31:H52)</f>
        <v>0.23148148148148151</v>
      </c>
      <c r="I53" s="1040"/>
      <c r="J53" s="1041">
        <f>SUM(J31:J52)</f>
        <v>2.2103119488536156</v>
      </c>
      <c r="K53" s="1041"/>
      <c r="L53" s="1042">
        <f>SUM(L31:L52)</f>
        <v>0.24008560823754788</v>
      </c>
      <c r="M53" s="1043"/>
      <c r="N53" s="1030">
        <f>SUM(N31:N52)</f>
        <v>74.490251547626656</v>
      </c>
      <c r="O53" s="1031"/>
      <c r="P53" s="1028">
        <f>SUM(P31:P52)</f>
        <v>0.99999999999999989</v>
      </c>
      <c r="Q53" s="1029"/>
      <c r="R53" s="1030">
        <f>SUM(R31:R52)</f>
        <v>2.682634700915413</v>
      </c>
      <c r="S53" s="1031"/>
      <c r="T53" s="1030">
        <f>SUM(T31:T52)</f>
        <v>74.493208186209614</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3.3050077288191986E-3</v>
      </c>
      <c r="M55" s="1186"/>
      <c r="N55" s="1192">
        <f>W17*$X$25</f>
        <v>1.1898027823749114E-2</v>
      </c>
      <c r="O55" s="1192"/>
      <c r="P55" s="31" t="s">
        <v>617</v>
      </c>
      <c r="Q55" s="31"/>
      <c r="R55" s="1658">
        <f>N55*2*24/1000</f>
        <v>5.711053355399575E-4</v>
      </c>
      <c r="S55" s="1658"/>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436">
        <f t="shared" ref="L56:L61" si="13">N56*1000/3600</f>
        <v>8.2625193220479964E-4</v>
      </c>
      <c r="M56" s="1437"/>
      <c r="N56" s="1192">
        <f>AC17*$X$25</f>
        <v>2.9745069559372786E-3</v>
      </c>
      <c r="O56" s="1192"/>
      <c r="P56" s="31" t="s">
        <v>617</v>
      </c>
      <c r="Q56" s="31"/>
      <c r="R56" s="1659">
        <f t="shared" ref="R56:R61" si="14">N56*2*24/1000</f>
        <v>1.4277633388498938E-4</v>
      </c>
      <c r="S56" s="1659"/>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436">
        <f t="shared" si="13"/>
        <v>1.1567527050867195E-3</v>
      </c>
      <c r="M57" s="1437"/>
      <c r="N57" s="1192">
        <f>AI17*$X$25</f>
        <v>4.1643097383121906E-3</v>
      </c>
      <c r="O57" s="1192"/>
      <c r="P57" s="31" t="s">
        <v>617</v>
      </c>
      <c r="Q57" s="31"/>
      <c r="R57" s="1659">
        <f t="shared" si="14"/>
        <v>1.9988686743898515E-4</v>
      </c>
      <c r="S57" s="1659"/>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436">
        <f t="shared" si="13"/>
        <v>9.2819489560022842E-3</v>
      </c>
      <c r="M58" s="1437"/>
      <c r="N58" s="1191">
        <f>K22*$X$25</f>
        <v>3.3415016241608218E-2</v>
      </c>
      <c r="O58" s="1191"/>
      <c r="P58" s="31" t="s">
        <v>617</v>
      </c>
      <c r="Q58" s="31"/>
      <c r="R58" s="1660">
        <f t="shared" si="14"/>
        <v>1.6039207795971943E-3</v>
      </c>
      <c r="S58" s="1660"/>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436">
        <f t="shared" si="13"/>
        <v>1.7186040189859838E-4</v>
      </c>
      <c r="M59" s="1437"/>
      <c r="N59" s="1192">
        <f>X25*W22</f>
        <v>6.1869744683495421E-4</v>
      </c>
      <c r="O59" s="1192"/>
      <c r="P59" s="31" t="s">
        <v>617</v>
      </c>
      <c r="Q59" s="31"/>
      <c r="R59" s="1660">
        <f t="shared" si="14"/>
        <v>2.9697477448077805E-5</v>
      </c>
      <c r="S59" s="1660"/>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0</v>
      </c>
      <c r="M60" s="1186"/>
      <c r="N60" s="1191">
        <f>Q22*$X$25</f>
        <v>0</v>
      </c>
      <c r="O60" s="1191"/>
      <c r="P60" s="31" t="s">
        <v>617</v>
      </c>
      <c r="Q60" s="31"/>
      <c r="R60" s="1660">
        <f t="shared" si="14"/>
        <v>0</v>
      </c>
      <c r="S60" s="1660"/>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8.7582704813708796E-5</v>
      </c>
      <c r="M61" s="1186"/>
      <c r="N61" s="1191">
        <f>AC22*$X$25</f>
        <v>3.1529773732935168E-4</v>
      </c>
      <c r="O61" s="1191"/>
      <c r="P61" s="31" t="s">
        <v>617</v>
      </c>
      <c r="Q61" s="31"/>
      <c r="R61" s="1660">
        <f t="shared" si="14"/>
        <v>1.5134291391808882E-5</v>
      </c>
      <c r="S61" s="1660"/>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436">
        <f>O62*1000/3600</f>
        <v>2.8467147571118256</v>
      </c>
      <c r="M62" s="1437"/>
      <c r="N62" s="31"/>
      <c r="O62" s="428">
        <f>X25*CO2eEF!I28</f>
        <v>10.248173125602573</v>
      </c>
      <c r="P62" s="395" t="s">
        <v>617</v>
      </c>
      <c r="Q62" s="395"/>
      <c r="R62" s="1291">
        <f>O62*2*24/1000</f>
        <v>0.49191231002892349</v>
      </c>
      <c r="S62" s="1291"/>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722</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33</v>
      </c>
      <c r="B65" s="31" t="s">
        <v>723</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724</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415" t="s">
        <v>38</v>
      </c>
      <c r="B67" s="31" t="s">
        <v>725</v>
      </c>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82" t="s">
        <v>41</v>
      </c>
      <c r="B68" s="284" t="s">
        <v>726</v>
      </c>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RSe1isJ4emp4YxqNr+GNvYttB2LXhT6AwLWjeNCnrDQBN1TGrSp8GGFSGYkdD6sTuVofsddcK+03bGFgLmj85g==" saltValue="rJYtHwioh/WPmU0pgK/52g==" spinCount="100000" sheet="1" objects="1" scenarios="1" selectLockedCells="1" selectUnlockedCells="1"/>
  <mergeCells count="457">
    <mergeCell ref="L62:M62"/>
    <mergeCell ref="R62:S62"/>
    <mergeCell ref="AE59:AF59"/>
    <mergeCell ref="L60:M60"/>
    <mergeCell ref="N60:O60"/>
    <mergeCell ref="R60:S60"/>
    <mergeCell ref="L61:M61"/>
    <mergeCell ref="N61:O61"/>
    <mergeCell ref="R61:S61"/>
    <mergeCell ref="AE57:AF57"/>
    <mergeCell ref="L58:M58"/>
    <mergeCell ref="N58:O58"/>
    <mergeCell ref="R58:S58"/>
    <mergeCell ref="L59:M59"/>
    <mergeCell ref="N59:O59"/>
    <mergeCell ref="R59:S59"/>
    <mergeCell ref="T59:U59"/>
    <mergeCell ref="Y59:Z59"/>
    <mergeCell ref="AC59:AD59"/>
    <mergeCell ref="L56:M56"/>
    <mergeCell ref="N56:O56"/>
    <mergeCell ref="R56:S56"/>
    <mergeCell ref="L57:M57"/>
    <mergeCell ref="N57:O57"/>
    <mergeCell ref="R57:S57"/>
    <mergeCell ref="T57:U57"/>
    <mergeCell ref="Y57:Z57"/>
    <mergeCell ref="AC57:AD57"/>
    <mergeCell ref="AF53:AG53"/>
    <mergeCell ref="AH53:AI53"/>
    <mergeCell ref="AJ53:AK53"/>
    <mergeCell ref="L54:M54"/>
    <mergeCell ref="L55:M55"/>
    <mergeCell ref="N55:O55"/>
    <mergeCell ref="R55:S55"/>
    <mergeCell ref="T55:U55"/>
    <mergeCell ref="Y55:Z55"/>
    <mergeCell ref="AC55:AD55"/>
    <mergeCell ref="T53:U53"/>
    <mergeCell ref="V53:W53"/>
    <mergeCell ref="X53:Y53"/>
    <mergeCell ref="Z53:AA53"/>
    <mergeCell ref="AB53:AC53"/>
    <mergeCell ref="AD53:AE53"/>
    <mergeCell ref="AE55:AF55"/>
    <mergeCell ref="A53:E53"/>
    <mergeCell ref="F53:G53"/>
    <mergeCell ref="H53:I53"/>
    <mergeCell ref="J53:K53"/>
    <mergeCell ref="L53:M53"/>
    <mergeCell ref="N53:O53"/>
    <mergeCell ref="P53:Q53"/>
    <mergeCell ref="R53:S53"/>
    <mergeCell ref="V52:W52"/>
    <mergeCell ref="AJ51:AK51"/>
    <mergeCell ref="F52:G52"/>
    <mergeCell ref="H52:I52"/>
    <mergeCell ref="J52:K52"/>
    <mergeCell ref="L52:M52"/>
    <mergeCell ref="N52:O52"/>
    <mergeCell ref="P52:Q52"/>
    <mergeCell ref="R52:S52"/>
    <mergeCell ref="T52:U52"/>
    <mergeCell ref="V51:W51"/>
    <mergeCell ref="X51:Y51"/>
    <mergeCell ref="Z51:AA51"/>
    <mergeCell ref="AB51:AC51"/>
    <mergeCell ref="AD51:AE51"/>
    <mergeCell ref="AF51:AG51"/>
    <mergeCell ref="AH52:AI52"/>
    <mergeCell ref="AJ52:AK52"/>
    <mergeCell ref="X52:Y52"/>
    <mergeCell ref="Z52:AA52"/>
    <mergeCell ref="AB52:AC52"/>
    <mergeCell ref="AD52:AE52"/>
    <mergeCell ref="AF52:AG52"/>
    <mergeCell ref="F51:G51"/>
    <mergeCell ref="H51:I51"/>
    <mergeCell ref="J51:K51"/>
    <mergeCell ref="L51:M51"/>
    <mergeCell ref="N51:O51"/>
    <mergeCell ref="P51:Q51"/>
    <mergeCell ref="R51:S51"/>
    <mergeCell ref="T51:U51"/>
    <mergeCell ref="V50:W50"/>
    <mergeCell ref="AH49:AI49"/>
    <mergeCell ref="J49:K49"/>
    <mergeCell ref="L49:M49"/>
    <mergeCell ref="N49:O49"/>
    <mergeCell ref="P49:Q49"/>
    <mergeCell ref="R49:S49"/>
    <mergeCell ref="T49:U49"/>
    <mergeCell ref="AH51:AI51"/>
    <mergeCell ref="AJ49:AK49"/>
    <mergeCell ref="F50:G50"/>
    <mergeCell ref="H50:I50"/>
    <mergeCell ref="J50:K50"/>
    <mergeCell ref="L50:M50"/>
    <mergeCell ref="N50:O50"/>
    <mergeCell ref="P50:Q50"/>
    <mergeCell ref="R50:S50"/>
    <mergeCell ref="T50:U50"/>
    <mergeCell ref="V49:W49"/>
    <mergeCell ref="X49:Y49"/>
    <mergeCell ref="Z49:AA49"/>
    <mergeCell ref="AB49:AC49"/>
    <mergeCell ref="AD49:AE49"/>
    <mergeCell ref="AF49:AG49"/>
    <mergeCell ref="AH50:AI50"/>
    <mergeCell ref="AJ50:AK50"/>
    <mergeCell ref="X50:Y50"/>
    <mergeCell ref="Z50:AA50"/>
    <mergeCell ref="AB50:AC50"/>
    <mergeCell ref="AD50:AE50"/>
    <mergeCell ref="AF50:AG50"/>
    <mergeCell ref="F49:G49"/>
    <mergeCell ref="H49:I49"/>
    <mergeCell ref="V48:W48"/>
    <mergeCell ref="AH47:AI47"/>
    <mergeCell ref="AJ47:AK47"/>
    <mergeCell ref="F48:G48"/>
    <mergeCell ref="H48:I48"/>
    <mergeCell ref="J48:K48"/>
    <mergeCell ref="L48:M48"/>
    <mergeCell ref="N48:O48"/>
    <mergeCell ref="P48:Q48"/>
    <mergeCell ref="R48:S48"/>
    <mergeCell ref="T48:U48"/>
    <mergeCell ref="V47:W47"/>
    <mergeCell ref="X47:Y47"/>
    <mergeCell ref="Z47:AA47"/>
    <mergeCell ref="AB47:AC47"/>
    <mergeCell ref="AD47:AE47"/>
    <mergeCell ref="AF47:AG47"/>
    <mergeCell ref="AH48:AI48"/>
    <mergeCell ref="AJ48:AK48"/>
    <mergeCell ref="X48:Y48"/>
    <mergeCell ref="Z48:AA48"/>
    <mergeCell ref="AB48:AC48"/>
    <mergeCell ref="AD48:AE48"/>
    <mergeCell ref="AF48:AG48"/>
    <mergeCell ref="F47:G47"/>
    <mergeCell ref="H47:I47"/>
    <mergeCell ref="J47:K47"/>
    <mergeCell ref="L47:M47"/>
    <mergeCell ref="N47:O47"/>
    <mergeCell ref="P47:Q47"/>
    <mergeCell ref="R47:S47"/>
    <mergeCell ref="T47:U47"/>
    <mergeCell ref="V46:W46"/>
    <mergeCell ref="AJ45:AK45"/>
    <mergeCell ref="F46:G46"/>
    <mergeCell ref="H46:I46"/>
    <mergeCell ref="J46:K46"/>
    <mergeCell ref="L46:M46"/>
    <mergeCell ref="N46:O46"/>
    <mergeCell ref="P46:Q46"/>
    <mergeCell ref="R46:S46"/>
    <mergeCell ref="T46:U46"/>
    <mergeCell ref="V45:W45"/>
    <mergeCell ref="X45:Y45"/>
    <mergeCell ref="Z45:AA45"/>
    <mergeCell ref="AB45:AC45"/>
    <mergeCell ref="AD45:AE45"/>
    <mergeCell ref="AF45:AG45"/>
    <mergeCell ref="AH46:AI46"/>
    <mergeCell ref="AJ46:AK46"/>
    <mergeCell ref="X46:Y46"/>
    <mergeCell ref="Z46:AA46"/>
    <mergeCell ref="AB46:AC46"/>
    <mergeCell ref="AD46:AE46"/>
    <mergeCell ref="AF46:AG46"/>
    <mergeCell ref="F45:G45"/>
    <mergeCell ref="H45:I45"/>
    <mergeCell ref="J45:K45"/>
    <mergeCell ref="L45:M45"/>
    <mergeCell ref="N45:O45"/>
    <mergeCell ref="P45:Q45"/>
    <mergeCell ref="R45:S45"/>
    <mergeCell ref="T45:U45"/>
    <mergeCell ref="V44:W44"/>
    <mergeCell ref="AH43:AI43"/>
    <mergeCell ref="P43:Q43"/>
    <mergeCell ref="R43:S43"/>
    <mergeCell ref="T43:U43"/>
    <mergeCell ref="AH45:AI45"/>
    <mergeCell ref="AJ43:AK43"/>
    <mergeCell ref="F44:G44"/>
    <mergeCell ref="H44:I44"/>
    <mergeCell ref="J44:K44"/>
    <mergeCell ref="L44:M44"/>
    <mergeCell ref="N44:O44"/>
    <mergeCell ref="P44:Q44"/>
    <mergeCell ref="R44:S44"/>
    <mergeCell ref="T44:U44"/>
    <mergeCell ref="AB43:AC43"/>
    <mergeCell ref="AD43:AE43"/>
    <mergeCell ref="AF43:AG43"/>
    <mergeCell ref="AH44:AI44"/>
    <mergeCell ref="AJ44:AK44"/>
    <mergeCell ref="X44:Y44"/>
    <mergeCell ref="Z44:AA44"/>
    <mergeCell ref="AB44:AC44"/>
    <mergeCell ref="AD44:AE44"/>
    <mergeCell ref="AF44:AG44"/>
    <mergeCell ref="F43:G43"/>
    <mergeCell ref="H43:I43"/>
    <mergeCell ref="J43:K43"/>
    <mergeCell ref="L43:M43"/>
    <mergeCell ref="N43:O43"/>
    <mergeCell ref="V42:W42"/>
    <mergeCell ref="T41:U41"/>
    <mergeCell ref="AJ41:AK41"/>
    <mergeCell ref="F42:G42"/>
    <mergeCell ref="H42:I42"/>
    <mergeCell ref="J42:K42"/>
    <mergeCell ref="L42:M42"/>
    <mergeCell ref="N42:O42"/>
    <mergeCell ref="P42:Q42"/>
    <mergeCell ref="R42:S42"/>
    <mergeCell ref="T42:U42"/>
    <mergeCell ref="AH42:AI42"/>
    <mergeCell ref="AJ42:AK42"/>
    <mergeCell ref="X42:Y42"/>
    <mergeCell ref="Z42:AA42"/>
    <mergeCell ref="AB42:AC42"/>
    <mergeCell ref="AD42:AE42"/>
    <mergeCell ref="AF42:AG42"/>
    <mergeCell ref="R40:S40"/>
    <mergeCell ref="T40:U40"/>
    <mergeCell ref="AJ40:AK40"/>
    <mergeCell ref="F41:G41"/>
    <mergeCell ref="H41:I41"/>
    <mergeCell ref="J41:K41"/>
    <mergeCell ref="L41:M41"/>
    <mergeCell ref="N41:O41"/>
    <mergeCell ref="P41:Q41"/>
    <mergeCell ref="R41:S41"/>
    <mergeCell ref="F40:G40"/>
    <mergeCell ref="H40:I40"/>
    <mergeCell ref="J40:K40"/>
    <mergeCell ref="L40:M40"/>
    <mergeCell ref="N40:O40"/>
    <mergeCell ref="P40:Q40"/>
    <mergeCell ref="V32:AI41"/>
    <mergeCell ref="F33:G33"/>
    <mergeCell ref="H33:I33"/>
    <mergeCell ref="J33:K33"/>
    <mergeCell ref="L33:M33"/>
    <mergeCell ref="N33:O33"/>
    <mergeCell ref="P33:Q33"/>
    <mergeCell ref="R33:S33"/>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F35:G35"/>
    <mergeCell ref="H35:I35"/>
    <mergeCell ref="J35:K35"/>
    <mergeCell ref="L35:M35"/>
    <mergeCell ref="N35:O35"/>
    <mergeCell ref="P35:Q35"/>
    <mergeCell ref="R35:S35"/>
    <mergeCell ref="T35:U35"/>
    <mergeCell ref="H34:I34"/>
    <mergeCell ref="J34:K34"/>
    <mergeCell ref="L34:M34"/>
    <mergeCell ref="N34:O34"/>
    <mergeCell ref="P34:Q34"/>
    <mergeCell ref="R34:S34"/>
    <mergeCell ref="F31:G31"/>
    <mergeCell ref="H31:I31"/>
    <mergeCell ref="J31:K31"/>
    <mergeCell ref="L31:M31"/>
    <mergeCell ref="N31:O31"/>
    <mergeCell ref="P31:Q31"/>
    <mergeCell ref="R31:S31"/>
    <mergeCell ref="T33:U33"/>
    <mergeCell ref="F34:G34"/>
    <mergeCell ref="T31:U31"/>
    <mergeCell ref="F32:G32"/>
    <mergeCell ref="H32:I32"/>
    <mergeCell ref="J32:K32"/>
    <mergeCell ref="L32:M32"/>
    <mergeCell ref="N32:O32"/>
    <mergeCell ref="P32:Q32"/>
    <mergeCell ref="R32:S32"/>
    <mergeCell ref="T32:U32"/>
    <mergeCell ref="T34:U34"/>
    <mergeCell ref="A30:E30"/>
    <mergeCell ref="F30:G30"/>
    <mergeCell ref="H30:I30"/>
    <mergeCell ref="J30:K30"/>
    <mergeCell ref="L30:M30"/>
    <mergeCell ref="N30:O30"/>
    <mergeCell ref="A27:E27"/>
    <mergeCell ref="F27:U27"/>
    <mergeCell ref="F28:I29"/>
    <mergeCell ref="J28:M28"/>
    <mergeCell ref="N28:O29"/>
    <mergeCell ref="P28:U29"/>
    <mergeCell ref="J29:K29"/>
    <mergeCell ref="L29:M29"/>
    <mergeCell ref="P30:Q30"/>
    <mergeCell ref="R30:S30"/>
    <mergeCell ref="T30:U30"/>
    <mergeCell ref="H21:J21"/>
    <mergeCell ref="K21:M21"/>
    <mergeCell ref="N21:P21"/>
    <mergeCell ref="Q21:S21"/>
    <mergeCell ref="T21:V21"/>
    <mergeCell ref="W21:Y21"/>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0:J20"/>
    <mergeCell ref="K20:M20"/>
    <mergeCell ref="N20:P20"/>
    <mergeCell ref="Q20:S20"/>
    <mergeCell ref="T20:V20"/>
    <mergeCell ref="W20:Y20"/>
    <mergeCell ref="Z20:AB20"/>
    <mergeCell ref="AC20:AE20"/>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AI18:AK18"/>
    <mergeCell ref="H19:J19"/>
    <mergeCell ref="K19:M19"/>
    <mergeCell ref="N19:P19"/>
    <mergeCell ref="Q19:S19"/>
    <mergeCell ref="T19:V19"/>
    <mergeCell ref="W19:Y19"/>
    <mergeCell ref="Z19:AB19"/>
    <mergeCell ref="AC19:AE19"/>
    <mergeCell ref="H18:J18"/>
    <mergeCell ref="K18:M18"/>
    <mergeCell ref="N18:P18"/>
    <mergeCell ref="Q18:S18"/>
    <mergeCell ref="T18:V18"/>
    <mergeCell ref="W18:Y18"/>
    <mergeCell ref="Z18:AB18"/>
    <mergeCell ref="AC18:AE18"/>
    <mergeCell ref="AF18:AH18"/>
    <mergeCell ref="AI16:AK16"/>
    <mergeCell ref="H17:J17"/>
    <mergeCell ref="K17:M17"/>
    <mergeCell ref="N17:P17"/>
    <mergeCell ref="Q17:S17"/>
    <mergeCell ref="T17:V17"/>
    <mergeCell ref="W17:Y17"/>
    <mergeCell ref="Z17:AB17"/>
    <mergeCell ref="AC17:AE17"/>
    <mergeCell ref="AF17:AH17"/>
    <mergeCell ref="AI17:AK17"/>
    <mergeCell ref="H16:J16"/>
    <mergeCell ref="K16:M16"/>
    <mergeCell ref="N16:P16"/>
    <mergeCell ref="Q16:S16"/>
    <mergeCell ref="T16:V16"/>
    <mergeCell ref="W16:Y16"/>
    <mergeCell ref="Z16:AB16"/>
    <mergeCell ref="AC16:AE16"/>
    <mergeCell ref="AF16:AH16"/>
    <mergeCell ref="Q14:S14"/>
    <mergeCell ref="T14:V14"/>
    <mergeCell ref="W14:Y14"/>
    <mergeCell ref="Z14:AB14"/>
    <mergeCell ref="AC14:AE14"/>
    <mergeCell ref="AF14:AH14"/>
    <mergeCell ref="AI14:AK14"/>
    <mergeCell ref="H15:J15"/>
    <mergeCell ref="K15:M15"/>
    <mergeCell ref="N15:P15"/>
    <mergeCell ref="Q15:S15"/>
    <mergeCell ref="T15:V15"/>
    <mergeCell ref="W15:Y15"/>
    <mergeCell ref="Z15:AB15"/>
    <mergeCell ref="AC15:AE15"/>
    <mergeCell ref="AF15:AH15"/>
    <mergeCell ref="AI15:AK15"/>
    <mergeCell ref="A1:AK4"/>
    <mergeCell ref="A5:G5"/>
    <mergeCell ref="Y5:AB5"/>
    <mergeCell ref="AC5:AK5"/>
    <mergeCell ref="A6:G6"/>
    <mergeCell ref="Y6:AB6"/>
    <mergeCell ref="AC6:AK6"/>
    <mergeCell ref="V43:AA43"/>
    <mergeCell ref="A7:G7"/>
    <mergeCell ref="Y7:AB7"/>
    <mergeCell ref="A8:G9"/>
    <mergeCell ref="H8:AK9"/>
    <mergeCell ref="A10:H10"/>
    <mergeCell ref="I10:X10"/>
    <mergeCell ref="Y10:AB10"/>
    <mergeCell ref="AC10:AE10"/>
    <mergeCell ref="AF10:AH10"/>
    <mergeCell ref="AI10:AK10"/>
    <mergeCell ref="A11:AK12"/>
    <mergeCell ref="A13:G13"/>
    <mergeCell ref="H13:AK13"/>
    <mergeCell ref="H14:J14"/>
    <mergeCell ref="K14:M14"/>
    <mergeCell ref="N14:P14"/>
  </mergeCells>
  <conditionalFormatting sqref="F31:U52">
    <cfRule type="expression" dxfId="117" priority="2">
      <formula>F31=0</formula>
    </cfRule>
  </conditionalFormatting>
  <conditionalFormatting sqref="R55:S62">
    <cfRule type="expression" dxfId="116" priority="1" stopIfTrue="1">
      <formula>R55=0</formula>
    </cfRule>
  </conditionalFormatting>
  <conditionalFormatting sqref="V31:AK31 AJ32:AK41 V42:AK42 V43:W43 AB43:AK43 V44:AK52">
    <cfRule type="expression" dxfId="115" priority="4">
      <formula>V31=0</formula>
    </cfRule>
  </conditionalFormatting>
  <conditionalFormatting sqref="V53:AK53">
    <cfRule type="expression" dxfId="114" priority="5" stopIfTrue="1">
      <formula>V53=0</formula>
    </cfRule>
  </conditionalFormatting>
  <conditionalFormatting sqref="Y56:Y62 AC56:AD62 N57 N59">
    <cfRule type="expression" dxfId="113" priority="7" stopIfTrue="1">
      <formula>N56=0</formula>
    </cfRule>
  </conditionalFormatting>
  <pageMargins left="0.7" right="0.7" top="0.75" bottom="0.75" header="0.3" footer="0.3"/>
  <pageSetup paperSize="9" scale="61" orientation="portrait" r:id="rId1"/>
  <headerFooter>
    <oddFooter>&amp;C_x000D_&amp;1#&amp;"Calibri"&amp;10&amp;K000000 Internal</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0A11E-7FFB-42B3-B348-7E1C05B24263}">
  <sheetPr>
    <tabColor rgb="FFFFC000"/>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14" width="3.7109375" style="404"/>
    <col min="15" max="15" width="6.7109375" style="404" customWidth="1"/>
    <col min="16" max="18" width="3.7109375" style="404"/>
    <col min="19" max="19" width="5.42578125" style="404" bestFit="1" customWidth="1"/>
    <col min="20" max="23" width="3.7109375" style="404"/>
    <col min="24" max="24" width="6.28515625" style="404"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'Precom F P'!$AC$5</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tr">
        <f>'Emiss. Ops'!$I$4</f>
        <v>Normal Operations</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166</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5.737756714060031E-17</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799</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AQ16</f>
        <v>37.956295834166582</v>
      </c>
      <c r="R16" s="1144"/>
      <c r="S16" s="1145"/>
      <c r="T16" s="1073">
        <f>$AT$16</f>
        <v>2177.716061482965</v>
      </c>
      <c r="U16" s="1109"/>
      <c r="V16" s="1074"/>
      <c r="W16" s="1076" t="s">
        <v>604</v>
      </c>
      <c r="X16" s="1075"/>
      <c r="Y16" s="1077"/>
      <c r="Z16" s="1073">
        <f>$AW$16</f>
        <v>544.42901537074124</v>
      </c>
      <c r="AA16" s="1109"/>
      <c r="AB16" s="1074"/>
      <c r="AC16" s="1076" t="s">
        <v>604</v>
      </c>
      <c r="AD16" s="1075"/>
      <c r="AE16" s="1077"/>
      <c r="AF16" s="1146">
        <f>AT19</f>
        <v>762.20062151903778</v>
      </c>
      <c r="AG16" s="1147"/>
      <c r="AH16" s="1148"/>
      <c r="AI16" s="1076" t="s">
        <v>604</v>
      </c>
      <c r="AJ16" s="1075"/>
      <c r="AK16" s="1077"/>
      <c r="AL16" s="303"/>
      <c r="AM16" s="303" t="s">
        <v>605</v>
      </c>
      <c r="AN16" s="303"/>
      <c r="AO16" s="303"/>
      <c r="AP16" s="351">
        <v>1020</v>
      </c>
      <c r="AQ16" s="352">
        <f>AP16/$AR$9/$AR$7 * ((AN18+273.15)/(AN19+273.15))</f>
        <v>37.956295834166582</v>
      </c>
      <c r="AR16" s="353">
        <f>AX4</f>
        <v>0.13333333333333333</v>
      </c>
      <c r="AS16" s="354">
        <f>AR16*$AR$6/1055.06</f>
        <v>5.7374304146999541E-5</v>
      </c>
      <c r="AT16" s="355">
        <f>AS16*$Q$16*1000000</f>
        <v>2177.716061482965</v>
      </c>
      <c r="AU16" s="356">
        <f>AX5</f>
        <v>3.3333333333333333E-2</v>
      </c>
      <c r="AV16" s="354">
        <f>AU16*$AR$6/1055.06</f>
        <v>1.4343576036749885E-5</v>
      </c>
      <c r="AW16" s="355">
        <f>AV16*$Q$16*1000000</f>
        <v>544.42901537074124</v>
      </c>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4">
        <f>CO2eEF!M16</f>
        <v>16.2</v>
      </c>
      <c r="I17" s="1135"/>
      <c r="J17" s="1136"/>
      <c r="K17" s="1231">
        <f>CO2eEF!M12</f>
        <v>0.68300000000000005</v>
      </c>
      <c r="L17" s="1232"/>
      <c r="M17" s="1233"/>
      <c r="N17" s="1137">
        <f>CO2eEF!M19</f>
        <v>49.78</v>
      </c>
      <c r="O17" s="1138"/>
      <c r="P17" s="1139"/>
      <c r="Q17" s="1137">
        <f>CO2eEF!M21</f>
        <v>37.770000000000003</v>
      </c>
      <c r="R17" s="1138"/>
      <c r="S17" s="1139"/>
      <c r="T17" s="1066">
        <f>$Q17/$Q$16*T$16</f>
        <v>2167.0274676321724</v>
      </c>
      <c r="U17" s="1110"/>
      <c r="V17" s="1067"/>
      <c r="W17" s="1114">
        <f>T17/1000000/$K17</f>
        <v>3.1728074196664307E-3</v>
      </c>
      <c r="X17" s="1115"/>
      <c r="Y17" s="1116"/>
      <c r="Z17" s="1066">
        <f>$Q17/$Q$16*Z$16</f>
        <v>541.75686690804309</v>
      </c>
      <c r="AA17" s="1110"/>
      <c r="AB17" s="1067"/>
      <c r="AC17" s="1114">
        <f>Z17/1000000/$K17</f>
        <v>7.9320185491660766E-4</v>
      </c>
      <c r="AD17" s="1115"/>
      <c r="AE17" s="1116"/>
      <c r="AF17" s="1071">
        <f>$Q17/$Q$16*AF$16</f>
        <v>758.4596136712604</v>
      </c>
      <c r="AG17" s="1044"/>
      <c r="AH17" s="1072"/>
      <c r="AI17" s="1060">
        <f>AF17/1000000/$K17</f>
        <v>1.1104825968832508E-3</v>
      </c>
      <c r="AJ17" s="1059"/>
      <c r="AK17" s="1063"/>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632"/>
      <c r="O18" s="1633"/>
      <c r="P18" s="1634"/>
      <c r="Q18" s="1635"/>
      <c r="R18" s="1636"/>
      <c r="S18" s="163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716</v>
      </c>
      <c r="AA19" s="1118"/>
      <c r="AB19" s="1119"/>
      <c r="AC19" s="1117" t="s">
        <v>125</v>
      </c>
      <c r="AD19" s="1118"/>
      <c r="AE19" s="1119"/>
      <c r="AF19" s="31"/>
      <c r="AG19" s="31"/>
      <c r="AH19" s="31"/>
      <c r="AI19" s="31"/>
      <c r="AJ19" s="31"/>
      <c r="AK19" s="226"/>
      <c r="AL19" s="303"/>
      <c r="AM19" s="24" t="s">
        <v>699</v>
      </c>
      <c r="AN19" s="24">
        <v>15.6</v>
      </c>
      <c r="AO19" s="23" t="s">
        <v>609</v>
      </c>
      <c r="AP19" s="303"/>
      <c r="AQ19" s="303"/>
      <c r="AR19" s="356">
        <f>AX6</f>
        <v>4.6666666666666669E-2</v>
      </c>
      <c r="AS19" s="354">
        <f>AR19*$AR$6/1055.06</f>
        <v>2.0081006451449841E-5</v>
      </c>
      <c r="AT19" s="355">
        <f>AS19*$Q$16*1000000</f>
        <v>762.20062151903778</v>
      </c>
      <c r="AU19" s="351">
        <v>0.37446000000000002</v>
      </c>
      <c r="AV19" s="354">
        <f>AU19*$AR$6/1055.06</f>
        <v>1.6113286448164087E-4</v>
      </c>
      <c r="AW19" s="355">
        <f>AV19*$Q$16*1000000</f>
        <v>6116.0066728718339</v>
      </c>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f>AW19</f>
        <v>6116.0066728718339</v>
      </c>
      <c r="I21" s="1109"/>
      <c r="J21" s="1074"/>
      <c r="K21" s="1076" t="s">
        <v>604</v>
      </c>
      <c r="L21" s="1075"/>
      <c r="M21" s="1077"/>
      <c r="N21" s="1073">
        <f>AT25</f>
        <v>163.32870461122241</v>
      </c>
      <c r="O21" s="1109"/>
      <c r="P21" s="1074"/>
      <c r="Q21" s="1076" t="s">
        <v>604</v>
      </c>
      <c r="R21" s="1075"/>
      <c r="S21" s="1077"/>
      <c r="T21" s="1073">
        <f>AT22</f>
        <v>113.24123519711421</v>
      </c>
      <c r="U21" s="1109"/>
      <c r="V21" s="1074"/>
      <c r="W21" s="1214" t="s">
        <v>604</v>
      </c>
      <c r="X21" s="1215"/>
      <c r="Y21" s="1216"/>
      <c r="Z21" s="1073">
        <f>$AW$25</f>
        <v>57.709475629298588</v>
      </c>
      <c r="AA21" s="1109"/>
      <c r="AB21" s="1074"/>
      <c r="AC21" s="1076" t="s">
        <v>604</v>
      </c>
      <c r="AD21" s="1075"/>
      <c r="AE21" s="1077"/>
      <c r="AF21" s="300"/>
      <c r="AG21" s="31"/>
      <c r="AH21" s="302"/>
      <c r="AI21" s="31"/>
      <c r="AJ21" s="31"/>
      <c r="AK21" s="32"/>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4">
        <f>$Q17/$Q$16*H$21</f>
        <v>6085.9882914715763</v>
      </c>
      <c r="I22" s="1230"/>
      <c r="J22" s="1065"/>
      <c r="K22" s="1111">
        <f>H22/1000000/$K17</f>
        <v>8.9106709977621913E-3</v>
      </c>
      <c r="L22" s="1112"/>
      <c r="M22" s="1113"/>
      <c r="N22" s="1064">
        <f>$Q17/$Q$16*N$21</f>
        <v>162.52706007241298</v>
      </c>
      <c r="O22" s="1230"/>
      <c r="P22" s="1065"/>
      <c r="Q22" s="1638">
        <v>0</v>
      </c>
      <c r="R22" s="1639"/>
      <c r="S22" s="1640"/>
      <c r="T22" s="1123">
        <f>$Q17/$Q$16*T$21</f>
        <v>112.685428316873</v>
      </c>
      <c r="U22" s="1069"/>
      <c r="V22" s="1124"/>
      <c r="W22" s="1641">
        <f>T22/1000000/$K17</f>
        <v>1.6498598582265445E-4</v>
      </c>
      <c r="X22" s="1642"/>
      <c r="Y22" s="1643"/>
      <c r="Z22" s="1064">
        <f>$Q17/$Q$16*Z$21</f>
        <v>57.426227892252591</v>
      </c>
      <c r="AA22" s="1230"/>
      <c r="AB22" s="1065"/>
      <c r="AC22" s="1638">
        <f>Z22/1000000/$K17</f>
        <v>8.4079396621160454E-5</v>
      </c>
      <c r="AD22" s="1639"/>
      <c r="AE22" s="1640"/>
      <c r="AF22" s="31"/>
      <c r="AG22" s="31"/>
      <c r="AH22" s="31"/>
      <c r="AI22" s="31"/>
      <c r="AJ22" s="31"/>
      <c r="AK22" s="32"/>
      <c r="AL22" s="303"/>
      <c r="AM22" s="303"/>
      <c r="AN22" s="303"/>
      <c r="AO22" s="303"/>
      <c r="AP22" s="303"/>
      <c r="AQ22" s="303"/>
      <c r="AR22" s="356">
        <f>AX8</f>
        <v>6.9333333333333339E-3</v>
      </c>
      <c r="AS22" s="354">
        <f>AR22*$AR$6/1055.06</f>
        <v>2.9834638156439767E-6</v>
      </c>
      <c r="AT22" s="355">
        <f>AS22*$Q$16*1000000</f>
        <v>113.24123519711421</v>
      </c>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123"/>
      <c r="I23" s="1069"/>
      <c r="J23" s="1124"/>
      <c r="K23" s="1125"/>
      <c r="L23" s="1126"/>
      <c r="M23" s="1127"/>
      <c r="N23" s="1123"/>
      <c r="O23" s="1069"/>
      <c r="P23" s="1124"/>
      <c r="Q23" s="1125"/>
      <c r="R23" s="1126"/>
      <c r="S23" s="1127"/>
      <c r="T23" s="1123"/>
      <c r="U23" s="1069"/>
      <c r="V23" s="1124"/>
      <c r="W23" s="1125"/>
      <c r="X23" s="1126"/>
      <c r="Y23" s="1127"/>
      <c r="Z23" s="1125"/>
      <c r="AA23" s="1126"/>
      <c r="AB23" s="1127"/>
      <c r="AC23" s="1125"/>
      <c r="AD23" s="1126"/>
      <c r="AE23" s="1127"/>
      <c r="AF23" s="31"/>
      <c r="AG23" s="31"/>
      <c r="AH23" s="31"/>
      <c r="AI23" s="31"/>
      <c r="AJ23" s="31"/>
      <c r="AK23" s="32"/>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c r="I25" s="31" t="s">
        <v>590</v>
      </c>
      <c r="J25" s="31"/>
      <c r="K25" s="31"/>
      <c r="L25" s="31" t="s">
        <v>615</v>
      </c>
      <c r="M25" s="31"/>
      <c r="N25" s="31"/>
      <c r="O25" s="31"/>
      <c r="P25" s="31"/>
      <c r="Q25" s="31"/>
      <c r="R25" s="31"/>
      <c r="S25" s="32" t="s">
        <v>616</v>
      </c>
      <c r="T25" s="1092" t="s">
        <v>799</v>
      </c>
      <c r="U25" s="1093"/>
      <c r="V25" s="1093"/>
      <c r="W25" s="1093"/>
      <c r="X25" s="1657">
        <f>32.8725*1000/365.25/24</f>
        <v>3.75</v>
      </c>
      <c r="Y25" s="1657"/>
      <c r="Z25" s="1657"/>
      <c r="AA25" s="1093" t="s">
        <v>617</v>
      </c>
      <c r="AB25" s="1093"/>
      <c r="AC25" s="1095">
        <f>X25/H17</f>
        <v>0.23148148148148148</v>
      </c>
      <c r="AD25" s="1095"/>
      <c r="AE25" s="1093" t="s">
        <v>618</v>
      </c>
      <c r="AF25" s="1093"/>
      <c r="AG25" s="1093"/>
      <c r="AH25" s="1198">
        <f>X25*N17/3600</f>
        <v>5.1854166666666666E-2</v>
      </c>
      <c r="AI25" s="1198"/>
      <c r="AJ25" s="361" t="s">
        <v>590</v>
      </c>
      <c r="AK25" s="362"/>
      <c r="AL25" s="303"/>
      <c r="AM25" s="363">
        <f>X25*W22</f>
        <v>6.1869744683495421E-4</v>
      </c>
      <c r="AN25" s="303"/>
      <c r="AO25" s="303"/>
      <c r="AP25" s="303"/>
      <c r="AQ25" s="303"/>
      <c r="AR25" s="351">
        <f>AX7</f>
        <v>0.01</v>
      </c>
      <c r="AS25" s="354">
        <f>AR25*$AR$6/1055.06</f>
        <v>4.3030728110249664E-6</v>
      </c>
      <c r="AT25" s="355">
        <f>AS25*$Q$16*1000000</f>
        <v>163.32870461122241</v>
      </c>
      <c r="AU25" s="356">
        <f>AX9</f>
        <v>3.5333333333333336E-3</v>
      </c>
      <c r="AV25" s="354">
        <f>AU25*$AR$6/1055.06</f>
        <v>1.5204190598954882E-6</v>
      </c>
      <c r="AW25" s="355">
        <f>AV25*$Q$16*1000000</f>
        <v>57.709475629298588</v>
      </c>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4.3556521766143223E-6</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t="s">
        <v>718</v>
      </c>
      <c r="B27" s="1081"/>
      <c r="C27" s="1081"/>
      <c r="D27" s="1081"/>
      <c r="E27" s="1081"/>
      <c r="F27" s="1042" t="s">
        <v>128</v>
      </c>
      <c r="G27" s="1043"/>
      <c r="H27" s="1043"/>
      <c r="I27" s="1043"/>
      <c r="J27" s="1043"/>
      <c r="K27" s="1043"/>
      <c r="L27" s="1043"/>
      <c r="M27" s="1043"/>
      <c r="N27" s="1043"/>
      <c r="O27" s="1043"/>
      <c r="P27" s="1043"/>
      <c r="Q27" s="1043"/>
      <c r="R27" s="1043"/>
      <c r="S27" s="1043"/>
      <c r="T27" s="1043"/>
      <c r="U27" s="1080"/>
      <c r="V27" s="31"/>
      <c r="W27" s="31"/>
      <c r="X27" s="426">
        <f>AH25</f>
        <v>5.1854166666666666E-2</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29">
        <v>48</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29">
        <f>X27*X28</f>
        <v>2.4889999999999999</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29">
        <f>X29*3600/1000</f>
        <v>8.9603999999999999</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196">
        <v>0</v>
      </c>
      <c r="G31" s="1197"/>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CO2eEF!M26</f>
        <v>0.99629999999999996</v>
      </c>
      <c r="G32" s="1195"/>
      <c r="H32" s="1051">
        <f>F32*$AC$25</f>
        <v>0.230625</v>
      </c>
      <c r="I32" s="1052"/>
      <c r="J32" s="1059"/>
      <c r="K32" s="1059"/>
      <c r="L32" s="1060"/>
      <c r="M32" s="1059"/>
      <c r="N32" s="1054">
        <f t="shared" si="2"/>
        <v>3.6996862500000005</v>
      </c>
      <c r="O32" s="1055"/>
      <c r="P32" s="1061">
        <f>R32/$R$53</f>
        <v>7.7646453922991651E-4</v>
      </c>
      <c r="Q32" s="1062"/>
      <c r="R32" s="1060">
        <f>T32/$AR32</f>
        <v>2.0829707169684711E-3</v>
      </c>
      <c r="S32" s="1059"/>
      <c r="T32" s="1064">
        <f>$K$22*$X$25</f>
        <v>3.3415016241608218E-2</v>
      </c>
      <c r="U32" s="1065"/>
      <c r="V32" s="1644" t="s">
        <v>841</v>
      </c>
      <c r="W32" s="1652"/>
      <c r="X32" s="1652"/>
      <c r="Y32" s="1652"/>
      <c r="Z32" s="1652"/>
      <c r="AA32" s="1652"/>
      <c r="AB32" s="1652"/>
      <c r="AC32" s="1652"/>
      <c r="AD32" s="1652"/>
      <c r="AE32" s="1652"/>
      <c r="AF32" s="1652"/>
      <c r="AG32" s="1652"/>
      <c r="AH32" s="1652"/>
      <c r="AI32" s="1652"/>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1653"/>
      <c r="W33" s="1652"/>
      <c r="X33" s="1652"/>
      <c r="Y33" s="1652"/>
      <c r="Z33" s="1652"/>
      <c r="AA33" s="1652"/>
      <c r="AB33" s="1652"/>
      <c r="AC33" s="1652"/>
      <c r="AD33" s="1652"/>
      <c r="AE33" s="1652"/>
      <c r="AF33" s="1652"/>
      <c r="AG33" s="1652"/>
      <c r="AH33" s="1652"/>
      <c r="AI33" s="1652"/>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CO2eEF!M27</f>
        <v>7.000000000000001E-4</v>
      </c>
      <c r="G34" s="1050"/>
      <c r="H34" s="1051">
        <f t="shared" si="1"/>
        <v>1.6203703703703706E-4</v>
      </c>
      <c r="I34" s="1052"/>
      <c r="J34" s="1059"/>
      <c r="K34" s="1059"/>
      <c r="L34" s="1060"/>
      <c r="M34" s="1059"/>
      <c r="N34" s="1054">
        <f t="shared" si="2"/>
        <v>4.8721296296296299E-3</v>
      </c>
      <c r="O34" s="1055"/>
      <c r="P34" s="1061">
        <f t="shared" si="10"/>
        <v>9.9655164701384683E-9</v>
      </c>
      <c r="Q34" s="1062"/>
      <c r="R34" s="1059">
        <f>T34/$AR34</f>
        <v>2.673384029533753E-8</v>
      </c>
      <c r="S34" s="1059"/>
      <c r="T34" s="1061">
        <f t="shared" si="11"/>
        <v>8.0383311000020876E-7</v>
      </c>
      <c r="U34" s="1062"/>
      <c r="V34" s="1653"/>
      <c r="W34" s="1652"/>
      <c r="X34" s="1652"/>
      <c r="Y34" s="1652"/>
      <c r="Z34" s="1652"/>
      <c r="AA34" s="1652"/>
      <c r="AB34" s="1652"/>
      <c r="AC34" s="1652"/>
      <c r="AD34" s="1652"/>
      <c r="AE34" s="1652"/>
      <c r="AF34" s="1652"/>
      <c r="AG34" s="1652"/>
      <c r="AH34" s="1652"/>
      <c r="AI34" s="1652"/>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1653"/>
      <c r="W35" s="1652"/>
      <c r="X35" s="1652"/>
      <c r="Y35" s="1652"/>
      <c r="Z35" s="1652"/>
      <c r="AA35" s="1652"/>
      <c r="AB35" s="1652"/>
      <c r="AC35" s="1652"/>
      <c r="AD35" s="1652"/>
      <c r="AE35" s="1652"/>
      <c r="AF35" s="1652"/>
      <c r="AG35" s="1652"/>
      <c r="AH35" s="1652"/>
      <c r="AI35" s="1652"/>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CO2eEF!M28</f>
        <v>2.0000000000000001E-4</v>
      </c>
      <c r="G36" s="1050"/>
      <c r="H36" s="1051">
        <f t="shared" si="1"/>
        <v>4.6296296296296301E-5</v>
      </c>
      <c r="I36" s="1052"/>
      <c r="J36" s="1059"/>
      <c r="K36" s="1059"/>
      <c r="L36" s="1060"/>
      <c r="M36" s="1059"/>
      <c r="N36" s="1054">
        <f t="shared" si="2"/>
        <v>2.041388888888889E-3</v>
      </c>
      <c r="O36" s="1055"/>
      <c r="P36" s="1061">
        <f t="shared" si="10"/>
        <v>2.8472904200395618E-9</v>
      </c>
      <c r="Q36" s="1062"/>
      <c r="R36" s="1059">
        <f t="shared" si="12"/>
        <v>7.6382400843821508E-9</v>
      </c>
      <c r="S36" s="1059"/>
      <c r="T36" s="1061">
        <f t="shared" si="11"/>
        <v>3.3680055828074654E-7</v>
      </c>
      <c r="U36" s="1062"/>
      <c r="V36" s="1653"/>
      <c r="W36" s="1652"/>
      <c r="X36" s="1652"/>
      <c r="Y36" s="1652"/>
      <c r="Z36" s="1652"/>
      <c r="AA36" s="1652"/>
      <c r="AB36" s="1652"/>
      <c r="AC36" s="1652"/>
      <c r="AD36" s="1652"/>
      <c r="AE36" s="1652"/>
      <c r="AF36" s="1652"/>
      <c r="AG36" s="1652"/>
      <c r="AH36" s="1652"/>
      <c r="AI36" s="1652"/>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1653"/>
      <c r="W37" s="1652"/>
      <c r="X37" s="1652"/>
      <c r="Y37" s="1652"/>
      <c r="Z37" s="1652"/>
      <c r="AA37" s="1652"/>
      <c r="AB37" s="1652"/>
      <c r="AC37" s="1652"/>
      <c r="AD37" s="1652"/>
      <c r="AE37" s="1652"/>
      <c r="AF37" s="1652"/>
      <c r="AG37" s="1652"/>
      <c r="AH37" s="1652"/>
      <c r="AI37" s="1652"/>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CO2eEF!M29</f>
        <v>1E-4</v>
      </c>
      <c r="G38" s="1050"/>
      <c r="H38" s="1051">
        <f t="shared" si="1"/>
        <v>2.314814814814815E-5</v>
      </c>
      <c r="I38" s="1052"/>
      <c r="J38" s="1059"/>
      <c r="K38" s="1059"/>
      <c r="L38" s="1060"/>
      <c r="M38" s="1059"/>
      <c r="N38" s="1054">
        <f t="shared" si="2"/>
        <v>1.3453703703703705E-3</v>
      </c>
      <c r="O38" s="1055"/>
      <c r="P38" s="1061">
        <f t="shared" si="10"/>
        <v>1.4236452100197809E-9</v>
      </c>
      <c r="Q38" s="1062"/>
      <c r="R38" s="1059">
        <f t="shared" si="12"/>
        <v>3.8191200421910754E-9</v>
      </c>
      <c r="S38" s="1059"/>
      <c r="T38" s="1061">
        <f t="shared" si="11"/>
        <v>2.2196725685214531E-7</v>
      </c>
      <c r="U38" s="1062"/>
      <c r="V38" s="1653"/>
      <c r="W38" s="1652"/>
      <c r="X38" s="1652"/>
      <c r="Y38" s="1652"/>
      <c r="Z38" s="1652"/>
      <c r="AA38" s="1652"/>
      <c r="AB38" s="1652"/>
      <c r="AC38" s="1652"/>
      <c r="AD38" s="1652"/>
      <c r="AE38" s="1652"/>
      <c r="AF38" s="1652"/>
      <c r="AG38" s="1652"/>
      <c r="AH38" s="1652"/>
      <c r="AI38" s="1652"/>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v>0</v>
      </c>
      <c r="G39" s="1050"/>
      <c r="H39" s="1051">
        <f t="shared" si="1"/>
        <v>0</v>
      </c>
      <c r="I39" s="1052"/>
      <c r="J39" s="1059"/>
      <c r="K39" s="1059"/>
      <c r="L39" s="1060"/>
      <c r="M39" s="1059"/>
      <c r="N39" s="1054">
        <f t="shared" si="2"/>
        <v>0</v>
      </c>
      <c r="O39" s="1055"/>
      <c r="P39" s="1061">
        <f t="shared" si="10"/>
        <v>0</v>
      </c>
      <c r="Q39" s="1062"/>
      <c r="R39" s="1059">
        <f t="shared" si="12"/>
        <v>0</v>
      </c>
      <c r="S39" s="1059"/>
      <c r="T39" s="1061">
        <f t="shared" si="11"/>
        <v>0</v>
      </c>
      <c r="U39" s="1062"/>
      <c r="V39" s="1653"/>
      <c r="W39" s="1652"/>
      <c r="X39" s="1652"/>
      <c r="Y39" s="1652"/>
      <c r="Z39" s="1652"/>
      <c r="AA39" s="1652"/>
      <c r="AB39" s="1652"/>
      <c r="AC39" s="1652"/>
      <c r="AD39" s="1652"/>
      <c r="AE39" s="1652"/>
      <c r="AF39" s="1652"/>
      <c r="AG39" s="1652"/>
      <c r="AH39" s="1652"/>
      <c r="AI39" s="1652"/>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CO2eEF!M31</f>
        <v>1E-4</v>
      </c>
      <c r="G40" s="1050"/>
      <c r="H40" s="1051">
        <f t="shared" si="1"/>
        <v>2.314814814814815E-5</v>
      </c>
      <c r="I40" s="1052"/>
      <c r="J40" s="1059"/>
      <c r="K40" s="1059"/>
      <c r="L40" s="1060"/>
      <c r="M40" s="1059"/>
      <c r="N40" s="1054">
        <f t="shared" si="2"/>
        <v>1.6700462962962964E-3</v>
      </c>
      <c r="O40" s="1055"/>
      <c r="P40" s="1061">
        <f t="shared" si="10"/>
        <v>1.4236452100197809E-9</v>
      </c>
      <c r="Q40" s="1062"/>
      <c r="R40" s="1059">
        <f t="shared" si="12"/>
        <v>3.8191200421910754E-9</v>
      </c>
      <c r="S40" s="1059"/>
      <c r="T40" s="1061">
        <f t="shared" si="11"/>
        <v>2.7553423456391731E-7</v>
      </c>
      <c r="U40" s="1062"/>
      <c r="V40" s="1653"/>
      <c r="W40" s="1652"/>
      <c r="X40" s="1652"/>
      <c r="Y40" s="1652"/>
      <c r="Z40" s="1652"/>
      <c r="AA40" s="1652"/>
      <c r="AB40" s="1652"/>
      <c r="AC40" s="1652"/>
      <c r="AD40" s="1652"/>
      <c r="AE40" s="1652"/>
      <c r="AF40" s="1652"/>
      <c r="AG40" s="1652"/>
      <c r="AH40" s="1652"/>
      <c r="AI40" s="1652"/>
      <c r="AJ40" s="1069"/>
      <c r="AK40" s="1124"/>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CO2eEF!M33</f>
        <v>1E-4</v>
      </c>
      <c r="G41" s="1050"/>
      <c r="H41" s="1051">
        <f t="shared" si="1"/>
        <v>2.314814814814815E-5</v>
      </c>
      <c r="I41" s="1052"/>
      <c r="J41" s="1059"/>
      <c r="K41" s="1059"/>
      <c r="L41" s="1060"/>
      <c r="M41" s="1059"/>
      <c r="N41" s="1054">
        <f t="shared" si="2"/>
        <v>1.6700462962962964E-3</v>
      </c>
      <c r="O41" s="1055"/>
      <c r="P41" s="1061">
        <f t="shared" si="10"/>
        <v>1.4236452100197809E-9</v>
      </c>
      <c r="Q41" s="1062"/>
      <c r="R41" s="1059">
        <f t="shared" si="12"/>
        <v>3.8191200421910754E-9</v>
      </c>
      <c r="S41" s="1059"/>
      <c r="T41" s="1061">
        <f t="shared" si="11"/>
        <v>2.7553423456391731E-7</v>
      </c>
      <c r="U41" s="1062"/>
      <c r="V41" s="1653"/>
      <c r="W41" s="1652"/>
      <c r="X41" s="1652"/>
      <c r="Y41" s="1652"/>
      <c r="Z41" s="1652"/>
      <c r="AA41" s="1652"/>
      <c r="AB41" s="1652"/>
      <c r="AC41" s="1652"/>
      <c r="AD41" s="1652"/>
      <c r="AE41" s="1652"/>
      <c r="AF41" s="1652"/>
      <c r="AG41" s="1652"/>
      <c r="AH41" s="1652"/>
      <c r="AI41" s="1652"/>
      <c r="AJ41" s="1069"/>
      <c r="AK41" s="1124"/>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721</v>
      </c>
      <c r="B42" s="376"/>
      <c r="C42" s="376"/>
      <c r="D42" s="376"/>
      <c r="E42" s="377"/>
      <c r="F42" s="1049">
        <f>CO2eEF!M39</f>
        <v>2.0000000000000001E-4</v>
      </c>
      <c r="G42" s="1050"/>
      <c r="H42" s="1064">
        <f t="shared" si="1"/>
        <v>4.6296296296296301E-5</v>
      </c>
      <c r="I42" s="1065"/>
      <c r="J42" s="1059"/>
      <c r="K42" s="1059"/>
      <c r="L42" s="1060"/>
      <c r="M42" s="1059"/>
      <c r="N42" s="1054">
        <f t="shared" si="2"/>
        <v>1.4801152777777779E-2</v>
      </c>
      <c r="O42" s="1055"/>
      <c r="P42" s="1061">
        <f t="shared" si="10"/>
        <v>2.8472904200395618E-9</v>
      </c>
      <c r="Q42" s="1062"/>
      <c r="R42" s="1059">
        <f t="shared" si="12"/>
        <v>7.6382400843821508E-9</v>
      </c>
      <c r="S42" s="1059"/>
      <c r="T42" s="1061">
        <f t="shared" si="11"/>
        <v>2.4419827823533873E-6</v>
      </c>
      <c r="U42" s="1062"/>
      <c r="V42" s="1032"/>
      <c r="W42" s="1032"/>
      <c r="X42" s="1033" t="s">
        <v>720</v>
      </c>
      <c r="Y42" s="1033"/>
      <c r="Z42" s="1661"/>
      <c r="AA42" s="1661"/>
      <c r="AB42" s="1661"/>
      <c r="AC42" s="1661"/>
      <c r="AD42" s="1033"/>
      <c r="AE42" s="1033"/>
      <c r="AF42" s="1047"/>
      <c r="AG42" s="1047"/>
      <c r="AH42" s="1032"/>
      <c r="AI42" s="1032"/>
      <c r="AJ42" s="1048"/>
      <c r="AK42" s="105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0.46416550925925926</v>
      </c>
      <c r="K45" s="1070"/>
      <c r="L45" s="1060">
        <f>0.15*J45</f>
        <v>6.962482638888888E-2</v>
      </c>
      <c r="M45" s="1059"/>
      <c r="N45" s="1066">
        <f t="shared" si="2"/>
        <v>17.081290740740741</v>
      </c>
      <c r="O45" s="1067"/>
      <c r="P45" s="1061">
        <f t="shared" si="10"/>
        <v>2.7507006010104494E-2</v>
      </c>
      <c r="Q45" s="1062"/>
      <c r="R45" s="1059">
        <f>L45+SUMPRODUCT(R32:R44,$AS32:$AS44)</f>
        <v>7.3791248840995138E-2</v>
      </c>
      <c r="S45" s="1059"/>
      <c r="T45" s="1071">
        <f>R45*$AR45</f>
        <v>2.3613199629118444</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CO2eEF!M24</f>
        <v>1.5E-3</v>
      </c>
      <c r="G46" s="1195"/>
      <c r="H46" s="1061">
        <f t="shared" si="1"/>
        <v>3.4722222222222224E-4</v>
      </c>
      <c r="I46" s="1062"/>
      <c r="J46" s="1059">
        <f>0.79/0.21*J45</f>
        <v>1.7461464395943564</v>
      </c>
      <c r="K46" s="1063"/>
      <c r="L46" s="1060">
        <f>0.71/0.29*L45</f>
        <v>0.17046078184865901</v>
      </c>
      <c r="M46" s="1059"/>
      <c r="N46" s="1066">
        <f>SUM(H46,J46,L46)*AR46</f>
        <v>53.674724422626653</v>
      </c>
      <c r="O46" s="1067"/>
      <c r="P46" s="1064">
        <f t="shared" si="10"/>
        <v>0.71448259065329089</v>
      </c>
      <c r="Q46" s="1065"/>
      <c r="R46" s="1064">
        <f>$H46+J46+L46-R49</f>
        <v>1.9166957908864606</v>
      </c>
      <c r="S46" s="1065"/>
      <c r="T46" s="1066">
        <f>R46*$AR46</f>
        <v>53.667482144820895</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3.9585883479664617E-5</v>
      </c>
      <c r="Q47" s="1062"/>
      <c r="R47" s="1059">
        <f>T47/$AR$47</f>
        <v>1.0619446468894248E-4</v>
      </c>
      <c r="S47" s="1059"/>
      <c r="T47" s="1064">
        <f>$AC17*$X25</f>
        <v>2.9745069559372786E-3</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CO2eEF!M25</f>
        <v>8.0000000000000004E-4</v>
      </c>
      <c r="G48" s="1195"/>
      <c r="H48" s="1061">
        <f t="shared" si="1"/>
        <v>1.851851851851852E-4</v>
      </c>
      <c r="I48" s="1062"/>
      <c r="J48" s="1059"/>
      <c r="K48" s="1059"/>
      <c r="L48" s="1060"/>
      <c r="M48" s="1059"/>
      <c r="N48" s="1061">
        <f t="shared" si="2"/>
        <v>8.150000000000001E-3</v>
      </c>
      <c r="O48" s="1062"/>
      <c r="P48" s="1064">
        <f t="shared" si="10"/>
        <v>8.5906726404760381E-2</v>
      </c>
      <c r="Q48" s="1065"/>
      <c r="R48" s="1068">
        <f>SUMPRODUCT($H31:$H52,$AU31:$AU52)+$H48-R47-SUMPRODUCT(R32:R42,$AU32:$AU42)</f>
        <v>0.23045636529545657</v>
      </c>
      <c r="S48" s="1059"/>
      <c r="T48" s="1066">
        <f>R48*$AR48</f>
        <v>10.142384636653043</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9.6417443153513541E-5</v>
      </c>
      <c r="Q49" s="1062"/>
      <c r="R49" s="1060">
        <f>T49/$AR49</f>
        <v>2.5865277877715464E-4</v>
      </c>
      <c r="S49" s="1063"/>
      <c r="T49" s="1064">
        <f>$W17*$X25</f>
        <v>1.1898027823749114E-2</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0</v>
      </c>
      <c r="Q51" s="1062"/>
      <c r="R51" s="1066">
        <f>T51/$AR51</f>
        <v>0</v>
      </c>
      <c r="S51" s="1067"/>
      <c r="T51" s="1060">
        <f>Q22*X25</f>
        <v>0</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193">
        <v>0</v>
      </c>
      <c r="G52" s="1194"/>
      <c r="H52" s="1051">
        <f t="shared" si="1"/>
        <v>0</v>
      </c>
      <c r="I52" s="1052"/>
      <c r="J52" s="1032"/>
      <c r="K52" s="1032"/>
      <c r="L52" s="1053"/>
      <c r="M52" s="1032"/>
      <c r="N52" s="1054">
        <f t="shared" si="2"/>
        <v>0</v>
      </c>
      <c r="O52" s="1055"/>
      <c r="P52" s="1056">
        <f t="shared" si="10"/>
        <v>0.1711911891349481</v>
      </c>
      <c r="Q52" s="1057"/>
      <c r="R52" s="1044">
        <f>SUMPRODUCT(H31:H52,$AV31:$AV52)+H52-SUMPRODUCT(R32:R42,$AV32:$AV42)</f>
        <v>0.45924342446438537</v>
      </c>
      <c r="S52" s="1044"/>
      <c r="T52" s="1045">
        <f>R52*$AR52</f>
        <v>8.2737295351503661</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0.99999999999999989</v>
      </c>
      <c r="G53" s="1038"/>
      <c r="H53" s="1039">
        <f>SUM(H31:H52)</f>
        <v>0.23148148148148151</v>
      </c>
      <c r="I53" s="1040"/>
      <c r="J53" s="1041">
        <f>SUM(J31:J52)</f>
        <v>2.2103119488536156</v>
      </c>
      <c r="K53" s="1041"/>
      <c r="L53" s="1042">
        <f>SUM(L31:L52)</f>
        <v>0.24008560823754788</v>
      </c>
      <c r="M53" s="1043"/>
      <c r="N53" s="1030">
        <f>SUM(N31:N52)</f>
        <v>74.490251547626656</v>
      </c>
      <c r="O53" s="1031"/>
      <c r="P53" s="1028">
        <f>SUM(P31:P52)</f>
        <v>0.99999999999999989</v>
      </c>
      <c r="Q53" s="1029"/>
      <c r="R53" s="1030">
        <f>SUM(R31:R52)</f>
        <v>2.682634700915413</v>
      </c>
      <c r="S53" s="1031"/>
      <c r="T53" s="1030">
        <f>SUM(T31:T52)</f>
        <v>74.493208186209614</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3.3050077288191986E-3</v>
      </c>
      <c r="M55" s="1186"/>
      <c r="N55" s="1192">
        <f>W17*$X$25</f>
        <v>1.1898027823749114E-2</v>
      </c>
      <c r="O55" s="1192"/>
      <c r="P55" s="31" t="s">
        <v>617</v>
      </c>
      <c r="Q55" s="31"/>
      <c r="R55" s="1291">
        <f>N55*2*24/1000</f>
        <v>5.711053355399575E-4</v>
      </c>
      <c r="S55" s="1291"/>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436">
        <f t="shared" ref="L56:L61" si="13">N56*1000/3600</f>
        <v>8.2625193220479964E-4</v>
      </c>
      <c r="M56" s="1437"/>
      <c r="N56" s="1192">
        <f>AC17*$X$25</f>
        <v>2.9745069559372786E-3</v>
      </c>
      <c r="O56" s="1192"/>
      <c r="P56" s="31" t="s">
        <v>617</v>
      </c>
      <c r="Q56" s="31"/>
      <c r="R56" s="1291">
        <f t="shared" ref="R56:R61" si="14">N56*2*24/1000</f>
        <v>1.4277633388498938E-4</v>
      </c>
      <c r="S56" s="1291"/>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436">
        <f t="shared" si="13"/>
        <v>1.1567527050867195E-3</v>
      </c>
      <c r="M57" s="1437"/>
      <c r="N57" s="1192">
        <f>AI17*$X$25</f>
        <v>4.1643097383121906E-3</v>
      </c>
      <c r="O57" s="1192"/>
      <c r="P57" s="31" t="s">
        <v>617</v>
      </c>
      <c r="Q57" s="31"/>
      <c r="R57" s="1291">
        <f t="shared" si="14"/>
        <v>1.9988686743898515E-4</v>
      </c>
      <c r="S57" s="1291"/>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436">
        <f t="shared" si="13"/>
        <v>9.2819489560022842E-3</v>
      </c>
      <c r="M58" s="1437"/>
      <c r="N58" s="1191">
        <f>K22*$X$25</f>
        <v>3.3415016241608218E-2</v>
      </c>
      <c r="O58" s="1191"/>
      <c r="P58" s="31" t="s">
        <v>617</v>
      </c>
      <c r="Q58" s="31"/>
      <c r="R58" s="1291">
        <f t="shared" si="14"/>
        <v>1.6039207795971943E-3</v>
      </c>
      <c r="S58" s="1291"/>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436">
        <f t="shared" si="13"/>
        <v>1.7186040189859838E-4</v>
      </c>
      <c r="M59" s="1437"/>
      <c r="N59" s="1192">
        <f>X25*W22</f>
        <v>6.1869744683495421E-4</v>
      </c>
      <c r="O59" s="1192"/>
      <c r="P59" s="31" t="s">
        <v>617</v>
      </c>
      <c r="Q59" s="31"/>
      <c r="R59" s="1291">
        <f t="shared" si="14"/>
        <v>2.9697477448077805E-5</v>
      </c>
      <c r="S59" s="1291"/>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0</v>
      </c>
      <c r="M60" s="1186"/>
      <c r="N60" s="1191">
        <f>Q22*$X$25</f>
        <v>0</v>
      </c>
      <c r="O60" s="1191"/>
      <c r="P60" s="31" t="s">
        <v>617</v>
      </c>
      <c r="Q60" s="31"/>
      <c r="R60" s="1291">
        <f t="shared" si="14"/>
        <v>0</v>
      </c>
      <c r="S60" s="1291"/>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8.7582704813708796E-5</v>
      </c>
      <c r="M61" s="1186"/>
      <c r="N61" s="1191">
        <f>AC22*$X$25</f>
        <v>3.1529773732935168E-4</v>
      </c>
      <c r="O61" s="1191"/>
      <c r="P61" s="31" t="s">
        <v>617</v>
      </c>
      <c r="Q61" s="31"/>
      <c r="R61" s="1291">
        <f t="shared" si="14"/>
        <v>1.5134291391808882E-5</v>
      </c>
      <c r="S61" s="1291"/>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436">
        <f>O62*1000/3600</f>
        <v>2.8467147571118256</v>
      </c>
      <c r="M62" s="1437"/>
      <c r="N62" s="31"/>
      <c r="O62" s="428">
        <f>X25*CO2eEF!I28</f>
        <v>10.248173125602573</v>
      </c>
      <c r="P62" s="395" t="s">
        <v>617</v>
      </c>
      <c r="Q62" s="395"/>
      <c r="R62" s="1291">
        <f>O62*2*24/1000</f>
        <v>0.49191231002892349</v>
      </c>
      <c r="S62" s="1291"/>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722</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33</v>
      </c>
      <c r="B65" s="31" t="s">
        <v>723</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724</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415" t="s">
        <v>38</v>
      </c>
      <c r="B67" s="31" t="s">
        <v>725</v>
      </c>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82" t="s">
        <v>41</v>
      </c>
      <c r="B68" s="284" t="s">
        <v>726</v>
      </c>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aWOT6w/MIrpQvEuBxKLKPSURjL4x+dITdX3SDqaJA6kycM7Pf5n/HnnLucVe1jhidY3rnYB7qSmb8vluGri2HA==" saltValue="kaGugieLF8tU+k+zCX6vWA==" spinCount="100000" sheet="1" objects="1" scenarios="1" selectLockedCells="1" selectUnlockedCells="1"/>
  <mergeCells count="457">
    <mergeCell ref="L62:M62"/>
    <mergeCell ref="R62:S62"/>
    <mergeCell ref="AE59:AF59"/>
    <mergeCell ref="L60:M60"/>
    <mergeCell ref="N60:O60"/>
    <mergeCell ref="R60:S60"/>
    <mergeCell ref="L61:M61"/>
    <mergeCell ref="N61:O61"/>
    <mergeCell ref="R61:S61"/>
    <mergeCell ref="AE57:AF57"/>
    <mergeCell ref="L58:M58"/>
    <mergeCell ref="N58:O58"/>
    <mergeCell ref="R58:S58"/>
    <mergeCell ref="L59:M59"/>
    <mergeCell ref="N59:O59"/>
    <mergeCell ref="R59:S59"/>
    <mergeCell ref="T59:U59"/>
    <mergeCell ref="Y59:Z59"/>
    <mergeCell ref="AC59:AD59"/>
    <mergeCell ref="L56:M56"/>
    <mergeCell ref="N56:O56"/>
    <mergeCell ref="R56:S56"/>
    <mergeCell ref="L57:M57"/>
    <mergeCell ref="N57:O57"/>
    <mergeCell ref="R57:S57"/>
    <mergeCell ref="T57:U57"/>
    <mergeCell ref="Y57:Z57"/>
    <mergeCell ref="AC57:AD57"/>
    <mergeCell ref="AF53:AG53"/>
    <mergeCell ref="AH53:AI53"/>
    <mergeCell ref="AJ53:AK53"/>
    <mergeCell ref="L54:M54"/>
    <mergeCell ref="L55:M55"/>
    <mergeCell ref="N55:O55"/>
    <mergeCell ref="R55:S55"/>
    <mergeCell ref="T55:U55"/>
    <mergeCell ref="Y55:Z55"/>
    <mergeCell ref="AC55:AD55"/>
    <mergeCell ref="T53:U53"/>
    <mergeCell ref="V53:W53"/>
    <mergeCell ref="X53:Y53"/>
    <mergeCell ref="Z53:AA53"/>
    <mergeCell ref="AB53:AC53"/>
    <mergeCell ref="AD53:AE53"/>
    <mergeCell ref="AE55:AF55"/>
    <mergeCell ref="A53:E53"/>
    <mergeCell ref="F53:G53"/>
    <mergeCell ref="H53:I53"/>
    <mergeCell ref="J53:K53"/>
    <mergeCell ref="L53:M53"/>
    <mergeCell ref="N53:O53"/>
    <mergeCell ref="P53:Q53"/>
    <mergeCell ref="R53:S53"/>
    <mergeCell ref="V52:W52"/>
    <mergeCell ref="AJ51:AK51"/>
    <mergeCell ref="F52:G52"/>
    <mergeCell ref="H52:I52"/>
    <mergeCell ref="J52:K52"/>
    <mergeCell ref="L52:M52"/>
    <mergeCell ref="N52:O52"/>
    <mergeCell ref="P52:Q52"/>
    <mergeCell ref="R52:S52"/>
    <mergeCell ref="T52:U52"/>
    <mergeCell ref="V51:W51"/>
    <mergeCell ref="X51:Y51"/>
    <mergeCell ref="Z51:AA51"/>
    <mergeCell ref="AB51:AC51"/>
    <mergeCell ref="AD51:AE51"/>
    <mergeCell ref="AF51:AG51"/>
    <mergeCell ref="AH52:AI52"/>
    <mergeCell ref="AJ52:AK52"/>
    <mergeCell ref="X52:Y52"/>
    <mergeCell ref="Z52:AA52"/>
    <mergeCell ref="AB52:AC52"/>
    <mergeCell ref="AD52:AE52"/>
    <mergeCell ref="AF52:AG52"/>
    <mergeCell ref="F51:G51"/>
    <mergeCell ref="H51:I51"/>
    <mergeCell ref="J51:K51"/>
    <mergeCell ref="L51:M51"/>
    <mergeCell ref="N51:O51"/>
    <mergeCell ref="P51:Q51"/>
    <mergeCell ref="R51:S51"/>
    <mergeCell ref="T51:U51"/>
    <mergeCell ref="V50:W50"/>
    <mergeCell ref="AH49:AI49"/>
    <mergeCell ref="J49:K49"/>
    <mergeCell ref="L49:M49"/>
    <mergeCell ref="N49:O49"/>
    <mergeCell ref="P49:Q49"/>
    <mergeCell ref="R49:S49"/>
    <mergeCell ref="T49:U49"/>
    <mergeCell ref="AH51:AI51"/>
    <mergeCell ref="AJ49:AK49"/>
    <mergeCell ref="F50:G50"/>
    <mergeCell ref="H50:I50"/>
    <mergeCell ref="J50:K50"/>
    <mergeCell ref="L50:M50"/>
    <mergeCell ref="N50:O50"/>
    <mergeCell ref="P50:Q50"/>
    <mergeCell ref="R50:S50"/>
    <mergeCell ref="T50:U50"/>
    <mergeCell ref="V49:W49"/>
    <mergeCell ref="X49:Y49"/>
    <mergeCell ref="Z49:AA49"/>
    <mergeCell ref="AB49:AC49"/>
    <mergeCell ref="AD49:AE49"/>
    <mergeCell ref="AF49:AG49"/>
    <mergeCell ref="AH50:AI50"/>
    <mergeCell ref="AJ50:AK50"/>
    <mergeCell ref="X50:Y50"/>
    <mergeCell ref="Z50:AA50"/>
    <mergeCell ref="AB50:AC50"/>
    <mergeCell ref="AD50:AE50"/>
    <mergeCell ref="AF50:AG50"/>
    <mergeCell ref="F49:G49"/>
    <mergeCell ref="H49:I49"/>
    <mergeCell ref="V48:W48"/>
    <mergeCell ref="AH47:AI47"/>
    <mergeCell ref="AJ47:AK47"/>
    <mergeCell ref="F48:G48"/>
    <mergeCell ref="H48:I48"/>
    <mergeCell ref="J48:K48"/>
    <mergeCell ref="L48:M48"/>
    <mergeCell ref="N48:O48"/>
    <mergeCell ref="P48:Q48"/>
    <mergeCell ref="R48:S48"/>
    <mergeCell ref="T48:U48"/>
    <mergeCell ref="V47:W47"/>
    <mergeCell ref="X47:Y47"/>
    <mergeCell ref="Z47:AA47"/>
    <mergeCell ref="AB47:AC47"/>
    <mergeCell ref="AD47:AE47"/>
    <mergeCell ref="AF47:AG47"/>
    <mergeCell ref="AH48:AI48"/>
    <mergeCell ref="AJ48:AK48"/>
    <mergeCell ref="X48:Y48"/>
    <mergeCell ref="Z48:AA48"/>
    <mergeCell ref="AB48:AC48"/>
    <mergeCell ref="AD48:AE48"/>
    <mergeCell ref="AF48:AG48"/>
    <mergeCell ref="F47:G47"/>
    <mergeCell ref="H47:I47"/>
    <mergeCell ref="J47:K47"/>
    <mergeCell ref="L47:M47"/>
    <mergeCell ref="N47:O47"/>
    <mergeCell ref="P47:Q47"/>
    <mergeCell ref="R47:S47"/>
    <mergeCell ref="T47:U47"/>
    <mergeCell ref="V46:W46"/>
    <mergeCell ref="AJ45:AK45"/>
    <mergeCell ref="F46:G46"/>
    <mergeCell ref="H46:I46"/>
    <mergeCell ref="J46:K46"/>
    <mergeCell ref="L46:M46"/>
    <mergeCell ref="N46:O46"/>
    <mergeCell ref="P46:Q46"/>
    <mergeCell ref="R46:S46"/>
    <mergeCell ref="T46:U46"/>
    <mergeCell ref="V45:W45"/>
    <mergeCell ref="X45:Y45"/>
    <mergeCell ref="Z45:AA45"/>
    <mergeCell ref="AB45:AC45"/>
    <mergeCell ref="AD45:AE45"/>
    <mergeCell ref="AF45:AG45"/>
    <mergeCell ref="AH46:AI46"/>
    <mergeCell ref="AJ46:AK46"/>
    <mergeCell ref="X46:Y46"/>
    <mergeCell ref="Z46:AA46"/>
    <mergeCell ref="AB46:AC46"/>
    <mergeCell ref="AD46:AE46"/>
    <mergeCell ref="AF46:AG46"/>
    <mergeCell ref="F45:G45"/>
    <mergeCell ref="H45:I45"/>
    <mergeCell ref="J45:K45"/>
    <mergeCell ref="L45:M45"/>
    <mergeCell ref="N45:O45"/>
    <mergeCell ref="P45:Q45"/>
    <mergeCell ref="R45:S45"/>
    <mergeCell ref="T45:U45"/>
    <mergeCell ref="V44:W44"/>
    <mergeCell ref="AH43:AI43"/>
    <mergeCell ref="J43:K43"/>
    <mergeCell ref="L43:M43"/>
    <mergeCell ref="N43:O43"/>
    <mergeCell ref="P43:Q43"/>
    <mergeCell ref="R43:S43"/>
    <mergeCell ref="T43:U43"/>
    <mergeCell ref="AH45:AI45"/>
    <mergeCell ref="AJ43:AK43"/>
    <mergeCell ref="F44:G44"/>
    <mergeCell ref="H44:I44"/>
    <mergeCell ref="J44:K44"/>
    <mergeCell ref="L44:M44"/>
    <mergeCell ref="N44:O44"/>
    <mergeCell ref="P44:Q44"/>
    <mergeCell ref="R44:S44"/>
    <mergeCell ref="T44:U44"/>
    <mergeCell ref="V43:W43"/>
    <mergeCell ref="X43:Y43"/>
    <mergeCell ref="Z43:AA43"/>
    <mergeCell ref="AB43:AC43"/>
    <mergeCell ref="AD43:AE43"/>
    <mergeCell ref="AF43:AG43"/>
    <mergeCell ref="AH44:AI44"/>
    <mergeCell ref="AJ44:AK44"/>
    <mergeCell ref="X44:Y44"/>
    <mergeCell ref="Z44:AA44"/>
    <mergeCell ref="AB44:AC44"/>
    <mergeCell ref="AD44:AE44"/>
    <mergeCell ref="AF44:AG44"/>
    <mergeCell ref="F43:G43"/>
    <mergeCell ref="H43:I43"/>
    <mergeCell ref="V42:W42"/>
    <mergeCell ref="T41:U41"/>
    <mergeCell ref="AJ41:AK41"/>
    <mergeCell ref="F42:G42"/>
    <mergeCell ref="H42:I42"/>
    <mergeCell ref="J42:K42"/>
    <mergeCell ref="L42:M42"/>
    <mergeCell ref="N42:O42"/>
    <mergeCell ref="P42:Q42"/>
    <mergeCell ref="R42:S42"/>
    <mergeCell ref="T42:U42"/>
    <mergeCell ref="AH42:AI42"/>
    <mergeCell ref="AJ42:AK42"/>
    <mergeCell ref="AD42:AE42"/>
    <mergeCell ref="AF42:AG42"/>
    <mergeCell ref="R40:S40"/>
    <mergeCell ref="T40:U40"/>
    <mergeCell ref="AJ40:AK40"/>
    <mergeCell ref="F41:G41"/>
    <mergeCell ref="H41:I41"/>
    <mergeCell ref="J41:K41"/>
    <mergeCell ref="L41:M41"/>
    <mergeCell ref="N41:O41"/>
    <mergeCell ref="P41:Q41"/>
    <mergeCell ref="R41:S41"/>
    <mergeCell ref="F40:G40"/>
    <mergeCell ref="H40:I40"/>
    <mergeCell ref="J40:K40"/>
    <mergeCell ref="L40:M40"/>
    <mergeCell ref="N40:O40"/>
    <mergeCell ref="P40:Q40"/>
    <mergeCell ref="V32:AI41"/>
    <mergeCell ref="F33:G33"/>
    <mergeCell ref="H33:I33"/>
    <mergeCell ref="J33:K33"/>
    <mergeCell ref="L33:M33"/>
    <mergeCell ref="N33:O33"/>
    <mergeCell ref="P33:Q33"/>
    <mergeCell ref="R33:S33"/>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F35:G35"/>
    <mergeCell ref="H35:I35"/>
    <mergeCell ref="J35:K35"/>
    <mergeCell ref="L35:M35"/>
    <mergeCell ref="N35:O35"/>
    <mergeCell ref="P35:Q35"/>
    <mergeCell ref="R35:S35"/>
    <mergeCell ref="T35:U35"/>
    <mergeCell ref="H34:I34"/>
    <mergeCell ref="J34:K34"/>
    <mergeCell ref="L34:M34"/>
    <mergeCell ref="N34:O34"/>
    <mergeCell ref="P34:Q34"/>
    <mergeCell ref="R34:S34"/>
    <mergeCell ref="F31:G31"/>
    <mergeCell ref="H31:I31"/>
    <mergeCell ref="J31:K31"/>
    <mergeCell ref="L31:M31"/>
    <mergeCell ref="N31:O31"/>
    <mergeCell ref="P31:Q31"/>
    <mergeCell ref="R31:S31"/>
    <mergeCell ref="T33:U33"/>
    <mergeCell ref="F34:G34"/>
    <mergeCell ref="T31:U31"/>
    <mergeCell ref="F32:G32"/>
    <mergeCell ref="H32:I32"/>
    <mergeCell ref="J32:K32"/>
    <mergeCell ref="L32:M32"/>
    <mergeCell ref="N32:O32"/>
    <mergeCell ref="P32:Q32"/>
    <mergeCell ref="R32:S32"/>
    <mergeCell ref="T32:U32"/>
    <mergeCell ref="T34:U34"/>
    <mergeCell ref="A30:E30"/>
    <mergeCell ref="F30:G30"/>
    <mergeCell ref="H30:I30"/>
    <mergeCell ref="J30:K30"/>
    <mergeCell ref="L30:M30"/>
    <mergeCell ref="N30:O30"/>
    <mergeCell ref="A27:E27"/>
    <mergeCell ref="F27:U27"/>
    <mergeCell ref="F28:I29"/>
    <mergeCell ref="J28:M28"/>
    <mergeCell ref="N28:O29"/>
    <mergeCell ref="P28:U29"/>
    <mergeCell ref="J29:K29"/>
    <mergeCell ref="L29:M29"/>
    <mergeCell ref="P30:Q30"/>
    <mergeCell ref="R30:S30"/>
    <mergeCell ref="T30:U30"/>
    <mergeCell ref="H21:J21"/>
    <mergeCell ref="K21:M21"/>
    <mergeCell ref="N21:P21"/>
    <mergeCell ref="Q21:S21"/>
    <mergeCell ref="T21:V21"/>
    <mergeCell ref="W21:Y21"/>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0:J20"/>
    <mergeCell ref="K20:M20"/>
    <mergeCell ref="N20:P20"/>
    <mergeCell ref="Q20:S20"/>
    <mergeCell ref="T20:V20"/>
    <mergeCell ref="W20:Y20"/>
    <mergeCell ref="Z20:AB20"/>
    <mergeCell ref="AC20:AE20"/>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AI18:AK18"/>
    <mergeCell ref="H19:J19"/>
    <mergeCell ref="K19:M19"/>
    <mergeCell ref="N19:P19"/>
    <mergeCell ref="Q19:S19"/>
    <mergeCell ref="T19:V19"/>
    <mergeCell ref="W19:Y19"/>
    <mergeCell ref="Z19:AB19"/>
    <mergeCell ref="AC19:AE19"/>
    <mergeCell ref="H18:J18"/>
    <mergeCell ref="K18:M18"/>
    <mergeCell ref="N18:P18"/>
    <mergeCell ref="Q18:S18"/>
    <mergeCell ref="T18:V18"/>
    <mergeCell ref="W18:Y18"/>
    <mergeCell ref="Z18:AB18"/>
    <mergeCell ref="AC18:AE18"/>
    <mergeCell ref="AF18:AH18"/>
    <mergeCell ref="AI16:AK16"/>
    <mergeCell ref="H17:J17"/>
    <mergeCell ref="K17:M17"/>
    <mergeCell ref="N17:P17"/>
    <mergeCell ref="Q17:S17"/>
    <mergeCell ref="T17:V17"/>
    <mergeCell ref="W17:Y17"/>
    <mergeCell ref="Z17:AB17"/>
    <mergeCell ref="AC17:AE17"/>
    <mergeCell ref="AF17:AH17"/>
    <mergeCell ref="AI17:AK17"/>
    <mergeCell ref="H16:J16"/>
    <mergeCell ref="K16:M16"/>
    <mergeCell ref="N16:P16"/>
    <mergeCell ref="Q16:S16"/>
    <mergeCell ref="T16:V16"/>
    <mergeCell ref="W16:Y16"/>
    <mergeCell ref="Z16:AB16"/>
    <mergeCell ref="AC16:AE16"/>
    <mergeCell ref="AF16:AH16"/>
    <mergeCell ref="Q14:S14"/>
    <mergeCell ref="T14:V14"/>
    <mergeCell ref="W14:Y14"/>
    <mergeCell ref="Z14:AB14"/>
    <mergeCell ref="AC14:AE14"/>
    <mergeCell ref="AF14:AH14"/>
    <mergeCell ref="AI14:AK14"/>
    <mergeCell ref="H15:J15"/>
    <mergeCell ref="K15:M15"/>
    <mergeCell ref="N15:P15"/>
    <mergeCell ref="Q15:S15"/>
    <mergeCell ref="T15:V15"/>
    <mergeCell ref="W15:Y15"/>
    <mergeCell ref="Z15:AB15"/>
    <mergeCell ref="AC15:AE15"/>
    <mergeCell ref="AF15:AH15"/>
    <mergeCell ref="AI15:AK15"/>
    <mergeCell ref="A1:AK4"/>
    <mergeCell ref="A5:G5"/>
    <mergeCell ref="Y5:AB5"/>
    <mergeCell ref="AC5:AK5"/>
    <mergeCell ref="A6:G6"/>
    <mergeCell ref="Y6:AB6"/>
    <mergeCell ref="AC6:AK6"/>
    <mergeCell ref="X42:AC42"/>
    <mergeCell ref="A7:G7"/>
    <mergeCell ref="Y7:AB7"/>
    <mergeCell ref="A8:G9"/>
    <mergeCell ref="H8:AK9"/>
    <mergeCell ref="A10:H10"/>
    <mergeCell ref="I10:X10"/>
    <mergeCell ref="Y10:AB10"/>
    <mergeCell ref="AC10:AE10"/>
    <mergeCell ref="AF10:AH10"/>
    <mergeCell ref="AI10:AK10"/>
    <mergeCell ref="A11:AK12"/>
    <mergeCell ref="A13:G13"/>
    <mergeCell ref="H13:AK13"/>
    <mergeCell ref="H14:J14"/>
    <mergeCell ref="K14:M14"/>
    <mergeCell ref="N14:P14"/>
  </mergeCells>
  <conditionalFormatting sqref="F31:U52">
    <cfRule type="expression" dxfId="112" priority="2">
      <formula>F31=0</formula>
    </cfRule>
  </conditionalFormatting>
  <conditionalFormatting sqref="R55:S62">
    <cfRule type="expression" dxfId="111" priority="1" stopIfTrue="1">
      <formula>R55=0</formula>
    </cfRule>
  </conditionalFormatting>
  <conditionalFormatting sqref="V31:AK31 AJ32:AK41 V42:Y42 AD42:AK42 V43:AK52">
    <cfRule type="expression" dxfId="110" priority="4">
      <formula>V31=0</formula>
    </cfRule>
  </conditionalFormatting>
  <conditionalFormatting sqref="V53:AK53">
    <cfRule type="expression" dxfId="109" priority="5" stopIfTrue="1">
      <formula>V53=0</formula>
    </cfRule>
  </conditionalFormatting>
  <conditionalFormatting sqref="Y56:Y62 AC56:AD62 N57 N59">
    <cfRule type="expression" dxfId="108" priority="7" stopIfTrue="1">
      <formula>N56=0</formula>
    </cfRule>
  </conditionalFormatting>
  <pageMargins left="0.7" right="0.7" top="0.75" bottom="0.75" header="0.3" footer="0.3"/>
  <pageSetup paperSize="9" scale="61" orientation="portrait" r:id="rId1"/>
  <headerFooter>
    <oddFooter>&amp;C_x000D_&amp;1#&amp;"Calibri"&amp;10&amp;K000000 Internal</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2A5D-F148-4D24-B843-F520FD63BA98}">
  <sheetPr>
    <tabColor rgb="FFFFC000"/>
    <pageSetUpPr fitToPage="1"/>
  </sheetPr>
  <dimension ref="A1:CP125"/>
  <sheetViews>
    <sheetView showGridLines="0" view="pageBreakPreview" zoomScaleNormal="100" zoomScaleSheetLayoutView="100" workbookViewId="0">
      <selection sqref="A1:AK4"/>
    </sheetView>
  </sheetViews>
  <sheetFormatPr defaultColWidth="3.7109375" defaultRowHeight="15"/>
  <cols>
    <col min="1" max="6" width="3.7109375" style="290"/>
    <col min="7" max="7" width="4.42578125" style="290" customWidth="1"/>
    <col min="8" max="11" width="3.7109375" style="290"/>
    <col min="12" max="16" width="4.7109375" style="290" customWidth="1"/>
    <col min="17" max="17" width="5.7109375" style="290" customWidth="1"/>
    <col min="18" max="18" width="8.5703125" style="290" bestFit="1" customWidth="1"/>
    <col min="19" max="19" width="5.42578125" style="290" customWidth="1"/>
    <col min="20" max="23" width="3.7109375" style="290"/>
    <col min="24" max="24" width="8.7109375" style="290" customWidth="1"/>
    <col min="25" max="37" width="3.7109375" style="290"/>
    <col min="38" max="38" width="3.7109375" style="247"/>
    <col min="39" max="50" width="8.7109375" style="247" customWidth="1"/>
    <col min="51" max="57" width="3.7109375" style="247"/>
    <col min="58" max="59" width="3.7109375" style="285"/>
    <col min="60" max="16384" width="3.7109375" style="247"/>
  </cols>
  <sheetData>
    <row r="1" spans="1:94"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8"/>
      <c r="AL1" s="238"/>
      <c r="AM1" s="238"/>
      <c r="AN1" s="238"/>
      <c r="AO1" s="238"/>
      <c r="AP1" s="238"/>
      <c r="AQ1" s="238"/>
      <c r="AR1" s="238"/>
      <c r="AS1" s="238"/>
      <c r="AT1" s="238"/>
      <c r="AU1" s="238"/>
      <c r="AV1" s="238"/>
      <c r="AW1" s="238"/>
      <c r="AX1" s="238"/>
      <c r="AY1" s="238"/>
      <c r="AZ1" s="238"/>
      <c r="BA1" s="238"/>
      <c r="BB1" s="238"/>
      <c r="BC1" s="238"/>
      <c r="BD1" s="238"/>
      <c r="BE1" s="238"/>
      <c r="BF1" s="239"/>
      <c r="BG1" s="239"/>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c r="CM1" s="238"/>
      <c r="CN1" s="238"/>
      <c r="CO1" s="238"/>
      <c r="CP1" s="238"/>
    </row>
    <row r="2" spans="1:94"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1"/>
      <c r="AL2" s="238"/>
      <c r="AM2" s="238"/>
      <c r="AN2" s="238"/>
      <c r="AO2" s="238"/>
      <c r="AP2" s="238"/>
      <c r="AQ2" s="238"/>
      <c r="AR2" s="238"/>
      <c r="AS2" s="238"/>
      <c r="AT2" s="238"/>
      <c r="AU2" s="238"/>
      <c r="AV2" s="238"/>
      <c r="AW2" s="238"/>
      <c r="AX2" s="238"/>
      <c r="AY2" s="238"/>
      <c r="AZ2" s="238"/>
      <c r="BA2" s="238"/>
      <c r="BB2" s="238"/>
      <c r="BC2" s="238"/>
      <c r="BD2" s="238"/>
      <c r="BE2" s="238"/>
      <c r="BF2" s="239"/>
      <c r="BG2" s="239"/>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row>
    <row r="3" spans="1:94"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1"/>
      <c r="AL3" s="238"/>
      <c r="AM3" s="238"/>
      <c r="AN3" s="238"/>
      <c r="AO3" s="238"/>
      <c r="AP3" s="238"/>
      <c r="AQ3" s="238"/>
      <c r="AR3" s="238"/>
      <c r="AS3" s="238"/>
      <c r="AT3" s="238"/>
      <c r="AU3" s="238"/>
      <c r="AV3" s="238"/>
      <c r="AW3" s="238"/>
      <c r="AX3" s="238"/>
      <c r="AY3" s="238"/>
      <c r="AZ3" s="238"/>
      <c r="BA3" s="238"/>
      <c r="BB3" s="238"/>
      <c r="BC3" s="238"/>
      <c r="BD3" s="238"/>
      <c r="BE3" s="238"/>
      <c r="BF3" s="239"/>
      <c r="BG3" s="239"/>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row>
    <row r="4" spans="1:94"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4"/>
      <c r="AL4" s="238"/>
      <c r="AM4" s="241"/>
      <c r="AN4" s="241"/>
      <c r="AO4" s="241"/>
      <c r="AP4" s="242" t="s">
        <v>576</v>
      </c>
      <c r="AQ4" s="242" t="s">
        <v>577</v>
      </c>
      <c r="AR4" s="242" t="s">
        <v>578</v>
      </c>
      <c r="AS4" s="241"/>
      <c r="AT4" s="241"/>
      <c r="AU4" s="241"/>
      <c r="AV4" s="241"/>
      <c r="AW4" s="241"/>
      <c r="AX4" s="238"/>
      <c r="AY4" s="238"/>
      <c r="AZ4" s="238"/>
      <c r="BA4" s="238"/>
      <c r="BB4" s="238"/>
      <c r="BC4" s="238"/>
      <c r="BD4" s="238"/>
      <c r="BE4" s="238"/>
      <c r="BF4" s="239"/>
      <c r="BG4" s="239"/>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row>
    <row r="5" spans="1:94" ht="15" customHeight="1">
      <c r="A5" s="875" t="s">
        <v>22</v>
      </c>
      <c r="B5" s="876"/>
      <c r="C5" s="876"/>
      <c r="D5" s="876"/>
      <c r="E5" s="876"/>
      <c r="F5" s="876"/>
      <c r="G5" s="876"/>
      <c r="H5" s="27" t="str">
        <f>'Emiss. Ops'!$C$2</f>
        <v>OMVP</v>
      </c>
      <c r="I5" s="27"/>
      <c r="J5" s="27"/>
      <c r="K5" s="27"/>
      <c r="L5" s="27"/>
      <c r="M5" s="27"/>
      <c r="N5" s="27"/>
      <c r="O5" s="27"/>
      <c r="P5" s="27"/>
      <c r="Q5" s="27"/>
      <c r="R5" s="27"/>
      <c r="S5" s="27"/>
      <c r="T5" s="27"/>
      <c r="U5" s="27"/>
      <c r="V5" s="27"/>
      <c r="W5" s="27"/>
      <c r="X5" s="27"/>
      <c r="Y5" s="876" t="s">
        <v>23</v>
      </c>
      <c r="Z5" s="876"/>
      <c r="AA5" s="876"/>
      <c r="AB5" s="876"/>
      <c r="AC5" s="877" t="str">
        <f>Effluents!$K$2</f>
        <v>PRJ-001030</v>
      </c>
      <c r="AD5" s="877"/>
      <c r="AE5" s="877"/>
      <c r="AF5" s="877"/>
      <c r="AG5" s="877"/>
      <c r="AH5" s="877"/>
      <c r="AI5" s="877"/>
      <c r="AJ5" s="877"/>
      <c r="AK5" s="878"/>
      <c r="AL5" s="243"/>
      <c r="AM5" s="244"/>
      <c r="AN5" s="244"/>
      <c r="AO5" s="244"/>
      <c r="AP5" s="245" t="s">
        <v>386</v>
      </c>
      <c r="AQ5" s="245" t="s">
        <v>729</v>
      </c>
      <c r="AR5" s="242">
        <v>1020</v>
      </c>
      <c r="AS5" s="244"/>
      <c r="AT5" s="244"/>
      <c r="AU5" s="244"/>
      <c r="AV5" s="244"/>
      <c r="AW5" s="244"/>
      <c r="AX5" s="238"/>
      <c r="AY5" s="238"/>
      <c r="AZ5" s="238"/>
      <c r="BA5" s="243"/>
      <c r="BB5" s="243"/>
      <c r="BC5" s="243"/>
      <c r="BD5" s="243"/>
      <c r="BE5" s="243"/>
      <c r="BF5" s="246"/>
      <c r="BG5" s="246"/>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row>
    <row r="6" spans="1:94" ht="15" customHeight="1">
      <c r="A6" s="862" t="s">
        <v>24</v>
      </c>
      <c r="B6" s="863"/>
      <c r="C6" s="863"/>
      <c r="D6" s="863"/>
      <c r="E6" s="863"/>
      <c r="F6" s="863"/>
      <c r="G6" s="863"/>
      <c r="H6" s="30" t="str">
        <f>'Emiss. Ops'!$C$3</f>
        <v>OMV Neptun BAT Study &amp; ESIA</v>
      </c>
      <c r="I6" s="30"/>
      <c r="J6" s="30"/>
      <c r="K6" s="30"/>
      <c r="L6" s="30"/>
      <c r="M6" s="30"/>
      <c r="N6" s="30"/>
      <c r="O6" s="30"/>
      <c r="P6" s="30"/>
      <c r="Q6" s="30"/>
      <c r="R6" s="30"/>
      <c r="S6" s="30"/>
      <c r="T6" s="30"/>
      <c r="U6" s="30"/>
      <c r="V6" s="30"/>
      <c r="W6" s="30"/>
      <c r="X6" s="30"/>
      <c r="Y6" s="863" t="s">
        <v>25</v>
      </c>
      <c r="Z6" s="863"/>
      <c r="AA6" s="863"/>
      <c r="AB6" s="863"/>
      <c r="AC6" s="860"/>
      <c r="AD6" s="860"/>
      <c r="AE6" s="860"/>
      <c r="AF6" s="860"/>
      <c r="AG6" s="860"/>
      <c r="AH6" s="860"/>
      <c r="AI6" s="860"/>
      <c r="AJ6" s="860"/>
      <c r="AK6" s="861"/>
      <c r="AL6" s="243"/>
      <c r="AM6" s="244"/>
      <c r="AN6" s="244"/>
      <c r="AO6" s="242"/>
      <c r="AP6" s="245" t="s">
        <v>406</v>
      </c>
      <c r="AQ6" s="245" t="s">
        <v>339</v>
      </c>
      <c r="AR6" s="245">
        <v>0.45400000000000001</v>
      </c>
      <c r="AS6" s="242"/>
      <c r="AT6" s="244"/>
      <c r="AU6" s="244"/>
      <c r="AV6" s="244"/>
      <c r="AW6" s="244"/>
      <c r="AX6" s="238"/>
      <c r="AY6" s="238"/>
      <c r="AZ6" s="238"/>
      <c r="BA6" s="243"/>
      <c r="BB6" s="243"/>
      <c r="BC6" s="243"/>
      <c r="BD6" s="243"/>
      <c r="BE6" s="243"/>
      <c r="BF6" s="246"/>
      <c r="BG6" s="246"/>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row>
    <row r="7" spans="1:94" ht="15" customHeight="1">
      <c r="A7" s="862" t="s">
        <v>26</v>
      </c>
      <c r="B7" s="863"/>
      <c r="C7" s="863"/>
      <c r="D7" s="863"/>
      <c r="E7" s="863"/>
      <c r="F7" s="863"/>
      <c r="G7" s="863"/>
      <c r="H7" s="30" t="str">
        <f>'Emiss. Ops'!$C$4</f>
        <v>Emissions Inventory</v>
      </c>
      <c r="I7" s="30"/>
      <c r="J7" s="30"/>
      <c r="K7" s="30"/>
      <c r="L7" s="30"/>
      <c r="M7" s="30"/>
      <c r="N7" s="30"/>
      <c r="O7" s="30"/>
      <c r="P7" s="30"/>
      <c r="Q7" s="30"/>
      <c r="R7" s="30"/>
      <c r="S7" s="30"/>
      <c r="T7" s="30"/>
      <c r="U7" s="30"/>
      <c r="V7" s="30"/>
      <c r="W7" s="30"/>
      <c r="X7" s="30"/>
      <c r="Y7" s="863" t="s">
        <v>27</v>
      </c>
      <c r="Z7" s="863"/>
      <c r="AA7" s="863"/>
      <c r="AB7" s="863"/>
      <c r="AC7" s="30" t="str">
        <f>'Emiss. Ops'!$I$4</f>
        <v>Normal Operations</v>
      </c>
      <c r="AD7" s="31"/>
      <c r="AE7" s="31"/>
      <c r="AF7" s="31"/>
      <c r="AG7" s="31"/>
      <c r="AH7" s="31"/>
      <c r="AI7" s="31"/>
      <c r="AJ7" s="31"/>
      <c r="AK7" s="32"/>
      <c r="AL7" s="243"/>
      <c r="AM7" s="244"/>
      <c r="AN7" s="244"/>
      <c r="AO7" s="242"/>
      <c r="AP7" s="245" t="s">
        <v>407</v>
      </c>
      <c r="AQ7" s="245" t="s">
        <v>730</v>
      </c>
      <c r="AR7" s="248">
        <f>0.305^3</f>
        <v>2.8372624999999999E-2</v>
      </c>
      <c r="AS7" s="242"/>
      <c r="AT7" s="244"/>
      <c r="AU7" s="244"/>
      <c r="AV7" s="244"/>
      <c r="AW7" s="244"/>
      <c r="AX7" s="238"/>
      <c r="AY7" s="238"/>
      <c r="AZ7" s="238"/>
      <c r="BA7" s="243"/>
      <c r="BB7" s="243"/>
      <c r="BC7" s="243"/>
      <c r="BD7" s="243"/>
      <c r="BE7" s="243"/>
      <c r="BF7" s="246"/>
      <c r="BG7" s="246"/>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row>
    <row r="8" spans="1:94"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8"/>
      <c r="AH8" s="1288"/>
      <c r="AI8" s="1288"/>
      <c r="AJ8" s="1288"/>
      <c r="AK8" s="1289"/>
      <c r="AL8" s="243"/>
      <c r="AM8" s="244"/>
      <c r="AN8" s="244"/>
      <c r="AO8" s="242"/>
      <c r="AP8" s="245" t="s">
        <v>729</v>
      </c>
      <c r="AQ8" s="245" t="s">
        <v>731</v>
      </c>
      <c r="AR8" s="249">
        <f>AR6/AR7 * ((AN18+273.15)/(AN20+273.15))</f>
        <v>16.912595854908194</v>
      </c>
      <c r="AS8" s="242"/>
      <c r="AT8" s="244"/>
      <c r="AU8" s="244"/>
      <c r="AV8" s="244"/>
      <c r="AW8" s="244"/>
      <c r="AX8" s="238"/>
      <c r="AY8" s="238"/>
      <c r="AZ8" s="238"/>
      <c r="BA8" s="243"/>
      <c r="BB8" s="243"/>
      <c r="BC8" s="243"/>
      <c r="BD8" s="243"/>
      <c r="BE8" s="243"/>
      <c r="BF8" s="246"/>
      <c r="BG8" s="246"/>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row>
    <row r="9" spans="1:94"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8"/>
      <c r="AH9" s="1288"/>
      <c r="AI9" s="1288"/>
      <c r="AJ9" s="1288"/>
      <c r="AK9" s="1289"/>
      <c r="AL9" s="243"/>
      <c r="AM9" s="244"/>
      <c r="AN9" s="244"/>
      <c r="AO9" s="242"/>
      <c r="AP9" s="242" t="s">
        <v>409</v>
      </c>
      <c r="AQ9" s="242" t="s">
        <v>410</v>
      </c>
      <c r="AR9" s="242">
        <v>947</v>
      </c>
      <c r="AS9" s="242"/>
      <c r="AT9" s="244"/>
      <c r="AU9" s="244"/>
      <c r="AV9" s="244"/>
      <c r="AW9" s="244"/>
      <c r="AX9" s="238"/>
      <c r="AY9" s="238"/>
      <c r="AZ9" s="238"/>
      <c r="BA9" s="243"/>
      <c r="BB9" s="243"/>
      <c r="BC9" s="243"/>
      <c r="BD9" s="243"/>
      <c r="BE9" s="243"/>
      <c r="BF9" s="246"/>
      <c r="BG9" s="246"/>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row>
    <row r="10" spans="1:94"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1283"/>
      <c r="V10" s="1283"/>
      <c r="W10" s="1283"/>
      <c r="X10" s="1283"/>
      <c r="Y10" s="859" t="s">
        <v>28</v>
      </c>
      <c r="Z10" s="859"/>
      <c r="AA10" s="859"/>
      <c r="AB10" s="859"/>
      <c r="AC10" s="1284"/>
      <c r="AD10" s="1284"/>
      <c r="AE10" s="1284"/>
      <c r="AF10" s="1285"/>
      <c r="AG10" s="1285"/>
      <c r="AH10" s="1285"/>
      <c r="AI10" s="1286"/>
      <c r="AJ10" s="1286"/>
      <c r="AK10" s="1287"/>
      <c r="AL10" s="238"/>
      <c r="AM10" s="241"/>
      <c r="AN10" s="241"/>
      <c r="AO10" s="245"/>
      <c r="AP10" s="245" t="s">
        <v>710</v>
      </c>
      <c r="AQ10" s="245" t="s">
        <v>709</v>
      </c>
      <c r="AR10" s="245">
        <v>1E-3</v>
      </c>
      <c r="AS10" s="245"/>
      <c r="AT10" s="241"/>
      <c r="AU10" s="241"/>
      <c r="AV10" s="241"/>
      <c r="AW10" s="241"/>
      <c r="AX10" s="238"/>
      <c r="AY10" s="238"/>
      <c r="AZ10" s="238"/>
      <c r="BA10" s="238"/>
      <c r="BB10" s="238"/>
      <c r="BC10" s="238"/>
      <c r="BD10" s="238"/>
      <c r="BE10" s="238"/>
      <c r="BF10" s="239"/>
      <c r="BG10" s="239"/>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row>
    <row r="11" spans="1:94" s="240" customFormat="1" ht="14.25" customHeight="1">
      <c r="A11" s="1662" t="s">
        <v>842</v>
      </c>
      <c r="B11" s="1663"/>
      <c r="C11" s="1663"/>
      <c r="D11" s="1663"/>
      <c r="E11" s="1663"/>
      <c r="F11" s="1663"/>
      <c r="G11" s="1663"/>
      <c r="H11" s="1663"/>
      <c r="I11" s="1663"/>
      <c r="J11" s="1663"/>
      <c r="K11" s="1663"/>
      <c r="L11" s="1663"/>
      <c r="M11" s="1663"/>
      <c r="N11" s="1663"/>
      <c r="O11" s="1663"/>
      <c r="P11" s="1663"/>
      <c r="Q11" s="1663"/>
      <c r="R11" s="1663"/>
      <c r="S11" s="1663"/>
      <c r="T11" s="1663"/>
      <c r="U11" s="1663"/>
      <c r="V11" s="1663"/>
      <c r="W11" s="1663"/>
      <c r="X11" s="1663"/>
      <c r="Y11" s="1663"/>
      <c r="Z11" s="1663"/>
      <c r="AA11" s="1663"/>
      <c r="AB11" s="1663"/>
      <c r="AC11" s="1663"/>
      <c r="AD11" s="1663"/>
      <c r="AE11" s="1663"/>
      <c r="AF11" s="1663"/>
      <c r="AG11" s="1663"/>
      <c r="AH11" s="1663"/>
      <c r="AI11" s="1663"/>
      <c r="AJ11" s="1663"/>
      <c r="AK11" s="1664"/>
      <c r="AL11" s="489"/>
      <c r="AM11" s="489"/>
      <c r="AN11" s="241"/>
      <c r="AO11" s="245"/>
      <c r="AP11" s="245" t="s">
        <v>732</v>
      </c>
      <c r="AQ11" s="245" t="s">
        <v>409</v>
      </c>
      <c r="AR11" s="245">
        <f>1/(AR9/1000000)</f>
        <v>1055.9662090813094</v>
      </c>
      <c r="AS11" s="245"/>
      <c r="AT11" s="241"/>
      <c r="AU11" s="241"/>
      <c r="AV11" s="241"/>
      <c r="AW11" s="241"/>
      <c r="AX11" s="238"/>
      <c r="AY11" s="238"/>
      <c r="AZ11" s="238"/>
      <c r="BA11" s="238"/>
      <c r="BB11" s="238"/>
      <c r="BC11" s="238"/>
      <c r="BD11" s="238"/>
      <c r="BE11" s="238"/>
      <c r="BF11" s="239"/>
      <c r="BG11" s="239"/>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row>
    <row r="12" spans="1:94" s="240" customFormat="1" ht="14.25" customHeight="1">
      <c r="A12" s="1665"/>
      <c r="B12" s="1666"/>
      <c r="C12" s="1666"/>
      <c r="D12" s="1666"/>
      <c r="E12" s="1666"/>
      <c r="F12" s="1666"/>
      <c r="G12" s="1666"/>
      <c r="H12" s="1666"/>
      <c r="I12" s="1666"/>
      <c r="J12" s="1666"/>
      <c r="K12" s="1666"/>
      <c r="L12" s="1666"/>
      <c r="M12" s="1666"/>
      <c r="N12" s="1666"/>
      <c r="O12" s="1666"/>
      <c r="P12" s="1666"/>
      <c r="Q12" s="1666"/>
      <c r="R12" s="1666"/>
      <c r="S12" s="1666"/>
      <c r="T12" s="1666"/>
      <c r="U12" s="1666"/>
      <c r="V12" s="1666"/>
      <c r="W12" s="1666"/>
      <c r="X12" s="1666"/>
      <c r="Y12" s="1666"/>
      <c r="Z12" s="1666"/>
      <c r="AA12" s="1666"/>
      <c r="AB12" s="1666"/>
      <c r="AC12" s="1666"/>
      <c r="AD12" s="1666"/>
      <c r="AE12" s="1666"/>
      <c r="AF12" s="1666"/>
      <c r="AG12" s="1666"/>
      <c r="AH12" s="1666"/>
      <c r="AI12" s="1666"/>
      <c r="AJ12" s="1666"/>
      <c r="AK12" s="1667"/>
      <c r="AL12" s="489" t="s">
        <v>843</v>
      </c>
      <c r="AM12" s="489"/>
      <c r="AN12" s="241"/>
      <c r="AO12" s="245"/>
      <c r="AP12" s="245"/>
      <c r="AQ12" s="245"/>
      <c r="AR12" s="245"/>
      <c r="AS12" s="245"/>
      <c r="AT12" s="241"/>
      <c r="AU12" s="241"/>
      <c r="AV12" s="241"/>
      <c r="AW12" s="241"/>
      <c r="AX12" s="238"/>
      <c r="AY12" s="238"/>
      <c r="AZ12" s="238"/>
      <c r="BA12" s="238"/>
      <c r="BB12" s="238"/>
      <c r="BC12" s="238"/>
      <c r="BD12" s="238"/>
      <c r="BE12" s="238"/>
      <c r="BF12" s="239"/>
      <c r="BG12" s="239"/>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row>
    <row r="13" spans="1:94" s="240" customFormat="1" ht="14.25" customHeight="1">
      <c r="A13" s="1277" t="s">
        <v>587</v>
      </c>
      <c r="B13" s="1278"/>
      <c r="C13" s="1278"/>
      <c r="D13" s="1278"/>
      <c r="E13" s="1278"/>
      <c r="F13" s="1278"/>
      <c r="G13" s="1279"/>
      <c r="H13" s="1280" t="s">
        <v>733</v>
      </c>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2"/>
      <c r="AL13" s="238"/>
      <c r="AM13" s="241"/>
      <c r="AN13" s="241"/>
      <c r="AO13" s="241"/>
      <c r="AP13" s="241"/>
      <c r="AQ13" s="241"/>
      <c r="AR13" s="241"/>
      <c r="AS13" s="241"/>
      <c r="AT13" s="241"/>
      <c r="AU13" s="241"/>
      <c r="AV13" s="241"/>
      <c r="AW13" s="241"/>
      <c r="AX13" s="241"/>
      <c r="AY13" s="241"/>
      <c r="AZ13" s="241"/>
      <c r="BA13" s="238"/>
      <c r="BB13" s="238"/>
      <c r="BC13" s="238"/>
      <c r="BD13" s="238"/>
      <c r="BE13" s="238"/>
      <c r="BF13" s="239"/>
      <c r="BG13" s="239"/>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row>
    <row r="14" spans="1:94" s="240" customFormat="1" ht="14.25" customHeight="1">
      <c r="A14" s="279" t="s">
        <v>589</v>
      </c>
      <c r="B14" s="429"/>
      <c r="C14" s="429"/>
      <c r="D14" s="429"/>
      <c r="E14" s="429"/>
      <c r="F14" s="429"/>
      <c r="G14" s="429"/>
      <c r="H14" s="1271" t="s">
        <v>590</v>
      </c>
      <c r="I14" s="1272"/>
      <c r="J14" s="1273"/>
      <c r="K14" s="1271" t="s">
        <v>591</v>
      </c>
      <c r="L14" s="1272"/>
      <c r="M14" s="1273"/>
      <c r="N14" s="1271" t="s">
        <v>592</v>
      </c>
      <c r="O14" s="1272"/>
      <c r="P14" s="1273"/>
      <c r="Q14" s="1271" t="s">
        <v>400</v>
      </c>
      <c r="R14" s="1272"/>
      <c r="S14" s="1273"/>
      <c r="T14" s="1271" t="s">
        <v>593</v>
      </c>
      <c r="U14" s="1272"/>
      <c r="V14" s="1273"/>
      <c r="W14" s="1271" t="s">
        <v>593</v>
      </c>
      <c r="X14" s="1272"/>
      <c r="Y14" s="1273"/>
      <c r="Z14" s="1271" t="s">
        <v>115</v>
      </c>
      <c r="AA14" s="1272"/>
      <c r="AB14" s="1273"/>
      <c r="AC14" s="1271" t="s">
        <v>115</v>
      </c>
      <c r="AD14" s="1272"/>
      <c r="AE14" s="1273"/>
      <c r="AF14" s="1271" t="s">
        <v>116</v>
      </c>
      <c r="AG14" s="1272"/>
      <c r="AH14" s="1273"/>
      <c r="AI14" s="1271" t="s">
        <v>116</v>
      </c>
      <c r="AJ14" s="1272"/>
      <c r="AK14" s="1273"/>
      <c r="AL14" s="238"/>
      <c r="AM14" s="241"/>
      <c r="AN14" s="241"/>
      <c r="AO14" s="241"/>
      <c r="AP14" s="241"/>
      <c r="AQ14" s="430"/>
      <c r="AR14" s="241"/>
      <c r="AS14" s="241"/>
      <c r="AT14" s="241"/>
      <c r="AU14" s="241"/>
      <c r="AV14" s="241"/>
      <c r="AW14" s="241"/>
      <c r="AX14" s="238"/>
      <c r="AY14" s="238"/>
      <c r="AZ14" s="238"/>
      <c r="BA14" s="238"/>
      <c r="BB14" s="238"/>
      <c r="BC14" s="238"/>
      <c r="BD14" s="238"/>
      <c r="BE14" s="238"/>
      <c r="BF14" s="239"/>
      <c r="BG14" s="239"/>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row>
    <row r="15" spans="1:94" s="240" customFormat="1" ht="14.25" customHeight="1">
      <c r="A15" s="250"/>
      <c r="B15" s="251"/>
      <c r="C15" s="251"/>
      <c r="D15" s="251"/>
      <c r="E15" s="251"/>
      <c r="F15" s="251"/>
      <c r="G15" s="251"/>
      <c r="H15" s="1302" t="s">
        <v>594</v>
      </c>
      <c r="I15" s="1283"/>
      <c r="J15" s="1303"/>
      <c r="K15" s="1302" t="s">
        <v>595</v>
      </c>
      <c r="L15" s="1283"/>
      <c r="M15" s="1303"/>
      <c r="N15" s="1302" t="s">
        <v>596</v>
      </c>
      <c r="O15" s="1283"/>
      <c r="P15" s="1303"/>
      <c r="Q15" s="1302" t="s">
        <v>597</v>
      </c>
      <c r="R15" s="1283"/>
      <c r="S15" s="1303"/>
      <c r="T15" s="1302" t="s">
        <v>734</v>
      </c>
      <c r="U15" s="1283"/>
      <c r="V15" s="1303"/>
      <c r="W15" s="1302" t="s">
        <v>599</v>
      </c>
      <c r="X15" s="1283"/>
      <c r="Y15" s="1303"/>
      <c r="Z15" s="1302" t="s">
        <v>734</v>
      </c>
      <c r="AA15" s="1283"/>
      <c r="AB15" s="1303"/>
      <c r="AC15" s="1302" t="s">
        <v>599</v>
      </c>
      <c r="AD15" s="1283"/>
      <c r="AE15" s="1303"/>
      <c r="AF15" s="1302" t="s">
        <v>734</v>
      </c>
      <c r="AG15" s="1283"/>
      <c r="AH15" s="1303"/>
      <c r="AI15" s="1302" t="s">
        <v>599</v>
      </c>
      <c r="AJ15" s="1283"/>
      <c r="AK15" s="1303"/>
      <c r="AL15" s="238"/>
      <c r="AM15" s="241"/>
      <c r="AN15" s="241"/>
      <c r="AO15" s="241"/>
      <c r="AP15" s="431" t="s">
        <v>393</v>
      </c>
      <c r="AQ15" s="432"/>
      <c r="AR15" s="433"/>
      <c r="AS15" s="431" t="s">
        <v>115</v>
      </c>
      <c r="AT15" s="432"/>
      <c r="AU15" s="433"/>
      <c r="AV15" s="238"/>
      <c r="AW15" s="238"/>
      <c r="AX15" s="238"/>
      <c r="AY15" s="238"/>
      <c r="AZ15" s="238"/>
      <c r="BA15" s="238"/>
      <c r="BB15" s="238"/>
      <c r="BC15" s="238"/>
      <c r="BD15" s="238"/>
      <c r="BE15" s="238"/>
      <c r="BF15" s="239"/>
      <c r="BG15" s="239"/>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row>
    <row r="16" spans="1:94" s="240" customFormat="1" ht="14.25" customHeight="1">
      <c r="A16" s="434" t="s">
        <v>735</v>
      </c>
      <c r="B16" s="435"/>
      <c r="C16" s="435"/>
      <c r="D16" s="435"/>
      <c r="E16" s="435"/>
      <c r="F16" s="435"/>
      <c r="G16" s="436"/>
      <c r="H16" s="1304"/>
      <c r="I16" s="1305"/>
      <c r="J16" s="1306"/>
      <c r="K16" s="1307"/>
      <c r="L16" s="1308"/>
      <c r="M16" s="1309"/>
      <c r="N16" s="1304"/>
      <c r="O16" s="1305"/>
      <c r="P16" s="1306"/>
      <c r="Q16" s="1415">
        <f>GTGs!Q15</f>
        <v>37.956295834166582</v>
      </c>
      <c r="R16" s="1416"/>
      <c r="S16" s="1417"/>
      <c r="T16" s="1418">
        <f>AR17</f>
        <v>1173.0576484964322</v>
      </c>
      <c r="U16" s="1419"/>
      <c r="V16" s="1420"/>
      <c r="W16" s="1304"/>
      <c r="X16" s="1305"/>
      <c r="Y16" s="1306"/>
      <c r="Z16" s="1418">
        <f>AU17</f>
        <v>6382.8136756423519</v>
      </c>
      <c r="AA16" s="1419"/>
      <c r="AB16" s="1420"/>
      <c r="AC16" s="1304"/>
      <c r="AD16" s="1305"/>
      <c r="AE16" s="1306"/>
      <c r="AF16" s="1379">
        <f>AR21</f>
        <v>40</v>
      </c>
      <c r="AG16" s="1380"/>
      <c r="AH16" s="1381"/>
      <c r="AI16" s="1304" t="s">
        <v>604</v>
      </c>
      <c r="AJ16" s="1305"/>
      <c r="AK16" s="1306"/>
      <c r="AL16" s="238"/>
      <c r="AM16" s="241" t="s">
        <v>605</v>
      </c>
      <c r="AN16" s="241"/>
      <c r="AO16" s="241"/>
      <c r="AP16" s="437" t="s">
        <v>386</v>
      </c>
      <c r="AQ16" s="437" t="s">
        <v>714</v>
      </c>
      <c r="AR16" s="437" t="s">
        <v>715</v>
      </c>
      <c r="AS16" s="437" t="s">
        <v>386</v>
      </c>
      <c r="AT16" s="437" t="s">
        <v>714</v>
      </c>
      <c r="AU16" s="437" t="s">
        <v>715</v>
      </c>
      <c r="AV16" s="238"/>
      <c r="AW16" s="238"/>
      <c r="AX16" s="238"/>
      <c r="AY16" s="238"/>
      <c r="AZ16" s="238"/>
      <c r="BA16" s="238"/>
      <c r="BB16" s="238"/>
      <c r="BC16" s="238"/>
      <c r="BD16" s="238"/>
      <c r="BE16" s="238"/>
      <c r="BF16" s="239"/>
      <c r="BG16" s="239"/>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row>
    <row r="17" spans="1:94" s="240" customFormat="1" ht="14.25" customHeight="1">
      <c r="A17" s="438" t="s">
        <v>736</v>
      </c>
      <c r="B17" s="439"/>
      <c r="C17" s="439"/>
      <c r="D17" s="439"/>
      <c r="E17" s="439"/>
      <c r="F17" s="439"/>
      <c r="G17" s="440"/>
      <c r="H17" s="1421">
        <f>CO2eEF!P16</f>
        <v>16.12</v>
      </c>
      <c r="I17" s="1422"/>
      <c r="J17" s="1423"/>
      <c r="K17" s="1424">
        <f>CO2eEF!P12</f>
        <v>0.69899999999999995</v>
      </c>
      <c r="L17" s="1425"/>
      <c r="M17" s="1426"/>
      <c r="N17" s="1421">
        <f>CO2eEF!P19</f>
        <v>49.78</v>
      </c>
      <c r="O17" s="1427"/>
      <c r="P17" s="1428"/>
      <c r="Q17" s="1421">
        <f>CO2eEF!P21</f>
        <v>37.770000000000003</v>
      </c>
      <c r="R17" s="1427"/>
      <c r="S17" s="1428"/>
      <c r="T17" s="1340">
        <f>Q17/Q16*T16</f>
        <v>1167.3000857957165</v>
      </c>
      <c r="U17" s="1341"/>
      <c r="V17" s="1342"/>
      <c r="W17" s="1322">
        <f>T17/1000000/K17</f>
        <v>1.6699572042857176E-3</v>
      </c>
      <c r="X17" s="1323"/>
      <c r="Y17" s="1324"/>
      <c r="Z17" s="1340">
        <f>Q17/Q16*Z16</f>
        <v>6351.4857609472811</v>
      </c>
      <c r="AA17" s="1341"/>
      <c r="AB17" s="1342"/>
      <c r="AC17" s="1322">
        <f>Z17/$K17/1000000</f>
        <v>9.0865318468487562E-3</v>
      </c>
      <c r="AD17" s="1323"/>
      <c r="AE17" s="1324"/>
      <c r="AF17" s="1299">
        <f>Q17/Q16*AF16</f>
        <v>39.80367332473061</v>
      </c>
      <c r="AG17" s="1300"/>
      <c r="AH17" s="1301"/>
      <c r="AI17" s="1322">
        <f>AF17/$K17/1000000</f>
        <v>5.6943738661989431E-5</v>
      </c>
      <c r="AJ17" s="1323"/>
      <c r="AK17" s="1324"/>
      <c r="AL17" s="238"/>
      <c r="AM17" s="441" t="s">
        <v>606</v>
      </c>
      <c r="AN17" s="241">
        <v>60</v>
      </c>
      <c r="AO17" s="241" t="s">
        <v>607</v>
      </c>
      <c r="AP17" s="442">
        <v>6.8000000000000005E-2</v>
      </c>
      <c r="AQ17" s="443">
        <f>AR5*$AP$17</f>
        <v>69.36</v>
      </c>
      <c r="AR17" s="443">
        <f>$AR$8*AQ17</f>
        <v>1173.0576484964322</v>
      </c>
      <c r="AS17" s="444">
        <v>0.37</v>
      </c>
      <c r="AT17" s="445">
        <f>AS17*AR5</f>
        <v>377.4</v>
      </c>
      <c r="AU17" s="446">
        <f>AT17*AR8</f>
        <v>6382.8136756423519</v>
      </c>
      <c r="AV17" s="238"/>
      <c r="AW17" s="238"/>
      <c r="AX17" s="238"/>
      <c r="AY17" s="238"/>
      <c r="AZ17" s="238"/>
      <c r="BA17" s="238"/>
      <c r="BB17" s="238"/>
      <c r="BC17" s="238"/>
      <c r="BD17" s="238"/>
      <c r="BE17" s="238"/>
      <c r="BF17" s="239"/>
      <c r="BG17" s="239"/>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row>
    <row r="18" spans="1:94" s="240" customFormat="1" ht="14.25" customHeight="1">
      <c r="A18" s="133"/>
      <c r="B18" s="251"/>
      <c r="C18" s="251"/>
      <c r="D18" s="251"/>
      <c r="E18" s="251"/>
      <c r="F18" s="251"/>
      <c r="G18" s="251"/>
      <c r="H18" s="1325"/>
      <c r="I18" s="1326"/>
      <c r="J18" s="1327"/>
      <c r="K18" s="1328"/>
      <c r="L18" s="1329"/>
      <c r="M18" s="1330"/>
      <c r="N18" s="1331"/>
      <c r="O18" s="1332"/>
      <c r="P18" s="1333"/>
      <c r="Q18" s="1334"/>
      <c r="R18" s="1335"/>
      <c r="S18" s="1336"/>
      <c r="T18" s="1337"/>
      <c r="U18" s="1338"/>
      <c r="V18" s="1339"/>
      <c r="W18" s="1302"/>
      <c r="X18" s="1283"/>
      <c r="Y18" s="1303"/>
      <c r="Z18" s="1337"/>
      <c r="AA18" s="1338"/>
      <c r="AB18" s="1339"/>
      <c r="AC18" s="1302"/>
      <c r="AD18" s="1283"/>
      <c r="AE18" s="1303"/>
      <c r="AF18" s="1343"/>
      <c r="AG18" s="1344"/>
      <c r="AH18" s="1345"/>
      <c r="AI18" s="1302"/>
      <c r="AJ18" s="1283"/>
      <c r="AK18" s="1303"/>
      <c r="AL18" s="238"/>
      <c r="AM18" s="441" t="s">
        <v>608</v>
      </c>
      <c r="AN18" s="447">
        <f>(AN17 - 32) * 5/9</f>
        <v>15.555555555555555</v>
      </c>
      <c r="AO18" s="241" t="s">
        <v>609</v>
      </c>
      <c r="AP18" s="444"/>
      <c r="AQ18" s="448"/>
      <c r="AR18" s="446"/>
      <c r="AS18" s="444"/>
      <c r="AT18" s="445"/>
      <c r="AU18" s="446"/>
      <c r="AV18" s="238"/>
      <c r="AW18" s="238"/>
      <c r="AX18" s="238"/>
      <c r="AY18" s="238"/>
      <c r="AZ18" s="238"/>
      <c r="BA18" s="238"/>
      <c r="BB18" s="238"/>
      <c r="BC18" s="238"/>
      <c r="BD18" s="238"/>
      <c r="BE18" s="238"/>
      <c r="BF18" s="239"/>
      <c r="BG18" s="239"/>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row>
    <row r="19" spans="1:94" s="240" customFormat="1" ht="14.25" customHeight="1">
      <c r="A19" s="279" t="s">
        <v>589</v>
      </c>
      <c r="B19" s="429"/>
      <c r="C19" s="429"/>
      <c r="D19" s="429"/>
      <c r="E19" s="429"/>
      <c r="F19" s="429"/>
      <c r="G19" s="449"/>
      <c r="H19" s="1271" t="s">
        <v>122</v>
      </c>
      <c r="I19" s="1272"/>
      <c r="J19" s="1273"/>
      <c r="K19" s="1271" t="s">
        <v>122</v>
      </c>
      <c r="L19" s="1272"/>
      <c r="M19" s="1273"/>
      <c r="N19" s="1271" t="s">
        <v>124</v>
      </c>
      <c r="O19" s="1272"/>
      <c r="P19" s="1273"/>
      <c r="Q19" s="1271" t="s">
        <v>124</v>
      </c>
      <c r="R19" s="1272"/>
      <c r="S19" s="1273"/>
      <c r="T19" s="1117" t="s">
        <v>123</v>
      </c>
      <c r="U19" s="1118"/>
      <c r="V19" s="1119"/>
      <c r="W19" s="1117" t="s">
        <v>123</v>
      </c>
      <c r="X19" s="1118"/>
      <c r="Y19" s="1119"/>
      <c r="Z19" s="1117" t="s">
        <v>716</v>
      </c>
      <c r="AA19" s="1118"/>
      <c r="AB19" s="1119"/>
      <c r="AC19" s="1117" t="s">
        <v>125</v>
      </c>
      <c r="AD19" s="1118"/>
      <c r="AE19" s="1119"/>
      <c r="AF19" s="30"/>
      <c r="AG19" s="30"/>
      <c r="AH19" s="30"/>
      <c r="AI19" s="30"/>
      <c r="AJ19" s="30"/>
      <c r="AK19" s="280"/>
      <c r="AL19" s="238"/>
      <c r="AM19" s="241"/>
      <c r="AN19" s="241"/>
      <c r="AO19" s="241"/>
      <c r="AP19" s="431" t="s">
        <v>116</v>
      </c>
      <c r="AQ19" s="432"/>
      <c r="AR19" s="433"/>
      <c r="AS19" s="431" t="s">
        <v>122</v>
      </c>
      <c r="AT19" s="432"/>
      <c r="AU19" s="433"/>
      <c r="AV19" s="238"/>
      <c r="AW19" s="238"/>
      <c r="AX19" s="238"/>
      <c r="AY19" s="238"/>
      <c r="AZ19" s="238"/>
      <c r="BA19" s="238"/>
      <c r="BB19" s="238"/>
      <c r="BC19" s="238"/>
      <c r="BD19" s="238"/>
      <c r="BE19" s="238"/>
      <c r="BF19" s="239"/>
      <c r="BG19" s="239"/>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row>
    <row r="20" spans="1:94" s="240" customFormat="1" ht="14.25" customHeight="1">
      <c r="A20" s="250"/>
      <c r="B20" s="251"/>
      <c r="C20" s="251"/>
      <c r="D20" s="251"/>
      <c r="E20" s="251"/>
      <c r="F20" s="251"/>
      <c r="G20" s="450"/>
      <c r="H20" s="1302" t="s">
        <v>734</v>
      </c>
      <c r="I20" s="1283"/>
      <c r="J20" s="1303"/>
      <c r="K20" s="1302" t="s">
        <v>599</v>
      </c>
      <c r="L20" s="1283"/>
      <c r="M20" s="1303"/>
      <c r="N20" s="1302" t="s">
        <v>734</v>
      </c>
      <c r="O20" s="1283"/>
      <c r="P20" s="1303"/>
      <c r="Q20" s="1302" t="s">
        <v>599</v>
      </c>
      <c r="R20" s="1283"/>
      <c r="S20" s="1303"/>
      <c r="T20" s="1089" t="s">
        <v>598</v>
      </c>
      <c r="U20" s="1090"/>
      <c r="V20" s="1091"/>
      <c r="W20" s="1089" t="s">
        <v>599</v>
      </c>
      <c r="X20" s="1090"/>
      <c r="Y20" s="1091"/>
      <c r="Z20" s="1089" t="s">
        <v>598</v>
      </c>
      <c r="AA20" s="1090"/>
      <c r="AB20" s="1091"/>
      <c r="AC20" s="1089" t="s">
        <v>599</v>
      </c>
      <c r="AD20" s="1090"/>
      <c r="AE20" s="1091"/>
      <c r="AF20" s="30"/>
      <c r="AG20" s="30"/>
      <c r="AH20" s="30"/>
      <c r="AI20" s="30"/>
      <c r="AJ20" s="30"/>
      <c r="AK20" s="253"/>
      <c r="AL20" s="238"/>
      <c r="AM20" s="441"/>
      <c r="AN20" s="241"/>
      <c r="AO20" s="241"/>
      <c r="AP20" s="437" t="s">
        <v>737</v>
      </c>
      <c r="AQ20" s="451" t="s">
        <v>738</v>
      </c>
      <c r="AR20" s="451" t="s">
        <v>731</v>
      </c>
      <c r="AS20" s="437" t="s">
        <v>386</v>
      </c>
      <c r="AT20" s="437" t="s">
        <v>714</v>
      </c>
      <c r="AU20" s="437" t="s">
        <v>715</v>
      </c>
      <c r="AV20" s="238"/>
      <c r="AW20" s="238"/>
      <c r="AX20" s="238"/>
      <c r="AY20" s="238"/>
      <c r="AZ20" s="238"/>
      <c r="BA20" s="238"/>
      <c r="BB20" s="238"/>
      <c r="BC20" s="238"/>
      <c r="BD20" s="238"/>
      <c r="BE20" s="238"/>
      <c r="BF20" s="239"/>
      <c r="BG20" s="239"/>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row>
    <row r="21" spans="1:94" s="240" customFormat="1" ht="14.25" customHeight="1">
      <c r="A21" s="434" t="s">
        <v>735</v>
      </c>
      <c r="B21" s="435"/>
      <c r="C21" s="435"/>
      <c r="D21" s="435"/>
      <c r="E21" s="435"/>
      <c r="F21" s="435"/>
      <c r="G21" s="436"/>
      <c r="H21" s="1418">
        <f>AU21</f>
        <v>2415.11868808089</v>
      </c>
      <c r="I21" s="1419"/>
      <c r="J21" s="1420"/>
      <c r="K21" s="1304"/>
      <c r="L21" s="1305"/>
      <c r="M21" s="1306"/>
      <c r="N21" s="1364"/>
      <c r="O21" s="1365"/>
      <c r="P21" s="1366"/>
      <c r="Q21" s="1367"/>
      <c r="R21" s="1368"/>
      <c r="S21" s="1369"/>
      <c r="T21" s="1262"/>
      <c r="U21" s="1263"/>
      <c r="V21" s="1264"/>
      <c r="W21" s="1265"/>
      <c r="X21" s="1266"/>
      <c r="Y21" s="1267"/>
      <c r="Z21" s="1262"/>
      <c r="AA21" s="1263"/>
      <c r="AB21" s="1264"/>
      <c r="AC21" s="1268"/>
      <c r="AD21" s="1269"/>
      <c r="AE21" s="1270"/>
      <c r="AF21" s="30"/>
      <c r="AG21" s="30"/>
      <c r="AH21" s="30"/>
      <c r="AI21" s="30"/>
      <c r="AJ21" s="30"/>
      <c r="AK21" s="253"/>
      <c r="AL21" s="238"/>
      <c r="AM21" s="241"/>
      <c r="AN21" s="241"/>
      <c r="AO21" s="241"/>
      <c r="AP21" s="444">
        <v>40</v>
      </c>
      <c r="AQ21" s="452">
        <f>AP21/1000000/1000/AR10</f>
        <v>4.0000000000000003E-5</v>
      </c>
      <c r="AR21" s="446">
        <f>AQ21*1000000</f>
        <v>40</v>
      </c>
      <c r="AS21" s="444">
        <v>0.14000000000000001</v>
      </c>
      <c r="AT21" s="443">
        <f>AS21*$AR$5</f>
        <v>142.80000000000001</v>
      </c>
      <c r="AU21" s="443">
        <f>$AR$8*AT21</f>
        <v>2415.11868808089</v>
      </c>
      <c r="AV21" s="238"/>
      <c r="AW21" s="238"/>
      <c r="AX21" s="238"/>
      <c r="AY21" s="238"/>
      <c r="AZ21" s="238"/>
      <c r="BA21" s="238"/>
      <c r="BB21" s="238"/>
      <c r="BC21" s="238"/>
      <c r="BD21" s="238"/>
      <c r="BE21" s="238"/>
      <c r="BF21" s="239"/>
      <c r="BG21" s="239"/>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row>
    <row r="22" spans="1:94" s="240" customFormat="1" ht="14.25" customHeight="1">
      <c r="A22" s="438" t="str">
        <f>A17</f>
        <v>Flare - Fuel Gas</v>
      </c>
      <c r="B22" s="439"/>
      <c r="C22" s="439"/>
      <c r="D22" s="439"/>
      <c r="E22" s="439"/>
      <c r="F22" s="439"/>
      <c r="G22" s="440"/>
      <c r="H22" s="1340">
        <f>Q17/Q16*H21</f>
        <v>2403.2648825205929</v>
      </c>
      <c r="I22" s="1341"/>
      <c r="J22" s="1342"/>
      <c r="K22" s="1322">
        <f>H22/1000000/$K17</f>
        <v>3.438147185294125E-3</v>
      </c>
      <c r="L22" s="1323"/>
      <c r="M22" s="1324"/>
      <c r="N22" s="1346"/>
      <c r="O22" s="1347"/>
      <c r="P22" s="1348"/>
      <c r="Q22" s="1349"/>
      <c r="R22" s="1350"/>
      <c r="S22" s="1351"/>
      <c r="T22" s="1256"/>
      <c r="U22" s="1257"/>
      <c r="V22" s="1258"/>
      <c r="W22" s="1253"/>
      <c r="X22" s="1254"/>
      <c r="Y22" s="1255"/>
      <c r="Z22" s="1250"/>
      <c r="AA22" s="1251"/>
      <c r="AB22" s="1252"/>
      <c r="AC22" s="1253"/>
      <c r="AD22" s="1254"/>
      <c r="AE22" s="1255"/>
      <c r="AF22" s="30"/>
      <c r="AG22" s="30"/>
      <c r="AH22" s="30"/>
      <c r="AI22" s="30"/>
      <c r="AJ22" s="30"/>
      <c r="AK22" s="253"/>
      <c r="AL22" s="238"/>
      <c r="AM22" s="241"/>
      <c r="AN22" s="241"/>
      <c r="AO22" s="241"/>
      <c r="AP22" s="444"/>
      <c r="AQ22" s="452"/>
      <c r="AR22" s="446"/>
      <c r="AS22" s="444"/>
      <c r="AT22" s="445"/>
      <c r="AU22" s="446"/>
      <c r="AV22" s="238"/>
      <c r="AW22" s="238"/>
      <c r="AX22" s="238"/>
      <c r="AY22" s="238"/>
      <c r="AZ22" s="238"/>
      <c r="BA22" s="238"/>
      <c r="BB22" s="238"/>
      <c r="BC22" s="238"/>
      <c r="BD22" s="238"/>
      <c r="BE22" s="238"/>
      <c r="BF22" s="239"/>
      <c r="BG22" s="239"/>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row>
    <row r="23" spans="1:94" s="240" customFormat="1" ht="14.25" customHeight="1">
      <c r="A23" s="133"/>
      <c r="B23" s="30"/>
      <c r="C23" s="30"/>
      <c r="D23" s="30"/>
      <c r="E23" s="30"/>
      <c r="F23" s="30"/>
      <c r="G23" s="253"/>
      <c r="H23" s="1352"/>
      <c r="I23" s="1353"/>
      <c r="J23" s="1354"/>
      <c r="K23" s="1355"/>
      <c r="L23" s="1356"/>
      <c r="M23" s="1357"/>
      <c r="N23" s="1358"/>
      <c r="O23" s="1359"/>
      <c r="P23" s="1360"/>
      <c r="Q23" s="1361"/>
      <c r="R23" s="1362"/>
      <c r="S23" s="1363"/>
      <c r="T23" s="1256"/>
      <c r="U23" s="1257"/>
      <c r="V23" s="1258"/>
      <c r="W23" s="1259"/>
      <c r="X23" s="1260"/>
      <c r="Y23" s="1261"/>
      <c r="Z23" s="1259"/>
      <c r="AA23" s="1260"/>
      <c r="AB23" s="1261"/>
      <c r="AC23" s="1259"/>
      <c r="AD23" s="1260"/>
      <c r="AE23" s="1261"/>
      <c r="AF23" s="30"/>
      <c r="AG23" s="30"/>
      <c r="AH23" s="30"/>
      <c r="AI23" s="30"/>
      <c r="AJ23" s="30"/>
      <c r="AK23" s="253"/>
      <c r="AL23" s="238"/>
      <c r="AM23" s="453">
        <f>X25/K17</f>
        <v>2448.0067839163999</v>
      </c>
      <c r="AN23" s="241"/>
      <c r="AO23" s="241"/>
      <c r="AP23" s="238"/>
      <c r="AQ23" s="238"/>
      <c r="AR23" s="238"/>
      <c r="AS23" s="245"/>
      <c r="AT23" s="454"/>
      <c r="AU23" s="455"/>
      <c r="AV23" s="238"/>
      <c r="AW23" s="238"/>
      <c r="AX23" s="238"/>
      <c r="AY23" s="238"/>
      <c r="AZ23" s="238"/>
      <c r="BA23" s="238"/>
      <c r="BB23" s="238"/>
      <c r="BC23" s="238"/>
      <c r="BD23" s="238"/>
      <c r="BE23" s="238"/>
      <c r="BF23" s="239"/>
      <c r="BG23" s="239"/>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row>
    <row r="24" spans="1:94" s="240" customFormat="1" ht="14.25" customHeight="1">
      <c r="A24" s="456" t="s">
        <v>612</v>
      </c>
      <c r="B24" s="457"/>
      <c r="C24" s="457"/>
      <c r="D24" s="457"/>
      <c r="E24" s="457"/>
      <c r="F24" s="457"/>
      <c r="G24" s="457"/>
      <c r="H24" s="457"/>
      <c r="I24" s="457"/>
      <c r="J24" s="457"/>
      <c r="K24" s="457"/>
      <c r="L24" s="457"/>
      <c r="M24" s="457"/>
      <c r="N24" s="457"/>
      <c r="O24" s="457"/>
      <c r="P24" s="457"/>
      <c r="Q24" s="457"/>
      <c r="R24" s="457"/>
      <c r="S24" s="458"/>
      <c r="T24" s="459" t="s">
        <v>613</v>
      </c>
      <c r="U24" s="460"/>
      <c r="V24" s="460"/>
      <c r="W24" s="460"/>
      <c r="X24" s="460"/>
      <c r="Y24" s="460"/>
      <c r="Z24" s="460"/>
      <c r="AA24" s="460"/>
      <c r="AB24" s="460"/>
      <c r="AC24" s="460"/>
      <c r="AD24" s="460"/>
      <c r="AE24" s="460"/>
      <c r="AF24" s="460"/>
      <c r="AG24" s="460"/>
      <c r="AH24" s="460"/>
      <c r="AI24" s="460"/>
      <c r="AJ24" s="460"/>
      <c r="AK24" s="461"/>
      <c r="AL24" s="238"/>
      <c r="AM24" s="241"/>
      <c r="AN24" s="241"/>
      <c r="AO24" s="241"/>
      <c r="AP24" s="241"/>
      <c r="AQ24" s="241"/>
      <c r="AR24" s="241"/>
      <c r="AS24" s="241"/>
      <c r="AT24" s="241"/>
      <c r="AU24" s="241"/>
      <c r="AV24" s="241"/>
      <c r="AW24" s="241"/>
      <c r="AX24" s="238"/>
      <c r="AY24" s="238"/>
      <c r="AZ24" s="238"/>
      <c r="BA24" s="238"/>
      <c r="BB24" s="238"/>
      <c r="BC24" s="238"/>
      <c r="BD24" s="238"/>
      <c r="BE24" s="238"/>
      <c r="BF24" s="239"/>
      <c r="BG24" s="239"/>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row>
    <row r="25" spans="1:94" s="240" customFormat="1" ht="14.25" customHeight="1">
      <c r="A25" s="462" t="s">
        <v>614</v>
      </c>
      <c r="B25" s="463"/>
      <c r="C25" s="463"/>
      <c r="D25" s="463"/>
      <c r="E25" s="463"/>
      <c r="F25" s="463"/>
      <c r="G25" s="463"/>
      <c r="H25" s="464"/>
      <c r="I25" s="463" t="s">
        <v>590</v>
      </c>
      <c r="J25" s="463"/>
      <c r="K25" s="463"/>
      <c r="L25" s="463" t="s">
        <v>615</v>
      </c>
      <c r="M25" s="463"/>
      <c r="N25" s="463"/>
      <c r="O25" s="463"/>
      <c r="P25" s="463"/>
      <c r="Q25" s="463"/>
      <c r="R25" s="463"/>
      <c r="S25" s="465" t="s">
        <v>616</v>
      </c>
      <c r="T25" s="1433" t="s">
        <v>757</v>
      </c>
      <c r="U25" s="1434"/>
      <c r="V25" s="1434"/>
      <c r="W25" s="1434"/>
      <c r="X25" s="1465">
        <f>15000*1000/365.25/24</f>
        <v>1711.1567419575633</v>
      </c>
      <c r="Y25" s="1465"/>
      <c r="Z25" s="1465"/>
      <c r="AA25" s="1434" t="s">
        <v>617</v>
      </c>
      <c r="AB25" s="1434"/>
      <c r="AC25" s="1435">
        <f>X25/H17</f>
        <v>106.15116265245429</v>
      </c>
      <c r="AD25" s="1435"/>
      <c r="AE25" s="1434" t="s">
        <v>618</v>
      </c>
      <c r="AF25" s="1434"/>
      <c r="AG25" s="1434"/>
      <c r="AH25" s="1429">
        <f>X25*N17/3600</f>
        <v>23.661495170735417</v>
      </c>
      <c r="AI25" s="1429"/>
      <c r="AJ25" s="466" t="s">
        <v>590</v>
      </c>
      <c r="AK25" s="467"/>
      <c r="AL25" s="238"/>
      <c r="AM25" s="254">
        <f>X25*W22</f>
        <v>0</v>
      </c>
      <c r="AN25" s="241"/>
      <c r="AO25" s="241"/>
      <c r="AP25" s="241"/>
      <c r="AQ25" s="241"/>
      <c r="AR25" s="241"/>
      <c r="AS25" s="241"/>
      <c r="AT25" s="241"/>
      <c r="AU25" s="241"/>
      <c r="AV25" s="241"/>
      <c r="AW25" s="241"/>
      <c r="AX25" s="238"/>
      <c r="AY25" s="238"/>
      <c r="AZ25" s="238"/>
      <c r="BA25" s="238"/>
      <c r="BB25" s="238"/>
      <c r="BC25" s="238"/>
      <c r="BD25" s="238"/>
      <c r="BE25" s="238"/>
      <c r="BF25" s="239"/>
      <c r="BG25" s="239"/>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row>
    <row r="26" spans="1:94" s="240" customFormat="1" ht="14.25" customHeight="1">
      <c r="A26" s="468" t="s">
        <v>619</v>
      </c>
      <c r="B26" s="469"/>
      <c r="C26" s="469"/>
      <c r="D26" s="469"/>
      <c r="E26" s="469"/>
      <c r="F26" s="469"/>
      <c r="G26" s="469"/>
      <c r="H26" s="470"/>
      <c r="I26" s="469" t="s">
        <v>590</v>
      </c>
      <c r="J26" s="469"/>
      <c r="K26" s="469"/>
      <c r="L26" s="469"/>
      <c r="M26" s="469"/>
      <c r="N26" s="469"/>
      <c r="O26" s="469"/>
      <c r="P26" s="469"/>
      <c r="Q26" s="469"/>
      <c r="R26" s="469"/>
      <c r="S26" s="471"/>
      <c r="T26" s="1430"/>
      <c r="U26" s="1431"/>
      <c r="V26" s="1431"/>
      <c r="W26" s="1431"/>
      <c r="X26" s="1432"/>
      <c r="Y26" s="1432"/>
      <c r="Z26" s="1432"/>
      <c r="AA26" s="1431"/>
      <c r="AB26" s="1431"/>
      <c r="AC26" s="1432"/>
      <c r="AD26" s="1432"/>
      <c r="AE26" s="1431"/>
      <c r="AF26" s="1431"/>
      <c r="AG26" s="1431"/>
      <c r="AH26" s="1432"/>
      <c r="AI26" s="1432"/>
      <c r="AJ26" s="469"/>
      <c r="AK26" s="471"/>
      <c r="AL26" s="238"/>
      <c r="AM26" s="254">
        <f>W22*SUM(N34:O43)</f>
        <v>0</v>
      </c>
      <c r="AN26" s="241"/>
      <c r="AO26" s="241"/>
      <c r="AP26" s="241"/>
      <c r="AQ26" s="241"/>
      <c r="AR26" s="241"/>
      <c r="AS26" s="241"/>
      <c r="AT26" s="241"/>
      <c r="AU26" s="241"/>
      <c r="AV26" s="241"/>
      <c r="AW26" s="241"/>
      <c r="AX26" s="238"/>
      <c r="AY26" s="238"/>
      <c r="AZ26" s="238"/>
      <c r="BA26" s="238"/>
      <c r="BB26" s="238"/>
      <c r="BC26" s="238"/>
      <c r="BD26" s="238"/>
      <c r="BE26" s="238"/>
      <c r="BF26" s="239"/>
      <c r="BG26" s="239"/>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row>
    <row r="27" spans="1:94" s="240" customFormat="1" ht="14.25" customHeight="1">
      <c r="A27" s="250"/>
      <c r="B27" s="251"/>
      <c r="C27" s="251"/>
      <c r="D27" s="251"/>
      <c r="E27" s="251"/>
      <c r="F27" s="251"/>
      <c r="G27" s="251"/>
      <c r="H27" s="252"/>
      <c r="I27" s="251"/>
      <c r="J27" s="251"/>
      <c r="K27" s="251"/>
      <c r="L27" s="251"/>
      <c r="M27" s="251"/>
      <c r="N27" s="251"/>
      <c r="O27" s="251"/>
      <c r="P27" s="251"/>
      <c r="Q27" s="251"/>
      <c r="R27" s="251"/>
      <c r="S27" s="251"/>
      <c r="T27" s="472"/>
      <c r="U27" s="472"/>
      <c r="V27" s="473"/>
      <c r="W27" s="473"/>
      <c r="X27" s="474"/>
      <c r="Y27" s="474"/>
      <c r="Z27" s="474"/>
      <c r="AA27" s="473"/>
      <c r="AB27" s="473"/>
      <c r="AC27" s="474"/>
      <c r="AD27" s="474"/>
      <c r="AE27" s="473"/>
      <c r="AF27" s="473"/>
      <c r="AG27" s="473"/>
      <c r="AH27" s="474"/>
      <c r="AI27" s="474"/>
      <c r="AJ27" s="30"/>
      <c r="AK27" s="253"/>
      <c r="AL27" s="238"/>
      <c r="AM27" s="254"/>
      <c r="AN27" s="241"/>
      <c r="AO27" s="241"/>
      <c r="AP27" s="241"/>
      <c r="AQ27" s="241"/>
      <c r="AR27" s="241"/>
      <c r="AS27" s="241"/>
      <c r="AT27" s="241"/>
      <c r="AU27" s="241"/>
      <c r="AV27" s="241"/>
      <c r="AW27" s="241"/>
      <c r="AX27" s="238"/>
      <c r="AY27" s="238"/>
      <c r="AZ27" s="238"/>
      <c r="BA27" s="238"/>
      <c r="BB27" s="238"/>
      <c r="BC27" s="238"/>
      <c r="BD27" s="238"/>
      <c r="BE27" s="238"/>
      <c r="BF27" s="239"/>
      <c r="BG27" s="239"/>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row>
    <row r="28" spans="1:94" s="240" customFormat="1" ht="14.25" customHeight="1">
      <c r="A28" s="1370" t="s">
        <v>718</v>
      </c>
      <c r="B28" s="1370"/>
      <c r="C28" s="1370"/>
      <c r="D28" s="1370"/>
      <c r="E28" s="1370"/>
      <c r="F28" s="1371" t="str">
        <f>A17</f>
        <v>Flare - Fuel Gas</v>
      </c>
      <c r="G28" s="1372"/>
      <c r="H28" s="1372"/>
      <c r="I28" s="1372"/>
      <c r="J28" s="1372"/>
      <c r="K28" s="1372"/>
      <c r="L28" s="1372"/>
      <c r="M28" s="1372"/>
      <c r="N28" s="1372"/>
      <c r="O28" s="1372"/>
      <c r="P28" s="1372"/>
      <c r="Q28" s="1372"/>
      <c r="R28" s="1372"/>
      <c r="S28" s="1372"/>
      <c r="T28" s="1372"/>
      <c r="U28" s="1373"/>
      <c r="V28" s="30"/>
      <c r="W28" s="1402" t="s">
        <v>844</v>
      </c>
      <c r="X28" s="1184"/>
      <c r="Y28" s="1184"/>
      <c r="Z28" s="1184"/>
      <c r="AA28" s="1184"/>
      <c r="AB28" s="1184"/>
      <c r="AC28" s="1184"/>
      <c r="AD28" s="1184"/>
      <c r="AE28" s="1184"/>
      <c r="AF28" s="1184"/>
      <c r="AG28" s="1184"/>
      <c r="AH28" s="1184"/>
      <c r="AI28" s="1184"/>
      <c r="AJ28" s="1184"/>
      <c r="AK28" s="253"/>
      <c r="AL28" s="255"/>
      <c r="AM28" s="241"/>
      <c r="AN28" s="241"/>
      <c r="AO28" s="241"/>
      <c r="AP28" s="241"/>
      <c r="AQ28" s="241"/>
      <c r="AR28" s="241"/>
      <c r="AS28" s="241"/>
      <c r="AT28" s="241"/>
      <c r="AU28" s="241"/>
      <c r="AV28" s="241"/>
      <c r="AW28" s="241"/>
      <c r="AX28" s="241"/>
      <c r="AY28" s="241"/>
      <c r="AZ28" s="238"/>
      <c r="BA28" s="238"/>
      <c r="BB28" s="238"/>
      <c r="BC28" s="238"/>
      <c r="BD28" s="238"/>
      <c r="BE28" s="238"/>
      <c r="BF28" s="239"/>
      <c r="BG28" s="239"/>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38"/>
      <c r="CN28" s="238"/>
      <c r="CO28" s="238"/>
      <c r="CP28" s="238"/>
    </row>
    <row r="29" spans="1:94" s="240" customFormat="1" ht="14.25" customHeight="1">
      <c r="A29" s="256" t="s">
        <v>620</v>
      </c>
      <c r="B29" s="30"/>
      <c r="C29" s="30"/>
      <c r="D29" s="30"/>
      <c r="E29" s="30"/>
      <c r="F29" s="1374"/>
      <c r="G29" s="1374"/>
      <c r="H29" s="1374"/>
      <c r="I29" s="1374"/>
      <c r="J29" s="1375" t="s">
        <v>120</v>
      </c>
      <c r="K29" s="1375"/>
      <c r="L29" s="1375"/>
      <c r="M29" s="1375"/>
      <c r="N29" s="1374" t="s">
        <v>621</v>
      </c>
      <c r="O29" s="1374"/>
      <c r="P29" s="1375" t="s">
        <v>622</v>
      </c>
      <c r="Q29" s="1375"/>
      <c r="R29" s="1375"/>
      <c r="S29" s="1375"/>
      <c r="T29" s="1375"/>
      <c r="U29" s="1375"/>
      <c r="V29" s="257"/>
      <c r="W29" s="1184"/>
      <c r="X29" s="1184"/>
      <c r="Y29" s="1184"/>
      <c r="Z29" s="1184"/>
      <c r="AA29" s="1184"/>
      <c r="AB29" s="1184"/>
      <c r="AC29" s="1184"/>
      <c r="AD29" s="1184"/>
      <c r="AE29" s="1184"/>
      <c r="AF29" s="1184"/>
      <c r="AG29" s="1184"/>
      <c r="AH29" s="1184"/>
      <c r="AI29" s="1184"/>
      <c r="AJ29" s="1184"/>
      <c r="AK29" s="253"/>
      <c r="AL29" s="255"/>
      <c r="AM29" s="241"/>
      <c r="AN29" s="241"/>
      <c r="AO29" s="241"/>
      <c r="AP29" s="241"/>
      <c r="AQ29" s="241"/>
      <c r="AR29" s="241"/>
      <c r="AS29" s="241"/>
      <c r="AT29" s="241"/>
      <c r="AU29" s="241"/>
      <c r="AV29" s="241"/>
      <c r="AW29" s="241"/>
      <c r="AX29" s="241"/>
      <c r="AY29" s="241"/>
      <c r="AZ29" s="238"/>
      <c r="BA29" s="238"/>
      <c r="BB29" s="238"/>
      <c r="BC29" s="238"/>
      <c r="BD29" s="238"/>
      <c r="BE29" s="238"/>
      <c r="BF29" s="239"/>
      <c r="BG29" s="239"/>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row>
    <row r="30" spans="1:94" s="240" customFormat="1" ht="14.25" customHeight="1">
      <c r="A30" s="133"/>
      <c r="B30" s="30"/>
      <c r="C30" s="30"/>
      <c r="D30" s="30"/>
      <c r="E30" s="30"/>
      <c r="F30" s="1374"/>
      <c r="G30" s="1374"/>
      <c r="H30" s="1374"/>
      <c r="I30" s="1374"/>
      <c r="J30" s="1375" t="s">
        <v>624</v>
      </c>
      <c r="K30" s="1375"/>
      <c r="L30" s="1375" t="s">
        <v>625</v>
      </c>
      <c r="M30" s="1375"/>
      <c r="N30" s="1374"/>
      <c r="O30" s="1374"/>
      <c r="P30" s="1375"/>
      <c r="Q30" s="1375"/>
      <c r="R30" s="1375"/>
      <c r="S30" s="1375"/>
      <c r="T30" s="1375"/>
      <c r="U30" s="1375"/>
      <c r="V30" s="257"/>
      <c r="W30" s="1184"/>
      <c r="X30" s="1184"/>
      <c r="Y30" s="1184"/>
      <c r="Z30" s="1184"/>
      <c r="AA30" s="1184"/>
      <c r="AB30" s="1184"/>
      <c r="AC30" s="1184"/>
      <c r="AD30" s="1184"/>
      <c r="AE30" s="1184"/>
      <c r="AF30" s="1184"/>
      <c r="AG30" s="1184"/>
      <c r="AH30" s="1184"/>
      <c r="AI30" s="1184"/>
      <c r="AJ30" s="1184"/>
      <c r="AK30" s="253"/>
      <c r="AL30" s="258"/>
      <c r="AM30" s="259" t="s">
        <v>740</v>
      </c>
      <c r="AN30" s="259"/>
      <c r="AO30" s="259"/>
      <c r="AP30" s="259"/>
      <c r="AQ30" s="259"/>
      <c r="AR30" s="259"/>
      <c r="AS30" s="259" t="s">
        <v>741</v>
      </c>
      <c r="AT30" s="259"/>
      <c r="AU30" s="259" t="s">
        <v>742</v>
      </c>
      <c r="AV30" s="259"/>
      <c r="AW30" s="259"/>
      <c r="AX30" s="259"/>
      <c r="AY30" s="258"/>
      <c r="AZ30" s="238"/>
      <c r="BA30" s="238"/>
      <c r="BB30" s="238"/>
      <c r="BC30" s="238"/>
      <c r="BD30" s="238"/>
      <c r="BE30" s="238"/>
      <c r="BF30" s="239"/>
      <c r="BG30" s="239"/>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row>
    <row r="31" spans="1:94" s="240" customFormat="1" ht="14.25" customHeight="1">
      <c r="A31" s="1376" t="s">
        <v>630</v>
      </c>
      <c r="B31" s="1376"/>
      <c r="C31" s="1376"/>
      <c r="D31" s="1376"/>
      <c r="E31" s="1376"/>
      <c r="F31" s="1375" t="s">
        <v>631</v>
      </c>
      <c r="G31" s="1375"/>
      <c r="H31" s="1375" t="s">
        <v>618</v>
      </c>
      <c r="I31" s="1375"/>
      <c r="J31" s="1373" t="s">
        <v>618</v>
      </c>
      <c r="K31" s="1375"/>
      <c r="L31" s="1375" t="s">
        <v>618</v>
      </c>
      <c r="M31" s="1375"/>
      <c r="N31" s="1375" t="s">
        <v>617</v>
      </c>
      <c r="O31" s="1375"/>
      <c r="P31" s="1375" t="s">
        <v>631</v>
      </c>
      <c r="Q31" s="1375"/>
      <c r="R31" s="1371" t="s">
        <v>618</v>
      </c>
      <c r="S31" s="1373"/>
      <c r="T31" s="1371" t="s">
        <v>617</v>
      </c>
      <c r="U31" s="1373"/>
      <c r="V31" s="30"/>
      <c r="W31" s="1184"/>
      <c r="X31" s="1184"/>
      <c r="Y31" s="1184"/>
      <c r="Z31" s="1184"/>
      <c r="AA31" s="1184"/>
      <c r="AB31" s="1184"/>
      <c r="AC31" s="1184"/>
      <c r="AD31" s="1184"/>
      <c r="AE31" s="1184"/>
      <c r="AF31" s="1184"/>
      <c r="AG31" s="1184"/>
      <c r="AH31" s="1184"/>
      <c r="AI31" s="1184"/>
      <c r="AJ31" s="1184"/>
      <c r="AK31" s="253"/>
      <c r="AL31" s="258"/>
      <c r="AM31" s="259" t="s">
        <v>633</v>
      </c>
      <c r="AN31" s="259" t="s">
        <v>634</v>
      </c>
      <c r="AO31" s="259" t="s">
        <v>635</v>
      </c>
      <c r="AP31" s="259" t="s">
        <v>636</v>
      </c>
      <c r="AQ31" s="259" t="s">
        <v>637</v>
      </c>
      <c r="AR31" s="259" t="s">
        <v>590</v>
      </c>
      <c r="AS31" s="259" t="s">
        <v>428</v>
      </c>
      <c r="AT31" s="259" t="s">
        <v>429</v>
      </c>
      <c r="AU31" s="259" t="s">
        <v>126</v>
      </c>
      <c r="AV31" s="259" t="s">
        <v>431</v>
      </c>
      <c r="AW31" s="259" t="s">
        <v>429</v>
      </c>
      <c r="AX31" s="259" t="s">
        <v>124</v>
      </c>
      <c r="AY31" s="258"/>
      <c r="AZ31" s="238"/>
      <c r="BA31" s="238"/>
      <c r="BB31" s="238"/>
      <c r="BC31" s="238"/>
      <c r="BD31" s="238"/>
      <c r="BE31" s="238"/>
      <c r="BF31" s="239" t="s">
        <v>128</v>
      </c>
      <c r="BG31" s="239" t="s">
        <v>743</v>
      </c>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row>
    <row r="32" spans="1:94" s="240" customFormat="1" ht="14.25" customHeight="1">
      <c r="A32" s="260" t="s">
        <v>638</v>
      </c>
      <c r="B32" s="261"/>
      <c r="C32" s="261"/>
      <c r="D32" s="261"/>
      <c r="E32" s="262"/>
      <c r="F32" s="1441">
        <v>0</v>
      </c>
      <c r="G32" s="1442"/>
      <c r="H32" s="1379">
        <f t="shared" ref="H32:H52" si="0">F32*$AC$25</f>
        <v>0</v>
      </c>
      <c r="I32" s="1381"/>
      <c r="J32" s="1380"/>
      <c r="K32" s="1380"/>
      <c r="L32" s="1379"/>
      <c r="M32" s="1380"/>
      <c r="N32" s="1379">
        <f t="shared" ref="N32:N52" si="1">SUM(H32,J32,L32)*AR32</f>
        <v>0</v>
      </c>
      <c r="O32" s="1380"/>
      <c r="P32" s="1379"/>
      <c r="Q32" s="1381"/>
      <c r="R32" s="1379"/>
      <c r="S32" s="1380"/>
      <c r="T32" s="1379"/>
      <c r="U32" s="1381"/>
      <c r="V32" s="263"/>
      <c r="W32" s="1188"/>
      <c r="X32" s="1188"/>
      <c r="Y32" s="1188"/>
      <c r="Z32" s="1188"/>
      <c r="AA32" s="1188"/>
      <c r="AB32" s="1188"/>
      <c r="AC32" s="1188"/>
      <c r="AD32" s="1188"/>
      <c r="AE32" s="1188"/>
      <c r="AF32" s="1188"/>
      <c r="AG32" s="1188"/>
      <c r="AH32" s="1188"/>
      <c r="AI32" s="1188"/>
      <c r="AJ32" s="1188"/>
      <c r="AK32" s="264"/>
      <c r="AL32" s="258"/>
      <c r="AM32" s="259"/>
      <c r="AN32" s="259">
        <v>2</v>
      </c>
      <c r="AO32" s="259"/>
      <c r="AP32" s="259"/>
      <c r="AQ32" s="259"/>
      <c r="AR32" s="265">
        <f>AM32*12.01+AN32*1.008+AO32*16+AP32*14+AQ32*32</f>
        <v>2.016</v>
      </c>
      <c r="AS32" s="259">
        <f>AM32*1+AN32*0.25+AQ32*1</f>
        <v>0.5</v>
      </c>
      <c r="AT32" s="266">
        <f>0.79/0.21*AS32</f>
        <v>1.8809523809523812</v>
      </c>
      <c r="AU32" s="259">
        <f>1*AM32</f>
        <v>0</v>
      </c>
      <c r="AV32" s="259">
        <f>AN32/2</f>
        <v>1</v>
      </c>
      <c r="AW32" s="266">
        <f>AP32*0.5+AT32</f>
        <v>1.8809523809523812</v>
      </c>
      <c r="AX32" s="259">
        <f>AQ32*1</f>
        <v>0</v>
      </c>
      <c r="AY32" s="258"/>
      <c r="AZ32" s="238"/>
      <c r="BA32" s="238"/>
      <c r="BB32" s="238"/>
      <c r="BC32" s="238"/>
      <c r="BD32" s="238"/>
      <c r="BE32" s="239" t="s">
        <v>639</v>
      </c>
      <c r="BF32" s="239">
        <v>1.4200000000000001E-2</v>
      </c>
      <c r="BG32" s="239">
        <v>2.9999999999999997E-4</v>
      </c>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row>
    <row r="33" spans="1:94" s="240" customFormat="1" ht="14.25" customHeight="1">
      <c r="A33" s="267" t="s">
        <v>122</v>
      </c>
      <c r="B33" s="268"/>
      <c r="C33" s="268"/>
      <c r="D33" s="268"/>
      <c r="E33" s="269"/>
      <c r="F33" s="1377">
        <v>0.99629999999999996</v>
      </c>
      <c r="G33" s="1443"/>
      <c r="H33" s="1299">
        <f>F33*$AC$25</f>
        <v>105.75840335064021</v>
      </c>
      <c r="I33" s="1301"/>
      <c r="J33" s="1300"/>
      <c r="K33" s="1300"/>
      <c r="L33" s="1299"/>
      <c r="M33" s="1300"/>
      <c r="N33" s="1299">
        <f t="shared" si="1"/>
        <v>1696.5763065509705</v>
      </c>
      <c r="O33" s="1301"/>
      <c r="P33" s="1299">
        <f>R33/$R$53</f>
        <v>3.2820154466845262E-4</v>
      </c>
      <c r="Q33" s="1301"/>
      <c r="R33" s="1299">
        <f>T33/$AR33</f>
        <v>0.36673785911722112</v>
      </c>
      <c r="S33" s="1300"/>
      <c r="T33" s="1299">
        <f>$K22*$X25</f>
        <v>5.8832087359584619</v>
      </c>
      <c r="U33" s="1301"/>
      <c r="V33" s="263"/>
      <c r="W33" s="1188"/>
      <c r="X33" s="1188"/>
      <c r="Y33" s="1188"/>
      <c r="Z33" s="1188"/>
      <c r="AA33" s="1188"/>
      <c r="AB33" s="1188"/>
      <c r="AC33" s="1188"/>
      <c r="AD33" s="1188"/>
      <c r="AE33" s="1188"/>
      <c r="AF33" s="1188"/>
      <c r="AG33" s="1188"/>
      <c r="AH33" s="1188"/>
      <c r="AI33" s="1188"/>
      <c r="AJ33" s="1188"/>
      <c r="AK33" s="264"/>
      <c r="AL33" s="258"/>
      <c r="AM33" s="259">
        <v>1</v>
      </c>
      <c r="AN33" s="259">
        <v>4</v>
      </c>
      <c r="AO33" s="259"/>
      <c r="AP33" s="259"/>
      <c r="AQ33" s="259"/>
      <c r="AR33" s="265">
        <f t="shared" ref="AR33:AR48" si="2">AM33*12.01+AN33*1.008+AO33*16+AP33*14+AQ33*32</f>
        <v>16.042000000000002</v>
      </c>
      <c r="AS33" s="259">
        <f t="shared" ref="AS33:AS47" si="3">AM33*1+AN33*0.25+AQ33*1</f>
        <v>2</v>
      </c>
      <c r="AT33" s="266">
        <f t="shared" ref="AT33:AT47" si="4">0.79/0.21*AS33</f>
        <v>7.5238095238095246</v>
      </c>
      <c r="AU33" s="259">
        <f t="shared" ref="AU33:AU47" si="5">1*AM33</f>
        <v>1</v>
      </c>
      <c r="AV33" s="259">
        <f t="shared" ref="AV33:AV47" si="6">AN33/2</f>
        <v>2</v>
      </c>
      <c r="AW33" s="266">
        <f t="shared" ref="AW33:AW47" si="7">AP33*0.5+AT33</f>
        <v>7.5238095238095246</v>
      </c>
      <c r="AX33" s="259">
        <f t="shared" ref="AX33:AX47" si="8">AQ33*1</f>
        <v>0</v>
      </c>
      <c r="AY33" s="258"/>
      <c r="AZ33" s="238"/>
      <c r="BA33" s="238"/>
      <c r="BB33" s="238"/>
      <c r="BC33" s="238"/>
      <c r="BD33" s="238"/>
      <c r="BE33" s="239" t="s">
        <v>126</v>
      </c>
      <c r="BF33" s="239">
        <v>9.5999999999999992E-3</v>
      </c>
      <c r="BG33" s="239">
        <v>0.77539999999999998</v>
      </c>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row>
    <row r="34" spans="1:94" s="240" customFormat="1" ht="14.25" customHeight="1">
      <c r="A34" s="267" t="s">
        <v>641</v>
      </c>
      <c r="B34" s="268"/>
      <c r="C34" s="268"/>
      <c r="D34" s="268"/>
      <c r="E34" s="269"/>
      <c r="F34" s="1377">
        <v>0</v>
      </c>
      <c r="G34" s="1443"/>
      <c r="H34" s="1299">
        <f t="shared" si="0"/>
        <v>0</v>
      </c>
      <c r="I34" s="1301"/>
      <c r="J34" s="1300"/>
      <c r="K34" s="1300"/>
      <c r="L34" s="1299"/>
      <c r="M34" s="1300"/>
      <c r="N34" s="1299">
        <f t="shared" si="1"/>
        <v>0</v>
      </c>
      <c r="O34" s="1301"/>
      <c r="P34" s="1299"/>
      <c r="Q34" s="1301"/>
      <c r="R34" s="1300"/>
      <c r="S34" s="1300"/>
      <c r="T34" s="1299"/>
      <c r="U34" s="1301"/>
      <c r="V34" s="263"/>
      <c r="W34" s="1188"/>
      <c r="X34" s="1188"/>
      <c r="Y34" s="1188"/>
      <c r="Z34" s="1188"/>
      <c r="AA34" s="1188"/>
      <c r="AB34" s="1188"/>
      <c r="AC34" s="1188"/>
      <c r="AD34" s="1188"/>
      <c r="AE34" s="1188"/>
      <c r="AF34" s="1188"/>
      <c r="AG34" s="1188"/>
      <c r="AH34" s="1188"/>
      <c r="AI34" s="1188"/>
      <c r="AJ34" s="1188"/>
      <c r="AK34" s="264"/>
      <c r="AL34" s="258"/>
      <c r="AM34" s="259">
        <v>2</v>
      </c>
      <c r="AN34" s="259">
        <v>4</v>
      </c>
      <c r="AO34" s="259"/>
      <c r="AP34" s="259"/>
      <c r="AQ34" s="259"/>
      <c r="AR34" s="265">
        <f t="shared" si="2"/>
        <v>28.052</v>
      </c>
      <c r="AS34" s="259">
        <f t="shared" si="3"/>
        <v>3</v>
      </c>
      <c r="AT34" s="266">
        <f t="shared" si="4"/>
        <v>11.285714285714286</v>
      </c>
      <c r="AU34" s="259">
        <f t="shared" si="5"/>
        <v>2</v>
      </c>
      <c r="AV34" s="259">
        <f t="shared" si="6"/>
        <v>2</v>
      </c>
      <c r="AW34" s="266">
        <f t="shared" si="7"/>
        <v>11.285714285714286</v>
      </c>
      <c r="AX34" s="259">
        <f t="shared" si="8"/>
        <v>0</v>
      </c>
      <c r="AY34" s="258"/>
      <c r="AZ34" s="238"/>
      <c r="BA34" s="238"/>
      <c r="BB34" s="238"/>
      <c r="BC34" s="238"/>
      <c r="BD34" s="238"/>
      <c r="BE34" s="239" t="s">
        <v>642</v>
      </c>
      <c r="BF34" s="239">
        <v>0.60499999999999998</v>
      </c>
      <c r="BG34" s="239">
        <v>1.43E-2</v>
      </c>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38"/>
      <c r="CN34" s="238"/>
      <c r="CO34" s="238"/>
      <c r="CP34" s="238"/>
    </row>
    <row r="35" spans="1:94" s="240" customFormat="1" ht="14.25" customHeight="1">
      <c r="A35" s="267" t="s">
        <v>643</v>
      </c>
      <c r="B35" s="268"/>
      <c r="C35" s="268"/>
      <c r="D35" s="268"/>
      <c r="E35" s="269"/>
      <c r="F35" s="1377">
        <v>7.000000000000001E-4</v>
      </c>
      <c r="G35" s="1443"/>
      <c r="H35" s="1299">
        <f t="shared" si="0"/>
        <v>7.4305813856718014E-2</v>
      </c>
      <c r="I35" s="1301"/>
      <c r="J35" s="1300"/>
      <c r="K35" s="1300"/>
      <c r="L35" s="1299"/>
      <c r="M35" s="1300"/>
      <c r="N35" s="1299">
        <f t="shared" si="1"/>
        <v>2.2342272110437973</v>
      </c>
      <c r="O35" s="1301"/>
      <c r="P35" s="1299">
        <f>R35/$R$53</f>
        <v>0</v>
      </c>
      <c r="Q35" s="1301"/>
      <c r="R35" s="1300">
        <f>T35/$AR35</f>
        <v>0</v>
      </c>
      <c r="S35" s="1300"/>
      <c r="T35" s="1299">
        <f>$Q$22*N35</f>
        <v>0</v>
      </c>
      <c r="U35" s="1301"/>
      <c r="V35" s="263"/>
      <c r="W35" s="1188"/>
      <c r="X35" s="1188"/>
      <c r="Y35" s="1188"/>
      <c r="Z35" s="1188"/>
      <c r="AA35" s="1188"/>
      <c r="AB35" s="1188"/>
      <c r="AC35" s="1188"/>
      <c r="AD35" s="1188"/>
      <c r="AE35" s="1188"/>
      <c r="AF35" s="1188"/>
      <c r="AG35" s="1188"/>
      <c r="AH35" s="1188"/>
      <c r="AI35" s="1188"/>
      <c r="AJ35" s="1188"/>
      <c r="AK35" s="264"/>
      <c r="AL35" s="258"/>
      <c r="AM35" s="259">
        <v>2</v>
      </c>
      <c r="AN35" s="259">
        <v>6</v>
      </c>
      <c r="AO35" s="259"/>
      <c r="AP35" s="259"/>
      <c r="AQ35" s="259"/>
      <c r="AR35" s="265">
        <f t="shared" si="2"/>
        <v>30.067999999999998</v>
      </c>
      <c r="AS35" s="259">
        <f t="shared" si="3"/>
        <v>3.5</v>
      </c>
      <c r="AT35" s="266">
        <f t="shared" si="4"/>
        <v>13.166666666666668</v>
      </c>
      <c r="AU35" s="259">
        <f t="shared" si="5"/>
        <v>2</v>
      </c>
      <c r="AV35" s="259">
        <f t="shared" si="6"/>
        <v>3</v>
      </c>
      <c r="AW35" s="266">
        <f t="shared" si="7"/>
        <v>13.166666666666668</v>
      </c>
      <c r="AX35" s="259">
        <f t="shared" si="8"/>
        <v>0</v>
      </c>
      <c r="AY35" s="258"/>
      <c r="AZ35" s="238"/>
      <c r="BA35" s="238"/>
      <c r="BB35" s="238"/>
      <c r="BC35" s="238"/>
      <c r="BD35" s="238"/>
      <c r="BE35" s="239" t="s">
        <v>644</v>
      </c>
      <c r="BF35" s="239">
        <v>0.17519999999999999</v>
      </c>
      <c r="BG35" s="239">
        <v>1.9E-3</v>
      </c>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row>
    <row r="36" spans="1:94" s="240" customFormat="1" ht="14.25" customHeight="1">
      <c r="A36" s="267" t="s">
        <v>418</v>
      </c>
      <c r="B36" s="268"/>
      <c r="C36" s="268"/>
      <c r="D36" s="268"/>
      <c r="E36" s="269"/>
      <c r="F36" s="1377">
        <v>0</v>
      </c>
      <c r="G36" s="1443"/>
      <c r="H36" s="1299">
        <f t="shared" si="0"/>
        <v>0</v>
      </c>
      <c r="I36" s="1301"/>
      <c r="J36" s="1300"/>
      <c r="K36" s="1300"/>
      <c r="L36" s="1299"/>
      <c r="M36" s="1300"/>
      <c r="N36" s="1299">
        <f t="shared" si="1"/>
        <v>0</v>
      </c>
      <c r="O36" s="1301"/>
      <c r="P36" s="1299"/>
      <c r="Q36" s="1301"/>
      <c r="R36" s="1300"/>
      <c r="S36" s="1300"/>
      <c r="T36" s="1299"/>
      <c r="U36" s="1301"/>
      <c r="V36" s="263"/>
      <c r="W36" s="1188"/>
      <c r="X36" s="1188"/>
      <c r="Y36" s="1188"/>
      <c r="Z36" s="1188"/>
      <c r="AA36" s="1188"/>
      <c r="AB36" s="1188"/>
      <c r="AC36" s="1188"/>
      <c r="AD36" s="1188"/>
      <c r="AE36" s="1188"/>
      <c r="AF36" s="1188"/>
      <c r="AG36" s="1188"/>
      <c r="AH36" s="1188"/>
      <c r="AI36" s="1188"/>
      <c r="AJ36" s="1188"/>
      <c r="AK36" s="264"/>
      <c r="AL36" s="258"/>
      <c r="AM36" s="259">
        <v>3</v>
      </c>
      <c r="AN36" s="259">
        <v>6</v>
      </c>
      <c r="AO36" s="259"/>
      <c r="AP36" s="259"/>
      <c r="AQ36" s="259"/>
      <c r="AR36" s="265">
        <f t="shared" si="2"/>
        <v>42.078000000000003</v>
      </c>
      <c r="AS36" s="259">
        <f t="shared" si="3"/>
        <v>4.5</v>
      </c>
      <c r="AT36" s="266">
        <f t="shared" si="4"/>
        <v>16.928571428571431</v>
      </c>
      <c r="AU36" s="259">
        <f t="shared" si="5"/>
        <v>3</v>
      </c>
      <c r="AV36" s="259">
        <f t="shared" si="6"/>
        <v>3</v>
      </c>
      <c r="AW36" s="266">
        <f t="shared" si="7"/>
        <v>16.928571428571431</v>
      </c>
      <c r="AX36" s="259">
        <f t="shared" si="8"/>
        <v>0</v>
      </c>
      <c r="AY36" s="258"/>
      <c r="AZ36" s="238"/>
      <c r="BA36" s="238"/>
      <c r="BB36" s="238"/>
      <c r="BC36" s="238"/>
      <c r="BD36" s="238"/>
      <c r="BE36" s="239" t="s">
        <v>645</v>
      </c>
      <c r="BF36" s="239">
        <v>0.1139</v>
      </c>
      <c r="BG36" s="239">
        <v>3.5999999999999999E-3</v>
      </c>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row>
    <row r="37" spans="1:94" s="240" customFormat="1" ht="14.25" customHeight="1">
      <c r="A37" s="267" t="s">
        <v>419</v>
      </c>
      <c r="B37" s="268"/>
      <c r="C37" s="268"/>
      <c r="D37" s="268"/>
      <c r="E37" s="269"/>
      <c r="F37" s="1377">
        <v>2.0000000000000001E-4</v>
      </c>
      <c r="G37" s="1443"/>
      <c r="H37" s="1299">
        <f t="shared" si="0"/>
        <v>2.1230232530490858E-2</v>
      </c>
      <c r="I37" s="1301"/>
      <c r="J37" s="1300"/>
      <c r="K37" s="1300"/>
      <c r="L37" s="1299"/>
      <c r="M37" s="1300"/>
      <c r="N37" s="1299">
        <f t="shared" si="1"/>
        <v>0.93612587319946394</v>
      </c>
      <c r="O37" s="1301"/>
      <c r="P37" s="1299">
        <f>R37/$R$53</f>
        <v>0</v>
      </c>
      <c r="Q37" s="1301"/>
      <c r="R37" s="1300">
        <f>T37/$AR37</f>
        <v>0</v>
      </c>
      <c r="S37" s="1300"/>
      <c r="T37" s="1299">
        <f>$Q$22*N37</f>
        <v>0</v>
      </c>
      <c r="U37" s="1301"/>
      <c r="V37" s="263"/>
      <c r="W37" s="1188"/>
      <c r="X37" s="1188"/>
      <c r="Y37" s="1188"/>
      <c r="Z37" s="1188"/>
      <c r="AA37" s="1188"/>
      <c r="AB37" s="1188"/>
      <c r="AC37" s="1188"/>
      <c r="AD37" s="1188"/>
      <c r="AE37" s="1188"/>
      <c r="AF37" s="1188"/>
      <c r="AG37" s="1188"/>
      <c r="AH37" s="1188"/>
      <c r="AI37" s="1188"/>
      <c r="AJ37" s="1188"/>
      <c r="AK37" s="264"/>
      <c r="AL37" s="258"/>
      <c r="AM37" s="259">
        <v>3</v>
      </c>
      <c r="AN37" s="259">
        <v>8</v>
      </c>
      <c r="AO37" s="259"/>
      <c r="AP37" s="259"/>
      <c r="AQ37" s="259"/>
      <c r="AR37" s="265">
        <f t="shared" si="2"/>
        <v>44.094000000000001</v>
      </c>
      <c r="AS37" s="259">
        <f t="shared" si="3"/>
        <v>5</v>
      </c>
      <c r="AT37" s="266">
        <f t="shared" si="4"/>
        <v>18.80952380952381</v>
      </c>
      <c r="AU37" s="259">
        <f t="shared" si="5"/>
        <v>3</v>
      </c>
      <c r="AV37" s="259">
        <f t="shared" si="6"/>
        <v>4</v>
      </c>
      <c r="AW37" s="266">
        <f t="shared" si="7"/>
        <v>18.80952380952381</v>
      </c>
      <c r="AX37" s="259">
        <f t="shared" si="8"/>
        <v>0</v>
      </c>
      <c r="AY37" s="258"/>
      <c r="AZ37" s="238"/>
      <c r="BA37" s="238"/>
      <c r="BB37" s="238"/>
      <c r="BC37" s="238"/>
      <c r="BD37" s="238"/>
      <c r="BE37" s="239" t="s">
        <v>646</v>
      </c>
      <c r="BF37" s="239">
        <v>1.7100000000000001E-2</v>
      </c>
      <c r="BG37" s="239">
        <v>1E-3</v>
      </c>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row>
    <row r="38" spans="1:94" s="240" customFormat="1" ht="14.25" customHeight="1">
      <c r="A38" s="267" t="s">
        <v>420</v>
      </c>
      <c r="B38" s="268"/>
      <c r="C38" s="268"/>
      <c r="D38" s="268"/>
      <c r="E38" s="269"/>
      <c r="F38" s="1377">
        <v>0</v>
      </c>
      <c r="G38" s="1443"/>
      <c r="H38" s="1299">
        <f t="shared" si="0"/>
        <v>0</v>
      </c>
      <c r="I38" s="1301"/>
      <c r="J38" s="1300"/>
      <c r="K38" s="1300"/>
      <c r="L38" s="1299"/>
      <c r="M38" s="1300"/>
      <c r="N38" s="1299">
        <f t="shared" si="1"/>
        <v>0</v>
      </c>
      <c r="O38" s="1301"/>
      <c r="P38" s="1299"/>
      <c r="Q38" s="1301"/>
      <c r="R38" s="1300"/>
      <c r="S38" s="1300"/>
      <c r="T38" s="1299"/>
      <c r="U38" s="1301"/>
      <c r="V38" s="263"/>
      <c r="W38" s="1188"/>
      <c r="X38" s="1188"/>
      <c r="Y38" s="1188"/>
      <c r="Z38" s="1188"/>
      <c r="AA38" s="1188"/>
      <c r="AB38" s="1188"/>
      <c r="AC38" s="1188"/>
      <c r="AD38" s="1188"/>
      <c r="AE38" s="1188"/>
      <c r="AF38" s="1188"/>
      <c r="AG38" s="1188"/>
      <c r="AH38" s="1188"/>
      <c r="AI38" s="1188"/>
      <c r="AJ38" s="1188"/>
      <c r="AK38" s="264"/>
      <c r="AL38" s="258"/>
      <c r="AM38" s="259">
        <v>4</v>
      </c>
      <c r="AN38" s="259">
        <v>8</v>
      </c>
      <c r="AO38" s="259"/>
      <c r="AP38" s="259"/>
      <c r="AQ38" s="259"/>
      <c r="AR38" s="265">
        <f t="shared" si="2"/>
        <v>56.103999999999999</v>
      </c>
      <c r="AS38" s="259">
        <f t="shared" si="3"/>
        <v>6</v>
      </c>
      <c r="AT38" s="266">
        <f t="shared" si="4"/>
        <v>22.571428571428573</v>
      </c>
      <c r="AU38" s="259">
        <f t="shared" si="5"/>
        <v>4</v>
      </c>
      <c r="AV38" s="259">
        <f t="shared" si="6"/>
        <v>4</v>
      </c>
      <c r="AW38" s="266">
        <f t="shared" si="7"/>
        <v>22.571428571428573</v>
      </c>
      <c r="AX38" s="259">
        <f t="shared" si="8"/>
        <v>0</v>
      </c>
      <c r="AY38" s="258"/>
      <c r="AZ38" s="238"/>
      <c r="BA38" s="238"/>
      <c r="BB38" s="238"/>
      <c r="BC38" s="238"/>
      <c r="BD38" s="238"/>
      <c r="BE38" s="239" t="s">
        <v>647</v>
      </c>
      <c r="BF38" s="239">
        <v>4.5900000000000003E-2</v>
      </c>
      <c r="BG38" s="239">
        <v>2.3999999999999998E-3</v>
      </c>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row>
    <row r="39" spans="1:94" s="240" customFormat="1" ht="14.25" customHeight="1">
      <c r="A39" s="267" t="s">
        <v>421</v>
      </c>
      <c r="B39" s="268"/>
      <c r="C39" s="268"/>
      <c r="D39" s="268"/>
      <c r="E39" s="269"/>
      <c r="F39" s="1377">
        <v>1E-4</v>
      </c>
      <c r="G39" s="1443"/>
      <c r="H39" s="1299">
        <f t="shared" si="0"/>
        <v>1.0615116265245429E-2</v>
      </c>
      <c r="I39" s="1301"/>
      <c r="J39" s="1300"/>
      <c r="K39" s="1300"/>
      <c r="L39" s="1299"/>
      <c r="M39" s="1300"/>
      <c r="N39" s="1299">
        <f t="shared" si="1"/>
        <v>0.6169505573360643</v>
      </c>
      <c r="O39" s="1301"/>
      <c r="P39" s="1299">
        <f>R39/$R$53</f>
        <v>0</v>
      </c>
      <c r="Q39" s="1301"/>
      <c r="R39" s="1300">
        <f>T39/$AR39</f>
        <v>0</v>
      </c>
      <c r="S39" s="1300"/>
      <c r="T39" s="1299">
        <f>$Q$22*N39</f>
        <v>0</v>
      </c>
      <c r="U39" s="1301"/>
      <c r="V39" s="263"/>
      <c r="W39" s="263"/>
      <c r="X39" s="263"/>
      <c r="Y39" s="263"/>
      <c r="Z39" s="263"/>
      <c r="AA39" s="263"/>
      <c r="AB39" s="263"/>
      <c r="AC39" s="263"/>
      <c r="AD39" s="263"/>
      <c r="AE39" s="263"/>
      <c r="AF39" s="263"/>
      <c r="AG39" s="263"/>
      <c r="AH39" s="263"/>
      <c r="AI39" s="263"/>
      <c r="AJ39" s="263"/>
      <c r="AK39" s="264"/>
      <c r="AL39" s="258"/>
      <c r="AM39" s="259">
        <v>4</v>
      </c>
      <c r="AN39" s="259">
        <v>10</v>
      </c>
      <c r="AO39" s="259"/>
      <c r="AP39" s="259"/>
      <c r="AQ39" s="259"/>
      <c r="AR39" s="265">
        <f>AM39*12.01+AN39*1.008+AO39*16+AP39*14+AQ39*32</f>
        <v>58.12</v>
      </c>
      <c r="AS39" s="259">
        <f t="shared" si="3"/>
        <v>6.5</v>
      </c>
      <c r="AT39" s="266">
        <f t="shared" si="4"/>
        <v>24.452380952380956</v>
      </c>
      <c r="AU39" s="259">
        <f t="shared" si="5"/>
        <v>4</v>
      </c>
      <c r="AV39" s="259">
        <f t="shared" si="6"/>
        <v>5</v>
      </c>
      <c r="AW39" s="266">
        <f t="shared" si="7"/>
        <v>24.452380952380956</v>
      </c>
      <c r="AX39" s="259">
        <f t="shared" si="8"/>
        <v>0</v>
      </c>
      <c r="AY39" s="258"/>
      <c r="AZ39" s="238"/>
      <c r="BA39" s="238"/>
      <c r="BB39" s="238"/>
      <c r="BC39" s="238"/>
      <c r="BD39" s="238"/>
      <c r="BE39" s="239" t="s">
        <v>648</v>
      </c>
      <c r="BF39" s="239">
        <v>8.2000000000000007E-3</v>
      </c>
      <c r="BG39" s="239">
        <v>1.6000000000000001E-3</v>
      </c>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38"/>
      <c r="CN39" s="238"/>
      <c r="CO39" s="238"/>
      <c r="CP39" s="238"/>
    </row>
    <row r="40" spans="1:94" s="240" customFormat="1" ht="14.25" customHeight="1">
      <c r="A40" s="267" t="s">
        <v>422</v>
      </c>
      <c r="B40" s="268"/>
      <c r="C40" s="268"/>
      <c r="D40" s="268"/>
      <c r="E40" s="269"/>
      <c r="F40" s="1377">
        <v>0</v>
      </c>
      <c r="G40" s="1443"/>
      <c r="H40" s="1299">
        <f t="shared" si="0"/>
        <v>0</v>
      </c>
      <c r="I40" s="1301"/>
      <c r="J40" s="1300"/>
      <c r="K40" s="1300"/>
      <c r="L40" s="1299"/>
      <c r="M40" s="1300"/>
      <c r="N40" s="1299">
        <f t="shared" si="1"/>
        <v>0</v>
      </c>
      <c r="O40" s="1301"/>
      <c r="P40" s="1299">
        <f>R40/$R$53</f>
        <v>0</v>
      </c>
      <c r="Q40" s="1301"/>
      <c r="R40" s="1300">
        <f>T40/$AR40</f>
        <v>0</v>
      </c>
      <c r="S40" s="1300"/>
      <c r="T40" s="1299">
        <f>$Q$22*N40</f>
        <v>0</v>
      </c>
      <c r="U40" s="1301"/>
      <c r="V40" s="263"/>
      <c r="W40" s="263"/>
      <c r="X40" s="263" t="s">
        <v>761</v>
      </c>
      <c r="Y40" s="263"/>
      <c r="Z40" s="263"/>
      <c r="AA40" s="263"/>
      <c r="AB40" s="263"/>
      <c r="AC40" s="263"/>
      <c r="AD40" s="263"/>
      <c r="AE40" s="263"/>
      <c r="AF40" s="263"/>
      <c r="AG40" s="263"/>
      <c r="AH40" s="263"/>
      <c r="AI40" s="263"/>
      <c r="AJ40" s="263"/>
      <c r="AK40" s="264"/>
      <c r="AL40" s="258"/>
      <c r="AM40" s="259">
        <v>4</v>
      </c>
      <c r="AN40" s="259">
        <v>10</v>
      </c>
      <c r="AO40" s="259"/>
      <c r="AP40" s="259"/>
      <c r="AQ40" s="259"/>
      <c r="AR40" s="265">
        <f t="shared" si="2"/>
        <v>58.12</v>
      </c>
      <c r="AS40" s="259">
        <f t="shared" si="3"/>
        <v>6.5</v>
      </c>
      <c r="AT40" s="266">
        <f t="shared" si="4"/>
        <v>24.452380952380956</v>
      </c>
      <c r="AU40" s="259">
        <f t="shared" si="5"/>
        <v>4</v>
      </c>
      <c r="AV40" s="259">
        <f t="shared" si="6"/>
        <v>5</v>
      </c>
      <c r="AW40" s="266">
        <f t="shared" si="7"/>
        <v>24.452380952380956</v>
      </c>
      <c r="AX40" s="259">
        <f t="shared" si="8"/>
        <v>0</v>
      </c>
      <c r="AY40" s="258"/>
      <c r="AZ40" s="238"/>
      <c r="BA40" s="238"/>
      <c r="BB40" s="238"/>
      <c r="BC40" s="238"/>
      <c r="BD40" s="238"/>
      <c r="BE40" s="239" t="s">
        <v>649</v>
      </c>
      <c r="BF40" s="239">
        <v>2.0000000000000001E-4</v>
      </c>
      <c r="BG40" s="239">
        <v>0</v>
      </c>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row>
    <row r="41" spans="1:94" s="240" customFormat="1" ht="14.25" customHeight="1">
      <c r="A41" s="267" t="s">
        <v>423</v>
      </c>
      <c r="B41" s="268"/>
      <c r="C41" s="268"/>
      <c r="D41" s="268"/>
      <c r="E41" s="269"/>
      <c r="F41" s="1377">
        <v>1E-4</v>
      </c>
      <c r="G41" s="1443"/>
      <c r="H41" s="1299">
        <f t="shared" si="0"/>
        <v>1.0615116265245429E-2</v>
      </c>
      <c r="I41" s="1301"/>
      <c r="J41" s="1300"/>
      <c r="K41" s="1300"/>
      <c r="L41" s="1299"/>
      <c r="M41" s="1300"/>
      <c r="N41" s="1299">
        <f t="shared" si="1"/>
        <v>0.76583817807239674</v>
      </c>
      <c r="O41" s="1301"/>
      <c r="P41" s="1299">
        <f>R41/$R$53</f>
        <v>0</v>
      </c>
      <c r="Q41" s="1301"/>
      <c r="R41" s="1300">
        <f>T41/$AR41</f>
        <v>0</v>
      </c>
      <c r="S41" s="1300"/>
      <c r="T41" s="1299">
        <f>$Q$22*N41</f>
        <v>0</v>
      </c>
      <c r="U41" s="1301"/>
      <c r="V41" s="263"/>
      <c r="W41" s="263"/>
      <c r="X41" s="263"/>
      <c r="Y41" s="263"/>
      <c r="Z41" s="263"/>
      <c r="AA41" s="263"/>
      <c r="AB41" s="263"/>
      <c r="AC41" s="263"/>
      <c r="AD41" s="263"/>
      <c r="AE41" s="263"/>
      <c r="AF41" s="263"/>
      <c r="AG41" s="263"/>
      <c r="AH41" s="263"/>
      <c r="AI41" s="263"/>
      <c r="AJ41" s="263"/>
      <c r="AK41" s="264"/>
      <c r="AL41" s="258"/>
      <c r="AM41" s="259">
        <v>5</v>
      </c>
      <c r="AN41" s="259">
        <v>12</v>
      </c>
      <c r="AO41" s="259"/>
      <c r="AP41" s="259"/>
      <c r="AQ41" s="259"/>
      <c r="AR41" s="265">
        <f t="shared" si="2"/>
        <v>72.146000000000001</v>
      </c>
      <c r="AS41" s="259">
        <f t="shared" si="3"/>
        <v>8</v>
      </c>
      <c r="AT41" s="266">
        <f t="shared" si="4"/>
        <v>30.095238095238098</v>
      </c>
      <c r="AU41" s="259">
        <f t="shared" si="5"/>
        <v>5</v>
      </c>
      <c r="AV41" s="259">
        <f t="shared" si="6"/>
        <v>6</v>
      </c>
      <c r="AW41" s="266">
        <f t="shared" si="7"/>
        <v>30.095238095238098</v>
      </c>
      <c r="AX41" s="259">
        <f t="shared" si="8"/>
        <v>0</v>
      </c>
      <c r="AY41" s="258"/>
      <c r="AZ41" s="238"/>
      <c r="BA41" s="238"/>
      <c r="BB41" s="238"/>
      <c r="BC41" s="238"/>
      <c r="BD41" s="238"/>
      <c r="BE41" s="239" t="s">
        <v>650</v>
      </c>
      <c r="BF41" s="239">
        <v>8.8999999999999999E-3</v>
      </c>
      <c r="BG41" s="239">
        <v>1.9E-3</v>
      </c>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row>
    <row r="42" spans="1:94" s="240" customFormat="1" ht="14.25" customHeight="1">
      <c r="A42" s="267" t="s">
        <v>424</v>
      </c>
      <c r="B42" s="268"/>
      <c r="C42" s="268"/>
      <c r="D42" s="268"/>
      <c r="E42" s="269"/>
      <c r="F42" s="1377">
        <v>1E-4</v>
      </c>
      <c r="G42" s="1443"/>
      <c r="H42" s="1299">
        <f t="shared" si="0"/>
        <v>1.0615116265245429E-2</v>
      </c>
      <c r="I42" s="1301"/>
      <c r="J42" s="1300"/>
      <c r="K42" s="1300"/>
      <c r="L42" s="1299"/>
      <c r="M42" s="1300"/>
      <c r="N42" s="1299">
        <f t="shared" si="1"/>
        <v>0.76583817807239674</v>
      </c>
      <c r="O42" s="1301"/>
      <c r="P42" s="1299">
        <f>R42/$R$53</f>
        <v>0</v>
      </c>
      <c r="Q42" s="1301"/>
      <c r="R42" s="1300">
        <f>T42/$AR42</f>
        <v>0</v>
      </c>
      <c r="S42" s="1300"/>
      <c r="T42" s="1299">
        <f>$Q$22*N42</f>
        <v>0</v>
      </c>
      <c r="U42" s="1301"/>
      <c r="V42" s="263"/>
      <c r="W42" s="263"/>
      <c r="X42" s="263"/>
      <c r="Y42" s="263"/>
      <c r="Z42" s="263"/>
      <c r="AA42" s="263"/>
      <c r="AB42" s="263"/>
      <c r="AC42" s="263"/>
      <c r="AD42" s="263"/>
      <c r="AE42" s="263"/>
      <c r="AF42" s="263"/>
      <c r="AG42" s="263"/>
      <c r="AH42" s="263"/>
      <c r="AI42" s="263"/>
      <c r="AJ42" s="263"/>
      <c r="AK42" s="264"/>
      <c r="AL42" s="258"/>
      <c r="AM42" s="259">
        <v>5</v>
      </c>
      <c r="AN42" s="259">
        <v>12</v>
      </c>
      <c r="AO42" s="259"/>
      <c r="AP42" s="259"/>
      <c r="AQ42" s="259"/>
      <c r="AR42" s="265">
        <f t="shared" si="2"/>
        <v>72.146000000000001</v>
      </c>
      <c r="AS42" s="259">
        <f t="shared" si="3"/>
        <v>8</v>
      </c>
      <c r="AT42" s="266">
        <f t="shared" si="4"/>
        <v>30.095238095238098</v>
      </c>
      <c r="AU42" s="259">
        <f t="shared" si="5"/>
        <v>5</v>
      </c>
      <c r="AV42" s="259">
        <f t="shared" si="6"/>
        <v>6</v>
      </c>
      <c r="AW42" s="266">
        <f t="shared" si="7"/>
        <v>30.095238095238098</v>
      </c>
      <c r="AX42" s="259">
        <f t="shared" si="8"/>
        <v>0</v>
      </c>
      <c r="AY42" s="258"/>
      <c r="AZ42" s="238"/>
      <c r="BA42" s="238"/>
      <c r="BB42" s="238"/>
      <c r="BC42" s="238"/>
      <c r="BD42" s="238"/>
      <c r="BE42" s="239" t="s">
        <v>651</v>
      </c>
      <c r="BF42" s="239">
        <v>2.0000000000000001E-4</v>
      </c>
      <c r="BG42" s="239">
        <v>2.9999999999999997E-4</v>
      </c>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row>
    <row r="43" spans="1:94" s="240" customFormat="1" ht="14.25" customHeight="1">
      <c r="A43" s="267" t="s">
        <v>721</v>
      </c>
      <c r="B43" s="268"/>
      <c r="C43" s="268"/>
      <c r="D43" s="268"/>
      <c r="E43" s="269"/>
      <c r="F43" s="1377">
        <v>2.00000000000089E-4</v>
      </c>
      <c r="G43" s="1443"/>
      <c r="H43" s="1299">
        <f t="shared" si="0"/>
        <v>2.1230232530500305E-2</v>
      </c>
      <c r="I43" s="1301"/>
      <c r="J43" s="1300"/>
      <c r="K43" s="1300"/>
      <c r="L43" s="1299"/>
      <c r="M43" s="1300"/>
      <c r="N43" s="1299">
        <f t="shared" si="1"/>
        <v>1.8294515976182721</v>
      </c>
      <c r="O43" s="1301"/>
      <c r="P43" s="1299">
        <f>R43/$R$53</f>
        <v>0</v>
      </c>
      <c r="Q43" s="1301"/>
      <c r="R43" s="1300">
        <f>T43/$AR43</f>
        <v>0</v>
      </c>
      <c r="S43" s="1300"/>
      <c r="T43" s="1299">
        <f>$Q$22*N43</f>
        <v>0</v>
      </c>
      <c r="U43" s="1301"/>
      <c r="V43" s="263"/>
      <c r="W43" s="263"/>
      <c r="X43" s="263"/>
      <c r="Y43" s="263"/>
      <c r="Z43" s="263"/>
      <c r="AA43" s="263"/>
      <c r="AB43" s="263"/>
      <c r="AC43" s="263"/>
      <c r="AD43" s="263"/>
      <c r="AE43" s="263"/>
      <c r="AF43" s="263"/>
      <c r="AG43" s="263"/>
      <c r="AH43" s="263"/>
      <c r="AI43" s="263"/>
      <c r="AJ43" s="263"/>
      <c r="AK43" s="264"/>
      <c r="AL43" s="258"/>
      <c r="AM43" s="259">
        <v>6</v>
      </c>
      <c r="AN43" s="259">
        <v>14</v>
      </c>
      <c r="AO43" s="259"/>
      <c r="AP43" s="259"/>
      <c r="AQ43" s="259"/>
      <c r="AR43" s="265">
        <f t="shared" si="2"/>
        <v>86.171999999999997</v>
      </c>
      <c r="AS43" s="259">
        <f t="shared" si="3"/>
        <v>9.5</v>
      </c>
      <c r="AT43" s="266">
        <f t="shared" si="4"/>
        <v>35.738095238095241</v>
      </c>
      <c r="AU43" s="259">
        <f t="shared" si="5"/>
        <v>6</v>
      </c>
      <c r="AV43" s="259">
        <f t="shared" si="6"/>
        <v>7</v>
      </c>
      <c r="AW43" s="266">
        <f t="shared" si="7"/>
        <v>35.738095238095241</v>
      </c>
      <c r="AX43" s="259">
        <f t="shared" si="8"/>
        <v>0</v>
      </c>
      <c r="AY43" s="258"/>
      <c r="AZ43" s="238"/>
      <c r="BA43" s="238"/>
      <c r="BB43" s="238"/>
      <c r="BC43" s="238"/>
      <c r="BD43" s="238"/>
      <c r="BE43" s="239" t="s">
        <v>652</v>
      </c>
      <c r="BF43" s="239">
        <v>0</v>
      </c>
      <c r="BG43" s="239">
        <v>5.0000000000000001E-4</v>
      </c>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38"/>
      <c r="CN43" s="238"/>
      <c r="CO43" s="238"/>
      <c r="CP43" s="238"/>
    </row>
    <row r="44" spans="1:94" s="240" customFormat="1" ht="14.25" customHeight="1">
      <c r="A44" s="267" t="s">
        <v>426</v>
      </c>
      <c r="B44" s="268"/>
      <c r="C44" s="268"/>
      <c r="D44" s="268"/>
      <c r="E44" s="269"/>
      <c r="F44" s="1377">
        <v>0</v>
      </c>
      <c r="G44" s="1443"/>
      <c r="H44" s="1299">
        <f>F44*$AC$25</f>
        <v>0</v>
      </c>
      <c r="I44" s="1301"/>
      <c r="J44" s="1300"/>
      <c r="K44" s="1300"/>
      <c r="L44" s="1299"/>
      <c r="M44" s="1300"/>
      <c r="N44" s="1299">
        <f t="shared" si="1"/>
        <v>0</v>
      </c>
      <c r="O44" s="1301"/>
      <c r="P44" s="1299"/>
      <c r="Q44" s="1301"/>
      <c r="R44" s="1300"/>
      <c r="S44" s="1300"/>
      <c r="T44" s="1299"/>
      <c r="U44" s="1301"/>
      <c r="V44" s="263"/>
      <c r="W44" s="263"/>
      <c r="X44" s="263"/>
      <c r="Y44" s="263"/>
      <c r="Z44" s="263"/>
      <c r="AA44" s="263"/>
      <c r="AB44" s="263"/>
      <c r="AC44" s="263"/>
      <c r="AD44" s="263"/>
      <c r="AE44" s="263"/>
      <c r="AF44" s="263"/>
      <c r="AG44" s="263"/>
      <c r="AH44" s="263"/>
      <c r="AI44" s="263"/>
      <c r="AJ44" s="263"/>
      <c r="AK44" s="264"/>
      <c r="AL44" s="258"/>
      <c r="AM44" s="259"/>
      <c r="AN44" s="259"/>
      <c r="AO44" s="259"/>
      <c r="AP44" s="259"/>
      <c r="AQ44" s="259"/>
      <c r="AR44" s="265">
        <v>4.0030000000000001</v>
      </c>
      <c r="AS44" s="259"/>
      <c r="AT44" s="266"/>
      <c r="AU44" s="259"/>
      <c r="AV44" s="259"/>
      <c r="AW44" s="266"/>
      <c r="AX44" s="259"/>
      <c r="AY44" s="258"/>
      <c r="AZ44" s="238"/>
      <c r="BA44" s="238"/>
      <c r="BB44" s="238"/>
      <c r="BC44" s="238"/>
      <c r="BD44" s="238"/>
      <c r="BE44" s="239" t="s">
        <v>653</v>
      </c>
      <c r="BF44" s="239">
        <v>0</v>
      </c>
      <c r="BG44" s="239">
        <v>1E-4</v>
      </c>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row>
    <row r="45" spans="1:94" s="240" customFormat="1" ht="14.25" customHeight="1">
      <c r="A45" s="267" t="s">
        <v>427</v>
      </c>
      <c r="B45" s="268"/>
      <c r="C45" s="268"/>
      <c r="D45" s="268"/>
      <c r="E45" s="269"/>
      <c r="F45" s="1377">
        <v>0</v>
      </c>
      <c r="G45" s="1443"/>
      <c r="H45" s="1299">
        <f t="shared" si="0"/>
        <v>0</v>
      </c>
      <c r="I45" s="1301"/>
      <c r="J45" s="1300"/>
      <c r="K45" s="1300"/>
      <c r="L45" s="1299"/>
      <c r="M45" s="1300"/>
      <c r="N45" s="1299">
        <f t="shared" si="1"/>
        <v>0</v>
      </c>
      <c r="O45" s="1301"/>
      <c r="P45" s="1299"/>
      <c r="Q45" s="1301"/>
      <c r="R45" s="1299"/>
      <c r="S45" s="1301"/>
      <c r="T45" s="1299"/>
      <c r="U45" s="1301"/>
      <c r="V45" s="263"/>
      <c r="W45" s="263"/>
      <c r="X45" s="263"/>
      <c r="Y45" s="263"/>
      <c r="Z45" s="263"/>
      <c r="AA45" s="263"/>
      <c r="AB45" s="263"/>
      <c r="AC45" s="263"/>
      <c r="AD45" s="263"/>
      <c r="AE45" s="263"/>
      <c r="AF45" s="263"/>
      <c r="AG45" s="263"/>
      <c r="AH45" s="263"/>
      <c r="AI45" s="263"/>
      <c r="AJ45" s="263"/>
      <c r="AK45" s="264"/>
      <c r="AL45" s="258"/>
      <c r="AM45" s="259"/>
      <c r="AN45" s="259">
        <v>2</v>
      </c>
      <c r="AO45" s="259"/>
      <c r="AP45" s="259"/>
      <c r="AQ45" s="259">
        <v>1</v>
      </c>
      <c r="AR45" s="265">
        <f t="shared" si="2"/>
        <v>34.015999999999998</v>
      </c>
      <c r="AS45" s="259">
        <f t="shared" si="3"/>
        <v>1.5</v>
      </c>
      <c r="AT45" s="266">
        <f t="shared" si="4"/>
        <v>5.6428571428571432</v>
      </c>
      <c r="AU45" s="259">
        <f t="shared" si="5"/>
        <v>0</v>
      </c>
      <c r="AV45" s="259">
        <f t="shared" si="6"/>
        <v>1</v>
      </c>
      <c r="AW45" s="266">
        <f t="shared" si="7"/>
        <v>5.6428571428571432</v>
      </c>
      <c r="AX45" s="259">
        <f t="shared" si="8"/>
        <v>1</v>
      </c>
      <c r="AY45" s="258"/>
      <c r="AZ45" s="238"/>
      <c r="BA45" s="238"/>
      <c r="BB45" s="238"/>
      <c r="BC45" s="238"/>
      <c r="BD45" s="238"/>
      <c r="BE45" s="239" t="s">
        <v>654</v>
      </c>
      <c r="BF45" s="239">
        <v>0</v>
      </c>
      <c r="BG45" s="239">
        <v>4.0000000000000002E-4</v>
      </c>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row>
    <row r="46" spans="1:94" s="240" customFormat="1" ht="14.25" customHeight="1">
      <c r="A46" s="267" t="s">
        <v>428</v>
      </c>
      <c r="B46" s="268"/>
      <c r="C46" s="268"/>
      <c r="D46" s="268"/>
      <c r="E46" s="269"/>
      <c r="F46" s="1377">
        <v>0</v>
      </c>
      <c r="G46" s="1443"/>
      <c r="H46" s="1299">
        <f t="shared" si="0"/>
        <v>0</v>
      </c>
      <c r="I46" s="1301"/>
      <c r="J46" s="1300">
        <f>SUMPRODUCT(H32:H52,AS32:AS52)-H46</f>
        <v>212.32355553743918</v>
      </c>
      <c r="K46" s="1300"/>
      <c r="L46" s="1299">
        <v>0</v>
      </c>
      <c r="M46" s="1300"/>
      <c r="N46" s="1299">
        <f t="shared" si="1"/>
        <v>6794.3537771980536</v>
      </c>
      <c r="O46" s="1301"/>
      <c r="P46" s="1299">
        <f t="shared" ref="P46:P52" si="9">R46/$R$53</f>
        <v>6.5640308933690523E-4</v>
      </c>
      <c r="Q46" s="1301"/>
      <c r="R46" s="1300">
        <f>L46+SUMPRODUCT(R33:R45,$AS33:$AS45)</f>
        <v>0.73347571823444224</v>
      </c>
      <c r="S46" s="1300"/>
      <c r="T46" s="1299">
        <f>R46*$AR46</f>
        <v>23.471222983502152</v>
      </c>
      <c r="U46" s="1301"/>
      <c r="V46" s="263"/>
      <c r="W46" s="263"/>
      <c r="X46" s="263"/>
      <c r="Y46" s="263"/>
      <c r="Z46" s="263"/>
      <c r="AA46" s="263"/>
      <c r="AB46" s="263"/>
      <c r="AC46" s="263"/>
      <c r="AD46" s="263"/>
      <c r="AE46" s="263"/>
      <c r="AF46" s="263"/>
      <c r="AG46" s="263"/>
      <c r="AH46" s="263"/>
      <c r="AI46" s="263"/>
      <c r="AJ46" s="263"/>
      <c r="AK46" s="264"/>
      <c r="AL46" s="258"/>
      <c r="AM46" s="259"/>
      <c r="AN46" s="259"/>
      <c r="AO46" s="259">
        <v>2</v>
      </c>
      <c r="AP46" s="259"/>
      <c r="AQ46" s="259"/>
      <c r="AR46" s="265">
        <f t="shared" si="2"/>
        <v>32</v>
      </c>
      <c r="AS46" s="259">
        <f t="shared" si="3"/>
        <v>0</v>
      </c>
      <c r="AT46" s="266">
        <f t="shared" si="4"/>
        <v>0</v>
      </c>
      <c r="AU46" s="259">
        <f t="shared" si="5"/>
        <v>0</v>
      </c>
      <c r="AV46" s="259">
        <f t="shared" si="6"/>
        <v>0</v>
      </c>
      <c r="AW46" s="266">
        <f t="shared" si="7"/>
        <v>0</v>
      </c>
      <c r="AX46" s="259">
        <f t="shared" si="8"/>
        <v>0</v>
      </c>
      <c r="AY46" s="258"/>
      <c r="AZ46" s="238"/>
      <c r="BA46" s="238"/>
      <c r="BB46" s="238"/>
      <c r="BC46" s="238"/>
      <c r="BD46" s="238"/>
      <c r="BE46" s="239" t="s">
        <v>655</v>
      </c>
      <c r="BF46" s="239">
        <v>0</v>
      </c>
      <c r="BG46" s="239">
        <v>2.0000000000000001E-4</v>
      </c>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row>
    <row r="47" spans="1:94" s="240" customFormat="1" ht="14.25" customHeight="1">
      <c r="A47" s="267" t="s">
        <v>429</v>
      </c>
      <c r="B47" s="268"/>
      <c r="C47" s="268"/>
      <c r="D47" s="268"/>
      <c r="E47" s="269"/>
      <c r="F47" s="1377">
        <v>1.5E-3</v>
      </c>
      <c r="G47" s="1443"/>
      <c r="H47" s="1299">
        <f t="shared" si="0"/>
        <v>0.15922674397868145</v>
      </c>
      <c r="I47" s="1301"/>
      <c r="J47" s="1300">
        <f>0.79/0.21*J46</f>
        <v>798.7409946408427</v>
      </c>
      <c r="K47" s="1301"/>
      <c r="L47" s="1299">
        <f>0.71/0.29*L46</f>
        <v>0</v>
      </c>
      <c r="M47" s="1300"/>
      <c r="N47" s="1299">
        <f t="shared" si="1"/>
        <v>22369.206198774998</v>
      </c>
      <c r="O47" s="1301"/>
      <c r="P47" s="1299">
        <f t="shared" si="9"/>
        <v>0.71492507822389051</v>
      </c>
      <c r="Q47" s="1301"/>
      <c r="R47" s="1299">
        <f>$H47+J47+L47-R50/2</f>
        <v>798.86916096602909</v>
      </c>
      <c r="S47" s="1301"/>
      <c r="T47" s="1340">
        <f>R47*$AR47</f>
        <v>22368.336507048814</v>
      </c>
      <c r="U47" s="1342"/>
      <c r="V47" s="263"/>
      <c r="W47" s="263"/>
      <c r="X47" s="263"/>
      <c r="Y47" s="263"/>
      <c r="Z47" s="263"/>
      <c r="AA47" s="263"/>
      <c r="AB47" s="263"/>
      <c r="AC47" s="263"/>
      <c r="AD47" s="263"/>
      <c r="AE47" s="263"/>
      <c r="AF47" s="263"/>
      <c r="AG47" s="263"/>
      <c r="AH47" s="263"/>
      <c r="AI47" s="263"/>
      <c r="AJ47" s="263"/>
      <c r="AK47" s="264"/>
      <c r="AL47" s="258"/>
      <c r="AM47" s="259"/>
      <c r="AN47" s="259"/>
      <c r="AO47" s="259"/>
      <c r="AP47" s="259">
        <v>2</v>
      </c>
      <c r="AQ47" s="259"/>
      <c r="AR47" s="265">
        <f t="shared" si="2"/>
        <v>28</v>
      </c>
      <c r="AS47" s="259">
        <f t="shared" si="3"/>
        <v>0</v>
      </c>
      <c r="AT47" s="266">
        <f t="shared" si="4"/>
        <v>0</v>
      </c>
      <c r="AU47" s="259">
        <f t="shared" si="5"/>
        <v>0</v>
      </c>
      <c r="AV47" s="259">
        <f t="shared" si="6"/>
        <v>0</v>
      </c>
      <c r="AW47" s="266">
        <f t="shared" si="7"/>
        <v>1</v>
      </c>
      <c r="AX47" s="259">
        <f t="shared" si="8"/>
        <v>0</v>
      </c>
      <c r="AY47" s="258"/>
      <c r="AZ47" s="238"/>
      <c r="BA47" s="238"/>
      <c r="BB47" s="238"/>
      <c r="BC47" s="238"/>
      <c r="BD47" s="238"/>
      <c r="BE47" s="239" t="s">
        <v>656</v>
      </c>
      <c r="BF47" s="239">
        <v>1.5E-3</v>
      </c>
      <c r="BG47" s="239">
        <v>0</v>
      </c>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row>
    <row r="48" spans="1:94" s="240" customFormat="1" ht="14.25" customHeight="1">
      <c r="A48" s="267" t="s">
        <v>115</v>
      </c>
      <c r="B48" s="268"/>
      <c r="C48" s="268"/>
      <c r="D48" s="268"/>
      <c r="E48" s="269"/>
      <c r="F48" s="1377">
        <v>0</v>
      </c>
      <c r="G48" s="1443"/>
      <c r="H48" s="1299">
        <f t="shared" si="0"/>
        <v>0</v>
      </c>
      <c r="I48" s="1301"/>
      <c r="J48" s="1300"/>
      <c r="K48" s="1300"/>
      <c r="L48" s="1299"/>
      <c r="M48" s="1300"/>
      <c r="N48" s="1299">
        <f t="shared" si="1"/>
        <v>0</v>
      </c>
      <c r="O48" s="1301"/>
      <c r="P48" s="1299">
        <f t="shared" si="9"/>
        <v>4.9677497741658252E-4</v>
      </c>
      <c r="Q48" s="1301"/>
      <c r="R48" s="1300">
        <f>T48/$AR$48</f>
        <v>0.55510461373607134</v>
      </c>
      <c r="S48" s="1300"/>
      <c r="T48" s="1299">
        <f>$AC17*$X25</f>
        <v>15.548480230747359</v>
      </c>
      <c r="U48" s="1301"/>
      <c r="V48" s="263"/>
      <c r="W48" s="263"/>
      <c r="X48" s="263"/>
      <c r="Y48" s="263"/>
      <c r="Z48" s="263"/>
      <c r="AA48" s="263"/>
      <c r="AB48" s="263"/>
      <c r="AC48" s="263"/>
      <c r="AD48" s="263"/>
      <c r="AE48" s="263"/>
      <c r="AF48" s="263"/>
      <c r="AG48" s="263"/>
      <c r="AH48" s="263"/>
      <c r="AI48" s="263"/>
      <c r="AJ48" s="263"/>
      <c r="AK48" s="264"/>
      <c r="AL48" s="258"/>
      <c r="AM48" s="258">
        <v>1</v>
      </c>
      <c r="AN48" s="258"/>
      <c r="AO48" s="258">
        <v>1</v>
      </c>
      <c r="AP48" s="258"/>
      <c r="AQ48" s="258"/>
      <c r="AR48" s="265">
        <f t="shared" si="2"/>
        <v>28.009999999999998</v>
      </c>
      <c r="AS48" s="259"/>
      <c r="AT48" s="258"/>
      <c r="AU48" s="258"/>
      <c r="AV48" s="258"/>
      <c r="AW48" s="258"/>
      <c r="AX48" s="258"/>
      <c r="AY48" s="258"/>
      <c r="AZ48" s="238"/>
      <c r="BA48" s="238"/>
      <c r="BB48" s="238"/>
      <c r="BC48" s="238"/>
      <c r="BD48" s="238"/>
      <c r="BE48" s="239" t="s">
        <v>657</v>
      </c>
      <c r="BF48" s="239">
        <v>1E-4</v>
      </c>
      <c r="BG48" s="239">
        <v>0</v>
      </c>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38"/>
      <c r="CN48" s="238"/>
      <c r="CO48" s="238"/>
      <c r="CP48" s="238"/>
    </row>
    <row r="49" spans="1:94" s="240" customFormat="1" ht="14.25" customHeight="1">
      <c r="A49" s="267" t="s">
        <v>126</v>
      </c>
      <c r="B49" s="268"/>
      <c r="C49" s="268"/>
      <c r="D49" s="268"/>
      <c r="E49" s="269"/>
      <c r="F49" s="1377">
        <v>8.0000000000000004E-4</v>
      </c>
      <c r="G49" s="1443"/>
      <c r="H49" s="1299">
        <f t="shared" si="0"/>
        <v>8.4920930121963431E-2</v>
      </c>
      <c r="I49" s="1301"/>
      <c r="J49" s="1300"/>
      <c r="K49" s="1300"/>
      <c r="L49" s="1299"/>
      <c r="M49" s="1300"/>
      <c r="N49" s="1299">
        <f t="shared" si="1"/>
        <v>3.7373701346676103</v>
      </c>
      <c r="O49" s="1301"/>
      <c r="P49" s="1299">
        <f t="shared" si="9"/>
        <v>9.4333461424103676E-2</v>
      </c>
      <c r="Q49" s="1301"/>
      <c r="R49" s="1300">
        <f>SUMPRODUCT($H32:$H52,$AU32:$AU52)+$H49-R48-SUMPRODUCT(R33:R43,$AU33:$AU43)</f>
        <v>105.40977715611022</v>
      </c>
      <c r="S49" s="1300"/>
      <c r="T49" s="1299">
        <f>R49*$AR49</f>
        <v>4639.0842926404111</v>
      </c>
      <c r="U49" s="1301"/>
      <c r="V49" s="263"/>
      <c r="W49" s="263"/>
      <c r="X49" s="263"/>
      <c r="Y49" s="263"/>
      <c r="Z49" s="263"/>
      <c r="AA49" s="263"/>
      <c r="AB49" s="263"/>
      <c r="AC49" s="263"/>
      <c r="AD49" s="263"/>
      <c r="AE49" s="263"/>
      <c r="AF49" s="263"/>
      <c r="AG49" s="263"/>
      <c r="AH49" s="263"/>
      <c r="AI49" s="263"/>
      <c r="AJ49" s="263"/>
      <c r="AK49" s="264"/>
      <c r="AL49" s="258"/>
      <c r="AM49" s="259">
        <v>1</v>
      </c>
      <c r="AN49" s="259"/>
      <c r="AO49" s="259">
        <v>2</v>
      </c>
      <c r="AP49" s="259"/>
      <c r="AQ49" s="259"/>
      <c r="AR49" s="265">
        <f>AM49*12.01+AN49*1.008+AO49*16+AP49*14+AQ49*32</f>
        <v>44.01</v>
      </c>
      <c r="AS49" s="259"/>
      <c r="AT49" s="259"/>
      <c r="AU49" s="259"/>
      <c r="AV49" s="259"/>
      <c r="AW49" s="259"/>
      <c r="AX49" s="259"/>
      <c r="AY49" s="258"/>
      <c r="AZ49" s="238"/>
      <c r="BA49" s="238"/>
      <c r="BB49" s="238"/>
      <c r="BC49" s="238"/>
      <c r="BD49" s="238"/>
      <c r="BE49" s="239" t="s">
        <v>658</v>
      </c>
      <c r="BF49" s="239">
        <v>0</v>
      </c>
      <c r="BG49" s="239">
        <v>0</v>
      </c>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row>
    <row r="50" spans="1:94" s="240" customFormat="1" ht="14.25" customHeight="1">
      <c r="A50" s="267" t="s">
        <v>430</v>
      </c>
      <c r="B50" s="268"/>
      <c r="C50" s="268"/>
      <c r="D50" s="268"/>
      <c r="E50" s="269"/>
      <c r="F50" s="1377">
        <v>0</v>
      </c>
      <c r="G50" s="1443"/>
      <c r="H50" s="1299">
        <f t="shared" si="0"/>
        <v>0</v>
      </c>
      <c r="I50" s="1301"/>
      <c r="J50" s="1300"/>
      <c r="K50" s="1300"/>
      <c r="L50" s="1299"/>
      <c r="M50" s="1300"/>
      <c r="N50" s="1299">
        <f t="shared" si="1"/>
        <v>0</v>
      </c>
      <c r="O50" s="1301"/>
      <c r="P50" s="1299">
        <f t="shared" si="9"/>
        <v>5.55932646290139E-5</v>
      </c>
      <c r="Q50" s="1301"/>
      <c r="R50" s="1300">
        <f>T50/$AR50</f>
        <v>6.2120837584654552E-2</v>
      </c>
      <c r="S50" s="1300"/>
      <c r="T50" s="1299">
        <f>$W17*$X25</f>
        <v>2.8575585288941094</v>
      </c>
      <c r="U50" s="1301"/>
      <c r="V50" s="263"/>
      <c r="W50" s="263"/>
      <c r="X50" s="263"/>
      <c r="Y50" s="263"/>
      <c r="Z50" s="263"/>
      <c r="AA50" s="263"/>
      <c r="AB50" s="263"/>
      <c r="AC50" s="263"/>
      <c r="AD50" s="263"/>
      <c r="AE50" s="263"/>
      <c r="AF50" s="263"/>
      <c r="AG50" s="263"/>
      <c r="AH50" s="263"/>
      <c r="AI50" s="263"/>
      <c r="AJ50" s="263"/>
      <c r="AK50" s="264"/>
      <c r="AL50" s="258"/>
      <c r="AM50" s="258"/>
      <c r="AN50" s="258"/>
      <c r="AO50" s="258">
        <v>2</v>
      </c>
      <c r="AP50" s="258">
        <v>1</v>
      </c>
      <c r="AQ50" s="258"/>
      <c r="AR50" s="265">
        <f>AM50*12.01+AN50*1.008+AO50*16+AP50*14+AQ50*32</f>
        <v>46</v>
      </c>
      <c r="AS50" s="259"/>
      <c r="AT50" s="258"/>
      <c r="AU50" s="258"/>
      <c r="AV50" s="258"/>
      <c r="AW50" s="258"/>
      <c r="AX50" s="258"/>
      <c r="AY50" s="258"/>
      <c r="AZ50" s="238"/>
      <c r="BA50" s="238"/>
      <c r="BB50" s="238"/>
      <c r="BC50" s="238"/>
      <c r="BD50" s="238"/>
      <c r="BE50" s="239" t="s">
        <v>659</v>
      </c>
      <c r="BF50" s="239">
        <v>0</v>
      </c>
      <c r="BG50" s="239">
        <v>0</v>
      </c>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38"/>
      <c r="CN50" s="238"/>
      <c r="CO50" s="238"/>
      <c r="CP50" s="238"/>
    </row>
    <row r="51" spans="1:94" s="240" customFormat="1" ht="14.25" customHeight="1">
      <c r="A51" s="267" t="s">
        <v>124</v>
      </c>
      <c r="B51" s="268"/>
      <c r="C51" s="268"/>
      <c r="D51" s="268"/>
      <c r="E51" s="269"/>
      <c r="F51" s="1377">
        <v>0</v>
      </c>
      <c r="G51" s="1443"/>
      <c r="H51" s="1299">
        <f t="shared" si="0"/>
        <v>0</v>
      </c>
      <c r="I51" s="1301"/>
      <c r="J51" s="1300"/>
      <c r="K51" s="1300"/>
      <c r="L51" s="1299"/>
      <c r="M51" s="1300"/>
      <c r="N51" s="1299">
        <f t="shared" si="1"/>
        <v>0</v>
      </c>
      <c r="O51" s="1301"/>
      <c r="P51" s="1299">
        <f t="shared" si="9"/>
        <v>0</v>
      </c>
      <c r="Q51" s="1301"/>
      <c r="R51" s="1299">
        <f>SUMPRODUCT(H32:H52,$AX32:$AX52)+H51</f>
        <v>0</v>
      </c>
      <c r="S51" s="1300"/>
      <c r="T51" s="1299">
        <f>R51*$AR51</f>
        <v>0</v>
      </c>
      <c r="U51" s="1301"/>
      <c r="V51" s="263"/>
      <c r="W51" s="263"/>
      <c r="X51" s="263"/>
      <c r="Y51" s="263"/>
      <c r="Z51" s="263"/>
      <c r="AA51" s="263"/>
      <c r="AB51" s="263"/>
      <c r="AC51" s="263"/>
      <c r="AD51" s="263"/>
      <c r="AE51" s="263"/>
      <c r="AF51" s="263"/>
      <c r="AG51" s="263"/>
      <c r="AH51" s="263"/>
      <c r="AI51" s="263"/>
      <c r="AJ51" s="263"/>
      <c r="AK51" s="264"/>
      <c r="AL51" s="258"/>
      <c r="AM51" s="258"/>
      <c r="AN51" s="258"/>
      <c r="AO51" s="258">
        <v>2</v>
      </c>
      <c r="AP51" s="258"/>
      <c r="AQ51" s="258">
        <v>1</v>
      </c>
      <c r="AR51" s="265">
        <f>AM51*12.01+AN51*1.008+AO51*16+AP51*14+AQ51*32</f>
        <v>64</v>
      </c>
      <c r="AS51" s="259"/>
      <c r="AT51" s="258"/>
      <c r="AU51" s="258"/>
      <c r="AV51" s="258"/>
      <c r="AW51" s="258"/>
      <c r="AX51" s="258"/>
      <c r="AY51" s="258"/>
      <c r="AZ51" s="238"/>
      <c r="BA51" s="238"/>
      <c r="BB51" s="238"/>
      <c r="BC51" s="238"/>
      <c r="BD51" s="238"/>
      <c r="BE51" s="239" t="s">
        <v>660</v>
      </c>
      <c r="BF51" s="239">
        <v>0</v>
      </c>
      <c r="BG51" s="239">
        <v>0</v>
      </c>
      <c r="BH51" s="238"/>
      <c r="BI51" s="238"/>
      <c r="BJ51" s="238"/>
      <c r="BK51" s="238"/>
      <c r="BL51" s="238"/>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38"/>
      <c r="CN51" s="238"/>
      <c r="CO51" s="238"/>
      <c r="CP51" s="238"/>
    </row>
    <row r="52" spans="1:94" s="240" customFormat="1" ht="14.25" customHeight="1">
      <c r="A52" s="273" t="s">
        <v>431</v>
      </c>
      <c r="B52" s="274"/>
      <c r="C52" s="274"/>
      <c r="D52" s="274"/>
      <c r="E52" s="274"/>
      <c r="F52" s="1444">
        <v>0</v>
      </c>
      <c r="G52" s="1445"/>
      <c r="H52" s="1299">
        <f t="shared" si="0"/>
        <v>0</v>
      </c>
      <c r="I52" s="1301"/>
      <c r="J52" s="1384"/>
      <c r="K52" s="1384"/>
      <c r="L52" s="1382"/>
      <c r="M52" s="1384"/>
      <c r="N52" s="1299">
        <f t="shared" si="1"/>
        <v>0</v>
      </c>
      <c r="O52" s="1301"/>
      <c r="P52" s="1343">
        <f t="shared" si="9"/>
        <v>0.18920448747595484</v>
      </c>
      <c r="Q52" s="1345"/>
      <c r="R52" s="1300">
        <f>SUMPRODUCT(H32:H52,$AV32:$AV52)+H52-SUMPRODUCT(R33:R43,$AV33:$AV43)</f>
        <v>211.4202379589608</v>
      </c>
      <c r="S52" s="1300"/>
      <c r="T52" s="1382">
        <f>R52*$AR52</f>
        <v>3808.9470070686375</v>
      </c>
      <c r="U52" s="1383"/>
      <c r="V52" s="263"/>
      <c r="W52" s="263"/>
      <c r="X52" s="263"/>
      <c r="Y52" s="263"/>
      <c r="Z52" s="263"/>
      <c r="AA52" s="263"/>
      <c r="AB52" s="263"/>
      <c r="AC52" s="263"/>
      <c r="AD52" s="263"/>
      <c r="AE52" s="263"/>
      <c r="AF52" s="263"/>
      <c r="AG52" s="263"/>
      <c r="AH52" s="263"/>
      <c r="AI52" s="263"/>
      <c r="AJ52" s="263"/>
      <c r="AK52" s="264"/>
      <c r="AL52" s="258"/>
      <c r="AM52" s="258"/>
      <c r="AN52" s="258">
        <v>2</v>
      </c>
      <c r="AO52" s="258">
        <v>1</v>
      </c>
      <c r="AP52" s="258"/>
      <c r="AQ52" s="258"/>
      <c r="AR52" s="265">
        <f>AM52*12.01+AN52*1.008+AO52*16+AP52*14+AQ52*32</f>
        <v>18.015999999999998</v>
      </c>
      <c r="AS52" s="259"/>
      <c r="AT52" s="258"/>
      <c r="AU52" s="258"/>
      <c r="AV52" s="258"/>
      <c r="AW52" s="258"/>
      <c r="AX52" s="258"/>
      <c r="AY52" s="258"/>
      <c r="AZ52" s="238"/>
      <c r="BA52" s="238"/>
      <c r="BB52" s="238"/>
      <c r="BC52" s="238"/>
      <c r="BD52" s="238"/>
      <c r="BE52" s="239" t="s">
        <v>661</v>
      </c>
      <c r="BF52" s="239">
        <v>0</v>
      </c>
      <c r="BG52" s="239">
        <v>0</v>
      </c>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row>
    <row r="53" spans="1:94" s="240" customFormat="1" ht="14.25" customHeight="1">
      <c r="A53" s="1391" t="s">
        <v>663</v>
      </c>
      <c r="B53" s="1392"/>
      <c r="C53" s="1392"/>
      <c r="D53" s="1392"/>
      <c r="E53" s="1393"/>
      <c r="F53" s="1394">
        <f>SUM(F32:F52)</f>
        <v>1</v>
      </c>
      <c r="G53" s="1395"/>
      <c r="H53" s="1371">
        <f>SUM(H32:H52)</f>
        <v>106.15116265245429</v>
      </c>
      <c r="I53" s="1373"/>
      <c r="J53" s="1396">
        <f>SUM(J32:J52)</f>
        <v>1011.0645501782819</v>
      </c>
      <c r="K53" s="1396"/>
      <c r="L53" s="1371">
        <f>SUM(L32:L52)</f>
        <v>0</v>
      </c>
      <c r="M53" s="1372"/>
      <c r="N53" s="1385">
        <f>SUM(N32:N52)</f>
        <v>30871.022084254029</v>
      </c>
      <c r="O53" s="1386"/>
      <c r="P53" s="1385">
        <f>SUM(P32:P52)</f>
        <v>1</v>
      </c>
      <c r="Q53" s="1386"/>
      <c r="R53" s="1371">
        <f>SUM(R32:R52)</f>
        <v>1117.4166151097725</v>
      </c>
      <c r="S53" s="1373"/>
      <c r="T53" s="1387">
        <f>SUM(T32:T52)</f>
        <v>30864.128277236963</v>
      </c>
      <c r="U53" s="1388"/>
      <c r="V53" s="275"/>
      <c r="W53" s="275"/>
      <c r="X53" s="30"/>
      <c r="Y53" s="30"/>
      <c r="Z53" s="276"/>
      <c r="AA53" s="276"/>
      <c r="AB53" s="30"/>
      <c r="AC53" s="30"/>
      <c r="AD53" s="277"/>
      <c r="AE53" s="277"/>
      <c r="AF53" s="263"/>
      <c r="AG53" s="263"/>
      <c r="AH53" s="30"/>
      <c r="AI53" s="30"/>
      <c r="AJ53" s="277"/>
      <c r="AK53" s="278"/>
      <c r="AL53" s="238"/>
      <c r="AM53" s="238"/>
      <c r="AN53" s="238"/>
      <c r="AO53" s="238"/>
      <c r="AP53" s="238"/>
      <c r="AQ53" s="238"/>
      <c r="AR53" s="238"/>
      <c r="AS53" s="238"/>
      <c r="AT53" s="238"/>
      <c r="AU53" s="238"/>
      <c r="AV53" s="238"/>
      <c r="AW53" s="238"/>
      <c r="AX53" s="238"/>
      <c r="AY53" s="238"/>
      <c r="AZ53" s="238"/>
      <c r="BA53" s="238"/>
      <c r="BB53" s="238"/>
      <c r="BC53" s="238"/>
      <c r="BD53" s="238"/>
      <c r="BE53" s="239" t="s">
        <v>662</v>
      </c>
      <c r="BF53" s="239">
        <v>0</v>
      </c>
      <c r="BG53" s="239">
        <v>0</v>
      </c>
      <c r="BH53" s="238"/>
      <c r="BI53" s="238"/>
      <c r="BJ53" s="238"/>
      <c r="BK53" s="238"/>
      <c r="BL53" s="238"/>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38"/>
      <c r="CN53" s="238"/>
      <c r="CO53" s="238"/>
      <c r="CP53" s="238"/>
    </row>
    <row r="54" spans="1:94" s="240" customFormat="1" ht="14.25" customHeight="1">
      <c r="A54" s="475" t="s">
        <v>665</v>
      </c>
      <c r="B54" s="476"/>
      <c r="C54" s="476"/>
      <c r="D54" s="476"/>
      <c r="E54" s="435"/>
      <c r="F54" s="435"/>
      <c r="G54" s="435"/>
      <c r="H54" s="435"/>
      <c r="I54" s="435"/>
      <c r="J54" s="435"/>
      <c r="K54" s="435"/>
      <c r="L54" s="1189" t="s">
        <v>666</v>
      </c>
      <c r="M54" s="1190"/>
      <c r="N54" s="477"/>
      <c r="O54" s="30" t="s">
        <v>617</v>
      </c>
      <c r="P54" s="1446" t="s">
        <v>332</v>
      </c>
      <c r="Q54" s="1446"/>
      <c r="T54" s="478"/>
      <c r="U54" s="478"/>
      <c r="V54" s="478"/>
      <c r="W54" s="478"/>
      <c r="X54" s="478"/>
      <c r="Y54" s="478"/>
      <c r="Z54" s="478"/>
      <c r="AA54" s="478"/>
      <c r="AB54" s="478"/>
      <c r="AC54" s="478"/>
      <c r="AD54" s="478"/>
      <c r="AE54" s="478"/>
      <c r="AF54" s="478"/>
      <c r="AG54" s="478"/>
      <c r="AH54" s="478"/>
      <c r="AI54" s="479"/>
      <c r="AJ54" s="479"/>
      <c r="AK54" s="480"/>
      <c r="AL54" s="481"/>
      <c r="AM54" s="238"/>
      <c r="AN54" s="238"/>
      <c r="AO54" s="238"/>
      <c r="AP54" s="238"/>
      <c r="AQ54" s="238"/>
      <c r="AR54" s="238"/>
      <c r="AS54" s="238"/>
      <c r="AT54" s="238"/>
      <c r="AU54" s="238"/>
      <c r="AV54" s="238"/>
      <c r="AW54" s="238"/>
      <c r="AX54" s="238"/>
      <c r="AY54" s="238"/>
      <c r="AZ54" s="238"/>
      <c r="BA54" s="238"/>
      <c r="BB54" s="238"/>
      <c r="BC54" s="238"/>
      <c r="BD54" s="238"/>
      <c r="BE54" s="239" t="s">
        <v>664</v>
      </c>
      <c r="BF54" s="239">
        <v>0</v>
      </c>
      <c r="BG54" s="239">
        <v>0</v>
      </c>
      <c r="BH54" s="238"/>
      <c r="BI54" s="238"/>
      <c r="BJ54" s="238"/>
      <c r="BK54" s="238"/>
      <c r="BL54" s="238"/>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38"/>
      <c r="CN54" s="238"/>
      <c r="CO54" s="238"/>
      <c r="CP54" s="238"/>
    </row>
    <row r="55" spans="1:94" s="240" customFormat="1" ht="14.25" customHeight="1">
      <c r="A55" s="273" t="s">
        <v>668</v>
      </c>
      <c r="B55" s="30"/>
      <c r="C55" s="30"/>
      <c r="D55" s="30"/>
      <c r="E55" s="30"/>
      <c r="F55" s="30"/>
      <c r="G55" s="30"/>
      <c r="H55" s="30"/>
      <c r="I55" s="30"/>
      <c r="J55" s="30"/>
      <c r="K55" s="30"/>
      <c r="L55" s="1185">
        <f>N55*1000/3600</f>
        <v>0.79376625802614142</v>
      </c>
      <c r="M55" s="1186"/>
      <c r="N55" s="1403">
        <f>W17*$X$25</f>
        <v>2.8575585288941094</v>
      </c>
      <c r="O55" s="1403"/>
      <c r="P55" s="1403">
        <f t="shared" ref="P55:P62" si="10">N55*365.25*24/1000</f>
        <v>25.049358064285762</v>
      </c>
      <c r="Q55" s="1403"/>
      <c r="T55" s="478"/>
      <c r="U55" s="478"/>
      <c r="V55" s="478"/>
      <c r="W55" s="478"/>
      <c r="X55" s="478"/>
      <c r="Y55" s="478"/>
      <c r="Z55" s="478"/>
      <c r="AA55" s="478"/>
      <c r="AB55" s="478"/>
      <c r="AC55" s="478"/>
      <c r="AD55" s="478"/>
      <c r="AE55" s="478"/>
      <c r="AF55" s="478"/>
      <c r="AG55" s="478"/>
      <c r="AH55" s="478"/>
      <c r="AI55" s="30"/>
      <c r="AJ55" s="30"/>
      <c r="AK55" s="253"/>
      <c r="AL55" s="238"/>
      <c r="AM55" s="238"/>
      <c r="AN55" s="238"/>
      <c r="AO55" s="482"/>
      <c r="AP55" s="238"/>
      <c r="AQ55" s="238"/>
      <c r="AR55" s="238"/>
      <c r="AS55" s="238"/>
      <c r="AT55" s="238"/>
      <c r="AU55" s="238"/>
      <c r="AV55" s="238"/>
      <c r="AW55" s="238"/>
      <c r="AX55" s="238"/>
      <c r="AY55" s="238"/>
      <c r="AZ55" s="238"/>
      <c r="BA55" s="238"/>
      <c r="BB55" s="238"/>
      <c r="BC55" s="238"/>
      <c r="BD55" s="238"/>
      <c r="BE55" s="239" t="s">
        <v>669</v>
      </c>
      <c r="BF55" s="239">
        <v>0</v>
      </c>
      <c r="BG55" s="239">
        <v>1.5800000000000002E-2</v>
      </c>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38"/>
      <c r="CN55" s="238"/>
      <c r="CO55" s="238"/>
      <c r="CP55" s="238"/>
    </row>
    <row r="56" spans="1:94" s="240" customFormat="1" ht="14.25" customHeight="1">
      <c r="A56" s="273" t="s">
        <v>670</v>
      </c>
      <c r="B56" s="30"/>
      <c r="C56" s="30"/>
      <c r="D56" s="30"/>
      <c r="E56" s="30"/>
      <c r="F56" s="30"/>
      <c r="G56" s="30"/>
      <c r="H56" s="30"/>
      <c r="I56" s="30"/>
      <c r="J56" s="30"/>
      <c r="K56" s="30"/>
      <c r="L56" s="1185">
        <f>N56*1000/3600</f>
        <v>4.3190222863187104</v>
      </c>
      <c r="M56" s="1186"/>
      <c r="N56" s="1403">
        <f>AC17*$X$25</f>
        <v>15.548480230747359</v>
      </c>
      <c r="O56" s="1403"/>
      <c r="P56" s="1403">
        <f t="shared" si="10"/>
        <v>136.29797770273132</v>
      </c>
      <c r="Q56" s="1403"/>
      <c r="T56" s="478"/>
      <c r="U56" s="478"/>
      <c r="V56" s="478"/>
      <c r="W56" s="478"/>
      <c r="X56" s="478"/>
      <c r="Y56" s="478"/>
      <c r="Z56" s="478"/>
      <c r="AA56" s="478"/>
      <c r="AB56" s="478"/>
      <c r="AC56" s="478"/>
      <c r="AD56" s="478"/>
      <c r="AE56" s="478"/>
      <c r="AF56" s="478"/>
      <c r="AG56" s="478"/>
      <c r="AH56" s="478"/>
      <c r="AI56" s="30"/>
      <c r="AJ56" s="30"/>
      <c r="AK56" s="253"/>
      <c r="AL56" s="238"/>
      <c r="AM56" s="238"/>
      <c r="AN56" s="238"/>
      <c r="AO56" s="482"/>
      <c r="AP56" s="238"/>
      <c r="AQ56" s="238"/>
      <c r="AR56" s="238"/>
      <c r="AS56" s="238"/>
      <c r="AT56" s="238"/>
      <c r="AU56" s="238"/>
      <c r="AV56" s="238"/>
      <c r="AW56" s="238"/>
      <c r="AX56" s="238"/>
      <c r="AY56" s="238"/>
      <c r="AZ56" s="238"/>
      <c r="BA56" s="238"/>
      <c r="BB56" s="238"/>
      <c r="BC56" s="238"/>
      <c r="BD56" s="238"/>
      <c r="BE56" s="239"/>
      <c r="BF56" s="239"/>
      <c r="BG56" s="239"/>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38"/>
      <c r="CN56" s="238"/>
      <c r="CO56" s="238"/>
      <c r="CP56" s="238"/>
    </row>
    <row r="57" spans="1:94" s="240" customFormat="1" ht="14.25" customHeight="1">
      <c r="A57" s="483" t="s">
        <v>748</v>
      </c>
      <c r="B57" s="484"/>
      <c r="C57" s="484"/>
      <c r="D57" s="484"/>
      <c r="E57" s="484"/>
      <c r="F57" s="484"/>
      <c r="G57" s="484"/>
      <c r="H57" s="484"/>
      <c r="I57" s="484"/>
      <c r="J57" s="484"/>
      <c r="K57" s="484"/>
      <c r="L57" s="1185">
        <f>N57*1000/3600</f>
        <v>2.7066572867703548E-2</v>
      </c>
      <c r="M57" s="1186"/>
      <c r="N57" s="1389">
        <f>AI17*X25</f>
        <v>9.7439662323732773E-2</v>
      </c>
      <c r="O57" s="1389"/>
      <c r="P57" s="1403">
        <f t="shared" si="10"/>
        <v>0.85415607992984155</v>
      </c>
      <c r="Q57" s="1403"/>
      <c r="T57" s="478"/>
      <c r="U57" s="478"/>
      <c r="V57" s="478"/>
      <c r="W57" s="478"/>
      <c r="X57" s="478"/>
      <c r="Y57" s="478"/>
      <c r="Z57" s="478"/>
      <c r="AA57" s="478"/>
      <c r="AB57" s="478"/>
      <c r="AC57" s="478"/>
      <c r="AD57" s="478"/>
      <c r="AE57" s="478"/>
      <c r="AF57" s="478"/>
      <c r="AG57" s="478"/>
      <c r="AH57" s="478"/>
      <c r="AI57" s="484"/>
      <c r="AJ57" s="485"/>
      <c r="AK57" s="486"/>
      <c r="AL57" s="238"/>
      <c r="AM57" s="238"/>
      <c r="AN57" s="281"/>
      <c r="AO57" s="238"/>
      <c r="AP57" s="238"/>
      <c r="AQ57" s="238"/>
      <c r="AR57" s="238"/>
      <c r="AS57" s="238"/>
      <c r="AT57" s="238"/>
      <c r="AU57" s="238"/>
      <c r="AV57" s="238"/>
      <c r="AW57" s="238"/>
      <c r="AX57" s="238"/>
      <c r="AY57" s="238"/>
      <c r="AZ57" s="238"/>
      <c r="BA57" s="238"/>
      <c r="BB57" s="238"/>
      <c r="BC57" s="238"/>
      <c r="BD57" s="238"/>
      <c r="BE57" s="239" t="s">
        <v>667</v>
      </c>
      <c r="BF57" s="239">
        <v>0</v>
      </c>
      <c r="BG57" s="239">
        <v>4.4999999999999997E-3</v>
      </c>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38"/>
      <c r="CN57" s="238"/>
      <c r="CO57" s="238"/>
      <c r="CP57" s="238"/>
    </row>
    <row r="58" spans="1:94" s="240" customFormat="1" ht="14.25" customHeight="1">
      <c r="A58" s="273" t="s">
        <v>672</v>
      </c>
      <c r="B58" s="30"/>
      <c r="C58" s="30"/>
      <c r="D58" s="30"/>
      <c r="E58" s="30"/>
      <c r="F58" s="30"/>
      <c r="G58" s="30"/>
      <c r="H58" s="30"/>
      <c r="I58" s="30"/>
      <c r="J58" s="30"/>
      <c r="K58" s="30"/>
      <c r="L58" s="1185">
        <f>N58*1000/3600</f>
        <v>1.6342246488773506</v>
      </c>
      <c r="M58" s="1186"/>
      <c r="N58" s="1407">
        <f>K22*$X$25</f>
        <v>5.8832087359584619</v>
      </c>
      <c r="O58" s="1407"/>
      <c r="P58" s="1403">
        <f t="shared" si="10"/>
        <v>51.572207779411876</v>
      </c>
      <c r="Q58" s="1403"/>
      <c r="T58" s="478"/>
      <c r="U58" s="478"/>
      <c r="V58" s="478"/>
      <c r="W58" s="478"/>
      <c r="X58" s="478"/>
      <c r="Y58" s="478"/>
      <c r="Z58" s="478"/>
      <c r="AA58" s="478"/>
      <c r="AB58" s="478"/>
      <c r="AC58" s="478"/>
      <c r="AD58" s="478"/>
      <c r="AE58" s="478"/>
      <c r="AF58" s="478"/>
      <c r="AG58" s="478"/>
      <c r="AH58" s="478"/>
      <c r="AI58" s="30"/>
      <c r="AJ58" s="30"/>
      <c r="AK58" s="253"/>
      <c r="AL58" s="238"/>
      <c r="AM58" s="238"/>
      <c r="AN58" s="238"/>
      <c r="AO58" s="482"/>
      <c r="AP58" s="238"/>
      <c r="AQ58" s="238"/>
      <c r="AR58" s="238"/>
      <c r="AS58" s="238"/>
      <c r="AT58" s="238"/>
      <c r="AU58" s="238"/>
      <c r="AV58" s="238"/>
      <c r="AW58" s="238"/>
      <c r="AX58" s="238"/>
      <c r="AY58" s="238"/>
      <c r="AZ58" s="238"/>
      <c r="BA58" s="238"/>
      <c r="BB58" s="238"/>
      <c r="BC58" s="238"/>
      <c r="BD58" s="238"/>
      <c r="BE58" s="239"/>
      <c r="BF58" s="239"/>
      <c r="BG58" s="239"/>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row>
    <row r="59" spans="1:94" s="240" customFormat="1" ht="14.25" customHeight="1">
      <c r="A59" s="273" t="s">
        <v>673</v>
      </c>
      <c r="B59" s="30"/>
      <c r="C59" s="30"/>
      <c r="D59" s="30"/>
      <c r="E59" s="30"/>
      <c r="F59" s="30"/>
      <c r="G59" s="30"/>
      <c r="H59" s="30"/>
      <c r="I59" s="30"/>
      <c r="J59" s="30"/>
      <c r="K59" s="30"/>
      <c r="L59" s="1187">
        <f>N59*1000/3600</f>
        <v>0</v>
      </c>
      <c r="M59" s="1408"/>
      <c r="N59" s="1409">
        <f>W22*$X$25</f>
        <v>0</v>
      </c>
      <c r="O59" s="1409"/>
      <c r="P59" s="1403">
        <f t="shared" si="10"/>
        <v>0</v>
      </c>
      <c r="Q59" s="1403"/>
      <c r="T59" s="478"/>
      <c r="U59" s="478"/>
      <c r="V59" s="478"/>
      <c r="W59" s="478"/>
      <c r="X59" s="478"/>
      <c r="Y59" s="478"/>
      <c r="Z59" s="478"/>
      <c r="AA59" s="478"/>
      <c r="AB59" s="478"/>
      <c r="AC59" s="478"/>
      <c r="AD59" s="478"/>
      <c r="AE59" s="478"/>
      <c r="AF59" s="478"/>
      <c r="AG59" s="478"/>
      <c r="AH59" s="478"/>
      <c r="AI59" s="30"/>
      <c r="AJ59" s="30"/>
      <c r="AK59" s="253"/>
      <c r="AL59" s="238"/>
      <c r="AM59" s="238"/>
      <c r="AN59" s="238"/>
      <c r="AO59" s="482"/>
      <c r="AP59" s="238"/>
      <c r="AQ59" s="238"/>
      <c r="AR59" s="238"/>
      <c r="AS59" s="238"/>
      <c r="AT59" s="238"/>
      <c r="AU59" s="238"/>
      <c r="AV59" s="238"/>
      <c r="AW59" s="238"/>
      <c r="AX59" s="238"/>
      <c r="AY59" s="238"/>
      <c r="AZ59" s="238"/>
      <c r="BA59" s="238"/>
      <c r="BB59" s="238"/>
      <c r="BC59" s="238"/>
      <c r="BD59" s="238"/>
      <c r="BE59" s="239"/>
      <c r="BF59" s="239"/>
      <c r="BG59" s="239"/>
      <c r="BH59" s="238"/>
      <c r="BI59" s="238"/>
      <c r="BJ59" s="238"/>
      <c r="BK59" s="238"/>
      <c r="BL59" s="238"/>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38"/>
      <c r="CN59" s="238"/>
      <c r="CO59" s="238"/>
      <c r="CP59" s="238"/>
    </row>
    <row r="60" spans="1:94" s="240" customFormat="1" ht="14.25" customHeight="1">
      <c r="A60" s="273" t="s">
        <v>675</v>
      </c>
      <c r="B60" s="30"/>
      <c r="C60" s="30"/>
      <c r="D60" s="30"/>
      <c r="E60" s="30"/>
      <c r="F60" s="30"/>
      <c r="G60" s="30"/>
      <c r="H60" s="30"/>
      <c r="I60" s="30"/>
      <c r="J60" s="30"/>
      <c r="K60" s="30"/>
      <c r="L60" s="1185">
        <f t="shared" ref="L60:L61" si="11">N60*1000/3600</f>
        <v>0</v>
      </c>
      <c r="M60" s="1186"/>
      <c r="N60" s="1185"/>
      <c r="O60" s="1186"/>
      <c r="P60" s="1403">
        <f t="shared" si="10"/>
        <v>0</v>
      </c>
      <c r="Q60" s="1403"/>
      <c r="T60" s="478"/>
      <c r="U60" s="478"/>
      <c r="V60" s="478"/>
      <c r="W60" s="478"/>
      <c r="X60" s="478"/>
      <c r="Y60" s="478"/>
      <c r="Z60" s="478"/>
      <c r="AA60" s="478"/>
      <c r="AB60" s="478"/>
      <c r="AC60" s="478"/>
      <c r="AD60" s="478"/>
      <c r="AE60" s="478"/>
      <c r="AF60" s="478"/>
      <c r="AG60" s="478"/>
      <c r="AH60" s="478"/>
      <c r="AI60" s="30"/>
      <c r="AJ60" s="30"/>
      <c r="AK60" s="253"/>
      <c r="AL60" s="238"/>
      <c r="AM60" s="238"/>
      <c r="AN60" s="238"/>
      <c r="AO60" s="482"/>
      <c r="AP60" s="238"/>
      <c r="AQ60" s="238"/>
      <c r="AR60" s="238"/>
      <c r="AS60" s="238"/>
      <c r="AT60" s="238"/>
      <c r="AU60" s="238"/>
      <c r="AV60" s="238"/>
      <c r="AW60" s="238"/>
      <c r="AX60" s="238"/>
      <c r="AY60" s="238"/>
      <c r="AZ60" s="238"/>
      <c r="BA60" s="238"/>
      <c r="BB60" s="238"/>
      <c r="BC60" s="238"/>
      <c r="BD60" s="238"/>
      <c r="BE60" s="239"/>
      <c r="BF60" s="239"/>
      <c r="BG60" s="239"/>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row>
    <row r="61" spans="1:94" s="240" customFormat="1" ht="14.25" customHeight="1">
      <c r="A61" s="273" t="s">
        <v>676</v>
      </c>
      <c r="B61" s="30"/>
      <c r="C61" s="30"/>
      <c r="D61" s="30"/>
      <c r="E61" s="30"/>
      <c r="F61" s="30"/>
      <c r="G61" s="30"/>
      <c r="H61" s="30"/>
      <c r="I61" s="30"/>
      <c r="J61" s="30"/>
      <c r="K61" s="30"/>
      <c r="L61" s="1185">
        <f t="shared" si="11"/>
        <v>0</v>
      </c>
      <c r="M61" s="1186"/>
      <c r="N61" s="1185"/>
      <c r="O61" s="1186"/>
      <c r="P61" s="1403">
        <f t="shared" si="10"/>
        <v>0</v>
      </c>
      <c r="Q61" s="1403"/>
      <c r="T61" s="478"/>
      <c r="U61" s="478"/>
      <c r="V61" s="478"/>
      <c r="W61" s="478"/>
      <c r="X61" s="478"/>
      <c r="Y61" s="478"/>
      <c r="Z61" s="478"/>
      <c r="AA61" s="478"/>
      <c r="AB61" s="478"/>
      <c r="AC61" s="478"/>
      <c r="AD61" s="478"/>
      <c r="AE61" s="478"/>
      <c r="AF61" s="478"/>
      <c r="AG61" s="478"/>
      <c r="AH61" s="478"/>
      <c r="AI61" s="30"/>
      <c r="AJ61" s="30"/>
      <c r="AK61" s="253"/>
      <c r="AL61" s="238"/>
      <c r="AM61" s="238"/>
      <c r="AN61" s="238"/>
      <c r="AO61" s="281"/>
      <c r="AP61" s="238"/>
      <c r="AQ61" s="238"/>
      <c r="AR61" s="238"/>
      <c r="AS61" s="238"/>
      <c r="AT61" s="238"/>
      <c r="AU61" s="238"/>
      <c r="AV61" s="238"/>
      <c r="AW61" s="238"/>
      <c r="AX61" s="238"/>
      <c r="AY61" s="238"/>
      <c r="AZ61" s="238"/>
      <c r="BA61" s="238"/>
      <c r="BB61" s="238"/>
      <c r="BC61" s="238"/>
      <c r="BD61" s="238"/>
      <c r="BE61" s="239"/>
      <c r="BF61" s="239"/>
      <c r="BG61" s="239"/>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row>
    <row r="62" spans="1:94" s="240" customFormat="1" ht="14.25" customHeight="1">
      <c r="A62" s="273" t="s">
        <v>677</v>
      </c>
      <c r="B62" s="30"/>
      <c r="C62" s="30"/>
      <c r="D62" s="30"/>
      <c r="E62" s="30"/>
      <c r="F62" s="30"/>
      <c r="G62" s="30"/>
      <c r="H62" s="30"/>
      <c r="I62" s="30"/>
      <c r="J62" s="30"/>
      <c r="K62" s="30"/>
      <c r="L62" s="1185">
        <f>N62*1000/3600</f>
        <v>1298.9800397498634</v>
      </c>
      <c r="M62" s="1186"/>
      <c r="N62" s="1185">
        <f>X25*CO2eEF!I28</f>
        <v>4676.3281430995085</v>
      </c>
      <c r="O62" s="1186"/>
      <c r="P62" s="1560">
        <f t="shared" si="10"/>
        <v>40992.692502410289</v>
      </c>
      <c r="Q62" s="1560"/>
      <c r="T62" s="478"/>
      <c r="U62" s="478"/>
      <c r="V62" s="478"/>
      <c r="W62" s="478"/>
      <c r="X62" s="478"/>
      <c r="Y62" s="478"/>
      <c r="Z62" s="478"/>
      <c r="AA62" s="478"/>
      <c r="AB62" s="478"/>
      <c r="AC62" s="478"/>
      <c r="AD62" s="478"/>
      <c r="AE62" s="478"/>
      <c r="AF62" s="478"/>
      <c r="AG62" s="478"/>
      <c r="AH62" s="478"/>
      <c r="AI62" s="30"/>
      <c r="AJ62" s="30"/>
      <c r="AK62" s="253"/>
      <c r="AL62" s="238"/>
      <c r="AM62" s="238"/>
      <c r="AN62" s="238"/>
      <c r="AO62" s="281"/>
      <c r="AP62" s="238"/>
      <c r="AQ62" s="238"/>
      <c r="AR62" s="238"/>
      <c r="AS62" s="238"/>
      <c r="AT62" s="238"/>
      <c r="AU62" s="238"/>
      <c r="AV62" s="238"/>
      <c r="AW62" s="238"/>
      <c r="AX62" s="238"/>
      <c r="AY62" s="238"/>
      <c r="AZ62" s="238"/>
      <c r="BA62" s="238"/>
      <c r="BB62" s="238"/>
      <c r="BC62" s="238"/>
      <c r="BD62" s="238"/>
      <c r="BE62" s="239"/>
      <c r="BF62" s="239"/>
      <c r="BG62" s="239"/>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row>
    <row r="63" spans="1:94" s="240" customFormat="1" ht="14.25" customHeight="1">
      <c r="A63" s="279" t="s">
        <v>749</v>
      </c>
      <c r="B63" s="132"/>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c r="AJ63" s="132"/>
      <c r="AK63" s="280"/>
      <c r="AL63" s="238"/>
      <c r="AM63" s="238"/>
      <c r="AN63" s="238"/>
      <c r="AO63" s="281"/>
      <c r="AP63" s="238"/>
      <c r="AQ63" s="238"/>
      <c r="AR63" s="238"/>
      <c r="AS63" s="238"/>
      <c r="AT63" s="238"/>
      <c r="AU63" s="238"/>
      <c r="AV63" s="238"/>
      <c r="AW63" s="238"/>
      <c r="AX63" s="238"/>
      <c r="AY63" s="238"/>
      <c r="AZ63" s="238"/>
      <c r="BA63" s="238"/>
      <c r="BB63" s="238"/>
      <c r="BC63" s="238"/>
      <c r="BD63" s="238"/>
      <c r="BE63" s="239"/>
      <c r="BF63" s="239"/>
      <c r="BG63" s="239"/>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row>
    <row r="64" spans="1:94" s="240" customFormat="1" ht="14.25" customHeight="1">
      <c r="A64" s="282" t="s">
        <v>31</v>
      </c>
      <c r="B64" s="30" t="s">
        <v>750</v>
      </c>
      <c r="C64" s="30"/>
      <c r="D64" s="30"/>
      <c r="E64" s="30"/>
      <c r="F64" s="30"/>
      <c r="G64" s="30"/>
      <c r="H64" s="30"/>
      <c r="I64" s="30"/>
      <c r="J64" s="30"/>
      <c r="K64" s="30"/>
      <c r="L64" s="30"/>
      <c r="M64" s="30"/>
      <c r="N64" s="283"/>
      <c r="O64" s="283"/>
      <c r="P64" s="283"/>
      <c r="Q64" s="30"/>
      <c r="R64" s="30"/>
      <c r="S64" s="30"/>
      <c r="T64" s="30"/>
      <c r="U64" s="30"/>
      <c r="V64" s="30"/>
      <c r="W64" s="30"/>
      <c r="X64" s="30"/>
      <c r="Y64" s="30"/>
      <c r="Z64" s="30"/>
      <c r="AA64" s="30"/>
      <c r="AB64" s="30"/>
      <c r="AC64" s="30"/>
      <c r="AD64" s="30"/>
      <c r="AE64" s="30"/>
      <c r="AF64" s="30"/>
      <c r="AG64" s="30"/>
      <c r="AH64" s="30"/>
      <c r="AI64" s="30"/>
      <c r="AJ64" s="30"/>
      <c r="AK64" s="253"/>
      <c r="AL64" s="238"/>
      <c r="AM64" s="238"/>
      <c r="AN64" s="238"/>
      <c r="AO64" s="238"/>
      <c r="AP64" s="238"/>
      <c r="AQ64" s="238"/>
      <c r="AR64" s="238"/>
      <c r="AS64" s="238"/>
      <c r="AT64" s="238"/>
      <c r="AU64" s="238"/>
      <c r="AV64" s="238"/>
      <c r="AW64" s="238"/>
      <c r="AX64" s="238"/>
      <c r="AY64" s="238"/>
      <c r="AZ64" s="238"/>
      <c r="BA64" s="238"/>
      <c r="BB64" s="238"/>
      <c r="BC64" s="238"/>
      <c r="BD64" s="238"/>
      <c r="BE64" s="239" t="s">
        <v>679</v>
      </c>
      <c r="BF64" s="239">
        <v>0</v>
      </c>
      <c r="BG64" s="239">
        <v>0</v>
      </c>
      <c r="BH64" s="238"/>
      <c r="BI64" s="238"/>
      <c r="BJ64" s="238"/>
      <c r="BK64" s="238"/>
      <c r="BL64" s="238"/>
      <c r="BM64" s="238"/>
      <c r="BN64" s="238"/>
      <c r="BO64" s="238"/>
      <c r="BP64" s="238"/>
      <c r="BQ64" s="238"/>
      <c r="BR64" s="238"/>
      <c r="BS64" s="238"/>
      <c r="BT64" s="238"/>
      <c r="BU64" s="238"/>
      <c r="BV64" s="238"/>
      <c r="BW64" s="238"/>
      <c r="BX64" s="238"/>
      <c r="BY64" s="238"/>
      <c r="BZ64" s="238"/>
      <c r="CA64" s="238"/>
      <c r="CB64" s="238"/>
      <c r="CC64" s="238"/>
      <c r="CD64" s="238"/>
      <c r="CE64" s="238"/>
      <c r="CF64" s="238"/>
      <c r="CG64" s="238"/>
      <c r="CH64" s="238"/>
      <c r="CI64" s="238"/>
      <c r="CJ64" s="238"/>
      <c r="CK64" s="238"/>
      <c r="CL64" s="238"/>
      <c r="CM64" s="238"/>
      <c r="CN64" s="238"/>
      <c r="CO64" s="238"/>
      <c r="CP64" s="238"/>
    </row>
    <row r="65" spans="1:94" ht="14.25" customHeight="1">
      <c r="A65" s="282" t="s">
        <v>33</v>
      </c>
      <c r="B65" s="31" t="s">
        <v>751</v>
      </c>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6"/>
      <c r="AL65" s="243"/>
      <c r="AM65" s="243"/>
      <c r="AN65" s="243"/>
      <c r="AO65" s="243"/>
      <c r="AP65" s="243"/>
      <c r="AQ65" s="243"/>
      <c r="AR65" s="243"/>
      <c r="AS65" s="243"/>
      <c r="AT65" s="243"/>
      <c r="AU65" s="243"/>
      <c r="AV65" s="243"/>
      <c r="AW65" s="243"/>
      <c r="AX65" s="243"/>
      <c r="AY65" s="243"/>
      <c r="AZ65" s="243"/>
      <c r="BA65" s="243"/>
      <c r="BB65" s="243"/>
      <c r="BC65" s="243"/>
      <c r="BD65" s="243"/>
      <c r="BE65" s="246" t="s">
        <v>681</v>
      </c>
      <c r="BF65" s="246">
        <v>0</v>
      </c>
      <c r="BG65" s="246">
        <v>0</v>
      </c>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c r="CM65" s="243"/>
      <c r="CN65" s="243"/>
      <c r="CO65" s="243"/>
      <c r="CP65" s="243"/>
    </row>
    <row r="66" spans="1:94" ht="14.25" customHeight="1">
      <c r="A66" s="282" t="s">
        <v>752</v>
      </c>
      <c r="B66" s="30" t="s">
        <v>753</v>
      </c>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6"/>
      <c r="AL66" s="243"/>
      <c r="AM66" s="243"/>
      <c r="AN66" s="243"/>
      <c r="AO66" s="243"/>
      <c r="AP66" s="243"/>
      <c r="AQ66" s="243"/>
      <c r="AR66" s="243"/>
      <c r="AS66" s="243"/>
      <c r="AT66" s="243"/>
      <c r="AU66" s="243"/>
      <c r="AV66" s="243"/>
      <c r="AW66" s="243"/>
      <c r="AX66" s="243"/>
      <c r="AY66" s="243"/>
      <c r="AZ66" s="243"/>
      <c r="BA66" s="243"/>
      <c r="BB66" s="243"/>
      <c r="BC66" s="243"/>
      <c r="BD66" s="243"/>
      <c r="BE66" s="246" t="s">
        <v>684</v>
      </c>
      <c r="BF66" s="246">
        <v>0</v>
      </c>
      <c r="BG66" s="246">
        <v>0</v>
      </c>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row>
    <row r="67" spans="1:94" ht="14.25" customHeight="1">
      <c r="A67" s="282" t="s">
        <v>38</v>
      </c>
      <c r="B67" s="31" t="s">
        <v>725</v>
      </c>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6"/>
      <c r="AL67" s="243"/>
      <c r="AM67" s="243"/>
      <c r="AN67" s="243"/>
      <c r="AO67" s="243"/>
      <c r="AP67" s="243"/>
      <c r="AQ67" s="243"/>
      <c r="AR67" s="243"/>
      <c r="AS67" s="243"/>
      <c r="AT67" s="243"/>
      <c r="AU67" s="243"/>
      <c r="AV67" s="243"/>
      <c r="AW67" s="243"/>
      <c r="AX67" s="243"/>
      <c r="AY67" s="243"/>
      <c r="AZ67" s="243"/>
      <c r="BA67" s="243"/>
      <c r="BB67" s="243"/>
      <c r="BC67" s="243"/>
      <c r="BD67" s="243"/>
      <c r="BE67" s="246"/>
      <c r="BF67" s="246"/>
      <c r="BG67" s="246"/>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c r="CM67" s="243"/>
      <c r="CN67" s="243"/>
      <c r="CO67" s="243"/>
      <c r="CP67" s="243"/>
    </row>
    <row r="68" spans="1:94" ht="13.15" customHeight="1">
      <c r="A68" s="282" t="s">
        <v>41</v>
      </c>
      <c r="B68" s="284" t="s">
        <v>726</v>
      </c>
      <c r="C68" s="487"/>
      <c r="D68" s="487"/>
      <c r="E68" s="487"/>
      <c r="F68" s="487"/>
      <c r="G68" s="487"/>
      <c r="H68" s="487"/>
      <c r="I68" s="487"/>
      <c r="J68" s="487"/>
      <c r="K68" s="487"/>
      <c r="L68" s="487"/>
      <c r="M68" s="487"/>
      <c r="N68" s="487"/>
      <c r="O68" s="487"/>
      <c r="P68" s="487"/>
      <c r="Q68" s="487"/>
      <c r="R68" s="487"/>
      <c r="S68" s="487"/>
      <c r="T68" s="487"/>
      <c r="U68" s="487"/>
      <c r="V68" s="487"/>
      <c r="W68" s="487"/>
      <c r="X68" s="487"/>
      <c r="Y68" s="487"/>
      <c r="Z68" s="487"/>
      <c r="AA68" s="487"/>
      <c r="AB68" s="487"/>
      <c r="AC68" s="487"/>
      <c r="AD68" s="487"/>
      <c r="AE68" s="487"/>
      <c r="AF68" s="487"/>
      <c r="AG68" s="487"/>
      <c r="AH68" s="487"/>
      <c r="AI68" s="487"/>
      <c r="AJ68" s="487"/>
      <c r="AK68" s="488"/>
      <c r="AL68" s="243"/>
      <c r="AM68" s="243"/>
      <c r="AN68" s="243"/>
      <c r="AO68" s="243"/>
      <c r="AP68" s="243"/>
      <c r="AQ68" s="243"/>
      <c r="AR68" s="243"/>
      <c r="AS68" s="243"/>
      <c r="AT68" s="243"/>
      <c r="AU68" s="243"/>
      <c r="AV68" s="243"/>
      <c r="AW68" s="243"/>
      <c r="AX68" s="243"/>
      <c r="AY68" s="243"/>
      <c r="AZ68" s="243"/>
      <c r="BA68" s="243"/>
      <c r="BB68" s="243"/>
      <c r="BC68" s="243"/>
      <c r="BD68" s="243"/>
      <c r="BE68" s="246" t="s">
        <v>686</v>
      </c>
      <c r="BF68" s="246">
        <v>0</v>
      </c>
      <c r="BG68" s="246">
        <v>0</v>
      </c>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c r="CM68" s="243"/>
      <c r="CN68" s="243"/>
      <c r="CO68" s="243"/>
      <c r="CP68" s="243"/>
    </row>
    <row r="69" spans="1:94">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9"/>
      <c r="AL69" s="289"/>
      <c r="AM69" s="289"/>
      <c r="AN69" s="289"/>
      <c r="AO69" s="289"/>
      <c r="AP69" s="289"/>
      <c r="AQ69" s="289"/>
      <c r="AR69" s="243"/>
      <c r="AS69" s="243"/>
      <c r="AT69" s="243"/>
      <c r="AU69" s="243"/>
      <c r="AV69" s="243"/>
      <c r="AW69" s="243"/>
      <c r="AX69" s="243"/>
      <c r="AY69" s="243"/>
      <c r="AZ69" s="243"/>
      <c r="BA69" s="243"/>
      <c r="BB69" s="243"/>
      <c r="BC69" s="243"/>
      <c r="BD69" s="243"/>
      <c r="BE69" s="246" t="s">
        <v>690</v>
      </c>
      <c r="BF69" s="246">
        <v>2.9999999999999997E-4</v>
      </c>
      <c r="BG69" s="246">
        <v>0</v>
      </c>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row>
    <row r="70" spans="1:94">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9"/>
      <c r="AL70" s="289"/>
      <c r="AM70" s="289"/>
      <c r="AN70" s="289"/>
      <c r="AO70" s="289"/>
      <c r="AP70" s="289"/>
      <c r="AQ70" s="289"/>
      <c r="AR70" s="243"/>
      <c r="AS70" s="243"/>
      <c r="AT70" s="243"/>
      <c r="AU70" s="243"/>
      <c r="AV70" s="243"/>
      <c r="AW70" s="243"/>
      <c r="AX70" s="243"/>
      <c r="AY70" s="243"/>
      <c r="AZ70" s="243"/>
      <c r="BA70" s="243"/>
      <c r="BB70" s="243"/>
      <c r="BC70" s="243"/>
      <c r="BD70" s="243"/>
      <c r="BE70" s="246" t="s">
        <v>691</v>
      </c>
      <c r="BF70" s="246">
        <v>0</v>
      </c>
      <c r="BG70" s="246">
        <v>0</v>
      </c>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row>
    <row r="71" spans="1:94">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9"/>
      <c r="AL71" s="289"/>
      <c r="AM71" s="289"/>
      <c r="AN71" s="289"/>
      <c r="AO71" s="289"/>
      <c r="AP71" s="289"/>
      <c r="AQ71" s="289"/>
      <c r="AR71" s="243"/>
      <c r="AS71" s="243"/>
      <c r="AT71" s="243"/>
      <c r="AU71" s="243"/>
      <c r="AV71" s="243"/>
      <c r="AW71" s="243"/>
      <c r="AX71" s="243"/>
      <c r="AY71" s="243"/>
      <c r="AZ71" s="243"/>
      <c r="BA71" s="243"/>
      <c r="BB71" s="243"/>
      <c r="BC71" s="243"/>
      <c r="BD71" s="243"/>
      <c r="BE71" s="246" t="s">
        <v>692</v>
      </c>
      <c r="BF71" s="246">
        <v>0</v>
      </c>
      <c r="BG71" s="246">
        <v>0</v>
      </c>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row>
    <row r="72" spans="1:94">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9"/>
      <c r="AL72" s="289"/>
      <c r="AM72" s="289"/>
      <c r="AN72" s="289"/>
      <c r="AO72" s="289"/>
      <c r="AP72" s="289"/>
      <c r="AQ72" s="289"/>
      <c r="AR72" s="243"/>
      <c r="AS72" s="243"/>
      <c r="AT72" s="243"/>
      <c r="AU72" s="243"/>
      <c r="AV72" s="243"/>
      <c r="AW72" s="243"/>
      <c r="AX72" s="243"/>
      <c r="AY72" s="243"/>
      <c r="AZ72" s="243"/>
      <c r="BA72" s="243"/>
      <c r="BB72" s="243"/>
      <c r="BC72" s="243"/>
      <c r="BD72" s="243"/>
      <c r="BE72" s="246" t="s">
        <v>693</v>
      </c>
      <c r="BF72" s="246">
        <v>0</v>
      </c>
      <c r="BG72" s="246">
        <v>0</v>
      </c>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row>
    <row r="73" spans="1:94">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9"/>
      <c r="AL73" s="289"/>
      <c r="AM73" s="289"/>
      <c r="AN73" s="289"/>
      <c r="AO73" s="289"/>
      <c r="AP73" s="289"/>
      <c r="AQ73" s="289"/>
      <c r="AR73" s="243"/>
      <c r="AS73" s="243"/>
      <c r="AT73" s="243"/>
      <c r="AU73" s="243"/>
      <c r="AV73" s="243"/>
      <c r="AW73" s="243"/>
      <c r="AX73" s="243"/>
      <c r="AY73" s="243"/>
      <c r="AZ73" s="243"/>
      <c r="BA73" s="243"/>
      <c r="BB73" s="243"/>
      <c r="BC73" s="243"/>
      <c r="BD73" s="243"/>
      <c r="BE73" s="246" t="s">
        <v>694</v>
      </c>
      <c r="BF73" s="246">
        <v>0</v>
      </c>
      <c r="BG73" s="246">
        <v>0</v>
      </c>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243"/>
      <c r="CO73" s="243"/>
      <c r="CP73" s="243"/>
    </row>
    <row r="74" spans="1:94">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9"/>
      <c r="AL74" s="289"/>
      <c r="AM74" s="289"/>
      <c r="AN74" s="289"/>
      <c r="AO74" s="289"/>
      <c r="AP74" s="289"/>
      <c r="AQ74" s="289"/>
      <c r="AR74" s="243"/>
      <c r="AS74" s="243"/>
      <c r="AT74" s="243"/>
      <c r="AU74" s="243"/>
      <c r="AV74" s="243"/>
      <c r="AW74" s="243"/>
      <c r="AX74" s="243"/>
      <c r="AY74" s="243"/>
      <c r="AZ74" s="243"/>
      <c r="BA74" s="243"/>
      <c r="BB74" s="243"/>
      <c r="BC74" s="243"/>
      <c r="BD74" s="243"/>
      <c r="BE74" s="246" t="s">
        <v>695</v>
      </c>
      <c r="BF74" s="246">
        <v>0</v>
      </c>
      <c r="BG74" s="246">
        <v>0</v>
      </c>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row>
    <row r="75" spans="1:94">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9"/>
      <c r="AL75" s="289"/>
      <c r="AM75" s="289"/>
      <c r="AN75" s="289"/>
      <c r="AO75" s="289"/>
      <c r="AP75" s="289"/>
      <c r="AQ75" s="289"/>
      <c r="AR75" s="243"/>
      <c r="AS75" s="243"/>
      <c r="AT75" s="243"/>
      <c r="AU75" s="243"/>
      <c r="AV75" s="243"/>
      <c r="AW75" s="243"/>
      <c r="AX75" s="243"/>
      <c r="AY75" s="243"/>
      <c r="AZ75" s="243"/>
      <c r="BA75" s="243"/>
      <c r="BB75" s="243"/>
      <c r="BC75" s="243"/>
      <c r="BD75" s="243"/>
      <c r="BE75" s="246" t="s">
        <v>696</v>
      </c>
      <c r="BF75" s="246">
        <v>0</v>
      </c>
      <c r="BG75" s="246">
        <v>0</v>
      </c>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row>
    <row r="76" spans="1:94">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8"/>
      <c r="AH76" s="288"/>
      <c r="AI76" s="288"/>
      <c r="AJ76" s="288"/>
      <c r="AK76" s="289"/>
      <c r="AL76" s="289"/>
      <c r="AM76" s="289"/>
      <c r="AN76" s="289"/>
      <c r="AO76" s="289"/>
      <c r="AP76" s="289"/>
      <c r="AQ76" s="289"/>
      <c r="AR76" s="243"/>
      <c r="AS76" s="243"/>
      <c r="AT76" s="243"/>
      <c r="AU76" s="243"/>
      <c r="AV76" s="243"/>
      <c r="AW76" s="243"/>
      <c r="AX76" s="243"/>
      <c r="AY76" s="243"/>
      <c r="AZ76" s="243"/>
      <c r="BA76" s="243"/>
      <c r="BB76" s="243"/>
      <c r="BC76" s="243"/>
      <c r="BD76" s="243"/>
      <c r="BE76" s="246" t="s">
        <v>697</v>
      </c>
      <c r="BF76" s="246">
        <v>0</v>
      </c>
      <c r="BG76" s="246">
        <v>0</v>
      </c>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c r="CM76" s="243"/>
      <c r="CN76" s="243"/>
      <c r="CO76" s="243"/>
      <c r="CP76" s="243"/>
    </row>
    <row r="77" spans="1:94" s="290" customForma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9"/>
      <c r="AL77" s="289"/>
      <c r="AM77" s="289"/>
      <c r="AN77" s="289"/>
      <c r="AO77" s="289"/>
      <c r="AP77" s="289"/>
      <c r="AQ77" s="289"/>
      <c r="AR77" s="243"/>
      <c r="AS77" s="243"/>
      <c r="AT77" s="243"/>
      <c r="AU77" s="243"/>
      <c r="AV77" s="243"/>
      <c r="AW77" s="243"/>
      <c r="AX77" s="243"/>
      <c r="AY77" s="243"/>
      <c r="AZ77" s="243"/>
      <c r="BA77" s="243"/>
      <c r="BB77" s="243"/>
      <c r="BC77" s="243"/>
      <c r="BD77" s="243"/>
      <c r="BE77" s="246" t="s">
        <v>431</v>
      </c>
      <c r="BF77" s="246">
        <v>1E-4</v>
      </c>
      <c r="BG77" s="246">
        <v>0.17530000000000001</v>
      </c>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c r="CM77" s="243"/>
      <c r="CN77" s="243"/>
      <c r="CO77" s="243"/>
      <c r="CP77" s="243"/>
    </row>
    <row r="78" spans="1:94" s="290" customForma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9"/>
      <c r="AL78" s="289"/>
      <c r="AM78" s="289"/>
      <c r="AN78" s="289"/>
      <c r="AO78" s="289"/>
      <c r="AP78" s="289"/>
      <c r="AQ78" s="289"/>
      <c r="AR78" s="243"/>
      <c r="AS78" s="243"/>
      <c r="AT78" s="243"/>
      <c r="AU78" s="243"/>
      <c r="AV78" s="243"/>
      <c r="AW78" s="243"/>
      <c r="AX78" s="243"/>
      <c r="AY78" s="243"/>
      <c r="AZ78" s="243"/>
      <c r="BA78" s="243"/>
      <c r="BB78" s="243"/>
      <c r="BC78" s="243"/>
      <c r="BD78" s="243"/>
      <c r="BE78" s="243"/>
      <c r="BF78" s="246"/>
      <c r="BG78" s="246"/>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c r="CM78" s="243"/>
      <c r="CN78" s="243"/>
      <c r="CO78" s="243"/>
      <c r="CP78" s="243"/>
    </row>
    <row r="79" spans="1:94" s="290" customForma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9"/>
      <c r="AL79" s="289"/>
      <c r="AM79" s="289"/>
      <c r="AN79" s="289"/>
      <c r="AO79" s="289"/>
      <c r="AP79" s="289"/>
      <c r="AQ79" s="289"/>
      <c r="AR79" s="243"/>
      <c r="AS79" s="243"/>
      <c r="AT79" s="243"/>
      <c r="AU79" s="243"/>
      <c r="AV79" s="243"/>
      <c r="AW79" s="243"/>
      <c r="AX79" s="243"/>
      <c r="AY79" s="243"/>
      <c r="AZ79" s="243"/>
      <c r="BA79" s="243"/>
      <c r="BB79" s="243"/>
      <c r="BC79" s="243"/>
      <c r="BD79" s="243"/>
      <c r="BE79" s="243"/>
      <c r="BF79" s="246"/>
      <c r="BG79" s="246"/>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c r="CM79" s="243"/>
      <c r="CN79" s="243"/>
      <c r="CO79" s="243"/>
      <c r="CP79" s="243"/>
    </row>
    <row r="80" spans="1:94" s="290" customForma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9"/>
      <c r="AL80" s="289"/>
      <c r="AM80" s="289"/>
      <c r="AN80" s="289"/>
      <c r="AO80" s="289"/>
      <c r="AP80" s="289"/>
      <c r="AQ80" s="289"/>
      <c r="AR80" s="243"/>
      <c r="AS80" s="243"/>
      <c r="AT80" s="243"/>
      <c r="AU80" s="243"/>
      <c r="AV80" s="243"/>
      <c r="AW80" s="243"/>
      <c r="AX80" s="243"/>
      <c r="AY80" s="243"/>
      <c r="AZ80" s="243"/>
      <c r="BA80" s="243"/>
      <c r="BB80" s="243"/>
      <c r="BC80" s="243"/>
      <c r="BD80" s="243"/>
      <c r="BE80" s="243"/>
      <c r="BF80" s="246"/>
      <c r="BG80" s="246"/>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c r="CM80" s="243"/>
      <c r="CN80" s="243"/>
      <c r="CO80" s="243"/>
      <c r="CP80" s="243"/>
    </row>
    <row r="81" spans="1:94" s="290" customForma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9"/>
      <c r="AL81" s="289"/>
      <c r="AM81" s="289"/>
      <c r="AN81" s="289"/>
      <c r="AO81" s="289"/>
      <c r="AP81" s="289"/>
      <c r="AQ81" s="289"/>
      <c r="AR81" s="243"/>
      <c r="AS81" s="243"/>
      <c r="AT81" s="243"/>
      <c r="AU81" s="243"/>
      <c r="AV81" s="243"/>
      <c r="AW81" s="243"/>
      <c r="AX81" s="243"/>
      <c r="AY81" s="243"/>
      <c r="AZ81" s="243"/>
      <c r="BA81" s="243"/>
      <c r="BB81" s="243"/>
      <c r="BC81" s="243"/>
      <c r="BD81" s="243"/>
      <c r="BE81" s="243"/>
      <c r="BF81" s="246"/>
      <c r="BG81" s="246"/>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c r="CM81" s="243"/>
      <c r="CN81" s="243"/>
      <c r="CO81" s="243"/>
      <c r="CP81" s="243"/>
    </row>
    <row r="82" spans="1:94" s="290" customForma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9"/>
      <c r="AL82" s="289"/>
      <c r="AM82" s="289"/>
      <c r="AN82" s="289"/>
      <c r="AO82" s="289"/>
      <c r="AP82" s="289"/>
      <c r="AQ82" s="289"/>
      <c r="AR82" s="243"/>
      <c r="AS82" s="243"/>
      <c r="AT82" s="243"/>
      <c r="AU82" s="243"/>
      <c r="AV82" s="243"/>
      <c r="AW82" s="243"/>
      <c r="AX82" s="243"/>
      <c r="AY82" s="243"/>
      <c r="AZ82" s="243"/>
      <c r="BA82" s="243"/>
      <c r="BB82" s="243"/>
      <c r="BC82" s="243"/>
      <c r="BD82" s="243"/>
      <c r="BE82" s="243"/>
      <c r="BF82" s="246"/>
      <c r="BG82" s="246"/>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c r="CM82" s="243"/>
      <c r="CN82" s="243"/>
      <c r="CO82" s="243"/>
      <c r="CP82" s="243"/>
    </row>
    <row r="83" spans="1:94" s="290" customForma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9"/>
      <c r="AL83" s="289"/>
      <c r="AM83" s="289"/>
      <c r="AN83" s="289"/>
      <c r="AO83" s="289"/>
      <c r="AP83" s="289"/>
      <c r="AQ83" s="289"/>
      <c r="AR83" s="243"/>
      <c r="AS83" s="243"/>
      <c r="AT83" s="243"/>
      <c r="AU83" s="243"/>
      <c r="AV83" s="243"/>
      <c r="AW83" s="243"/>
      <c r="AX83" s="243"/>
      <c r="AY83" s="243"/>
      <c r="AZ83" s="243"/>
      <c r="BA83" s="243"/>
      <c r="BB83" s="243"/>
      <c r="BC83" s="243"/>
      <c r="BD83" s="243"/>
      <c r="BE83" s="243"/>
      <c r="BF83" s="246"/>
      <c r="BG83" s="246"/>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c r="CM83" s="243"/>
      <c r="CN83" s="243"/>
      <c r="CO83" s="243"/>
      <c r="CP83" s="243"/>
    </row>
    <row r="84" spans="1:94" s="290" customForma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9"/>
      <c r="AL84" s="289"/>
      <c r="AM84" s="289"/>
      <c r="AN84" s="289"/>
      <c r="AO84" s="289"/>
      <c r="AP84" s="289"/>
      <c r="AQ84" s="289"/>
      <c r="AR84" s="243"/>
      <c r="AS84" s="243"/>
      <c r="AT84" s="243"/>
      <c r="AU84" s="243"/>
      <c r="AV84" s="243"/>
      <c r="AW84" s="243"/>
      <c r="AX84" s="243"/>
      <c r="AY84" s="243"/>
      <c r="AZ84" s="243"/>
      <c r="BA84" s="243"/>
      <c r="BB84" s="243"/>
      <c r="BC84" s="243"/>
      <c r="BD84" s="243"/>
      <c r="BE84" s="243"/>
      <c r="BF84" s="246"/>
      <c r="BG84" s="246"/>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c r="CM84" s="243"/>
      <c r="CN84" s="243"/>
      <c r="CO84" s="243"/>
      <c r="CP84" s="243"/>
    </row>
    <row r="85" spans="1:94" s="290" customForma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9"/>
      <c r="AL85" s="289"/>
      <c r="AM85" s="289"/>
      <c r="AN85" s="289"/>
      <c r="AO85" s="289"/>
      <c r="AP85" s="289"/>
      <c r="AQ85" s="289"/>
      <c r="AR85" s="243"/>
      <c r="AS85" s="243"/>
      <c r="AT85" s="243"/>
      <c r="AU85" s="243"/>
      <c r="AV85" s="243"/>
      <c r="AW85" s="243"/>
      <c r="AX85" s="243"/>
      <c r="AY85" s="243"/>
      <c r="AZ85" s="243"/>
      <c r="BA85" s="243"/>
      <c r="BB85" s="243"/>
      <c r="BC85" s="243"/>
      <c r="BD85" s="243"/>
      <c r="BE85" s="243"/>
      <c r="BF85" s="246"/>
      <c r="BG85" s="246"/>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c r="CM85" s="243"/>
      <c r="CN85" s="243"/>
      <c r="CO85" s="243"/>
      <c r="CP85" s="243"/>
    </row>
    <row r="86" spans="1:94" s="290" customForma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9"/>
      <c r="AL86" s="289"/>
      <c r="AM86" s="289"/>
      <c r="AN86" s="289"/>
      <c r="AO86" s="289"/>
      <c r="AP86" s="289"/>
      <c r="AQ86" s="289"/>
      <c r="AR86" s="243"/>
      <c r="AS86" s="243"/>
      <c r="AT86" s="243"/>
      <c r="AU86" s="243"/>
      <c r="AV86" s="243"/>
      <c r="AW86" s="243"/>
      <c r="AX86" s="243"/>
      <c r="AY86" s="243"/>
      <c r="AZ86" s="243"/>
      <c r="BA86" s="243"/>
      <c r="BB86" s="243"/>
      <c r="BC86" s="243"/>
      <c r="BD86" s="243"/>
      <c r="BE86" s="243"/>
      <c r="BF86" s="246"/>
      <c r="BG86" s="246"/>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row>
    <row r="87" spans="1:94" s="290" customForma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9"/>
      <c r="AL87" s="289"/>
      <c r="AM87" s="289"/>
      <c r="AN87" s="289"/>
      <c r="AO87" s="289"/>
      <c r="AP87" s="289"/>
      <c r="AQ87" s="289"/>
      <c r="AR87" s="243"/>
      <c r="AS87" s="243"/>
      <c r="AT87" s="243"/>
      <c r="AU87" s="243"/>
      <c r="AV87" s="243"/>
      <c r="AW87" s="243"/>
      <c r="AX87" s="243"/>
      <c r="AY87" s="243"/>
      <c r="AZ87" s="243"/>
      <c r="BA87" s="243"/>
      <c r="BB87" s="243"/>
      <c r="BC87" s="243"/>
      <c r="BD87" s="243"/>
      <c r="BE87" s="243"/>
      <c r="BF87" s="246"/>
      <c r="BG87" s="246"/>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c r="CM87" s="243"/>
      <c r="CN87" s="243"/>
      <c r="CO87" s="243"/>
      <c r="CP87" s="243"/>
    </row>
    <row r="88" spans="1:94" s="290" customForma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9"/>
      <c r="AL88" s="289"/>
      <c r="AM88" s="289"/>
      <c r="AN88" s="289"/>
      <c r="AO88" s="289"/>
      <c r="AP88" s="289"/>
      <c r="AQ88" s="289"/>
      <c r="AR88" s="243"/>
      <c r="AS88" s="243"/>
      <c r="AT88" s="243"/>
      <c r="AU88" s="243"/>
      <c r="AV88" s="243"/>
      <c r="AW88" s="243"/>
      <c r="AX88" s="243"/>
      <c r="AY88" s="243"/>
      <c r="AZ88" s="243"/>
      <c r="BA88" s="243"/>
      <c r="BB88" s="243"/>
      <c r="BC88" s="243"/>
      <c r="BD88" s="243"/>
      <c r="BE88" s="243"/>
      <c r="BF88" s="246"/>
      <c r="BG88" s="246"/>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c r="CM88" s="243"/>
      <c r="CN88" s="243"/>
      <c r="CO88" s="243"/>
      <c r="CP88" s="243"/>
    </row>
    <row r="89" spans="1:94" s="290" customForma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9"/>
      <c r="AL89" s="289"/>
      <c r="AM89" s="289"/>
      <c r="AN89" s="289"/>
      <c r="AO89" s="289"/>
      <c r="AP89" s="289"/>
      <c r="AQ89" s="289"/>
      <c r="AR89" s="243"/>
      <c r="AS89" s="243"/>
      <c r="AT89" s="243"/>
      <c r="AU89" s="243"/>
      <c r="AV89" s="243"/>
      <c r="AW89" s="243"/>
      <c r="AX89" s="243"/>
      <c r="AY89" s="243"/>
      <c r="AZ89" s="243"/>
      <c r="BA89" s="243"/>
      <c r="BB89" s="243"/>
      <c r="BC89" s="243"/>
      <c r="BD89" s="243"/>
      <c r="BE89" s="243"/>
      <c r="BF89" s="246"/>
      <c r="BG89" s="246"/>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row>
    <row r="90" spans="1:94" s="290" customForma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9"/>
      <c r="AL90" s="289"/>
      <c r="AM90" s="289"/>
      <c r="AN90" s="289"/>
      <c r="AO90" s="289"/>
      <c r="AP90" s="289"/>
      <c r="AQ90" s="289"/>
      <c r="AR90" s="243"/>
      <c r="AS90" s="243"/>
      <c r="AT90" s="243"/>
      <c r="AU90" s="243"/>
      <c r="AV90" s="243"/>
      <c r="AW90" s="243"/>
      <c r="AX90" s="243"/>
      <c r="AY90" s="243"/>
      <c r="AZ90" s="243"/>
      <c r="BA90" s="243"/>
      <c r="BB90" s="243"/>
      <c r="BC90" s="243"/>
      <c r="BD90" s="243"/>
      <c r="BE90" s="243"/>
      <c r="BF90" s="246"/>
      <c r="BG90" s="246"/>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row>
    <row r="91" spans="1:94" s="290" customFormat="1">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9"/>
      <c r="AL91" s="289"/>
      <c r="AM91" s="289"/>
      <c r="AN91" s="289"/>
      <c r="AO91" s="289"/>
      <c r="AP91" s="289"/>
      <c r="AQ91" s="289"/>
      <c r="AR91" s="243"/>
      <c r="AS91" s="243"/>
      <c r="AT91" s="243"/>
      <c r="AU91" s="243"/>
      <c r="AV91" s="243"/>
      <c r="AW91" s="243"/>
      <c r="AX91" s="243"/>
      <c r="AY91" s="243"/>
      <c r="AZ91" s="243"/>
      <c r="BA91" s="243"/>
      <c r="BB91" s="243"/>
      <c r="BC91" s="243"/>
      <c r="BD91" s="243"/>
      <c r="BE91" s="243"/>
      <c r="BF91" s="246"/>
      <c r="BG91" s="246"/>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row>
    <row r="92" spans="1:94" s="290" customFormat="1">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9"/>
      <c r="AL92" s="289"/>
      <c r="AM92" s="289"/>
      <c r="AN92" s="289"/>
      <c r="AO92" s="289"/>
      <c r="AP92" s="289"/>
      <c r="AQ92" s="289"/>
      <c r="AR92" s="243"/>
      <c r="AS92" s="243"/>
      <c r="AT92" s="243"/>
      <c r="AU92" s="243"/>
      <c r="AV92" s="243"/>
      <c r="AW92" s="243"/>
      <c r="AX92" s="243"/>
      <c r="AY92" s="243"/>
      <c r="AZ92" s="243"/>
      <c r="BA92" s="243"/>
      <c r="BB92" s="243"/>
      <c r="BC92" s="243"/>
      <c r="BD92" s="243"/>
      <c r="BE92" s="243"/>
      <c r="BF92" s="246"/>
      <c r="BG92" s="246"/>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row>
    <row r="93" spans="1:94">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9"/>
      <c r="AL93" s="289"/>
      <c r="AM93" s="289"/>
      <c r="AN93" s="289"/>
      <c r="AO93" s="289"/>
      <c r="AP93" s="289"/>
      <c r="AQ93" s="289"/>
      <c r="AR93" s="243"/>
      <c r="AS93" s="243"/>
      <c r="AT93" s="243"/>
      <c r="AU93" s="243"/>
      <c r="AV93" s="243"/>
      <c r="AW93" s="243"/>
      <c r="AX93" s="243"/>
      <c r="AY93" s="243"/>
      <c r="AZ93" s="243"/>
      <c r="BA93" s="243"/>
      <c r="BB93" s="243"/>
      <c r="BC93" s="243"/>
      <c r="BD93" s="243"/>
      <c r="BE93" s="243"/>
      <c r="BF93" s="246"/>
      <c r="BG93" s="246"/>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row>
    <row r="94" spans="1:94">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9"/>
      <c r="AL94" s="289"/>
      <c r="AM94" s="289"/>
      <c r="AN94" s="289"/>
      <c r="AO94" s="289"/>
      <c r="AP94" s="289"/>
      <c r="AQ94" s="289"/>
      <c r="AR94" s="243"/>
      <c r="AS94" s="243"/>
      <c r="AT94" s="243"/>
      <c r="AU94" s="243"/>
      <c r="AV94" s="243"/>
      <c r="AW94" s="243"/>
      <c r="AX94" s="243"/>
      <c r="AY94" s="243"/>
      <c r="AZ94" s="243"/>
      <c r="BA94" s="243"/>
      <c r="BB94" s="243"/>
      <c r="BC94" s="243"/>
      <c r="BD94" s="243"/>
      <c r="BE94" s="243"/>
      <c r="BF94" s="246"/>
      <c r="BG94" s="246"/>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row>
    <row r="95" spans="1:94">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9"/>
      <c r="AL95" s="289"/>
      <c r="AM95" s="289"/>
      <c r="AN95" s="289"/>
      <c r="AO95" s="289"/>
      <c r="AP95" s="289"/>
      <c r="AQ95" s="289"/>
      <c r="AR95" s="243"/>
      <c r="AS95" s="243"/>
      <c r="AT95" s="243"/>
      <c r="AU95" s="243"/>
      <c r="AV95" s="243"/>
      <c r="AW95" s="243"/>
      <c r="AX95" s="243"/>
      <c r="AY95" s="243"/>
      <c r="AZ95" s="243"/>
      <c r="BA95" s="243"/>
      <c r="BB95" s="243"/>
      <c r="BC95" s="243"/>
      <c r="BD95" s="243"/>
      <c r="BE95" s="243"/>
      <c r="BF95" s="246"/>
      <c r="BG95" s="246"/>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row>
    <row r="96" spans="1:94">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9"/>
      <c r="AL96" s="289"/>
      <c r="AM96" s="289"/>
      <c r="AN96" s="289"/>
      <c r="AO96" s="289"/>
      <c r="AP96" s="289"/>
      <c r="AQ96" s="289"/>
      <c r="AR96" s="243"/>
      <c r="AS96" s="243"/>
      <c r="AT96" s="243"/>
      <c r="AU96" s="243"/>
      <c r="AV96" s="243"/>
      <c r="AW96" s="243"/>
      <c r="AX96" s="243"/>
      <c r="AY96" s="243"/>
      <c r="AZ96" s="243"/>
      <c r="BA96" s="243"/>
      <c r="BB96" s="243"/>
      <c r="BC96" s="243"/>
      <c r="BD96" s="243"/>
      <c r="BE96" s="243"/>
      <c r="BF96" s="246"/>
      <c r="BG96" s="246"/>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row>
    <row r="97" spans="1:94">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9"/>
      <c r="AL97" s="289"/>
      <c r="AM97" s="289"/>
      <c r="AN97" s="289"/>
      <c r="AO97" s="289"/>
      <c r="AP97" s="289"/>
      <c r="AQ97" s="289"/>
      <c r="AR97" s="243"/>
      <c r="AS97" s="243"/>
      <c r="AT97" s="243"/>
      <c r="AU97" s="243"/>
      <c r="AV97" s="243"/>
      <c r="AW97" s="243"/>
      <c r="AX97" s="243"/>
      <c r="AY97" s="243"/>
      <c r="AZ97" s="243"/>
      <c r="BA97" s="243"/>
      <c r="BB97" s="243"/>
      <c r="BC97" s="243"/>
      <c r="BD97" s="243"/>
      <c r="BE97" s="243"/>
      <c r="BF97" s="246"/>
      <c r="BG97" s="246"/>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c r="CM97" s="243"/>
      <c r="CN97" s="243"/>
      <c r="CO97" s="243"/>
      <c r="CP97" s="243"/>
    </row>
    <row r="98" spans="1:94">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9"/>
      <c r="AL98" s="289"/>
      <c r="AM98" s="289"/>
      <c r="AN98" s="289"/>
      <c r="AO98" s="289"/>
      <c r="AP98" s="289"/>
      <c r="AQ98" s="289"/>
      <c r="AR98" s="243"/>
      <c r="AS98" s="243"/>
      <c r="AT98" s="243"/>
      <c r="AU98" s="243"/>
      <c r="AV98" s="243"/>
      <c r="AW98" s="243"/>
      <c r="AX98" s="243"/>
      <c r="AY98" s="243"/>
      <c r="AZ98" s="243"/>
      <c r="BA98" s="243"/>
      <c r="BB98" s="243"/>
      <c r="BC98" s="243"/>
      <c r="BD98" s="243"/>
      <c r="BE98" s="243"/>
      <c r="BF98" s="246"/>
      <c r="BG98" s="246"/>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c r="CM98" s="243"/>
      <c r="CN98" s="243"/>
      <c r="CO98" s="243"/>
      <c r="CP98" s="243"/>
    </row>
    <row r="99" spans="1:94">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9"/>
      <c r="AL99" s="289"/>
      <c r="AM99" s="289"/>
      <c r="AN99" s="289"/>
      <c r="AO99" s="289"/>
      <c r="AP99" s="289"/>
      <c r="AQ99" s="289"/>
      <c r="AR99" s="243"/>
      <c r="AS99" s="243"/>
      <c r="AT99" s="243"/>
      <c r="AU99" s="243"/>
      <c r="AV99" s="243"/>
      <c r="AW99" s="243"/>
      <c r="AX99" s="243"/>
      <c r="AY99" s="243"/>
      <c r="AZ99" s="243"/>
      <c r="BA99" s="243"/>
      <c r="BB99" s="243"/>
      <c r="BC99" s="243"/>
      <c r="BD99" s="243"/>
      <c r="BE99" s="243"/>
      <c r="BF99" s="246"/>
      <c r="BG99" s="246"/>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c r="CM99" s="243"/>
      <c r="CN99" s="243"/>
      <c r="CO99" s="243"/>
      <c r="CP99" s="243"/>
    </row>
    <row r="100" spans="1:94">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9"/>
      <c r="AL100" s="289"/>
      <c r="AM100" s="289"/>
      <c r="AN100" s="289"/>
      <c r="AO100" s="289"/>
      <c r="AP100" s="289"/>
      <c r="AQ100" s="289"/>
      <c r="AR100" s="243"/>
      <c r="AS100" s="243"/>
      <c r="AT100" s="243"/>
      <c r="AU100" s="243"/>
      <c r="AV100" s="243"/>
      <c r="AW100" s="243"/>
      <c r="AX100" s="243"/>
      <c r="AY100" s="243"/>
      <c r="AZ100" s="243"/>
      <c r="BA100" s="243"/>
      <c r="BB100" s="243"/>
      <c r="BC100" s="243"/>
      <c r="BD100" s="243"/>
      <c r="BE100" s="243"/>
      <c r="BF100" s="246"/>
      <c r="BG100" s="246"/>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c r="CM100" s="243"/>
      <c r="CN100" s="243"/>
      <c r="CO100" s="243"/>
      <c r="CP100" s="243"/>
    </row>
    <row r="101" spans="1:94">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9"/>
      <c r="AL101" s="289"/>
      <c r="AM101" s="289"/>
      <c r="AN101" s="289"/>
      <c r="AO101" s="289"/>
      <c r="AP101" s="289"/>
      <c r="AQ101" s="289"/>
      <c r="AR101" s="243"/>
      <c r="AS101" s="243"/>
      <c r="AT101" s="243"/>
      <c r="AU101" s="243"/>
      <c r="AV101" s="243"/>
      <c r="AW101" s="243"/>
      <c r="AX101" s="243"/>
      <c r="AY101" s="243"/>
      <c r="AZ101" s="243"/>
      <c r="BA101" s="243"/>
      <c r="BB101" s="243"/>
      <c r="BC101" s="243"/>
      <c r="BD101" s="243"/>
      <c r="BE101" s="243"/>
      <c r="BF101" s="246"/>
      <c r="BG101" s="246"/>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c r="CM101" s="243"/>
      <c r="CN101" s="243"/>
      <c r="CO101" s="243"/>
      <c r="CP101" s="243"/>
    </row>
    <row r="102" spans="1:94">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9"/>
      <c r="AL102" s="289"/>
      <c r="AM102" s="289"/>
      <c r="AN102" s="289"/>
      <c r="AO102" s="289"/>
      <c r="AP102" s="289"/>
      <c r="AQ102" s="289"/>
      <c r="AR102" s="243"/>
      <c r="AS102" s="243"/>
      <c r="AT102" s="243"/>
      <c r="AU102" s="243"/>
      <c r="AV102" s="243"/>
      <c r="AW102" s="243"/>
      <c r="AX102" s="243"/>
      <c r="AY102" s="243"/>
      <c r="AZ102" s="243"/>
      <c r="BA102" s="243"/>
      <c r="BB102" s="243"/>
      <c r="BC102" s="243"/>
      <c r="BD102" s="243"/>
      <c r="BE102" s="243"/>
      <c r="BF102" s="246"/>
      <c r="BG102" s="246"/>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row>
    <row r="103" spans="1:94">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9"/>
      <c r="AL103" s="289"/>
      <c r="AM103" s="289"/>
      <c r="AN103" s="289"/>
      <c r="AO103" s="289"/>
      <c r="AP103" s="289"/>
      <c r="AQ103" s="289"/>
      <c r="AR103" s="243"/>
      <c r="AS103" s="243"/>
      <c r="AT103" s="243"/>
      <c r="AU103" s="243"/>
      <c r="AV103" s="243"/>
      <c r="AW103" s="243"/>
      <c r="AX103" s="243"/>
      <c r="AY103" s="243"/>
      <c r="AZ103" s="243"/>
      <c r="BA103" s="243"/>
      <c r="BB103" s="243"/>
      <c r="BC103" s="243"/>
      <c r="BD103" s="243"/>
      <c r="BE103" s="243"/>
      <c r="BF103" s="246"/>
      <c r="BG103" s="246"/>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row>
    <row r="104" spans="1:94">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9"/>
      <c r="AL104" s="289"/>
      <c r="AM104" s="289"/>
      <c r="AN104" s="289"/>
      <c r="AO104" s="289"/>
      <c r="AP104" s="289"/>
      <c r="AQ104" s="289"/>
      <c r="AR104" s="243"/>
      <c r="AS104" s="243"/>
      <c r="AT104" s="243"/>
      <c r="AU104" s="243"/>
      <c r="AV104" s="243"/>
      <c r="AW104" s="243"/>
      <c r="AX104" s="243"/>
      <c r="AY104" s="243"/>
      <c r="AZ104" s="243"/>
      <c r="BA104" s="243"/>
      <c r="BB104" s="243"/>
      <c r="BC104" s="243"/>
      <c r="BD104" s="243"/>
      <c r="BE104" s="243"/>
      <c r="BF104" s="246"/>
      <c r="BG104" s="246"/>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row>
    <row r="105" spans="1:94">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9"/>
      <c r="AL105" s="289"/>
      <c r="AM105" s="289"/>
      <c r="AN105" s="289"/>
      <c r="AO105" s="289"/>
      <c r="AP105" s="289"/>
      <c r="AQ105" s="289"/>
      <c r="AR105" s="243"/>
      <c r="AS105" s="243"/>
      <c r="AT105" s="243"/>
      <c r="AU105" s="243"/>
      <c r="AV105" s="243"/>
      <c r="AW105" s="243"/>
      <c r="AX105" s="243"/>
      <c r="AY105" s="243"/>
      <c r="AZ105" s="243"/>
      <c r="BA105" s="243"/>
      <c r="BB105" s="243"/>
      <c r="BC105" s="243"/>
      <c r="BD105" s="243"/>
      <c r="BE105" s="243"/>
      <c r="BF105" s="246"/>
      <c r="BG105" s="246"/>
      <c r="BH105" s="243"/>
      <c r="BI105" s="243"/>
      <c r="BJ105" s="243"/>
      <c r="BK105" s="243"/>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row>
    <row r="106" spans="1:94">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9"/>
      <c r="AL106" s="289"/>
      <c r="AM106" s="289"/>
      <c r="AN106" s="289"/>
      <c r="AO106" s="289"/>
      <c r="AP106" s="289"/>
      <c r="AQ106" s="289"/>
      <c r="AR106" s="243"/>
      <c r="AS106" s="243"/>
      <c r="AT106" s="243"/>
      <c r="AU106" s="243"/>
      <c r="AV106" s="243"/>
      <c r="AW106" s="243"/>
      <c r="AX106" s="243"/>
      <c r="AY106" s="243"/>
      <c r="AZ106" s="243"/>
      <c r="BA106" s="243"/>
      <c r="BB106" s="243"/>
      <c r="BC106" s="243"/>
      <c r="BD106" s="243"/>
      <c r="BE106" s="243"/>
      <c r="BF106" s="246"/>
      <c r="BG106" s="246"/>
      <c r="BH106" s="243"/>
      <c r="BI106" s="243"/>
      <c r="BJ106" s="243"/>
      <c r="BK106" s="243"/>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row>
    <row r="107" spans="1:94">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9"/>
      <c r="AL107" s="289"/>
      <c r="AM107" s="289"/>
      <c r="AN107" s="289"/>
      <c r="AO107" s="289"/>
      <c r="AP107" s="289"/>
      <c r="AQ107" s="289"/>
      <c r="AR107" s="243"/>
      <c r="AS107" s="243"/>
      <c r="AT107" s="243"/>
      <c r="AU107" s="243"/>
      <c r="AV107" s="243"/>
      <c r="AW107" s="243"/>
      <c r="AX107" s="243"/>
      <c r="AY107" s="243"/>
      <c r="AZ107" s="243"/>
      <c r="BA107" s="243"/>
      <c r="BB107" s="243"/>
      <c r="BC107" s="243"/>
      <c r="BD107" s="243"/>
      <c r="BE107" s="243"/>
      <c r="BF107" s="246"/>
      <c r="BG107" s="246"/>
      <c r="BH107" s="243"/>
      <c r="BI107" s="243"/>
      <c r="BJ107" s="243"/>
      <c r="BK107" s="243"/>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row>
    <row r="108" spans="1:94">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9"/>
      <c r="AL108" s="289"/>
      <c r="AM108" s="289"/>
      <c r="AN108" s="289"/>
      <c r="AO108" s="289"/>
      <c r="AP108" s="289"/>
      <c r="AQ108" s="289"/>
      <c r="AR108" s="243"/>
      <c r="AS108" s="243"/>
      <c r="AT108" s="243"/>
      <c r="AU108" s="243"/>
      <c r="AV108" s="243"/>
      <c r="AW108" s="243"/>
      <c r="AX108" s="243"/>
      <c r="AY108" s="243"/>
      <c r="AZ108" s="243"/>
      <c r="BA108" s="243"/>
      <c r="BB108" s="243"/>
      <c r="BC108" s="243"/>
      <c r="BD108" s="243"/>
      <c r="BE108" s="243"/>
      <c r="BF108" s="246"/>
      <c r="BG108" s="246"/>
      <c r="BH108" s="243"/>
      <c r="BI108" s="243"/>
      <c r="BJ108" s="243"/>
      <c r="BK108" s="243"/>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row>
    <row r="109" spans="1:94">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9"/>
      <c r="AL109" s="289"/>
      <c r="AM109" s="289"/>
      <c r="AN109" s="289"/>
      <c r="AO109" s="289"/>
      <c r="AP109" s="289"/>
      <c r="AQ109" s="289"/>
      <c r="AR109" s="243"/>
      <c r="AS109" s="243"/>
      <c r="AT109" s="243"/>
      <c r="AU109" s="243"/>
      <c r="AV109" s="243"/>
      <c r="AW109" s="243"/>
      <c r="AX109" s="243"/>
      <c r="AY109" s="243"/>
      <c r="AZ109" s="243"/>
      <c r="BA109" s="243"/>
      <c r="BB109" s="243"/>
      <c r="BC109" s="243"/>
      <c r="BD109" s="243"/>
      <c r="BE109" s="243"/>
      <c r="BF109" s="246"/>
      <c r="BG109" s="246"/>
      <c r="BH109" s="243"/>
      <c r="BI109" s="243"/>
      <c r="BJ109" s="243"/>
      <c r="BK109" s="243"/>
      <c r="BL109" s="243"/>
      <c r="BM109" s="243"/>
      <c r="BN109" s="243"/>
      <c r="BO109" s="243"/>
      <c r="BP109" s="243"/>
      <c r="BQ109" s="243"/>
      <c r="BR109" s="243"/>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c r="CM109" s="243"/>
      <c r="CN109" s="243"/>
      <c r="CO109" s="243"/>
      <c r="CP109" s="243"/>
    </row>
    <row r="110" spans="1:94">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9"/>
      <c r="AL110" s="289"/>
      <c r="AM110" s="289"/>
      <c r="AN110" s="289"/>
      <c r="AO110" s="289"/>
      <c r="AP110" s="289"/>
      <c r="AQ110" s="289"/>
      <c r="AR110" s="243"/>
      <c r="AS110" s="243"/>
      <c r="AT110" s="243"/>
      <c r="AU110" s="243"/>
      <c r="AV110" s="243"/>
      <c r="AW110" s="243"/>
      <c r="AX110" s="243"/>
      <c r="AY110" s="243"/>
      <c r="AZ110" s="243"/>
      <c r="BA110" s="243"/>
      <c r="BB110" s="243"/>
      <c r="BC110" s="243"/>
      <c r="BD110" s="243"/>
      <c r="BE110" s="243"/>
      <c r="BF110" s="246"/>
      <c r="BG110" s="246"/>
      <c r="BH110" s="243"/>
      <c r="BI110" s="243"/>
      <c r="BJ110" s="243"/>
      <c r="BK110" s="243"/>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row>
    <row r="111" spans="1:94">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9"/>
      <c r="AL111" s="289"/>
      <c r="AM111" s="289"/>
      <c r="AN111" s="289"/>
      <c r="AO111" s="289"/>
      <c r="AP111" s="289"/>
      <c r="AQ111" s="289"/>
      <c r="AR111" s="243"/>
      <c r="AS111" s="243"/>
      <c r="AT111" s="243"/>
      <c r="AU111" s="243"/>
      <c r="AV111" s="243"/>
      <c r="AW111" s="243"/>
      <c r="AX111" s="243"/>
      <c r="AY111" s="243"/>
      <c r="AZ111" s="243"/>
      <c r="BA111" s="243"/>
      <c r="BB111" s="243"/>
      <c r="BC111" s="243"/>
      <c r="BD111" s="243"/>
      <c r="BE111" s="243"/>
      <c r="BF111" s="246"/>
      <c r="BG111" s="246"/>
      <c r="BH111" s="243"/>
      <c r="BI111" s="243"/>
      <c r="BJ111" s="243"/>
      <c r="BK111" s="243"/>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row>
    <row r="112" spans="1:94">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9"/>
      <c r="AL112" s="289"/>
      <c r="AM112" s="289"/>
      <c r="AN112" s="289"/>
      <c r="AO112" s="289"/>
      <c r="AP112" s="289"/>
      <c r="AQ112" s="289"/>
      <c r="AR112" s="243"/>
      <c r="AS112" s="243"/>
      <c r="AT112" s="243"/>
      <c r="AU112" s="243"/>
      <c r="AV112" s="243"/>
      <c r="AW112" s="243"/>
      <c r="AX112" s="243"/>
      <c r="AY112" s="243"/>
      <c r="AZ112" s="243"/>
      <c r="BA112" s="243"/>
      <c r="BB112" s="243"/>
      <c r="BC112" s="243"/>
      <c r="BD112" s="243"/>
      <c r="BE112" s="243"/>
      <c r="BF112" s="246"/>
      <c r="BG112" s="246"/>
      <c r="BH112" s="243"/>
      <c r="BI112" s="243"/>
      <c r="BJ112" s="243"/>
      <c r="BK112" s="243"/>
      <c r="BL112" s="243"/>
      <c r="BM112" s="243"/>
      <c r="BN112" s="243"/>
      <c r="BO112" s="243"/>
      <c r="BP112" s="243"/>
      <c r="BQ112" s="243"/>
      <c r="BR112" s="243"/>
      <c r="BS112" s="243"/>
      <c r="BT112" s="243"/>
      <c r="BU112" s="243"/>
      <c r="BV112" s="243"/>
      <c r="BW112" s="243"/>
      <c r="BX112" s="243"/>
      <c r="BY112" s="243"/>
      <c r="BZ112" s="243"/>
      <c r="CA112" s="243"/>
      <c r="CB112" s="243"/>
      <c r="CC112" s="243"/>
      <c r="CD112" s="243"/>
      <c r="CE112" s="243"/>
      <c r="CF112" s="243"/>
      <c r="CG112" s="243"/>
      <c r="CH112" s="243"/>
      <c r="CI112" s="243"/>
      <c r="CJ112" s="243"/>
      <c r="CK112" s="243"/>
      <c r="CL112" s="243"/>
      <c r="CM112" s="243"/>
      <c r="CN112" s="243"/>
      <c r="CO112" s="243"/>
      <c r="CP112" s="243"/>
    </row>
    <row r="113" spans="1:94">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9"/>
      <c r="AL113" s="289"/>
      <c r="AM113" s="289"/>
      <c r="AN113" s="289"/>
      <c r="AO113" s="289"/>
      <c r="AP113" s="289"/>
      <c r="AQ113" s="289"/>
      <c r="AR113" s="243"/>
      <c r="AS113" s="243"/>
      <c r="AT113" s="243"/>
      <c r="AU113" s="243"/>
      <c r="AV113" s="243"/>
      <c r="AW113" s="243"/>
      <c r="AX113" s="243"/>
      <c r="AY113" s="243"/>
      <c r="AZ113" s="243"/>
      <c r="BA113" s="243"/>
      <c r="BB113" s="243"/>
      <c r="BC113" s="243"/>
      <c r="BD113" s="243"/>
      <c r="BE113" s="243"/>
      <c r="BF113" s="246"/>
      <c r="BG113" s="246"/>
      <c r="BH113" s="243"/>
      <c r="BI113" s="243"/>
      <c r="BJ113" s="243"/>
      <c r="BK113" s="243"/>
      <c r="BL113" s="243"/>
      <c r="BM113" s="243"/>
      <c r="BN113" s="243"/>
      <c r="BO113" s="243"/>
      <c r="BP113" s="243"/>
      <c r="BQ113" s="243"/>
      <c r="BR113" s="243"/>
      <c r="BS113" s="243"/>
      <c r="BT113" s="243"/>
      <c r="BU113" s="243"/>
      <c r="BV113" s="243"/>
      <c r="BW113" s="243"/>
      <c r="BX113" s="243"/>
      <c r="BY113" s="243"/>
      <c r="BZ113" s="243"/>
      <c r="CA113" s="243"/>
      <c r="CB113" s="243"/>
      <c r="CC113" s="243"/>
      <c r="CD113" s="243"/>
      <c r="CE113" s="243"/>
      <c r="CF113" s="243"/>
      <c r="CG113" s="243"/>
      <c r="CH113" s="243"/>
      <c r="CI113" s="243"/>
      <c r="CJ113" s="243"/>
      <c r="CK113" s="243"/>
      <c r="CL113" s="243"/>
      <c r="CM113" s="243"/>
      <c r="CN113" s="243"/>
      <c r="CO113" s="243"/>
      <c r="CP113" s="243"/>
    </row>
    <row r="114" spans="1:94">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9"/>
      <c r="AL114" s="289"/>
      <c r="AM114" s="289"/>
      <c r="AN114" s="289"/>
      <c r="AO114" s="289"/>
      <c r="AP114" s="289"/>
      <c r="AQ114" s="289"/>
      <c r="AR114" s="243"/>
      <c r="AS114" s="243"/>
      <c r="AT114" s="243"/>
      <c r="AU114" s="243"/>
      <c r="AV114" s="243"/>
      <c r="AW114" s="243"/>
      <c r="AX114" s="243"/>
      <c r="AY114" s="243"/>
      <c r="AZ114" s="243"/>
      <c r="BA114" s="243"/>
      <c r="BB114" s="243"/>
      <c r="BC114" s="243"/>
      <c r="BD114" s="243"/>
      <c r="BE114" s="243"/>
      <c r="BF114" s="246"/>
      <c r="BG114" s="246"/>
      <c r="BH114" s="243"/>
      <c r="BI114" s="243"/>
      <c r="BJ114" s="243"/>
      <c r="BK114" s="243"/>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row>
    <row r="115" spans="1:94">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9"/>
      <c r="AL115" s="289"/>
      <c r="AM115" s="289"/>
      <c r="AN115" s="289"/>
      <c r="AO115" s="289"/>
      <c r="AP115" s="289"/>
      <c r="AQ115" s="289"/>
      <c r="AR115" s="243"/>
      <c r="AS115" s="243"/>
      <c r="AT115" s="243"/>
      <c r="AU115" s="243"/>
      <c r="AV115" s="243"/>
      <c r="AW115" s="243"/>
      <c r="AX115" s="243"/>
      <c r="AY115" s="243"/>
      <c r="AZ115" s="243"/>
      <c r="BA115" s="243"/>
      <c r="BB115" s="243"/>
      <c r="BC115" s="243"/>
      <c r="BD115" s="243"/>
      <c r="BE115" s="243"/>
      <c r="BF115" s="246"/>
      <c r="BG115" s="246"/>
      <c r="BH115" s="243"/>
      <c r="BI115" s="243"/>
      <c r="BJ115" s="243"/>
      <c r="BK115" s="243"/>
      <c r="BL115" s="243"/>
      <c r="BM115" s="243"/>
      <c r="BN115" s="243"/>
      <c r="BO115" s="243"/>
      <c r="BP115" s="243"/>
      <c r="BQ115" s="243"/>
      <c r="BR115" s="243"/>
      <c r="BS115" s="243"/>
      <c r="BT115" s="243"/>
      <c r="BU115" s="243"/>
      <c r="BV115" s="243"/>
      <c r="BW115" s="243"/>
      <c r="BX115" s="243"/>
      <c r="BY115" s="243"/>
      <c r="BZ115" s="243"/>
      <c r="CA115" s="243"/>
      <c r="CB115" s="243"/>
      <c r="CC115" s="243"/>
      <c r="CD115" s="243"/>
      <c r="CE115" s="243"/>
      <c r="CF115" s="243"/>
      <c r="CG115" s="243"/>
      <c r="CH115" s="243"/>
      <c r="CI115" s="243"/>
      <c r="CJ115" s="243"/>
      <c r="CK115" s="243"/>
      <c r="CL115" s="243"/>
      <c r="CM115" s="243"/>
      <c r="CN115" s="243"/>
      <c r="CO115" s="243"/>
      <c r="CP115" s="243"/>
    </row>
    <row r="116" spans="1:94">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9"/>
      <c r="AL116" s="289"/>
      <c r="AM116" s="289"/>
      <c r="AN116" s="289"/>
      <c r="AO116" s="289"/>
      <c r="AP116" s="289"/>
      <c r="AQ116" s="289"/>
      <c r="AR116" s="243"/>
      <c r="AS116" s="243"/>
      <c r="AT116" s="243"/>
      <c r="AU116" s="243"/>
      <c r="AV116" s="243"/>
      <c r="AW116" s="243"/>
      <c r="AX116" s="243"/>
      <c r="AY116" s="243"/>
      <c r="AZ116" s="243"/>
      <c r="BA116" s="243"/>
      <c r="BB116" s="243"/>
      <c r="BC116" s="243"/>
      <c r="BD116" s="243"/>
      <c r="BE116" s="243"/>
      <c r="BF116" s="246"/>
      <c r="BG116" s="246"/>
      <c r="BH116" s="243"/>
      <c r="BI116" s="243"/>
      <c r="BJ116" s="243"/>
      <c r="BK116" s="243"/>
      <c r="BL116" s="243"/>
      <c r="BM116" s="243"/>
      <c r="BN116" s="243"/>
      <c r="BO116" s="243"/>
      <c r="BP116" s="243"/>
      <c r="BQ116" s="243"/>
      <c r="BR116" s="243"/>
      <c r="BS116" s="243"/>
      <c r="BT116" s="243"/>
      <c r="BU116" s="243"/>
      <c r="BV116" s="243"/>
      <c r="BW116" s="243"/>
      <c r="BX116" s="243"/>
      <c r="BY116" s="243"/>
      <c r="BZ116" s="243"/>
      <c r="CA116" s="243"/>
      <c r="CB116" s="243"/>
      <c r="CC116" s="243"/>
      <c r="CD116" s="243"/>
      <c r="CE116" s="243"/>
      <c r="CF116" s="243"/>
      <c r="CG116" s="243"/>
      <c r="CH116" s="243"/>
      <c r="CI116" s="243"/>
      <c r="CJ116" s="243"/>
      <c r="CK116" s="243"/>
      <c r="CL116" s="243"/>
      <c r="CM116" s="243"/>
      <c r="CN116" s="243"/>
      <c r="CO116" s="243"/>
      <c r="CP116" s="243"/>
    </row>
    <row r="117" spans="1:94">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9"/>
      <c r="AL117" s="289"/>
      <c r="AM117" s="289"/>
      <c r="AN117" s="289"/>
      <c r="AO117" s="289"/>
      <c r="AP117" s="289"/>
      <c r="AQ117" s="289"/>
      <c r="AR117" s="243"/>
      <c r="AS117" s="243"/>
      <c r="AT117" s="243"/>
      <c r="AU117" s="243"/>
      <c r="AV117" s="243"/>
      <c r="AW117" s="243"/>
      <c r="AX117" s="243"/>
      <c r="AY117" s="243"/>
      <c r="AZ117" s="243"/>
      <c r="BA117" s="243"/>
      <c r="BB117" s="243"/>
      <c r="BC117" s="243"/>
      <c r="BD117" s="243"/>
      <c r="BE117" s="243"/>
      <c r="BF117" s="246"/>
      <c r="BG117" s="246"/>
      <c r="BH117" s="243"/>
      <c r="BI117" s="243"/>
      <c r="BJ117" s="243"/>
      <c r="BK117" s="243"/>
      <c r="BL117" s="243"/>
      <c r="BM117" s="243"/>
      <c r="BN117" s="243"/>
      <c r="BO117" s="243"/>
      <c r="BP117" s="243"/>
      <c r="BQ117" s="243"/>
      <c r="BR117" s="243"/>
      <c r="BS117" s="243"/>
      <c r="BT117" s="243"/>
      <c r="BU117" s="243"/>
      <c r="BV117" s="243"/>
      <c r="BW117" s="243"/>
      <c r="BX117" s="243"/>
      <c r="BY117" s="243"/>
      <c r="BZ117" s="243"/>
      <c r="CA117" s="243"/>
      <c r="CB117" s="243"/>
      <c r="CC117" s="243"/>
      <c r="CD117" s="243"/>
      <c r="CE117" s="243"/>
      <c r="CF117" s="243"/>
      <c r="CG117" s="243"/>
      <c r="CH117" s="243"/>
      <c r="CI117" s="243"/>
      <c r="CJ117" s="243"/>
      <c r="CK117" s="243"/>
      <c r="CL117" s="243"/>
      <c r="CM117" s="243"/>
      <c r="CN117" s="243"/>
      <c r="CO117" s="243"/>
      <c r="CP117" s="243"/>
    </row>
    <row r="118" spans="1:94">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9"/>
      <c r="AL118" s="289"/>
      <c r="AM118" s="289"/>
      <c r="AN118" s="289"/>
      <c r="AO118" s="289"/>
      <c r="AP118" s="289"/>
      <c r="AQ118" s="289"/>
      <c r="AR118" s="243"/>
      <c r="AS118" s="243"/>
      <c r="AT118" s="243"/>
      <c r="AU118" s="243"/>
      <c r="AV118" s="243"/>
      <c r="AW118" s="243"/>
      <c r="AX118" s="243"/>
      <c r="AY118" s="243"/>
      <c r="AZ118" s="243"/>
      <c r="BA118" s="243"/>
      <c r="BB118" s="243"/>
      <c r="BC118" s="243"/>
      <c r="BD118" s="243"/>
      <c r="BE118" s="243"/>
      <c r="BF118" s="246"/>
      <c r="BG118" s="246"/>
      <c r="BH118" s="243"/>
      <c r="BI118" s="243"/>
      <c r="BJ118" s="243"/>
      <c r="BK118" s="243"/>
      <c r="BL118" s="243"/>
      <c r="BM118" s="243"/>
      <c r="BN118" s="243"/>
      <c r="BO118" s="243"/>
      <c r="BP118" s="243"/>
      <c r="BQ118" s="243"/>
      <c r="BR118" s="243"/>
      <c r="BS118" s="243"/>
      <c r="BT118" s="243"/>
      <c r="BU118" s="243"/>
      <c r="BV118" s="243"/>
      <c r="BW118" s="243"/>
      <c r="BX118" s="243"/>
      <c r="BY118" s="243"/>
      <c r="BZ118" s="243"/>
      <c r="CA118" s="243"/>
      <c r="CB118" s="243"/>
      <c r="CC118" s="243"/>
      <c r="CD118" s="243"/>
      <c r="CE118" s="243"/>
      <c r="CF118" s="243"/>
      <c r="CG118" s="243"/>
      <c r="CH118" s="243"/>
      <c r="CI118" s="243"/>
      <c r="CJ118" s="243"/>
      <c r="CK118" s="243"/>
      <c r="CL118" s="243"/>
      <c r="CM118" s="243"/>
      <c r="CN118" s="243"/>
      <c r="CO118" s="243"/>
      <c r="CP118" s="243"/>
    </row>
    <row r="119" spans="1:94">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9"/>
      <c r="AL119" s="289"/>
      <c r="AM119" s="289"/>
      <c r="AN119" s="289"/>
      <c r="AO119" s="289"/>
      <c r="AP119" s="289"/>
      <c r="AQ119" s="289"/>
      <c r="AR119" s="243"/>
      <c r="AS119" s="243"/>
      <c r="AT119" s="243"/>
      <c r="AU119" s="243"/>
      <c r="AV119" s="243"/>
      <c r="AW119" s="243"/>
      <c r="AX119" s="243"/>
      <c r="AY119" s="243"/>
      <c r="AZ119" s="243"/>
      <c r="BA119" s="243"/>
      <c r="BB119" s="243"/>
      <c r="BC119" s="243"/>
      <c r="BD119" s="243"/>
      <c r="BE119" s="243"/>
      <c r="BF119" s="246"/>
      <c r="BG119" s="246"/>
      <c r="BH119" s="243"/>
      <c r="BI119" s="243"/>
      <c r="BJ119" s="243"/>
      <c r="BK119" s="243"/>
      <c r="BL119" s="243"/>
      <c r="BM119" s="243"/>
      <c r="BN119" s="243"/>
      <c r="BO119" s="243"/>
      <c r="BP119" s="243"/>
      <c r="BQ119" s="243"/>
      <c r="BR119" s="243"/>
      <c r="BS119" s="243"/>
      <c r="BT119" s="243"/>
      <c r="BU119" s="243"/>
      <c r="BV119" s="243"/>
      <c r="BW119" s="243"/>
      <c r="BX119" s="243"/>
      <c r="BY119" s="243"/>
      <c r="BZ119" s="243"/>
      <c r="CA119" s="243"/>
      <c r="CB119" s="243"/>
      <c r="CC119" s="243"/>
      <c r="CD119" s="243"/>
      <c r="CE119" s="243"/>
      <c r="CF119" s="243"/>
      <c r="CG119" s="243"/>
      <c r="CH119" s="243"/>
      <c r="CI119" s="243"/>
      <c r="CJ119" s="243"/>
      <c r="CK119" s="243"/>
      <c r="CL119" s="243"/>
      <c r="CM119" s="243"/>
      <c r="CN119" s="243"/>
      <c r="CO119" s="243"/>
      <c r="CP119" s="243"/>
    </row>
    <row r="120" spans="1:94">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9"/>
      <c r="AL120" s="289"/>
      <c r="AM120" s="289"/>
      <c r="AN120" s="289"/>
      <c r="AO120" s="289"/>
      <c r="AP120" s="289"/>
      <c r="AQ120" s="289"/>
      <c r="AR120" s="243"/>
      <c r="AS120" s="243"/>
      <c r="AT120" s="243"/>
      <c r="AU120" s="243"/>
      <c r="AV120" s="243"/>
      <c r="AW120" s="243"/>
      <c r="AX120" s="243"/>
      <c r="AY120" s="243"/>
      <c r="AZ120" s="243"/>
      <c r="BA120" s="243"/>
      <c r="BB120" s="243"/>
      <c r="BC120" s="243"/>
      <c r="BD120" s="243"/>
      <c r="BE120" s="243"/>
      <c r="BF120" s="246"/>
      <c r="BG120" s="246"/>
      <c r="BH120" s="243"/>
      <c r="BI120" s="243"/>
      <c r="BJ120" s="243"/>
      <c r="BK120" s="243"/>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row>
    <row r="121" spans="1:94">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9"/>
      <c r="AL121" s="289"/>
      <c r="AM121" s="289"/>
      <c r="AN121" s="289"/>
      <c r="AO121" s="289"/>
      <c r="AP121" s="289"/>
      <c r="AQ121" s="289"/>
      <c r="AR121" s="243"/>
      <c r="AS121" s="243"/>
      <c r="AT121" s="243"/>
      <c r="AU121" s="243"/>
      <c r="AV121" s="243"/>
      <c r="AW121" s="243"/>
      <c r="AX121" s="243"/>
      <c r="AY121" s="243"/>
      <c r="AZ121" s="243"/>
      <c r="BA121" s="243"/>
      <c r="BB121" s="243"/>
      <c r="BC121" s="243"/>
      <c r="BD121" s="243"/>
      <c r="BE121" s="243"/>
      <c r="BF121" s="246"/>
      <c r="BG121" s="246"/>
      <c r="BH121" s="243"/>
      <c r="BI121" s="243"/>
      <c r="BJ121" s="243"/>
      <c r="BK121" s="243"/>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row>
    <row r="122" spans="1:94">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9"/>
      <c r="AL122" s="289"/>
      <c r="AM122" s="289"/>
      <c r="AN122" s="289"/>
      <c r="AO122" s="289"/>
      <c r="AP122" s="289"/>
      <c r="AQ122" s="289"/>
      <c r="AR122" s="243"/>
      <c r="AS122" s="243"/>
      <c r="AT122" s="243"/>
      <c r="AU122" s="243"/>
      <c r="AV122" s="243"/>
      <c r="AW122" s="243"/>
      <c r="AX122" s="243"/>
      <c r="AY122" s="243"/>
      <c r="AZ122" s="243"/>
      <c r="BA122" s="243"/>
      <c r="BB122" s="243"/>
      <c r="BC122" s="243"/>
      <c r="BD122" s="243"/>
      <c r="BE122" s="243"/>
      <c r="BF122" s="246"/>
      <c r="BG122" s="246"/>
      <c r="BH122" s="243"/>
      <c r="BI122" s="243"/>
      <c r="BJ122" s="243"/>
      <c r="BK122" s="243"/>
      <c r="BL122" s="243"/>
      <c r="BM122" s="243"/>
      <c r="BN122" s="243"/>
      <c r="BO122" s="243"/>
      <c r="BP122" s="243"/>
      <c r="BQ122" s="243"/>
      <c r="BR122" s="243"/>
      <c r="BS122" s="243"/>
      <c r="BT122" s="243"/>
      <c r="BU122" s="243"/>
      <c r="BV122" s="243"/>
      <c r="BW122" s="243"/>
      <c r="BX122" s="243"/>
      <c r="BY122" s="243"/>
      <c r="BZ122" s="243"/>
      <c r="CA122" s="243"/>
      <c r="CB122" s="243"/>
      <c r="CC122" s="243"/>
      <c r="CD122" s="243"/>
      <c r="CE122" s="243"/>
      <c r="CF122" s="243"/>
      <c r="CG122" s="243"/>
      <c r="CH122" s="243"/>
      <c r="CI122" s="243"/>
      <c r="CJ122" s="243"/>
      <c r="CK122" s="243"/>
      <c r="CL122" s="243"/>
      <c r="CM122" s="243"/>
      <c r="CN122" s="243"/>
      <c r="CO122" s="243"/>
      <c r="CP122" s="243"/>
    </row>
    <row r="123" spans="1:94">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9"/>
      <c r="AL123" s="289"/>
      <c r="AM123" s="289"/>
      <c r="AN123" s="289"/>
      <c r="AO123" s="289"/>
      <c r="AP123" s="289"/>
      <c r="AQ123" s="289"/>
      <c r="AR123" s="243"/>
      <c r="AS123" s="243"/>
      <c r="AT123" s="243"/>
      <c r="AU123" s="243"/>
      <c r="AV123" s="243"/>
      <c r="AW123" s="243"/>
      <c r="AX123" s="243"/>
      <c r="AY123" s="243"/>
      <c r="AZ123" s="243"/>
      <c r="BA123" s="243"/>
      <c r="BB123" s="243"/>
      <c r="BC123" s="243"/>
      <c r="BD123" s="243"/>
      <c r="BE123" s="243"/>
      <c r="BF123" s="246"/>
      <c r="BG123" s="246"/>
      <c r="BH123" s="243"/>
      <c r="BI123" s="243"/>
      <c r="BJ123" s="243"/>
      <c r="BK123" s="243"/>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row>
    <row r="124" spans="1:94">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9"/>
      <c r="AL124" s="289"/>
      <c r="AM124" s="289"/>
      <c r="AN124" s="289"/>
      <c r="AO124" s="289"/>
      <c r="AP124" s="289"/>
      <c r="AQ124" s="289"/>
      <c r="AR124" s="243"/>
      <c r="AS124" s="243"/>
      <c r="AT124" s="243"/>
      <c r="AU124" s="243"/>
      <c r="AV124" s="243"/>
      <c r="AW124" s="243"/>
      <c r="AX124" s="243"/>
      <c r="AY124" s="243"/>
      <c r="AZ124" s="243"/>
      <c r="BA124" s="243"/>
      <c r="BB124" s="243"/>
      <c r="BC124" s="243"/>
      <c r="BD124" s="243"/>
      <c r="BE124" s="243"/>
      <c r="BF124" s="246"/>
      <c r="BG124" s="246"/>
      <c r="BH124" s="243"/>
      <c r="BI124" s="243"/>
      <c r="BJ124" s="243"/>
      <c r="BK124" s="243"/>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row>
    <row r="125" spans="1:94">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c r="AD125" s="288"/>
      <c r="AE125" s="288"/>
      <c r="AF125" s="288"/>
      <c r="AG125" s="288"/>
      <c r="AH125" s="288"/>
      <c r="AI125" s="288"/>
      <c r="AJ125" s="288"/>
      <c r="AK125" s="289"/>
      <c r="AL125" s="289"/>
      <c r="AM125" s="289"/>
      <c r="AN125" s="289"/>
      <c r="AO125" s="289"/>
      <c r="AP125" s="289"/>
      <c r="AQ125" s="289"/>
      <c r="AR125" s="243"/>
      <c r="AS125" s="243"/>
      <c r="AT125" s="243"/>
      <c r="AU125" s="243"/>
      <c r="AV125" s="243"/>
      <c r="AW125" s="243"/>
      <c r="AX125" s="243"/>
      <c r="AY125" s="243"/>
      <c r="AZ125" s="243"/>
      <c r="BA125" s="243"/>
      <c r="BB125" s="243"/>
      <c r="BC125" s="243"/>
      <c r="BD125" s="243"/>
      <c r="BE125" s="243"/>
      <c r="BF125" s="246"/>
      <c r="BG125" s="246"/>
      <c r="BH125" s="243"/>
      <c r="BI125" s="243"/>
      <c r="BJ125" s="243"/>
      <c r="BK125" s="243"/>
      <c r="BL125" s="243"/>
      <c r="BM125" s="243"/>
      <c r="BN125" s="243"/>
      <c r="BO125" s="243"/>
      <c r="BP125" s="243"/>
      <c r="BQ125" s="243"/>
      <c r="BR125" s="243"/>
      <c r="BS125" s="243"/>
      <c r="BT125" s="243"/>
      <c r="BU125" s="243"/>
      <c r="BV125" s="243"/>
      <c r="BW125" s="243"/>
      <c r="BX125" s="243"/>
      <c r="BY125" s="243"/>
      <c r="BZ125" s="243"/>
      <c r="CA125" s="243"/>
      <c r="CB125" s="243"/>
      <c r="CC125" s="243"/>
      <c r="CD125" s="243"/>
      <c r="CE125" s="243"/>
      <c r="CF125" s="243"/>
      <c r="CG125" s="243"/>
      <c r="CH125" s="243"/>
      <c r="CI125" s="243"/>
      <c r="CJ125" s="243"/>
      <c r="CK125" s="243"/>
      <c r="CL125" s="243"/>
      <c r="CM125" s="243"/>
      <c r="CN125" s="243"/>
      <c r="CO125" s="243"/>
      <c r="CP125" s="243"/>
    </row>
  </sheetData>
  <sheetProtection algorithmName="SHA-512" hashValue="BaZ8FY9Knkog1WmV3jq4ilgr0YbyqyDh2unTTpiNFO5yoQZxzUAdFSxdtQuxYzRPzvmVblCvzmEKhV0hrK7TIA==" saltValue="NoswzX9GbswEQZQQFuoCPw==" spinCount="100000" sheet="1" objects="1" scenarios="1" selectLockedCells="1" selectUnlockedCells="1"/>
  <mergeCells count="343">
    <mergeCell ref="A1:AK4"/>
    <mergeCell ref="A5:G5"/>
    <mergeCell ref="Y5:AB5"/>
    <mergeCell ref="AC5:AK5"/>
    <mergeCell ref="A6:G6"/>
    <mergeCell ref="Y6:AB6"/>
    <mergeCell ref="AC6:AK6"/>
    <mergeCell ref="A7:G7"/>
    <mergeCell ref="Y7:AB7"/>
    <mergeCell ref="A8:G9"/>
    <mergeCell ref="H8:AK9"/>
    <mergeCell ref="A10:H10"/>
    <mergeCell ref="I10:X10"/>
    <mergeCell ref="Y10:AB10"/>
    <mergeCell ref="AC10:AE10"/>
    <mergeCell ref="AF10:AH10"/>
    <mergeCell ref="AI10:AK10"/>
    <mergeCell ref="A11:AK12"/>
    <mergeCell ref="A13:G13"/>
    <mergeCell ref="H13:AK13"/>
    <mergeCell ref="H14:J14"/>
    <mergeCell ref="K14:M14"/>
    <mergeCell ref="N14:P14"/>
    <mergeCell ref="Q14:S14"/>
    <mergeCell ref="T14:V14"/>
    <mergeCell ref="W14:Y14"/>
    <mergeCell ref="Z14:AB14"/>
    <mergeCell ref="AC14:AE14"/>
    <mergeCell ref="AF14:AH14"/>
    <mergeCell ref="AI14:AK14"/>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A28:E28"/>
    <mergeCell ref="F28:U28"/>
    <mergeCell ref="F29:I30"/>
    <mergeCell ref="J29:M29"/>
    <mergeCell ref="N29:O30"/>
    <mergeCell ref="P29:U30"/>
    <mergeCell ref="J30:K30"/>
    <mergeCell ref="L30:M30"/>
    <mergeCell ref="A31:E31"/>
    <mergeCell ref="R31:S31"/>
    <mergeCell ref="T31:U31"/>
    <mergeCell ref="F32:G32"/>
    <mergeCell ref="H32:I32"/>
    <mergeCell ref="J32:K32"/>
    <mergeCell ref="L32:M32"/>
    <mergeCell ref="N32:O32"/>
    <mergeCell ref="P32:Q32"/>
    <mergeCell ref="R32:S32"/>
    <mergeCell ref="T32:U32"/>
    <mergeCell ref="F31:G31"/>
    <mergeCell ref="H31:I31"/>
    <mergeCell ref="J31:K31"/>
    <mergeCell ref="L31:M31"/>
    <mergeCell ref="N31:O31"/>
    <mergeCell ref="P31:Q31"/>
    <mergeCell ref="R33:S33"/>
    <mergeCell ref="T33:U33"/>
    <mergeCell ref="F34:G34"/>
    <mergeCell ref="H34:I34"/>
    <mergeCell ref="J34:K34"/>
    <mergeCell ref="L34:M34"/>
    <mergeCell ref="N34:O34"/>
    <mergeCell ref="P34:Q34"/>
    <mergeCell ref="R34:S34"/>
    <mergeCell ref="T34:U34"/>
    <mergeCell ref="F33:G33"/>
    <mergeCell ref="H33:I33"/>
    <mergeCell ref="J33:K33"/>
    <mergeCell ref="L33:M33"/>
    <mergeCell ref="N33:O33"/>
    <mergeCell ref="P33:Q33"/>
    <mergeCell ref="R35:S35"/>
    <mergeCell ref="T35:U35"/>
    <mergeCell ref="F36:G36"/>
    <mergeCell ref="H36:I36"/>
    <mergeCell ref="J36:K36"/>
    <mergeCell ref="L36:M36"/>
    <mergeCell ref="N36:O36"/>
    <mergeCell ref="P36:Q36"/>
    <mergeCell ref="R36:S36"/>
    <mergeCell ref="T36:U36"/>
    <mergeCell ref="F35:G35"/>
    <mergeCell ref="H35:I35"/>
    <mergeCell ref="J35:K35"/>
    <mergeCell ref="L35:M35"/>
    <mergeCell ref="N35:O35"/>
    <mergeCell ref="P35:Q35"/>
    <mergeCell ref="R37:S37"/>
    <mergeCell ref="T37:U37"/>
    <mergeCell ref="F38:G38"/>
    <mergeCell ref="H38:I38"/>
    <mergeCell ref="J38:K38"/>
    <mergeCell ref="L38:M38"/>
    <mergeCell ref="N38:O38"/>
    <mergeCell ref="P38:Q38"/>
    <mergeCell ref="R38:S38"/>
    <mergeCell ref="T38:U38"/>
    <mergeCell ref="F37:G37"/>
    <mergeCell ref="H37:I37"/>
    <mergeCell ref="J37:K37"/>
    <mergeCell ref="L37:M37"/>
    <mergeCell ref="N37:O37"/>
    <mergeCell ref="P37:Q37"/>
    <mergeCell ref="R39:S39"/>
    <mergeCell ref="T39:U39"/>
    <mergeCell ref="F40:G40"/>
    <mergeCell ref="H40:I40"/>
    <mergeCell ref="J40:K40"/>
    <mergeCell ref="L40:M40"/>
    <mergeCell ref="N40:O40"/>
    <mergeCell ref="P40:Q40"/>
    <mergeCell ref="R40:S40"/>
    <mergeCell ref="T40:U40"/>
    <mergeCell ref="F39:G39"/>
    <mergeCell ref="H39:I39"/>
    <mergeCell ref="J39:K39"/>
    <mergeCell ref="L39:M39"/>
    <mergeCell ref="N39:O39"/>
    <mergeCell ref="P39:Q39"/>
    <mergeCell ref="R41:S41"/>
    <mergeCell ref="T41:U41"/>
    <mergeCell ref="F42:G42"/>
    <mergeCell ref="H42:I42"/>
    <mergeCell ref="J42:K42"/>
    <mergeCell ref="L42:M42"/>
    <mergeCell ref="N42:O42"/>
    <mergeCell ref="P42:Q42"/>
    <mergeCell ref="R42:S42"/>
    <mergeCell ref="T42:U42"/>
    <mergeCell ref="F41:G41"/>
    <mergeCell ref="H41:I41"/>
    <mergeCell ref="J41:K41"/>
    <mergeCell ref="L41:M41"/>
    <mergeCell ref="N41:O41"/>
    <mergeCell ref="P41:Q41"/>
    <mergeCell ref="R43:S43"/>
    <mergeCell ref="T43:U43"/>
    <mergeCell ref="F44:G44"/>
    <mergeCell ref="H44:I44"/>
    <mergeCell ref="J44:K44"/>
    <mergeCell ref="L44:M44"/>
    <mergeCell ref="N44:O44"/>
    <mergeCell ref="P44:Q44"/>
    <mergeCell ref="R44:S44"/>
    <mergeCell ref="T44:U44"/>
    <mergeCell ref="F43:G43"/>
    <mergeCell ref="H43:I43"/>
    <mergeCell ref="J43:K43"/>
    <mergeCell ref="L43:M43"/>
    <mergeCell ref="N43:O43"/>
    <mergeCell ref="P43:Q43"/>
    <mergeCell ref="R45:S45"/>
    <mergeCell ref="T45:U45"/>
    <mergeCell ref="F46:G46"/>
    <mergeCell ref="H46:I46"/>
    <mergeCell ref="J46:K46"/>
    <mergeCell ref="L46:M46"/>
    <mergeCell ref="N46:O46"/>
    <mergeCell ref="P46:Q46"/>
    <mergeCell ref="R46:S46"/>
    <mergeCell ref="T46:U46"/>
    <mergeCell ref="F45:G45"/>
    <mergeCell ref="H45:I45"/>
    <mergeCell ref="J45:K45"/>
    <mergeCell ref="L45:M45"/>
    <mergeCell ref="N45:O45"/>
    <mergeCell ref="P45:Q45"/>
    <mergeCell ref="R47:S47"/>
    <mergeCell ref="T47:U47"/>
    <mergeCell ref="F48:G48"/>
    <mergeCell ref="H48:I48"/>
    <mergeCell ref="J48:K48"/>
    <mergeCell ref="L48:M48"/>
    <mergeCell ref="N48:O48"/>
    <mergeCell ref="P48:Q48"/>
    <mergeCell ref="R48:S48"/>
    <mergeCell ref="T48:U48"/>
    <mergeCell ref="F47:G47"/>
    <mergeCell ref="H47:I47"/>
    <mergeCell ref="J47:K47"/>
    <mergeCell ref="L47:M47"/>
    <mergeCell ref="N47:O47"/>
    <mergeCell ref="P47:Q47"/>
    <mergeCell ref="R49:S49"/>
    <mergeCell ref="T49:U49"/>
    <mergeCell ref="F50:G50"/>
    <mergeCell ref="H50:I50"/>
    <mergeCell ref="J50:K50"/>
    <mergeCell ref="L50:M50"/>
    <mergeCell ref="N50:O50"/>
    <mergeCell ref="P50:Q50"/>
    <mergeCell ref="R50:S50"/>
    <mergeCell ref="T50:U50"/>
    <mergeCell ref="F49:G49"/>
    <mergeCell ref="H49:I49"/>
    <mergeCell ref="J49:K49"/>
    <mergeCell ref="L49:M49"/>
    <mergeCell ref="N49:O49"/>
    <mergeCell ref="P49:Q49"/>
    <mergeCell ref="R51:S51"/>
    <mergeCell ref="T51:U51"/>
    <mergeCell ref="F52:G52"/>
    <mergeCell ref="H52:I52"/>
    <mergeCell ref="J52:K52"/>
    <mergeCell ref="L52:M52"/>
    <mergeCell ref="N52:O52"/>
    <mergeCell ref="P52:Q52"/>
    <mergeCell ref="R52:S52"/>
    <mergeCell ref="T52:U52"/>
    <mergeCell ref="F51:G51"/>
    <mergeCell ref="H51:I51"/>
    <mergeCell ref="J51:K51"/>
    <mergeCell ref="L51:M51"/>
    <mergeCell ref="N51:O51"/>
    <mergeCell ref="P51:Q51"/>
    <mergeCell ref="T53:U53"/>
    <mergeCell ref="L54:M54"/>
    <mergeCell ref="P54:Q54"/>
    <mergeCell ref="L55:M55"/>
    <mergeCell ref="N55:O55"/>
    <mergeCell ref="P55:Q55"/>
    <mergeCell ref="A53:E53"/>
    <mergeCell ref="F53:G53"/>
    <mergeCell ref="H53:I53"/>
    <mergeCell ref="J53:K53"/>
    <mergeCell ref="L53:M53"/>
    <mergeCell ref="N53:O53"/>
    <mergeCell ref="L62:M62"/>
    <mergeCell ref="N62:O62"/>
    <mergeCell ref="P62:Q62"/>
    <mergeCell ref="W28:AJ38"/>
    <mergeCell ref="L60:M60"/>
    <mergeCell ref="N60:O60"/>
    <mergeCell ref="P60:Q60"/>
    <mergeCell ref="L61:M61"/>
    <mergeCell ref="N61:O61"/>
    <mergeCell ref="P61:Q61"/>
    <mergeCell ref="L58:M58"/>
    <mergeCell ref="N58:O58"/>
    <mergeCell ref="P58:Q58"/>
    <mergeCell ref="L59:M59"/>
    <mergeCell ref="N59:O59"/>
    <mergeCell ref="P59:Q59"/>
    <mergeCell ref="L56:M56"/>
    <mergeCell ref="N56:O56"/>
    <mergeCell ref="P56:Q56"/>
    <mergeCell ref="L57:M57"/>
    <mergeCell ref="N57:O57"/>
    <mergeCell ref="P57:Q57"/>
    <mergeCell ref="P53:Q53"/>
    <mergeCell ref="R53:S53"/>
  </mergeCells>
  <conditionalFormatting sqref="F53:M53 P53:S53">
    <cfRule type="expression" dxfId="107" priority="5" stopIfTrue="1">
      <formula>F53=0</formula>
    </cfRule>
  </conditionalFormatting>
  <conditionalFormatting sqref="H32:V38 AK32:AK38 H39:AK52">
    <cfRule type="expression" dxfId="106" priority="1">
      <formula>H32=0</formula>
    </cfRule>
  </conditionalFormatting>
  <conditionalFormatting sqref="V53:AC53">
    <cfRule type="expression" dxfId="105" priority="6" stopIfTrue="1">
      <formula>V53=0</formula>
    </cfRule>
  </conditionalFormatting>
  <conditionalFormatting sqref="AF53:AI53 N57 N59">
    <cfRule type="expression" dxfId="104" priority="7" stopIfTrue="1">
      <formula>N53=0</formula>
    </cfRule>
  </conditionalFormatting>
  <pageMargins left="0.74803149606299213" right="0.19685039370078741" top="0.39370078740157483" bottom="0.39370078740157483" header="0.19685039370078741" footer="0.19685039370078741"/>
  <pageSetup paperSize="9" scale="59"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E26B3-570C-4659-978F-F67526A5855F}">
  <sheetPr>
    <tabColor rgb="FFFFC000"/>
    <pageSetUpPr fitToPage="1"/>
  </sheetPr>
  <dimension ref="A1:CP125"/>
  <sheetViews>
    <sheetView showGridLines="0" view="pageBreakPreview" zoomScaleNormal="100" zoomScaleSheetLayoutView="100" workbookViewId="0">
      <selection sqref="A1:AK4"/>
    </sheetView>
  </sheetViews>
  <sheetFormatPr defaultColWidth="3.7109375" defaultRowHeight="15"/>
  <cols>
    <col min="1" max="6" width="3.7109375" style="290"/>
    <col min="7" max="7" width="4.42578125" style="290" customWidth="1"/>
    <col min="8" max="11" width="3.7109375" style="290"/>
    <col min="12" max="16" width="4.7109375" style="290" customWidth="1"/>
    <col min="17" max="17" width="5.7109375" style="290" customWidth="1"/>
    <col min="18" max="18" width="8.5703125" style="290" bestFit="1" customWidth="1"/>
    <col min="19" max="19" width="5.42578125" style="290" customWidth="1"/>
    <col min="20" max="23" width="3.7109375" style="290"/>
    <col min="24" max="24" width="8.7109375" style="290" customWidth="1"/>
    <col min="25" max="37" width="3.7109375" style="290"/>
    <col min="38" max="38" width="3.7109375" style="247"/>
    <col min="39" max="50" width="8.7109375" style="247" customWidth="1"/>
    <col min="51" max="57" width="3.7109375" style="247"/>
    <col min="58" max="59" width="3.7109375" style="285"/>
    <col min="60" max="16384" width="3.7109375" style="247"/>
  </cols>
  <sheetData>
    <row r="1" spans="1:94"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8"/>
      <c r="AL1" s="238"/>
      <c r="AM1" s="238"/>
      <c r="AN1" s="238"/>
      <c r="AO1" s="238"/>
      <c r="AP1" s="238"/>
      <c r="AQ1" s="238"/>
      <c r="AR1" s="238"/>
      <c r="AS1" s="238"/>
      <c r="AT1" s="238"/>
      <c r="AU1" s="238"/>
      <c r="AV1" s="238"/>
      <c r="AW1" s="238"/>
      <c r="AX1" s="238"/>
      <c r="AY1" s="238"/>
      <c r="AZ1" s="238"/>
      <c r="BA1" s="238"/>
      <c r="BB1" s="238"/>
      <c r="BC1" s="238"/>
      <c r="BD1" s="238"/>
      <c r="BE1" s="238"/>
      <c r="BF1" s="239"/>
      <c r="BG1" s="239"/>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c r="CM1" s="238"/>
      <c r="CN1" s="238"/>
      <c r="CO1" s="238"/>
      <c r="CP1" s="238"/>
    </row>
    <row r="2" spans="1:94"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c r="AJ2" s="870"/>
      <c r="AK2" s="871"/>
      <c r="AL2" s="238"/>
      <c r="AM2" s="238"/>
      <c r="AN2" s="238"/>
      <c r="AO2" s="238"/>
      <c r="AP2" s="238"/>
      <c r="AQ2" s="238"/>
      <c r="AR2" s="238"/>
      <c r="AS2" s="238"/>
      <c r="AT2" s="238"/>
      <c r="AU2" s="238"/>
      <c r="AV2" s="238"/>
      <c r="AW2" s="238"/>
      <c r="AX2" s="238"/>
      <c r="AY2" s="238"/>
      <c r="AZ2" s="238"/>
      <c r="BA2" s="238"/>
      <c r="BB2" s="238"/>
      <c r="BC2" s="238"/>
      <c r="BD2" s="238"/>
      <c r="BE2" s="238"/>
      <c r="BF2" s="239"/>
      <c r="BG2" s="239"/>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row>
    <row r="3" spans="1:94"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1"/>
      <c r="AL3" s="238"/>
      <c r="AM3" s="238"/>
      <c r="AN3" s="238"/>
      <c r="AO3" s="238"/>
      <c r="AP3" s="238"/>
      <c r="AQ3" s="238"/>
      <c r="AR3" s="238"/>
      <c r="AS3" s="238"/>
      <c r="AT3" s="238"/>
      <c r="AU3" s="238"/>
      <c r="AV3" s="238"/>
      <c r="AW3" s="238"/>
      <c r="AX3" s="238"/>
      <c r="AY3" s="238"/>
      <c r="AZ3" s="238"/>
      <c r="BA3" s="238"/>
      <c r="BB3" s="238"/>
      <c r="BC3" s="238"/>
      <c r="BD3" s="238"/>
      <c r="BE3" s="238"/>
      <c r="BF3" s="239"/>
      <c r="BG3" s="239"/>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row>
    <row r="4" spans="1:94"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4"/>
      <c r="AL4" s="238"/>
      <c r="AM4" s="241"/>
      <c r="AN4" s="241"/>
      <c r="AO4" s="241"/>
      <c r="AP4" s="242" t="s">
        <v>576</v>
      </c>
      <c r="AQ4" s="242" t="s">
        <v>577</v>
      </c>
      <c r="AR4" s="242" t="s">
        <v>578</v>
      </c>
      <c r="AS4" s="241"/>
      <c r="AT4" s="241"/>
      <c r="AU4" s="241"/>
      <c r="AV4" s="241"/>
      <c r="AW4" s="241"/>
      <c r="AX4" s="238"/>
      <c r="AY4" s="238"/>
      <c r="AZ4" s="238"/>
      <c r="BA4" s="238"/>
      <c r="BB4" s="238"/>
      <c r="BC4" s="238"/>
      <c r="BD4" s="238"/>
      <c r="BE4" s="238"/>
      <c r="BF4" s="239"/>
      <c r="BG4" s="239"/>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row>
    <row r="5" spans="1:94" ht="15" customHeight="1">
      <c r="A5" s="875" t="s">
        <v>22</v>
      </c>
      <c r="B5" s="876"/>
      <c r="C5" s="876"/>
      <c r="D5" s="876"/>
      <c r="E5" s="876"/>
      <c r="F5" s="876"/>
      <c r="G5" s="876"/>
      <c r="H5" s="27" t="str">
        <f>'Emiss. Ops'!$C$2</f>
        <v>OMVP</v>
      </c>
      <c r="I5" s="27"/>
      <c r="J5" s="27"/>
      <c r="K5" s="27"/>
      <c r="L5" s="27"/>
      <c r="M5" s="27"/>
      <c r="N5" s="27"/>
      <c r="O5" s="27"/>
      <c r="P5" s="27"/>
      <c r="Q5" s="27"/>
      <c r="R5" s="27"/>
      <c r="S5" s="27"/>
      <c r="T5" s="27"/>
      <c r="U5" s="27"/>
      <c r="V5" s="27"/>
      <c r="W5" s="27"/>
      <c r="X5" s="27"/>
      <c r="Y5" s="876" t="s">
        <v>23</v>
      </c>
      <c r="Z5" s="876"/>
      <c r="AA5" s="876"/>
      <c r="AB5" s="876"/>
      <c r="AC5" s="877" t="str">
        <f>Effluents!$K$2</f>
        <v>PRJ-001030</v>
      </c>
      <c r="AD5" s="877"/>
      <c r="AE5" s="877"/>
      <c r="AF5" s="877"/>
      <c r="AG5" s="877"/>
      <c r="AH5" s="877"/>
      <c r="AI5" s="877"/>
      <c r="AJ5" s="877"/>
      <c r="AK5" s="878"/>
      <c r="AL5" s="243"/>
      <c r="AM5" s="244"/>
      <c r="AN5" s="244"/>
      <c r="AO5" s="244"/>
      <c r="AP5" s="245" t="s">
        <v>386</v>
      </c>
      <c r="AQ5" s="245" t="s">
        <v>729</v>
      </c>
      <c r="AR5" s="242">
        <v>1020</v>
      </c>
      <c r="AS5" s="244"/>
      <c r="AT5" s="244"/>
      <c r="AU5" s="244"/>
      <c r="AV5" s="244"/>
      <c r="AW5" s="244"/>
      <c r="AX5" s="238"/>
      <c r="AY5" s="238"/>
      <c r="AZ5" s="238"/>
      <c r="BA5" s="243"/>
      <c r="BB5" s="243"/>
      <c r="BC5" s="243"/>
      <c r="BD5" s="243"/>
      <c r="BE5" s="243"/>
      <c r="BF5" s="246"/>
      <c r="BG5" s="246"/>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row>
    <row r="6" spans="1:94" ht="15" customHeight="1">
      <c r="A6" s="862" t="s">
        <v>24</v>
      </c>
      <c r="B6" s="863"/>
      <c r="C6" s="863"/>
      <c r="D6" s="863"/>
      <c r="E6" s="863"/>
      <c r="F6" s="863"/>
      <c r="G6" s="863"/>
      <c r="H6" s="30" t="str">
        <f>'Emiss. Ops'!$C$3</f>
        <v>OMV Neptun BAT Study &amp; ESIA</v>
      </c>
      <c r="I6" s="30"/>
      <c r="J6" s="30"/>
      <c r="K6" s="30"/>
      <c r="L6" s="30"/>
      <c r="M6" s="30"/>
      <c r="N6" s="30"/>
      <c r="O6" s="30"/>
      <c r="P6" s="30"/>
      <c r="Q6" s="30"/>
      <c r="R6" s="30"/>
      <c r="S6" s="30"/>
      <c r="T6" s="30"/>
      <c r="U6" s="30"/>
      <c r="V6" s="30"/>
      <c r="W6" s="30"/>
      <c r="X6" s="30"/>
      <c r="Y6" s="863" t="s">
        <v>25</v>
      </c>
      <c r="Z6" s="863"/>
      <c r="AA6" s="863"/>
      <c r="AB6" s="863"/>
      <c r="AC6" s="860"/>
      <c r="AD6" s="860"/>
      <c r="AE6" s="860"/>
      <c r="AF6" s="860"/>
      <c r="AG6" s="860"/>
      <c r="AH6" s="860"/>
      <c r="AI6" s="860"/>
      <c r="AJ6" s="860"/>
      <c r="AK6" s="861"/>
      <c r="AL6" s="243"/>
      <c r="AM6" s="244"/>
      <c r="AN6" s="244"/>
      <c r="AO6" s="242"/>
      <c r="AP6" s="245" t="s">
        <v>406</v>
      </c>
      <c r="AQ6" s="245" t="s">
        <v>339</v>
      </c>
      <c r="AR6" s="245">
        <v>0.45400000000000001</v>
      </c>
      <c r="AS6" s="242"/>
      <c r="AT6" s="244"/>
      <c r="AU6" s="244"/>
      <c r="AV6" s="244"/>
      <c r="AW6" s="244"/>
      <c r="AX6" s="238"/>
      <c r="AY6" s="238"/>
      <c r="AZ6" s="238"/>
      <c r="BA6" s="243"/>
      <c r="BB6" s="243"/>
      <c r="BC6" s="243"/>
      <c r="BD6" s="243"/>
      <c r="BE6" s="243"/>
      <c r="BF6" s="246"/>
      <c r="BG6" s="246"/>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row>
    <row r="7" spans="1:94" ht="15" customHeight="1">
      <c r="A7" s="862" t="s">
        <v>26</v>
      </c>
      <c r="B7" s="863"/>
      <c r="C7" s="863"/>
      <c r="D7" s="863"/>
      <c r="E7" s="863"/>
      <c r="F7" s="863"/>
      <c r="G7" s="863"/>
      <c r="H7" s="30" t="str">
        <f>'Emiss. Ops'!$C$4</f>
        <v>Emissions Inventory</v>
      </c>
      <c r="I7" s="30"/>
      <c r="J7" s="30"/>
      <c r="K7" s="30"/>
      <c r="L7" s="30"/>
      <c r="M7" s="30"/>
      <c r="N7" s="30"/>
      <c r="O7" s="30"/>
      <c r="P7" s="30"/>
      <c r="Q7" s="30"/>
      <c r="R7" s="30"/>
      <c r="S7" s="30"/>
      <c r="T7" s="30"/>
      <c r="U7" s="30"/>
      <c r="V7" s="30"/>
      <c r="W7" s="30"/>
      <c r="X7" s="30"/>
      <c r="Y7" s="863" t="s">
        <v>27</v>
      </c>
      <c r="Z7" s="863"/>
      <c r="AA7" s="863"/>
      <c r="AB7" s="863"/>
      <c r="AC7" s="30" t="str">
        <f>'Emiss. Ops'!$I$4</f>
        <v>Normal Operations</v>
      </c>
      <c r="AD7" s="31"/>
      <c r="AE7" s="31"/>
      <c r="AF7" s="31"/>
      <c r="AG7" s="31"/>
      <c r="AH7" s="31"/>
      <c r="AI7" s="31"/>
      <c r="AJ7" s="31"/>
      <c r="AK7" s="32"/>
      <c r="AL7" s="243"/>
      <c r="AM7" s="244"/>
      <c r="AN7" s="244"/>
      <c r="AO7" s="242"/>
      <c r="AP7" s="245" t="s">
        <v>407</v>
      </c>
      <c r="AQ7" s="245" t="s">
        <v>730</v>
      </c>
      <c r="AR7" s="248">
        <f>0.305^3</f>
        <v>2.8372624999999999E-2</v>
      </c>
      <c r="AS7" s="242"/>
      <c r="AT7" s="244"/>
      <c r="AU7" s="244"/>
      <c r="AV7" s="244"/>
      <c r="AW7" s="244"/>
      <c r="AX7" s="238"/>
      <c r="AY7" s="238"/>
      <c r="AZ7" s="238"/>
      <c r="BA7" s="243"/>
      <c r="BB7" s="243"/>
      <c r="BC7" s="243"/>
      <c r="BD7" s="243"/>
      <c r="BE7" s="243"/>
      <c r="BF7" s="246"/>
      <c r="BG7" s="246"/>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row>
    <row r="8" spans="1:94"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8"/>
      <c r="AH8" s="1288"/>
      <c r="AI8" s="1288"/>
      <c r="AJ8" s="1288"/>
      <c r="AK8" s="1289"/>
      <c r="AL8" s="243"/>
      <c r="AM8" s="244"/>
      <c r="AN8" s="244"/>
      <c r="AO8" s="242"/>
      <c r="AP8" s="245" t="s">
        <v>729</v>
      </c>
      <c r="AQ8" s="245" t="s">
        <v>731</v>
      </c>
      <c r="AR8" s="249">
        <f>AR6/AR7 * ((AN18+273.15)/(AN20+273.15))</f>
        <v>16.912595854908194</v>
      </c>
      <c r="AS8" s="242"/>
      <c r="AT8" s="244"/>
      <c r="AU8" s="244"/>
      <c r="AV8" s="244"/>
      <c r="AW8" s="244"/>
      <c r="AX8" s="238"/>
      <c r="AY8" s="238"/>
      <c r="AZ8" s="238"/>
      <c r="BA8" s="243"/>
      <c r="BB8" s="243"/>
      <c r="BC8" s="243"/>
      <c r="BD8" s="243"/>
      <c r="BE8" s="243"/>
      <c r="BF8" s="246"/>
      <c r="BG8" s="246"/>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row>
    <row r="9" spans="1:94"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8"/>
      <c r="AH9" s="1288"/>
      <c r="AI9" s="1288"/>
      <c r="AJ9" s="1288"/>
      <c r="AK9" s="1289"/>
      <c r="AL9" s="243"/>
      <c r="AM9" s="244"/>
      <c r="AN9" s="244"/>
      <c r="AO9" s="242"/>
      <c r="AP9" s="242" t="s">
        <v>409</v>
      </c>
      <c r="AQ9" s="242" t="s">
        <v>410</v>
      </c>
      <c r="AR9" s="242">
        <v>947</v>
      </c>
      <c r="AS9" s="242"/>
      <c r="AT9" s="244"/>
      <c r="AU9" s="244"/>
      <c r="AV9" s="244"/>
      <c r="AW9" s="244"/>
      <c r="AX9" s="238"/>
      <c r="AY9" s="238"/>
      <c r="AZ9" s="238"/>
      <c r="BA9" s="243"/>
      <c r="BB9" s="243"/>
      <c r="BC9" s="243"/>
      <c r="BD9" s="243"/>
      <c r="BE9" s="243"/>
      <c r="BF9" s="246"/>
      <c r="BG9" s="246"/>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row>
    <row r="10" spans="1:94"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1283"/>
      <c r="V10" s="1283"/>
      <c r="W10" s="1283"/>
      <c r="X10" s="1283"/>
      <c r="Y10" s="859" t="s">
        <v>28</v>
      </c>
      <c r="Z10" s="859"/>
      <c r="AA10" s="859"/>
      <c r="AB10" s="859"/>
      <c r="AC10" s="1284"/>
      <c r="AD10" s="1284"/>
      <c r="AE10" s="1284"/>
      <c r="AF10" s="1285"/>
      <c r="AG10" s="1285"/>
      <c r="AH10" s="1285"/>
      <c r="AI10" s="1286"/>
      <c r="AJ10" s="1286"/>
      <c r="AK10" s="1287"/>
      <c r="AL10" s="238"/>
      <c r="AM10" s="241"/>
      <c r="AN10" s="241"/>
      <c r="AO10" s="245"/>
      <c r="AP10" s="245" t="s">
        <v>710</v>
      </c>
      <c r="AQ10" s="245" t="s">
        <v>709</v>
      </c>
      <c r="AR10" s="245">
        <v>1E-3</v>
      </c>
      <c r="AS10" s="245"/>
      <c r="AT10" s="241"/>
      <c r="AU10" s="241"/>
      <c r="AV10" s="241"/>
      <c r="AW10" s="241"/>
      <c r="AX10" s="238"/>
      <c r="AY10" s="238"/>
      <c r="AZ10" s="238"/>
      <c r="BA10" s="238"/>
      <c r="BB10" s="238"/>
      <c r="BC10" s="238"/>
      <c r="BD10" s="238"/>
      <c r="BE10" s="238"/>
      <c r="BF10" s="239"/>
      <c r="BG10" s="239"/>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row>
    <row r="11" spans="1:94" s="240" customFormat="1" ht="14.25" customHeight="1">
      <c r="A11" s="1271" t="s">
        <v>170</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3"/>
      <c r="AL11" s="238"/>
      <c r="AM11" s="241"/>
      <c r="AN11" s="241"/>
      <c r="AO11" s="245"/>
      <c r="AP11" s="245" t="s">
        <v>732</v>
      </c>
      <c r="AQ11" s="245" t="s">
        <v>409</v>
      </c>
      <c r="AR11" s="245">
        <f>1/(AR9/1000000)</f>
        <v>1055.9662090813094</v>
      </c>
      <c r="AS11" s="245"/>
      <c r="AT11" s="241"/>
      <c r="AU11" s="241"/>
      <c r="AV11" s="241"/>
      <c r="AW11" s="241"/>
      <c r="AX11" s="238"/>
      <c r="AY11" s="238"/>
      <c r="AZ11" s="238"/>
      <c r="BA11" s="238"/>
      <c r="BB11" s="238"/>
      <c r="BC11" s="238"/>
      <c r="BD11" s="238"/>
      <c r="BE11" s="238"/>
      <c r="BF11" s="239"/>
      <c r="BG11" s="239"/>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row>
    <row r="12" spans="1:94" s="240" customFormat="1" ht="14.25" customHeight="1">
      <c r="A12" s="1274"/>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5"/>
      <c r="AH12" s="1275"/>
      <c r="AI12" s="1275"/>
      <c r="AJ12" s="1275"/>
      <c r="AK12" s="1276"/>
      <c r="AL12" s="238"/>
      <c r="AM12" s="241"/>
      <c r="AN12" s="241"/>
      <c r="AO12" s="245"/>
      <c r="AP12" s="245"/>
      <c r="AQ12" s="245"/>
      <c r="AR12" s="245"/>
      <c r="AS12" s="245"/>
      <c r="AT12" s="241"/>
      <c r="AU12" s="241"/>
      <c r="AV12" s="241"/>
      <c r="AW12" s="241"/>
      <c r="AX12" s="238"/>
      <c r="AY12" s="238"/>
      <c r="AZ12" s="238"/>
      <c r="BA12" s="238"/>
      <c r="BB12" s="238"/>
      <c r="BC12" s="238"/>
      <c r="BD12" s="238"/>
      <c r="BE12" s="238"/>
      <c r="BF12" s="239"/>
      <c r="BG12" s="239"/>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row>
    <row r="13" spans="1:94" s="240" customFormat="1" ht="14.25" customHeight="1">
      <c r="A13" s="1277" t="s">
        <v>587</v>
      </c>
      <c r="B13" s="1278"/>
      <c r="C13" s="1278"/>
      <c r="D13" s="1278"/>
      <c r="E13" s="1278"/>
      <c r="F13" s="1278"/>
      <c r="G13" s="1279"/>
      <c r="H13" s="1280" t="s">
        <v>733</v>
      </c>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2"/>
      <c r="AL13" s="238"/>
      <c r="AM13" s="241"/>
      <c r="AN13" s="241"/>
      <c r="AO13" s="241"/>
      <c r="AP13" s="241"/>
      <c r="AQ13" s="241"/>
      <c r="AR13" s="241"/>
      <c r="AS13" s="241"/>
      <c r="AT13" s="241"/>
      <c r="AU13" s="241"/>
      <c r="AV13" s="241"/>
      <c r="AW13" s="241"/>
      <c r="AX13" s="241"/>
      <c r="AY13" s="241"/>
      <c r="AZ13" s="241"/>
      <c r="BA13" s="238"/>
      <c r="BB13" s="238"/>
      <c r="BC13" s="238"/>
      <c r="BD13" s="238"/>
      <c r="BE13" s="238"/>
      <c r="BF13" s="239"/>
      <c r="BG13" s="239"/>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row>
    <row r="14" spans="1:94" s="240" customFormat="1" ht="14.25" customHeight="1">
      <c r="A14" s="279" t="s">
        <v>589</v>
      </c>
      <c r="B14" s="429"/>
      <c r="C14" s="429"/>
      <c r="D14" s="429"/>
      <c r="E14" s="429"/>
      <c r="F14" s="429"/>
      <c r="G14" s="429"/>
      <c r="H14" s="1271" t="s">
        <v>590</v>
      </c>
      <c r="I14" s="1272"/>
      <c r="J14" s="1273"/>
      <c r="K14" s="1271" t="s">
        <v>591</v>
      </c>
      <c r="L14" s="1272"/>
      <c r="M14" s="1273"/>
      <c r="N14" s="1271" t="s">
        <v>592</v>
      </c>
      <c r="O14" s="1272"/>
      <c r="P14" s="1273"/>
      <c r="Q14" s="1271" t="s">
        <v>400</v>
      </c>
      <c r="R14" s="1272"/>
      <c r="S14" s="1273"/>
      <c r="T14" s="1271" t="s">
        <v>593</v>
      </c>
      <c r="U14" s="1272"/>
      <c r="V14" s="1273"/>
      <c r="W14" s="1271" t="s">
        <v>593</v>
      </c>
      <c r="X14" s="1272"/>
      <c r="Y14" s="1273"/>
      <c r="Z14" s="1271" t="s">
        <v>115</v>
      </c>
      <c r="AA14" s="1272"/>
      <c r="AB14" s="1273"/>
      <c r="AC14" s="1271" t="s">
        <v>115</v>
      </c>
      <c r="AD14" s="1272"/>
      <c r="AE14" s="1273"/>
      <c r="AF14" s="1271" t="s">
        <v>116</v>
      </c>
      <c r="AG14" s="1272"/>
      <c r="AH14" s="1273"/>
      <c r="AI14" s="1271" t="s">
        <v>116</v>
      </c>
      <c r="AJ14" s="1272"/>
      <c r="AK14" s="1273"/>
      <c r="AL14" s="238"/>
      <c r="AM14" s="241"/>
      <c r="AN14" s="241"/>
      <c r="AO14" s="241"/>
      <c r="AP14" s="241"/>
      <c r="AQ14" s="430"/>
      <c r="AR14" s="241"/>
      <c r="AS14" s="241"/>
      <c r="AT14" s="241"/>
      <c r="AU14" s="241"/>
      <c r="AV14" s="241"/>
      <c r="AW14" s="241"/>
      <c r="AX14" s="238"/>
      <c r="AY14" s="238"/>
      <c r="AZ14" s="238"/>
      <c r="BA14" s="238"/>
      <c r="BB14" s="238"/>
      <c r="BC14" s="238"/>
      <c r="BD14" s="238"/>
      <c r="BE14" s="238"/>
      <c r="BF14" s="239"/>
      <c r="BG14" s="239"/>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row>
    <row r="15" spans="1:94" s="240" customFormat="1" ht="14.25" customHeight="1">
      <c r="A15" s="250"/>
      <c r="B15" s="251"/>
      <c r="C15" s="251"/>
      <c r="D15" s="251"/>
      <c r="E15" s="251"/>
      <c r="F15" s="251"/>
      <c r="G15" s="251"/>
      <c r="H15" s="1302" t="s">
        <v>594</v>
      </c>
      <c r="I15" s="1283"/>
      <c r="J15" s="1303"/>
      <c r="K15" s="1302" t="s">
        <v>595</v>
      </c>
      <c r="L15" s="1283"/>
      <c r="M15" s="1303"/>
      <c r="N15" s="1302" t="s">
        <v>596</v>
      </c>
      <c r="O15" s="1283"/>
      <c r="P15" s="1303"/>
      <c r="Q15" s="1302" t="s">
        <v>597</v>
      </c>
      <c r="R15" s="1283"/>
      <c r="S15" s="1303"/>
      <c r="T15" s="1302" t="s">
        <v>734</v>
      </c>
      <c r="U15" s="1283"/>
      <c r="V15" s="1303"/>
      <c r="W15" s="1302" t="s">
        <v>599</v>
      </c>
      <c r="X15" s="1283"/>
      <c r="Y15" s="1303"/>
      <c r="Z15" s="1302" t="s">
        <v>734</v>
      </c>
      <c r="AA15" s="1283"/>
      <c r="AB15" s="1303"/>
      <c r="AC15" s="1302" t="s">
        <v>599</v>
      </c>
      <c r="AD15" s="1283"/>
      <c r="AE15" s="1303"/>
      <c r="AF15" s="1302" t="s">
        <v>734</v>
      </c>
      <c r="AG15" s="1283"/>
      <c r="AH15" s="1303"/>
      <c r="AI15" s="1302" t="s">
        <v>599</v>
      </c>
      <c r="AJ15" s="1283"/>
      <c r="AK15" s="1303"/>
      <c r="AL15" s="238"/>
      <c r="AM15" s="241"/>
      <c r="AN15" s="241"/>
      <c r="AO15" s="241"/>
      <c r="AP15" s="431" t="s">
        <v>393</v>
      </c>
      <c r="AQ15" s="432"/>
      <c r="AR15" s="433"/>
      <c r="AS15" s="431" t="s">
        <v>115</v>
      </c>
      <c r="AT15" s="432"/>
      <c r="AU15" s="433"/>
      <c r="AV15" s="238"/>
      <c r="AW15" s="238"/>
      <c r="AX15" s="238"/>
      <c r="AY15" s="238"/>
      <c r="AZ15" s="238"/>
      <c r="BA15" s="238"/>
      <c r="BB15" s="238"/>
      <c r="BC15" s="238"/>
      <c r="BD15" s="238"/>
      <c r="BE15" s="238"/>
      <c r="BF15" s="239"/>
      <c r="BG15" s="239"/>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row>
    <row r="16" spans="1:94" s="240" customFormat="1" ht="14.25" customHeight="1">
      <c r="A16" s="434" t="s">
        <v>735</v>
      </c>
      <c r="B16" s="435"/>
      <c r="C16" s="435"/>
      <c r="D16" s="435"/>
      <c r="E16" s="435"/>
      <c r="F16" s="435"/>
      <c r="G16" s="436"/>
      <c r="H16" s="1304"/>
      <c r="I16" s="1305"/>
      <c r="J16" s="1306"/>
      <c r="K16" s="1307"/>
      <c r="L16" s="1308"/>
      <c r="M16" s="1309"/>
      <c r="N16" s="1304"/>
      <c r="O16" s="1305"/>
      <c r="P16" s="1306"/>
      <c r="Q16" s="1415">
        <f>GTGs!Q15</f>
        <v>37.956295834166582</v>
      </c>
      <c r="R16" s="1416"/>
      <c r="S16" s="1417"/>
      <c r="T16" s="1418">
        <f>AR17</f>
        <v>1173.0576484964322</v>
      </c>
      <c r="U16" s="1419"/>
      <c r="V16" s="1420"/>
      <c r="W16" s="1304"/>
      <c r="X16" s="1305"/>
      <c r="Y16" s="1306"/>
      <c r="Z16" s="1418">
        <f>AU17</f>
        <v>6382.8136756423519</v>
      </c>
      <c r="AA16" s="1419"/>
      <c r="AB16" s="1420"/>
      <c r="AC16" s="1304"/>
      <c r="AD16" s="1305"/>
      <c r="AE16" s="1306"/>
      <c r="AF16" s="1379">
        <f>AR21</f>
        <v>40</v>
      </c>
      <c r="AG16" s="1380"/>
      <c r="AH16" s="1381"/>
      <c r="AI16" s="1304" t="s">
        <v>604</v>
      </c>
      <c r="AJ16" s="1305"/>
      <c r="AK16" s="1306"/>
      <c r="AL16" s="238"/>
      <c r="AM16" s="241" t="s">
        <v>605</v>
      </c>
      <c r="AN16" s="241"/>
      <c r="AO16" s="241"/>
      <c r="AP16" s="437" t="s">
        <v>386</v>
      </c>
      <c r="AQ16" s="437" t="s">
        <v>714</v>
      </c>
      <c r="AR16" s="437" t="s">
        <v>715</v>
      </c>
      <c r="AS16" s="437" t="s">
        <v>386</v>
      </c>
      <c r="AT16" s="437" t="s">
        <v>714</v>
      </c>
      <c r="AU16" s="437" t="s">
        <v>715</v>
      </c>
      <c r="AV16" s="238"/>
      <c r="AW16" s="238"/>
      <c r="AX16" s="238"/>
      <c r="AY16" s="238"/>
      <c r="AZ16" s="238"/>
      <c r="BA16" s="238"/>
      <c r="BB16" s="238"/>
      <c r="BC16" s="238"/>
      <c r="BD16" s="238"/>
      <c r="BE16" s="238"/>
      <c r="BF16" s="239"/>
      <c r="BG16" s="239"/>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row>
    <row r="17" spans="1:94" s="240" customFormat="1" ht="14.25" customHeight="1">
      <c r="A17" s="438" t="s">
        <v>736</v>
      </c>
      <c r="B17" s="439"/>
      <c r="C17" s="439"/>
      <c r="D17" s="439"/>
      <c r="E17" s="439"/>
      <c r="F17" s="439"/>
      <c r="G17" s="440"/>
      <c r="H17" s="1421">
        <f>CO2eEF!P16</f>
        <v>16.12</v>
      </c>
      <c r="I17" s="1422"/>
      <c r="J17" s="1423"/>
      <c r="K17" s="1424">
        <f>CO2eEF!P12</f>
        <v>0.69899999999999995</v>
      </c>
      <c r="L17" s="1425"/>
      <c r="M17" s="1426"/>
      <c r="N17" s="1421">
        <f>CO2eEF!P19</f>
        <v>49.78</v>
      </c>
      <c r="O17" s="1427"/>
      <c r="P17" s="1428"/>
      <c r="Q17" s="1421">
        <f>CO2eEF!P21</f>
        <v>37.770000000000003</v>
      </c>
      <c r="R17" s="1427"/>
      <c r="S17" s="1428"/>
      <c r="T17" s="1340">
        <f>Q17/Q16*T16</f>
        <v>1167.3000857957165</v>
      </c>
      <c r="U17" s="1341"/>
      <c r="V17" s="1342"/>
      <c r="W17" s="1322">
        <f>T17/1000000/K17</f>
        <v>1.6699572042857176E-3</v>
      </c>
      <c r="X17" s="1323"/>
      <c r="Y17" s="1324"/>
      <c r="Z17" s="1340">
        <f>Q17/Q16*Z16</f>
        <v>6351.4857609472811</v>
      </c>
      <c r="AA17" s="1341"/>
      <c r="AB17" s="1342"/>
      <c r="AC17" s="1322">
        <f>Z17/$K17/1000000</f>
        <v>9.0865318468487562E-3</v>
      </c>
      <c r="AD17" s="1323"/>
      <c r="AE17" s="1324"/>
      <c r="AF17" s="1299">
        <f>Q17/Q16*AF16</f>
        <v>39.80367332473061</v>
      </c>
      <c r="AG17" s="1300"/>
      <c r="AH17" s="1301"/>
      <c r="AI17" s="1322">
        <f>AF17/$K17/1000000</f>
        <v>5.6943738661989431E-5</v>
      </c>
      <c r="AJ17" s="1323"/>
      <c r="AK17" s="1324"/>
      <c r="AL17" s="238"/>
      <c r="AM17" s="441" t="s">
        <v>606</v>
      </c>
      <c r="AN17" s="241">
        <v>60</v>
      </c>
      <c r="AO17" s="241" t="s">
        <v>607</v>
      </c>
      <c r="AP17" s="442">
        <v>6.8000000000000005E-2</v>
      </c>
      <c r="AQ17" s="443">
        <f>AR5*$AP$17</f>
        <v>69.36</v>
      </c>
      <c r="AR17" s="443">
        <f>$AR$8*AQ17</f>
        <v>1173.0576484964322</v>
      </c>
      <c r="AS17" s="444">
        <v>0.37</v>
      </c>
      <c r="AT17" s="445">
        <f>AS17*AR5</f>
        <v>377.4</v>
      </c>
      <c r="AU17" s="446">
        <f>AT17*AR8</f>
        <v>6382.8136756423519</v>
      </c>
      <c r="AV17" s="238"/>
      <c r="AW17" s="238"/>
      <c r="AX17" s="238"/>
      <c r="AY17" s="238"/>
      <c r="AZ17" s="238"/>
      <c r="BA17" s="238"/>
      <c r="BB17" s="238"/>
      <c r="BC17" s="238"/>
      <c r="BD17" s="238"/>
      <c r="BE17" s="238"/>
      <c r="BF17" s="239"/>
      <c r="BG17" s="239"/>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row>
    <row r="18" spans="1:94" s="240" customFormat="1" ht="14.25" customHeight="1">
      <c r="A18" s="133"/>
      <c r="B18" s="251"/>
      <c r="C18" s="251"/>
      <c r="D18" s="251"/>
      <c r="E18" s="251"/>
      <c r="F18" s="251"/>
      <c r="G18" s="251"/>
      <c r="H18" s="1325"/>
      <c r="I18" s="1326"/>
      <c r="J18" s="1327"/>
      <c r="K18" s="1328"/>
      <c r="L18" s="1329"/>
      <c r="M18" s="1330"/>
      <c r="N18" s="1331"/>
      <c r="O18" s="1332"/>
      <c r="P18" s="1333"/>
      <c r="Q18" s="1334"/>
      <c r="R18" s="1335"/>
      <c r="S18" s="1336"/>
      <c r="T18" s="1337"/>
      <c r="U18" s="1338"/>
      <c r="V18" s="1339"/>
      <c r="W18" s="1302"/>
      <c r="X18" s="1283"/>
      <c r="Y18" s="1303"/>
      <c r="Z18" s="1337"/>
      <c r="AA18" s="1338"/>
      <c r="AB18" s="1339"/>
      <c r="AC18" s="1302"/>
      <c r="AD18" s="1283"/>
      <c r="AE18" s="1303"/>
      <c r="AF18" s="1343"/>
      <c r="AG18" s="1344"/>
      <c r="AH18" s="1345"/>
      <c r="AI18" s="1302"/>
      <c r="AJ18" s="1283"/>
      <c r="AK18" s="1303"/>
      <c r="AL18" s="238"/>
      <c r="AM18" s="441" t="s">
        <v>608</v>
      </c>
      <c r="AN18" s="447">
        <f>(AN17 - 32) * 5/9</f>
        <v>15.555555555555555</v>
      </c>
      <c r="AO18" s="241" t="s">
        <v>609</v>
      </c>
      <c r="AP18" s="444"/>
      <c r="AQ18" s="448"/>
      <c r="AR18" s="446"/>
      <c r="AS18" s="444"/>
      <c r="AT18" s="445"/>
      <c r="AU18" s="446"/>
      <c r="AV18" s="238"/>
      <c r="AW18" s="238"/>
      <c r="AX18" s="238"/>
      <c r="AY18" s="238"/>
      <c r="AZ18" s="238"/>
      <c r="BA18" s="238"/>
      <c r="BB18" s="238"/>
      <c r="BC18" s="238"/>
      <c r="BD18" s="238"/>
      <c r="BE18" s="238"/>
      <c r="BF18" s="239"/>
      <c r="BG18" s="239"/>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row>
    <row r="19" spans="1:94" s="240" customFormat="1" ht="14.25" customHeight="1">
      <c r="A19" s="279" t="s">
        <v>589</v>
      </c>
      <c r="B19" s="429"/>
      <c r="C19" s="429"/>
      <c r="D19" s="429"/>
      <c r="E19" s="429"/>
      <c r="F19" s="429"/>
      <c r="G19" s="449"/>
      <c r="H19" s="1271" t="s">
        <v>122</v>
      </c>
      <c r="I19" s="1272"/>
      <c r="J19" s="1273"/>
      <c r="K19" s="1271" t="s">
        <v>122</v>
      </c>
      <c r="L19" s="1272"/>
      <c r="M19" s="1273"/>
      <c r="N19" s="1271" t="s">
        <v>124</v>
      </c>
      <c r="O19" s="1272"/>
      <c r="P19" s="1273"/>
      <c r="Q19" s="1271" t="s">
        <v>124</v>
      </c>
      <c r="R19" s="1272"/>
      <c r="S19" s="1273"/>
      <c r="T19" s="1117" t="s">
        <v>123</v>
      </c>
      <c r="U19" s="1118"/>
      <c r="V19" s="1119"/>
      <c r="W19" s="1117" t="s">
        <v>123</v>
      </c>
      <c r="X19" s="1118"/>
      <c r="Y19" s="1119"/>
      <c r="Z19" s="1117" t="s">
        <v>716</v>
      </c>
      <c r="AA19" s="1118"/>
      <c r="AB19" s="1119"/>
      <c r="AC19" s="1117" t="s">
        <v>125</v>
      </c>
      <c r="AD19" s="1118"/>
      <c r="AE19" s="1119"/>
      <c r="AF19" s="30"/>
      <c r="AG19" s="30"/>
      <c r="AH19" s="30"/>
      <c r="AI19" s="30"/>
      <c r="AJ19" s="30"/>
      <c r="AK19" s="280"/>
      <c r="AL19" s="238"/>
      <c r="AM19" s="241"/>
      <c r="AN19" s="241"/>
      <c r="AO19" s="241"/>
      <c r="AP19" s="431" t="s">
        <v>116</v>
      </c>
      <c r="AQ19" s="432"/>
      <c r="AR19" s="433"/>
      <c r="AS19" s="431" t="s">
        <v>122</v>
      </c>
      <c r="AT19" s="432"/>
      <c r="AU19" s="433"/>
      <c r="AV19" s="238"/>
      <c r="AW19" s="238"/>
      <c r="AX19" s="238"/>
      <c r="AY19" s="238"/>
      <c r="AZ19" s="238"/>
      <c r="BA19" s="238"/>
      <c r="BB19" s="238"/>
      <c r="BC19" s="238"/>
      <c r="BD19" s="238"/>
      <c r="BE19" s="238"/>
      <c r="BF19" s="239"/>
      <c r="BG19" s="239"/>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row>
    <row r="20" spans="1:94" s="240" customFormat="1" ht="14.25" customHeight="1">
      <c r="A20" s="250"/>
      <c r="B20" s="251"/>
      <c r="C20" s="251"/>
      <c r="D20" s="251"/>
      <c r="E20" s="251"/>
      <c r="F20" s="251"/>
      <c r="G20" s="450"/>
      <c r="H20" s="1302" t="s">
        <v>734</v>
      </c>
      <c r="I20" s="1283"/>
      <c r="J20" s="1303"/>
      <c r="K20" s="1302" t="s">
        <v>599</v>
      </c>
      <c r="L20" s="1283"/>
      <c r="M20" s="1303"/>
      <c r="N20" s="1302" t="s">
        <v>734</v>
      </c>
      <c r="O20" s="1283"/>
      <c r="P20" s="1303"/>
      <c r="Q20" s="1302" t="s">
        <v>599</v>
      </c>
      <c r="R20" s="1283"/>
      <c r="S20" s="1303"/>
      <c r="T20" s="1089" t="s">
        <v>598</v>
      </c>
      <c r="U20" s="1090"/>
      <c r="V20" s="1091"/>
      <c r="W20" s="1089" t="s">
        <v>599</v>
      </c>
      <c r="X20" s="1090"/>
      <c r="Y20" s="1091"/>
      <c r="Z20" s="1089" t="s">
        <v>598</v>
      </c>
      <c r="AA20" s="1090"/>
      <c r="AB20" s="1091"/>
      <c r="AC20" s="1089" t="s">
        <v>599</v>
      </c>
      <c r="AD20" s="1090"/>
      <c r="AE20" s="1091"/>
      <c r="AF20" s="30"/>
      <c r="AG20" s="30"/>
      <c r="AH20" s="30"/>
      <c r="AI20" s="30"/>
      <c r="AJ20" s="30"/>
      <c r="AK20" s="253"/>
      <c r="AL20" s="238"/>
      <c r="AM20" s="441"/>
      <c r="AN20" s="241"/>
      <c r="AO20" s="241"/>
      <c r="AP20" s="437" t="s">
        <v>737</v>
      </c>
      <c r="AQ20" s="451" t="s">
        <v>738</v>
      </c>
      <c r="AR20" s="451" t="s">
        <v>731</v>
      </c>
      <c r="AS20" s="437" t="s">
        <v>386</v>
      </c>
      <c r="AT20" s="437" t="s">
        <v>714</v>
      </c>
      <c r="AU20" s="437" t="s">
        <v>715</v>
      </c>
      <c r="AV20" s="238"/>
      <c r="AW20" s="238"/>
      <c r="AX20" s="238"/>
      <c r="AY20" s="238"/>
      <c r="AZ20" s="238"/>
      <c r="BA20" s="238"/>
      <c r="BB20" s="238"/>
      <c r="BC20" s="238"/>
      <c r="BD20" s="238"/>
      <c r="BE20" s="238"/>
      <c r="BF20" s="239"/>
      <c r="BG20" s="239"/>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row>
    <row r="21" spans="1:94" s="240" customFormat="1" ht="14.25" customHeight="1">
      <c r="A21" s="434" t="s">
        <v>735</v>
      </c>
      <c r="B21" s="435"/>
      <c r="C21" s="435"/>
      <c r="D21" s="435"/>
      <c r="E21" s="435"/>
      <c r="F21" s="435"/>
      <c r="G21" s="436"/>
      <c r="H21" s="1418">
        <f>AU21</f>
        <v>2415.11868808089</v>
      </c>
      <c r="I21" s="1419"/>
      <c r="J21" s="1420"/>
      <c r="K21" s="1304"/>
      <c r="L21" s="1305"/>
      <c r="M21" s="1306"/>
      <c r="N21" s="1364"/>
      <c r="O21" s="1365"/>
      <c r="P21" s="1366"/>
      <c r="Q21" s="1367"/>
      <c r="R21" s="1368"/>
      <c r="S21" s="1369"/>
      <c r="T21" s="1262"/>
      <c r="U21" s="1263"/>
      <c r="V21" s="1264"/>
      <c r="W21" s="1265"/>
      <c r="X21" s="1266"/>
      <c r="Y21" s="1267"/>
      <c r="Z21" s="1262"/>
      <c r="AA21" s="1263"/>
      <c r="AB21" s="1264"/>
      <c r="AC21" s="1268"/>
      <c r="AD21" s="1269"/>
      <c r="AE21" s="1270"/>
      <c r="AF21" s="30"/>
      <c r="AG21" s="30"/>
      <c r="AH21" s="30"/>
      <c r="AI21" s="30"/>
      <c r="AJ21" s="30"/>
      <c r="AK21" s="253"/>
      <c r="AL21" s="238"/>
      <c r="AM21" s="241"/>
      <c r="AN21" s="241"/>
      <c r="AO21" s="241"/>
      <c r="AP21" s="444">
        <v>40</v>
      </c>
      <c r="AQ21" s="452">
        <f>AP21/1000000/1000/AR10</f>
        <v>4.0000000000000003E-5</v>
      </c>
      <c r="AR21" s="446">
        <f>AQ21*1000000</f>
        <v>40</v>
      </c>
      <c r="AS21" s="444">
        <v>0.14000000000000001</v>
      </c>
      <c r="AT21" s="443">
        <f>AS21*$AR$5</f>
        <v>142.80000000000001</v>
      </c>
      <c r="AU21" s="443">
        <f>$AR$8*AT21</f>
        <v>2415.11868808089</v>
      </c>
      <c r="AV21" s="238"/>
      <c r="AW21" s="238"/>
      <c r="AX21" s="238"/>
      <c r="AY21" s="238"/>
      <c r="AZ21" s="238"/>
      <c r="BA21" s="238"/>
      <c r="BB21" s="238"/>
      <c r="BC21" s="238"/>
      <c r="BD21" s="238"/>
      <c r="BE21" s="238"/>
      <c r="BF21" s="239"/>
      <c r="BG21" s="239"/>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row>
    <row r="22" spans="1:94" s="240" customFormat="1" ht="14.25" customHeight="1">
      <c r="A22" s="438" t="str">
        <f>A17</f>
        <v>Flare - Fuel Gas</v>
      </c>
      <c r="B22" s="439"/>
      <c r="C22" s="439"/>
      <c r="D22" s="439"/>
      <c r="E22" s="439"/>
      <c r="F22" s="439"/>
      <c r="G22" s="440"/>
      <c r="H22" s="1340">
        <f>Q17/Q16*H21</f>
        <v>2403.2648825205929</v>
      </c>
      <c r="I22" s="1341"/>
      <c r="J22" s="1342"/>
      <c r="K22" s="1322">
        <f>H22/1000000/$K17</f>
        <v>3.438147185294125E-3</v>
      </c>
      <c r="L22" s="1323"/>
      <c r="M22" s="1324"/>
      <c r="N22" s="1346"/>
      <c r="O22" s="1347"/>
      <c r="P22" s="1348"/>
      <c r="Q22" s="1349"/>
      <c r="R22" s="1350"/>
      <c r="S22" s="1351"/>
      <c r="T22" s="1256"/>
      <c r="U22" s="1257"/>
      <c r="V22" s="1258"/>
      <c r="W22" s="1253"/>
      <c r="X22" s="1254"/>
      <c r="Y22" s="1255"/>
      <c r="Z22" s="1250"/>
      <c r="AA22" s="1251"/>
      <c r="AB22" s="1252"/>
      <c r="AC22" s="1253"/>
      <c r="AD22" s="1254"/>
      <c r="AE22" s="1255"/>
      <c r="AF22" s="30"/>
      <c r="AG22" s="30"/>
      <c r="AH22" s="30"/>
      <c r="AI22" s="30"/>
      <c r="AJ22" s="30"/>
      <c r="AK22" s="253"/>
      <c r="AL22" s="238"/>
      <c r="AM22" s="241"/>
      <c r="AN22" s="241"/>
      <c r="AO22" s="241"/>
      <c r="AP22" s="444"/>
      <c r="AQ22" s="452"/>
      <c r="AR22" s="446"/>
      <c r="AS22" s="444"/>
      <c r="AT22" s="445"/>
      <c r="AU22" s="446"/>
      <c r="AV22" s="238"/>
      <c r="AW22" s="238"/>
      <c r="AX22" s="238"/>
      <c r="AY22" s="238"/>
      <c r="AZ22" s="238"/>
      <c r="BA22" s="238"/>
      <c r="BB22" s="238"/>
      <c r="BC22" s="238"/>
      <c r="BD22" s="238"/>
      <c r="BE22" s="238"/>
      <c r="BF22" s="239"/>
      <c r="BG22" s="239"/>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row>
    <row r="23" spans="1:94" s="240" customFormat="1" ht="14.25" customHeight="1">
      <c r="A23" s="133"/>
      <c r="B23" s="30"/>
      <c r="C23" s="30"/>
      <c r="D23" s="30"/>
      <c r="E23" s="30"/>
      <c r="F23" s="30"/>
      <c r="G23" s="253"/>
      <c r="H23" s="1352"/>
      <c r="I23" s="1353"/>
      <c r="J23" s="1354"/>
      <c r="K23" s="1355"/>
      <c r="L23" s="1356"/>
      <c r="M23" s="1357"/>
      <c r="N23" s="1358"/>
      <c r="O23" s="1359"/>
      <c r="P23" s="1360"/>
      <c r="Q23" s="1361"/>
      <c r="R23" s="1362"/>
      <c r="S23" s="1363"/>
      <c r="T23" s="1256"/>
      <c r="U23" s="1257"/>
      <c r="V23" s="1258"/>
      <c r="W23" s="1259"/>
      <c r="X23" s="1260"/>
      <c r="Y23" s="1261"/>
      <c r="Z23" s="1259"/>
      <c r="AA23" s="1260"/>
      <c r="AB23" s="1261"/>
      <c r="AC23" s="1259"/>
      <c r="AD23" s="1260"/>
      <c r="AE23" s="1261"/>
      <c r="AF23" s="30"/>
      <c r="AG23" s="30"/>
      <c r="AH23" s="30"/>
      <c r="AI23" s="30"/>
      <c r="AJ23" s="30"/>
      <c r="AK23" s="253"/>
      <c r="AL23" s="238"/>
      <c r="AM23" s="453">
        <f>X25/K17</f>
        <v>816.0022613054665</v>
      </c>
      <c r="AN23" s="241"/>
      <c r="AO23" s="241"/>
      <c r="AP23" s="238"/>
      <c r="AQ23" s="238"/>
      <c r="AR23" s="238"/>
      <c r="AS23" s="245"/>
      <c r="AT23" s="454"/>
      <c r="AU23" s="455"/>
      <c r="AV23" s="238"/>
      <c r="AW23" s="238"/>
      <c r="AX23" s="238"/>
      <c r="AY23" s="238"/>
      <c r="AZ23" s="238"/>
      <c r="BA23" s="238"/>
      <c r="BB23" s="238"/>
      <c r="BC23" s="238"/>
      <c r="BD23" s="238"/>
      <c r="BE23" s="238"/>
      <c r="BF23" s="239"/>
      <c r="BG23" s="239"/>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row>
    <row r="24" spans="1:94" s="240" customFormat="1" ht="14.25" customHeight="1">
      <c r="A24" s="456" t="s">
        <v>612</v>
      </c>
      <c r="B24" s="457"/>
      <c r="C24" s="457"/>
      <c r="D24" s="457"/>
      <c r="E24" s="457"/>
      <c r="F24" s="457"/>
      <c r="G24" s="457"/>
      <c r="H24" s="457"/>
      <c r="I24" s="457"/>
      <c r="J24" s="457"/>
      <c r="K24" s="457"/>
      <c r="L24" s="457"/>
      <c r="M24" s="457"/>
      <c r="N24" s="457"/>
      <c r="O24" s="457"/>
      <c r="P24" s="457"/>
      <c r="Q24" s="457"/>
      <c r="R24" s="457"/>
      <c r="S24" s="458"/>
      <c r="T24" s="459" t="s">
        <v>613</v>
      </c>
      <c r="U24" s="460"/>
      <c r="V24" s="460"/>
      <c r="W24" s="460"/>
      <c r="X24" s="460"/>
      <c r="Y24" s="460"/>
      <c r="Z24" s="460"/>
      <c r="AA24" s="460"/>
      <c r="AB24" s="460"/>
      <c r="AC24" s="460"/>
      <c r="AD24" s="460"/>
      <c r="AE24" s="460"/>
      <c r="AF24" s="460"/>
      <c r="AG24" s="460"/>
      <c r="AH24" s="460"/>
      <c r="AI24" s="460"/>
      <c r="AJ24" s="460"/>
      <c r="AK24" s="461"/>
      <c r="AL24" s="238"/>
      <c r="AM24" s="241"/>
      <c r="AN24" s="241"/>
      <c r="AO24" s="241"/>
      <c r="AP24" s="241"/>
      <c r="AQ24" s="241"/>
      <c r="AR24" s="241"/>
      <c r="AS24" s="241"/>
      <c r="AT24" s="241"/>
      <c r="AU24" s="241"/>
      <c r="AV24" s="241"/>
      <c r="AW24" s="241"/>
      <c r="AX24" s="238"/>
      <c r="AY24" s="238"/>
      <c r="AZ24" s="238"/>
      <c r="BA24" s="238"/>
      <c r="BB24" s="238"/>
      <c r="BC24" s="238"/>
      <c r="BD24" s="238"/>
      <c r="BE24" s="238"/>
      <c r="BF24" s="239"/>
      <c r="BG24" s="239"/>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row>
    <row r="25" spans="1:94" s="240" customFormat="1" ht="14.25" customHeight="1">
      <c r="A25" s="462" t="s">
        <v>614</v>
      </c>
      <c r="B25" s="463"/>
      <c r="C25" s="463"/>
      <c r="D25" s="463"/>
      <c r="E25" s="463"/>
      <c r="F25" s="463"/>
      <c r="G25" s="463"/>
      <c r="H25" s="464"/>
      <c r="I25" s="463" t="s">
        <v>590</v>
      </c>
      <c r="J25" s="463"/>
      <c r="K25" s="463"/>
      <c r="L25" s="463" t="s">
        <v>615</v>
      </c>
      <c r="M25" s="463"/>
      <c r="N25" s="463"/>
      <c r="O25" s="463"/>
      <c r="P25" s="463"/>
      <c r="Q25" s="463"/>
      <c r="R25" s="463"/>
      <c r="S25" s="465" t="s">
        <v>616</v>
      </c>
      <c r="T25" s="1433" t="s">
        <v>757</v>
      </c>
      <c r="U25" s="1434"/>
      <c r="V25" s="1434"/>
      <c r="W25" s="1434"/>
      <c r="X25" s="1465">
        <f>5000*1000/365.25/24</f>
        <v>570.38558065252107</v>
      </c>
      <c r="Y25" s="1465"/>
      <c r="Z25" s="1465"/>
      <c r="AA25" s="1434" t="s">
        <v>617</v>
      </c>
      <c r="AB25" s="1434"/>
      <c r="AC25" s="1435">
        <f>X25/H17</f>
        <v>35.38372088415143</v>
      </c>
      <c r="AD25" s="1435"/>
      <c r="AE25" s="1434" t="s">
        <v>618</v>
      </c>
      <c r="AF25" s="1434"/>
      <c r="AG25" s="1434"/>
      <c r="AH25" s="1429">
        <f>X25*N17/3600</f>
        <v>7.8871650569118055</v>
      </c>
      <c r="AI25" s="1429"/>
      <c r="AJ25" s="466" t="s">
        <v>590</v>
      </c>
      <c r="AK25" s="467"/>
      <c r="AL25" s="238"/>
      <c r="AM25" s="254">
        <f>X25*W22</f>
        <v>0</v>
      </c>
      <c r="AN25" s="241"/>
      <c r="AO25" s="241"/>
      <c r="AP25" s="241"/>
      <c r="AQ25" s="241"/>
      <c r="AR25" s="241"/>
      <c r="AS25" s="241"/>
      <c r="AT25" s="241"/>
      <c r="AU25" s="241"/>
      <c r="AV25" s="241"/>
      <c r="AW25" s="241"/>
      <c r="AX25" s="238"/>
      <c r="AY25" s="238"/>
      <c r="AZ25" s="238"/>
      <c r="BA25" s="238"/>
      <c r="BB25" s="238"/>
      <c r="BC25" s="238"/>
      <c r="BD25" s="238"/>
      <c r="BE25" s="238"/>
      <c r="BF25" s="239"/>
      <c r="BG25" s="239"/>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row>
    <row r="26" spans="1:94" s="240" customFormat="1" ht="14.25" customHeight="1">
      <c r="A26" s="468" t="s">
        <v>619</v>
      </c>
      <c r="B26" s="469"/>
      <c r="C26" s="469"/>
      <c r="D26" s="469"/>
      <c r="E26" s="469"/>
      <c r="F26" s="469"/>
      <c r="G26" s="469"/>
      <c r="H26" s="470"/>
      <c r="I26" s="469" t="s">
        <v>590</v>
      </c>
      <c r="J26" s="469"/>
      <c r="K26" s="469"/>
      <c r="L26" s="469"/>
      <c r="M26" s="469"/>
      <c r="N26" s="469"/>
      <c r="O26" s="469"/>
      <c r="P26" s="469"/>
      <c r="Q26" s="469"/>
      <c r="R26" s="469"/>
      <c r="S26" s="471"/>
      <c r="T26" s="1430"/>
      <c r="U26" s="1431"/>
      <c r="V26" s="1431"/>
      <c r="W26" s="1431"/>
      <c r="X26" s="1432"/>
      <c r="Y26" s="1432"/>
      <c r="Z26" s="1432"/>
      <c r="AA26" s="1431"/>
      <c r="AB26" s="1431"/>
      <c r="AC26" s="1432"/>
      <c r="AD26" s="1432"/>
      <c r="AE26" s="1431"/>
      <c r="AF26" s="1431"/>
      <c r="AG26" s="1431"/>
      <c r="AH26" s="1432"/>
      <c r="AI26" s="1432"/>
      <c r="AJ26" s="469"/>
      <c r="AK26" s="471"/>
      <c r="AL26" s="238"/>
      <c r="AM26" s="254">
        <f>W22*SUM(N34:O43)</f>
        <v>0</v>
      </c>
      <c r="AN26" s="241"/>
      <c r="AO26" s="241"/>
      <c r="AP26" s="241"/>
      <c r="AQ26" s="241"/>
      <c r="AR26" s="241"/>
      <c r="AS26" s="241"/>
      <c r="AT26" s="241"/>
      <c r="AU26" s="241"/>
      <c r="AV26" s="241"/>
      <c r="AW26" s="241"/>
      <c r="AX26" s="238"/>
      <c r="AY26" s="238"/>
      <c r="AZ26" s="238"/>
      <c r="BA26" s="238"/>
      <c r="BB26" s="238"/>
      <c r="BC26" s="238"/>
      <c r="BD26" s="238"/>
      <c r="BE26" s="238"/>
      <c r="BF26" s="239"/>
      <c r="BG26" s="239"/>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row>
    <row r="27" spans="1:94" s="240" customFormat="1" ht="14.25" customHeight="1">
      <c r="A27" s="250"/>
      <c r="B27" s="251"/>
      <c r="C27" s="251"/>
      <c r="D27" s="251"/>
      <c r="E27" s="251"/>
      <c r="F27" s="251"/>
      <c r="G27" s="251"/>
      <c r="H27" s="252"/>
      <c r="I27" s="251"/>
      <c r="J27" s="251"/>
      <c r="K27" s="251"/>
      <c r="L27" s="251"/>
      <c r="M27" s="251"/>
      <c r="N27" s="251"/>
      <c r="O27" s="251"/>
      <c r="P27" s="251"/>
      <c r="Q27" s="251"/>
      <c r="R27" s="251"/>
      <c r="S27" s="251"/>
      <c r="T27" s="472"/>
      <c r="U27" s="472"/>
      <c r="V27" s="473"/>
      <c r="W27" s="473"/>
      <c r="X27" s="474"/>
      <c r="Y27" s="474"/>
      <c r="Z27" s="474"/>
      <c r="AA27" s="473"/>
      <c r="AB27" s="473"/>
      <c r="AC27" s="474"/>
      <c r="AD27" s="474"/>
      <c r="AE27" s="473"/>
      <c r="AF27" s="473"/>
      <c r="AG27" s="473"/>
      <c r="AH27" s="474"/>
      <c r="AI27" s="474"/>
      <c r="AJ27" s="30"/>
      <c r="AK27" s="253"/>
      <c r="AL27" s="238"/>
      <c r="AM27" s="254"/>
      <c r="AN27" s="241"/>
      <c r="AO27" s="241"/>
      <c r="AP27" s="241"/>
      <c r="AQ27" s="241"/>
      <c r="AR27" s="241"/>
      <c r="AS27" s="241"/>
      <c r="AT27" s="241"/>
      <c r="AU27" s="241"/>
      <c r="AV27" s="241"/>
      <c r="AW27" s="241"/>
      <c r="AX27" s="238"/>
      <c r="AY27" s="238"/>
      <c r="AZ27" s="238"/>
      <c r="BA27" s="238"/>
      <c r="BB27" s="238"/>
      <c r="BC27" s="238"/>
      <c r="BD27" s="238"/>
      <c r="BE27" s="238"/>
      <c r="BF27" s="239"/>
      <c r="BG27" s="239"/>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row>
    <row r="28" spans="1:94" s="240" customFormat="1" ht="14.25" customHeight="1">
      <c r="A28" s="1370" t="s">
        <v>718</v>
      </c>
      <c r="B28" s="1370"/>
      <c r="C28" s="1370"/>
      <c r="D28" s="1370"/>
      <c r="E28" s="1370"/>
      <c r="F28" s="1371" t="str">
        <f>A17</f>
        <v>Flare - Fuel Gas</v>
      </c>
      <c r="G28" s="1372"/>
      <c r="H28" s="1372"/>
      <c r="I28" s="1372"/>
      <c r="J28" s="1372"/>
      <c r="K28" s="1372"/>
      <c r="L28" s="1372"/>
      <c r="M28" s="1372"/>
      <c r="N28" s="1372"/>
      <c r="O28" s="1372"/>
      <c r="P28" s="1372"/>
      <c r="Q28" s="1372"/>
      <c r="R28" s="1372"/>
      <c r="S28" s="1372"/>
      <c r="T28" s="1372"/>
      <c r="U28" s="1373"/>
      <c r="V28" s="30"/>
      <c r="W28" s="1402" t="s">
        <v>845</v>
      </c>
      <c r="X28" s="1184"/>
      <c r="Y28" s="1184"/>
      <c r="Z28" s="1184"/>
      <c r="AA28" s="1184"/>
      <c r="AB28" s="1184"/>
      <c r="AC28" s="1184"/>
      <c r="AD28" s="1184"/>
      <c r="AE28" s="1184"/>
      <c r="AF28" s="1184"/>
      <c r="AG28" s="1184"/>
      <c r="AH28" s="1184"/>
      <c r="AI28" s="1184"/>
      <c r="AJ28" s="1184"/>
      <c r="AK28" s="253"/>
      <c r="AL28" s="255"/>
      <c r="AM28" s="241"/>
      <c r="AN28" s="241"/>
      <c r="AO28" s="241"/>
      <c r="AP28" s="241"/>
      <c r="AQ28" s="241"/>
      <c r="AR28" s="241"/>
      <c r="AS28" s="241"/>
      <c r="AT28" s="241"/>
      <c r="AU28" s="241"/>
      <c r="AV28" s="241"/>
      <c r="AW28" s="241"/>
      <c r="AX28" s="241"/>
      <c r="AY28" s="241"/>
      <c r="AZ28" s="238"/>
      <c r="BA28" s="238"/>
      <c r="BB28" s="238"/>
      <c r="BC28" s="238"/>
      <c r="BD28" s="238"/>
      <c r="BE28" s="238"/>
      <c r="BF28" s="239"/>
      <c r="BG28" s="239"/>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38"/>
      <c r="CN28" s="238"/>
      <c r="CO28" s="238"/>
      <c r="CP28" s="238"/>
    </row>
    <row r="29" spans="1:94" s="240" customFormat="1" ht="14.25" customHeight="1">
      <c r="A29" s="256" t="s">
        <v>620</v>
      </c>
      <c r="B29" s="30"/>
      <c r="C29" s="30"/>
      <c r="D29" s="30"/>
      <c r="E29" s="30"/>
      <c r="F29" s="1374"/>
      <c r="G29" s="1374"/>
      <c r="H29" s="1374"/>
      <c r="I29" s="1374"/>
      <c r="J29" s="1375" t="s">
        <v>120</v>
      </c>
      <c r="K29" s="1375"/>
      <c r="L29" s="1375"/>
      <c r="M29" s="1375"/>
      <c r="N29" s="1374" t="s">
        <v>621</v>
      </c>
      <c r="O29" s="1374"/>
      <c r="P29" s="1375" t="s">
        <v>622</v>
      </c>
      <c r="Q29" s="1375"/>
      <c r="R29" s="1375"/>
      <c r="S29" s="1375"/>
      <c r="T29" s="1375"/>
      <c r="U29" s="1375"/>
      <c r="V29" s="257"/>
      <c r="W29" s="1184"/>
      <c r="X29" s="1184"/>
      <c r="Y29" s="1184"/>
      <c r="Z29" s="1184"/>
      <c r="AA29" s="1184"/>
      <c r="AB29" s="1184"/>
      <c r="AC29" s="1184"/>
      <c r="AD29" s="1184"/>
      <c r="AE29" s="1184"/>
      <c r="AF29" s="1184"/>
      <c r="AG29" s="1184"/>
      <c r="AH29" s="1184"/>
      <c r="AI29" s="1184"/>
      <c r="AJ29" s="1184"/>
      <c r="AK29" s="253"/>
      <c r="AL29" s="255"/>
      <c r="AM29" s="241"/>
      <c r="AN29" s="241"/>
      <c r="AO29" s="241"/>
      <c r="AP29" s="241"/>
      <c r="AQ29" s="241"/>
      <c r="AR29" s="241"/>
      <c r="AS29" s="241"/>
      <c r="AT29" s="241"/>
      <c r="AU29" s="241"/>
      <c r="AV29" s="241"/>
      <c r="AW29" s="241"/>
      <c r="AX29" s="241"/>
      <c r="AY29" s="241"/>
      <c r="AZ29" s="238"/>
      <c r="BA29" s="238"/>
      <c r="BB29" s="238"/>
      <c r="BC29" s="238"/>
      <c r="BD29" s="238"/>
      <c r="BE29" s="238"/>
      <c r="BF29" s="239"/>
      <c r="BG29" s="239"/>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row>
    <row r="30" spans="1:94" s="240" customFormat="1" ht="14.25" customHeight="1">
      <c r="A30" s="133"/>
      <c r="B30" s="30"/>
      <c r="C30" s="30"/>
      <c r="D30" s="30"/>
      <c r="E30" s="30"/>
      <c r="F30" s="1374"/>
      <c r="G30" s="1374"/>
      <c r="H30" s="1374"/>
      <c r="I30" s="1374"/>
      <c r="J30" s="1375" t="s">
        <v>624</v>
      </c>
      <c r="K30" s="1375"/>
      <c r="L30" s="1375" t="s">
        <v>625</v>
      </c>
      <c r="M30" s="1375"/>
      <c r="N30" s="1374"/>
      <c r="O30" s="1374"/>
      <c r="P30" s="1375"/>
      <c r="Q30" s="1375"/>
      <c r="R30" s="1375"/>
      <c r="S30" s="1375"/>
      <c r="T30" s="1375"/>
      <c r="U30" s="1375"/>
      <c r="V30" s="257"/>
      <c r="W30" s="1184"/>
      <c r="X30" s="1184"/>
      <c r="Y30" s="1184"/>
      <c r="Z30" s="1184"/>
      <c r="AA30" s="1184"/>
      <c r="AB30" s="1184"/>
      <c r="AC30" s="1184"/>
      <c r="AD30" s="1184"/>
      <c r="AE30" s="1184"/>
      <c r="AF30" s="1184"/>
      <c r="AG30" s="1184"/>
      <c r="AH30" s="1184"/>
      <c r="AI30" s="1184"/>
      <c r="AJ30" s="1184"/>
      <c r="AK30" s="253"/>
      <c r="AL30" s="258"/>
      <c r="AM30" s="259" t="s">
        <v>740</v>
      </c>
      <c r="AN30" s="259"/>
      <c r="AO30" s="259"/>
      <c r="AP30" s="259"/>
      <c r="AQ30" s="259"/>
      <c r="AR30" s="259"/>
      <c r="AS30" s="259" t="s">
        <v>741</v>
      </c>
      <c r="AT30" s="259"/>
      <c r="AU30" s="259" t="s">
        <v>742</v>
      </c>
      <c r="AV30" s="259"/>
      <c r="AW30" s="259"/>
      <c r="AX30" s="259"/>
      <c r="AY30" s="258"/>
      <c r="AZ30" s="238"/>
      <c r="BA30" s="238"/>
      <c r="BB30" s="238"/>
      <c r="BC30" s="238"/>
      <c r="BD30" s="238"/>
      <c r="BE30" s="238"/>
      <c r="BF30" s="239"/>
      <c r="BG30" s="239"/>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row>
    <row r="31" spans="1:94" s="240" customFormat="1" ht="14.25" customHeight="1">
      <c r="A31" s="1376" t="s">
        <v>630</v>
      </c>
      <c r="B31" s="1376"/>
      <c r="C31" s="1376"/>
      <c r="D31" s="1376"/>
      <c r="E31" s="1376"/>
      <c r="F31" s="1375" t="s">
        <v>631</v>
      </c>
      <c r="G31" s="1375"/>
      <c r="H31" s="1375" t="s">
        <v>618</v>
      </c>
      <c r="I31" s="1375"/>
      <c r="J31" s="1373" t="s">
        <v>618</v>
      </c>
      <c r="K31" s="1375"/>
      <c r="L31" s="1375" t="s">
        <v>618</v>
      </c>
      <c r="M31" s="1375"/>
      <c r="N31" s="1375" t="s">
        <v>617</v>
      </c>
      <c r="O31" s="1375"/>
      <c r="P31" s="1375" t="s">
        <v>631</v>
      </c>
      <c r="Q31" s="1375"/>
      <c r="R31" s="1371" t="s">
        <v>618</v>
      </c>
      <c r="S31" s="1373"/>
      <c r="T31" s="1371" t="s">
        <v>617</v>
      </c>
      <c r="U31" s="1373"/>
      <c r="V31" s="30"/>
      <c r="W31" s="1184"/>
      <c r="X31" s="1184"/>
      <c r="Y31" s="1184"/>
      <c r="Z31" s="1184"/>
      <c r="AA31" s="1184"/>
      <c r="AB31" s="1184"/>
      <c r="AC31" s="1184"/>
      <c r="AD31" s="1184"/>
      <c r="AE31" s="1184"/>
      <c r="AF31" s="1184"/>
      <c r="AG31" s="1184"/>
      <c r="AH31" s="1184"/>
      <c r="AI31" s="1184"/>
      <c r="AJ31" s="1184"/>
      <c r="AK31" s="253"/>
      <c r="AL31" s="258"/>
      <c r="AM31" s="259" t="s">
        <v>633</v>
      </c>
      <c r="AN31" s="259" t="s">
        <v>634</v>
      </c>
      <c r="AO31" s="259" t="s">
        <v>635</v>
      </c>
      <c r="AP31" s="259" t="s">
        <v>636</v>
      </c>
      <c r="AQ31" s="259" t="s">
        <v>637</v>
      </c>
      <c r="AR31" s="259" t="s">
        <v>590</v>
      </c>
      <c r="AS31" s="259" t="s">
        <v>428</v>
      </c>
      <c r="AT31" s="259" t="s">
        <v>429</v>
      </c>
      <c r="AU31" s="259" t="s">
        <v>126</v>
      </c>
      <c r="AV31" s="259" t="s">
        <v>431</v>
      </c>
      <c r="AW31" s="259" t="s">
        <v>429</v>
      </c>
      <c r="AX31" s="259" t="s">
        <v>124</v>
      </c>
      <c r="AY31" s="258"/>
      <c r="AZ31" s="238"/>
      <c r="BA31" s="238"/>
      <c r="BB31" s="238"/>
      <c r="BC31" s="238"/>
      <c r="BD31" s="238"/>
      <c r="BE31" s="238"/>
      <c r="BF31" s="239" t="s">
        <v>128</v>
      </c>
      <c r="BG31" s="239" t="s">
        <v>743</v>
      </c>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row>
    <row r="32" spans="1:94" s="240" customFormat="1" ht="14.25" customHeight="1">
      <c r="A32" s="260" t="s">
        <v>638</v>
      </c>
      <c r="B32" s="261"/>
      <c r="C32" s="261"/>
      <c r="D32" s="261"/>
      <c r="E32" s="262"/>
      <c r="F32" s="1441">
        <v>0</v>
      </c>
      <c r="G32" s="1442"/>
      <c r="H32" s="1379">
        <f t="shared" ref="H32:H52" si="0">F32*$AC$25</f>
        <v>0</v>
      </c>
      <c r="I32" s="1381"/>
      <c r="J32" s="1380"/>
      <c r="K32" s="1380"/>
      <c r="L32" s="1379"/>
      <c r="M32" s="1380"/>
      <c r="N32" s="1379">
        <f t="shared" ref="N32:N52" si="1">SUM(H32,J32,L32)*AR32</f>
        <v>0</v>
      </c>
      <c r="O32" s="1380"/>
      <c r="P32" s="1379"/>
      <c r="Q32" s="1381"/>
      <c r="R32" s="1379"/>
      <c r="S32" s="1380"/>
      <c r="T32" s="1379"/>
      <c r="U32" s="1381"/>
      <c r="V32" s="263"/>
      <c r="W32" s="1188"/>
      <c r="X32" s="1188"/>
      <c r="Y32" s="1188"/>
      <c r="Z32" s="1188"/>
      <c r="AA32" s="1188"/>
      <c r="AB32" s="1188"/>
      <c r="AC32" s="1188"/>
      <c r="AD32" s="1188"/>
      <c r="AE32" s="1188"/>
      <c r="AF32" s="1188"/>
      <c r="AG32" s="1188"/>
      <c r="AH32" s="1188"/>
      <c r="AI32" s="1188"/>
      <c r="AJ32" s="1188"/>
      <c r="AK32" s="264"/>
      <c r="AL32" s="258"/>
      <c r="AM32" s="259"/>
      <c r="AN32" s="259">
        <v>2</v>
      </c>
      <c r="AO32" s="259"/>
      <c r="AP32" s="259"/>
      <c r="AQ32" s="259"/>
      <c r="AR32" s="265">
        <f>AM32*12.01+AN32*1.008+AO32*16+AP32*14+AQ32*32</f>
        <v>2.016</v>
      </c>
      <c r="AS32" s="259">
        <f>AM32*1+AN32*0.25+AQ32*1</f>
        <v>0.5</v>
      </c>
      <c r="AT32" s="266">
        <f>0.79/0.21*AS32</f>
        <v>1.8809523809523812</v>
      </c>
      <c r="AU32" s="259">
        <f>1*AM32</f>
        <v>0</v>
      </c>
      <c r="AV32" s="259">
        <f>AN32/2</f>
        <v>1</v>
      </c>
      <c r="AW32" s="266">
        <f>AP32*0.5+AT32</f>
        <v>1.8809523809523812</v>
      </c>
      <c r="AX32" s="259">
        <f>AQ32*1</f>
        <v>0</v>
      </c>
      <c r="AY32" s="258"/>
      <c r="AZ32" s="238"/>
      <c r="BA32" s="238"/>
      <c r="BB32" s="238"/>
      <c r="BC32" s="238"/>
      <c r="BD32" s="238"/>
      <c r="BE32" s="239" t="s">
        <v>639</v>
      </c>
      <c r="BF32" s="239">
        <v>1.4200000000000001E-2</v>
      </c>
      <c r="BG32" s="239">
        <v>2.9999999999999997E-4</v>
      </c>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row>
    <row r="33" spans="1:94" s="240" customFormat="1" ht="14.25" customHeight="1">
      <c r="A33" s="267" t="s">
        <v>122</v>
      </c>
      <c r="B33" s="268"/>
      <c r="C33" s="268"/>
      <c r="D33" s="268"/>
      <c r="E33" s="269"/>
      <c r="F33" s="1377">
        <v>0.99629999999999996</v>
      </c>
      <c r="G33" s="1443"/>
      <c r="H33" s="1299">
        <f>F33*$AC$25</f>
        <v>35.252801116880065</v>
      </c>
      <c r="I33" s="1301"/>
      <c r="J33" s="1300"/>
      <c r="K33" s="1300"/>
      <c r="L33" s="1299"/>
      <c r="M33" s="1300"/>
      <c r="N33" s="1299">
        <f t="shared" si="1"/>
        <v>565.52543551699</v>
      </c>
      <c r="O33" s="1301"/>
      <c r="P33" s="1299">
        <f>R33/$R$53</f>
        <v>3.2820154466845267E-4</v>
      </c>
      <c r="Q33" s="1301"/>
      <c r="R33" s="1299">
        <f>T33/$AR33</f>
        <v>0.12224595303907371</v>
      </c>
      <c r="S33" s="1300"/>
      <c r="T33" s="1299">
        <f>$K22*$X25</f>
        <v>1.9610695786528205</v>
      </c>
      <c r="U33" s="1301"/>
      <c r="V33" s="263"/>
      <c r="W33" s="1188"/>
      <c r="X33" s="1188"/>
      <c r="Y33" s="1188"/>
      <c r="Z33" s="1188"/>
      <c r="AA33" s="1188"/>
      <c r="AB33" s="1188"/>
      <c r="AC33" s="1188"/>
      <c r="AD33" s="1188"/>
      <c r="AE33" s="1188"/>
      <c r="AF33" s="1188"/>
      <c r="AG33" s="1188"/>
      <c r="AH33" s="1188"/>
      <c r="AI33" s="1188"/>
      <c r="AJ33" s="1188"/>
      <c r="AK33" s="264"/>
      <c r="AL33" s="258"/>
      <c r="AM33" s="259">
        <v>1</v>
      </c>
      <c r="AN33" s="259">
        <v>4</v>
      </c>
      <c r="AO33" s="259"/>
      <c r="AP33" s="259"/>
      <c r="AQ33" s="259"/>
      <c r="AR33" s="265">
        <f t="shared" ref="AR33:AR48" si="2">AM33*12.01+AN33*1.008+AO33*16+AP33*14+AQ33*32</f>
        <v>16.042000000000002</v>
      </c>
      <c r="AS33" s="259">
        <f t="shared" ref="AS33:AS47" si="3">AM33*1+AN33*0.25+AQ33*1</f>
        <v>2</v>
      </c>
      <c r="AT33" s="266">
        <f t="shared" ref="AT33:AT47" si="4">0.79/0.21*AS33</f>
        <v>7.5238095238095246</v>
      </c>
      <c r="AU33" s="259">
        <f t="shared" ref="AU33:AU47" si="5">1*AM33</f>
        <v>1</v>
      </c>
      <c r="AV33" s="259">
        <f t="shared" ref="AV33:AV47" si="6">AN33/2</f>
        <v>2</v>
      </c>
      <c r="AW33" s="266">
        <f t="shared" ref="AW33:AW47" si="7">AP33*0.5+AT33</f>
        <v>7.5238095238095246</v>
      </c>
      <c r="AX33" s="259">
        <f t="shared" ref="AX33:AX47" si="8">AQ33*1</f>
        <v>0</v>
      </c>
      <c r="AY33" s="258"/>
      <c r="AZ33" s="238"/>
      <c r="BA33" s="238"/>
      <c r="BB33" s="238"/>
      <c r="BC33" s="238"/>
      <c r="BD33" s="238"/>
      <c r="BE33" s="239" t="s">
        <v>126</v>
      </c>
      <c r="BF33" s="239">
        <v>9.5999999999999992E-3</v>
      </c>
      <c r="BG33" s="239">
        <v>0.77539999999999998</v>
      </c>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row>
    <row r="34" spans="1:94" s="240" customFormat="1" ht="14.25" customHeight="1">
      <c r="A34" s="267" t="s">
        <v>641</v>
      </c>
      <c r="B34" s="268"/>
      <c r="C34" s="268"/>
      <c r="D34" s="268"/>
      <c r="E34" s="269"/>
      <c r="F34" s="1377">
        <v>0</v>
      </c>
      <c r="G34" s="1443"/>
      <c r="H34" s="1299">
        <f t="shared" si="0"/>
        <v>0</v>
      </c>
      <c r="I34" s="1301"/>
      <c r="J34" s="1300"/>
      <c r="K34" s="1300"/>
      <c r="L34" s="1299"/>
      <c r="M34" s="1300"/>
      <c r="N34" s="1299">
        <f t="shared" si="1"/>
        <v>0</v>
      </c>
      <c r="O34" s="1301"/>
      <c r="P34" s="1299"/>
      <c r="Q34" s="1301"/>
      <c r="R34" s="1300"/>
      <c r="S34" s="1300"/>
      <c r="T34" s="1299"/>
      <c r="U34" s="1301"/>
      <c r="V34" s="263"/>
      <c r="W34" s="1188"/>
      <c r="X34" s="1188"/>
      <c r="Y34" s="1188"/>
      <c r="Z34" s="1188"/>
      <c r="AA34" s="1188"/>
      <c r="AB34" s="1188"/>
      <c r="AC34" s="1188"/>
      <c r="AD34" s="1188"/>
      <c r="AE34" s="1188"/>
      <c r="AF34" s="1188"/>
      <c r="AG34" s="1188"/>
      <c r="AH34" s="1188"/>
      <c r="AI34" s="1188"/>
      <c r="AJ34" s="1188"/>
      <c r="AK34" s="264"/>
      <c r="AL34" s="258"/>
      <c r="AM34" s="259">
        <v>2</v>
      </c>
      <c r="AN34" s="259">
        <v>4</v>
      </c>
      <c r="AO34" s="259"/>
      <c r="AP34" s="259"/>
      <c r="AQ34" s="259"/>
      <c r="AR34" s="265">
        <f t="shared" si="2"/>
        <v>28.052</v>
      </c>
      <c r="AS34" s="259">
        <f t="shared" si="3"/>
        <v>3</v>
      </c>
      <c r="AT34" s="266">
        <f t="shared" si="4"/>
        <v>11.285714285714286</v>
      </c>
      <c r="AU34" s="259">
        <f t="shared" si="5"/>
        <v>2</v>
      </c>
      <c r="AV34" s="259">
        <f t="shared" si="6"/>
        <v>2</v>
      </c>
      <c r="AW34" s="266">
        <f t="shared" si="7"/>
        <v>11.285714285714286</v>
      </c>
      <c r="AX34" s="259">
        <f t="shared" si="8"/>
        <v>0</v>
      </c>
      <c r="AY34" s="258"/>
      <c r="AZ34" s="238"/>
      <c r="BA34" s="238"/>
      <c r="BB34" s="238"/>
      <c r="BC34" s="238"/>
      <c r="BD34" s="238"/>
      <c r="BE34" s="239" t="s">
        <v>642</v>
      </c>
      <c r="BF34" s="239">
        <v>0.60499999999999998</v>
      </c>
      <c r="BG34" s="239">
        <v>1.43E-2</v>
      </c>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38"/>
      <c r="CN34" s="238"/>
      <c r="CO34" s="238"/>
      <c r="CP34" s="238"/>
    </row>
    <row r="35" spans="1:94" s="240" customFormat="1" ht="14.25" customHeight="1">
      <c r="A35" s="267" t="s">
        <v>643</v>
      </c>
      <c r="B35" s="268"/>
      <c r="C35" s="268"/>
      <c r="D35" s="268"/>
      <c r="E35" s="269"/>
      <c r="F35" s="1377">
        <v>7.000000000000001E-4</v>
      </c>
      <c r="G35" s="1443"/>
      <c r="H35" s="1299">
        <f t="shared" si="0"/>
        <v>2.4768604618906006E-2</v>
      </c>
      <c r="I35" s="1301"/>
      <c r="J35" s="1300"/>
      <c r="K35" s="1300"/>
      <c r="L35" s="1299"/>
      <c r="M35" s="1300"/>
      <c r="N35" s="1299">
        <f t="shared" si="1"/>
        <v>0.74474240368126576</v>
      </c>
      <c r="O35" s="1301"/>
      <c r="P35" s="1299">
        <f>R35/$R$53</f>
        <v>0</v>
      </c>
      <c r="Q35" s="1301"/>
      <c r="R35" s="1300">
        <f>T35/$AR35</f>
        <v>0</v>
      </c>
      <c r="S35" s="1300"/>
      <c r="T35" s="1299">
        <f>$Q$22*N35</f>
        <v>0</v>
      </c>
      <c r="U35" s="1301"/>
      <c r="V35" s="263"/>
      <c r="W35" s="1188"/>
      <c r="X35" s="1188"/>
      <c r="Y35" s="1188"/>
      <c r="Z35" s="1188"/>
      <c r="AA35" s="1188"/>
      <c r="AB35" s="1188"/>
      <c r="AC35" s="1188"/>
      <c r="AD35" s="1188"/>
      <c r="AE35" s="1188"/>
      <c r="AF35" s="1188"/>
      <c r="AG35" s="1188"/>
      <c r="AH35" s="1188"/>
      <c r="AI35" s="1188"/>
      <c r="AJ35" s="1188"/>
      <c r="AK35" s="264"/>
      <c r="AL35" s="258"/>
      <c r="AM35" s="259">
        <v>2</v>
      </c>
      <c r="AN35" s="259">
        <v>6</v>
      </c>
      <c r="AO35" s="259"/>
      <c r="AP35" s="259"/>
      <c r="AQ35" s="259"/>
      <c r="AR35" s="265">
        <f t="shared" si="2"/>
        <v>30.067999999999998</v>
      </c>
      <c r="AS35" s="259">
        <f t="shared" si="3"/>
        <v>3.5</v>
      </c>
      <c r="AT35" s="266">
        <f t="shared" si="4"/>
        <v>13.166666666666668</v>
      </c>
      <c r="AU35" s="259">
        <f t="shared" si="5"/>
        <v>2</v>
      </c>
      <c r="AV35" s="259">
        <f t="shared" si="6"/>
        <v>3</v>
      </c>
      <c r="AW35" s="266">
        <f t="shared" si="7"/>
        <v>13.166666666666668</v>
      </c>
      <c r="AX35" s="259">
        <f t="shared" si="8"/>
        <v>0</v>
      </c>
      <c r="AY35" s="258"/>
      <c r="AZ35" s="238"/>
      <c r="BA35" s="238"/>
      <c r="BB35" s="238"/>
      <c r="BC35" s="238"/>
      <c r="BD35" s="238"/>
      <c r="BE35" s="239" t="s">
        <v>644</v>
      </c>
      <c r="BF35" s="239">
        <v>0.17519999999999999</v>
      </c>
      <c r="BG35" s="239">
        <v>1.9E-3</v>
      </c>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row>
    <row r="36" spans="1:94" s="240" customFormat="1" ht="14.25" customHeight="1">
      <c r="A36" s="267" t="s">
        <v>418</v>
      </c>
      <c r="B36" s="268"/>
      <c r="C36" s="268"/>
      <c r="D36" s="268"/>
      <c r="E36" s="269"/>
      <c r="F36" s="1377">
        <v>0</v>
      </c>
      <c r="G36" s="1443"/>
      <c r="H36" s="1299">
        <f t="shared" si="0"/>
        <v>0</v>
      </c>
      <c r="I36" s="1301"/>
      <c r="J36" s="1300"/>
      <c r="K36" s="1300"/>
      <c r="L36" s="1299"/>
      <c r="M36" s="1300"/>
      <c r="N36" s="1299">
        <f t="shared" si="1"/>
        <v>0</v>
      </c>
      <c r="O36" s="1301"/>
      <c r="P36" s="1299"/>
      <c r="Q36" s="1301"/>
      <c r="R36" s="1300"/>
      <c r="S36" s="1300"/>
      <c r="T36" s="1299"/>
      <c r="U36" s="1301"/>
      <c r="V36" s="263"/>
      <c r="W36" s="1188"/>
      <c r="X36" s="1188"/>
      <c r="Y36" s="1188"/>
      <c r="Z36" s="1188"/>
      <c r="AA36" s="1188"/>
      <c r="AB36" s="1188"/>
      <c r="AC36" s="1188"/>
      <c r="AD36" s="1188"/>
      <c r="AE36" s="1188"/>
      <c r="AF36" s="1188"/>
      <c r="AG36" s="1188"/>
      <c r="AH36" s="1188"/>
      <c r="AI36" s="1188"/>
      <c r="AJ36" s="1188"/>
      <c r="AK36" s="264"/>
      <c r="AL36" s="258"/>
      <c r="AM36" s="259">
        <v>3</v>
      </c>
      <c r="AN36" s="259">
        <v>6</v>
      </c>
      <c r="AO36" s="259"/>
      <c r="AP36" s="259"/>
      <c r="AQ36" s="259"/>
      <c r="AR36" s="265">
        <f t="shared" si="2"/>
        <v>42.078000000000003</v>
      </c>
      <c r="AS36" s="259">
        <f t="shared" si="3"/>
        <v>4.5</v>
      </c>
      <c r="AT36" s="266">
        <f t="shared" si="4"/>
        <v>16.928571428571431</v>
      </c>
      <c r="AU36" s="259">
        <f t="shared" si="5"/>
        <v>3</v>
      </c>
      <c r="AV36" s="259">
        <f t="shared" si="6"/>
        <v>3</v>
      </c>
      <c r="AW36" s="266">
        <f t="shared" si="7"/>
        <v>16.928571428571431</v>
      </c>
      <c r="AX36" s="259">
        <f t="shared" si="8"/>
        <v>0</v>
      </c>
      <c r="AY36" s="258"/>
      <c r="AZ36" s="238"/>
      <c r="BA36" s="238"/>
      <c r="BB36" s="238"/>
      <c r="BC36" s="238"/>
      <c r="BD36" s="238"/>
      <c r="BE36" s="239" t="s">
        <v>645</v>
      </c>
      <c r="BF36" s="239">
        <v>0.1139</v>
      </c>
      <c r="BG36" s="239">
        <v>3.5999999999999999E-3</v>
      </c>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row>
    <row r="37" spans="1:94" s="240" customFormat="1" ht="14.25" customHeight="1">
      <c r="A37" s="267" t="s">
        <v>419</v>
      </c>
      <c r="B37" s="268"/>
      <c r="C37" s="268"/>
      <c r="D37" s="268"/>
      <c r="E37" s="269"/>
      <c r="F37" s="1377">
        <v>2.0000000000000001E-4</v>
      </c>
      <c r="G37" s="1443"/>
      <c r="H37" s="1299">
        <f t="shared" si="0"/>
        <v>7.0767441768302859E-3</v>
      </c>
      <c r="I37" s="1301"/>
      <c r="J37" s="1300"/>
      <c r="K37" s="1300"/>
      <c r="L37" s="1299"/>
      <c r="M37" s="1300"/>
      <c r="N37" s="1299">
        <f t="shared" si="1"/>
        <v>0.31204195773315463</v>
      </c>
      <c r="O37" s="1301"/>
      <c r="P37" s="1299">
        <f>R37/$R$53</f>
        <v>0</v>
      </c>
      <c r="Q37" s="1301"/>
      <c r="R37" s="1300">
        <f>T37/$AR37</f>
        <v>0</v>
      </c>
      <c r="S37" s="1300"/>
      <c r="T37" s="1299">
        <f>$Q$22*N37</f>
        <v>0</v>
      </c>
      <c r="U37" s="1301"/>
      <c r="V37" s="263"/>
      <c r="W37" s="1188"/>
      <c r="X37" s="1188"/>
      <c r="Y37" s="1188"/>
      <c r="Z37" s="1188"/>
      <c r="AA37" s="1188"/>
      <c r="AB37" s="1188"/>
      <c r="AC37" s="1188"/>
      <c r="AD37" s="1188"/>
      <c r="AE37" s="1188"/>
      <c r="AF37" s="1188"/>
      <c r="AG37" s="1188"/>
      <c r="AH37" s="1188"/>
      <c r="AI37" s="1188"/>
      <c r="AJ37" s="1188"/>
      <c r="AK37" s="264"/>
      <c r="AL37" s="258"/>
      <c r="AM37" s="259">
        <v>3</v>
      </c>
      <c r="AN37" s="259">
        <v>8</v>
      </c>
      <c r="AO37" s="259"/>
      <c r="AP37" s="259"/>
      <c r="AQ37" s="259"/>
      <c r="AR37" s="265">
        <f t="shared" si="2"/>
        <v>44.094000000000001</v>
      </c>
      <c r="AS37" s="259">
        <f t="shared" si="3"/>
        <v>5</v>
      </c>
      <c r="AT37" s="266">
        <f t="shared" si="4"/>
        <v>18.80952380952381</v>
      </c>
      <c r="AU37" s="259">
        <f t="shared" si="5"/>
        <v>3</v>
      </c>
      <c r="AV37" s="259">
        <f t="shared" si="6"/>
        <v>4</v>
      </c>
      <c r="AW37" s="266">
        <f t="shared" si="7"/>
        <v>18.80952380952381</v>
      </c>
      <c r="AX37" s="259">
        <f t="shared" si="8"/>
        <v>0</v>
      </c>
      <c r="AY37" s="258"/>
      <c r="AZ37" s="238"/>
      <c r="BA37" s="238"/>
      <c r="BB37" s="238"/>
      <c r="BC37" s="238"/>
      <c r="BD37" s="238"/>
      <c r="BE37" s="239" t="s">
        <v>646</v>
      </c>
      <c r="BF37" s="239">
        <v>1.7100000000000001E-2</v>
      </c>
      <c r="BG37" s="239">
        <v>1E-3</v>
      </c>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row>
    <row r="38" spans="1:94" s="240" customFormat="1" ht="14.25" customHeight="1">
      <c r="A38" s="267" t="s">
        <v>420</v>
      </c>
      <c r="B38" s="268"/>
      <c r="C38" s="268"/>
      <c r="D38" s="268"/>
      <c r="E38" s="269"/>
      <c r="F38" s="1377">
        <v>0</v>
      </c>
      <c r="G38" s="1443"/>
      <c r="H38" s="1299">
        <f t="shared" si="0"/>
        <v>0</v>
      </c>
      <c r="I38" s="1301"/>
      <c r="J38" s="1300"/>
      <c r="K38" s="1300"/>
      <c r="L38" s="1299"/>
      <c r="M38" s="1300"/>
      <c r="N38" s="1299">
        <f t="shared" si="1"/>
        <v>0</v>
      </c>
      <c r="O38" s="1301"/>
      <c r="P38" s="1299"/>
      <c r="Q38" s="1301"/>
      <c r="R38" s="1300"/>
      <c r="S38" s="1300"/>
      <c r="T38" s="1299"/>
      <c r="U38" s="1301"/>
      <c r="V38" s="263"/>
      <c r="W38" s="1188"/>
      <c r="X38" s="1188"/>
      <c r="Y38" s="1188"/>
      <c r="Z38" s="1188"/>
      <c r="AA38" s="1188"/>
      <c r="AB38" s="1188"/>
      <c r="AC38" s="1188"/>
      <c r="AD38" s="1188"/>
      <c r="AE38" s="1188"/>
      <c r="AF38" s="1188"/>
      <c r="AG38" s="1188"/>
      <c r="AH38" s="1188"/>
      <c r="AI38" s="1188"/>
      <c r="AJ38" s="1188"/>
      <c r="AK38" s="264"/>
      <c r="AL38" s="258"/>
      <c r="AM38" s="259">
        <v>4</v>
      </c>
      <c r="AN38" s="259">
        <v>8</v>
      </c>
      <c r="AO38" s="259"/>
      <c r="AP38" s="259"/>
      <c r="AQ38" s="259"/>
      <c r="AR38" s="265">
        <f t="shared" si="2"/>
        <v>56.103999999999999</v>
      </c>
      <c r="AS38" s="259">
        <f t="shared" si="3"/>
        <v>6</v>
      </c>
      <c r="AT38" s="266">
        <f t="shared" si="4"/>
        <v>22.571428571428573</v>
      </c>
      <c r="AU38" s="259">
        <f t="shared" si="5"/>
        <v>4</v>
      </c>
      <c r="AV38" s="259">
        <f t="shared" si="6"/>
        <v>4</v>
      </c>
      <c r="AW38" s="266">
        <f t="shared" si="7"/>
        <v>22.571428571428573</v>
      </c>
      <c r="AX38" s="259">
        <f t="shared" si="8"/>
        <v>0</v>
      </c>
      <c r="AY38" s="258"/>
      <c r="AZ38" s="238"/>
      <c r="BA38" s="238"/>
      <c r="BB38" s="238"/>
      <c r="BC38" s="238"/>
      <c r="BD38" s="238"/>
      <c r="BE38" s="239" t="s">
        <v>647</v>
      </c>
      <c r="BF38" s="239">
        <v>4.5900000000000003E-2</v>
      </c>
      <c r="BG38" s="239">
        <v>2.3999999999999998E-3</v>
      </c>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row>
    <row r="39" spans="1:94" s="240" customFormat="1" ht="14.25" customHeight="1">
      <c r="A39" s="267" t="s">
        <v>421</v>
      </c>
      <c r="B39" s="268"/>
      <c r="C39" s="268"/>
      <c r="D39" s="268"/>
      <c r="E39" s="269"/>
      <c r="F39" s="1377">
        <v>1E-4</v>
      </c>
      <c r="G39" s="1443"/>
      <c r="H39" s="1299">
        <f t="shared" si="0"/>
        <v>3.538372088415143E-3</v>
      </c>
      <c r="I39" s="1301"/>
      <c r="J39" s="1300"/>
      <c r="K39" s="1300"/>
      <c r="L39" s="1299"/>
      <c r="M39" s="1300"/>
      <c r="N39" s="1299">
        <f t="shared" si="1"/>
        <v>0.2056501857786881</v>
      </c>
      <c r="O39" s="1301"/>
      <c r="P39" s="1299">
        <f>R39/$R$53</f>
        <v>0</v>
      </c>
      <c r="Q39" s="1301"/>
      <c r="R39" s="1300">
        <f>T39/$AR39</f>
        <v>0</v>
      </c>
      <c r="S39" s="1300"/>
      <c r="T39" s="1299">
        <f>$Q$22*N39</f>
        <v>0</v>
      </c>
      <c r="U39" s="1301"/>
      <c r="V39" s="263"/>
      <c r="W39" s="263"/>
      <c r="X39" s="263"/>
      <c r="Y39" s="263"/>
      <c r="Z39" s="263"/>
      <c r="AA39" s="263"/>
      <c r="AB39" s="263"/>
      <c r="AC39" s="263"/>
      <c r="AD39" s="263"/>
      <c r="AE39" s="263"/>
      <c r="AF39" s="263"/>
      <c r="AG39" s="263"/>
      <c r="AH39" s="263"/>
      <c r="AI39" s="263"/>
      <c r="AJ39" s="263"/>
      <c r="AK39" s="264"/>
      <c r="AL39" s="258"/>
      <c r="AM39" s="259">
        <v>4</v>
      </c>
      <c r="AN39" s="259">
        <v>10</v>
      </c>
      <c r="AO39" s="259"/>
      <c r="AP39" s="259"/>
      <c r="AQ39" s="259"/>
      <c r="AR39" s="265">
        <f>AM39*12.01+AN39*1.008+AO39*16+AP39*14+AQ39*32</f>
        <v>58.12</v>
      </c>
      <c r="AS39" s="259">
        <f t="shared" si="3"/>
        <v>6.5</v>
      </c>
      <c r="AT39" s="266">
        <f t="shared" si="4"/>
        <v>24.452380952380956</v>
      </c>
      <c r="AU39" s="259">
        <f t="shared" si="5"/>
        <v>4</v>
      </c>
      <c r="AV39" s="259">
        <f t="shared" si="6"/>
        <v>5</v>
      </c>
      <c r="AW39" s="266">
        <f t="shared" si="7"/>
        <v>24.452380952380956</v>
      </c>
      <c r="AX39" s="259">
        <f t="shared" si="8"/>
        <v>0</v>
      </c>
      <c r="AY39" s="258"/>
      <c r="AZ39" s="238"/>
      <c r="BA39" s="238"/>
      <c r="BB39" s="238"/>
      <c r="BC39" s="238"/>
      <c r="BD39" s="238"/>
      <c r="BE39" s="239" t="s">
        <v>648</v>
      </c>
      <c r="BF39" s="239">
        <v>8.2000000000000007E-3</v>
      </c>
      <c r="BG39" s="239">
        <v>1.6000000000000001E-3</v>
      </c>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38"/>
      <c r="CN39" s="238"/>
      <c r="CO39" s="238"/>
      <c r="CP39" s="238"/>
    </row>
    <row r="40" spans="1:94" s="240" customFormat="1" ht="14.25" customHeight="1">
      <c r="A40" s="267" t="s">
        <v>422</v>
      </c>
      <c r="B40" s="268"/>
      <c r="C40" s="268"/>
      <c r="D40" s="268"/>
      <c r="E40" s="269"/>
      <c r="F40" s="1377">
        <v>0</v>
      </c>
      <c r="G40" s="1443"/>
      <c r="H40" s="1299">
        <f t="shared" si="0"/>
        <v>0</v>
      </c>
      <c r="I40" s="1301"/>
      <c r="J40" s="1300"/>
      <c r="K40" s="1300"/>
      <c r="L40" s="1299"/>
      <c r="M40" s="1300"/>
      <c r="N40" s="1299">
        <f t="shared" si="1"/>
        <v>0</v>
      </c>
      <c r="O40" s="1301"/>
      <c r="P40" s="1299">
        <f>R40/$R$53</f>
        <v>0</v>
      </c>
      <c r="Q40" s="1301"/>
      <c r="R40" s="1300">
        <f>T40/$AR40</f>
        <v>0</v>
      </c>
      <c r="S40" s="1300"/>
      <c r="T40" s="1299">
        <f>$Q$22*N40</f>
        <v>0</v>
      </c>
      <c r="U40" s="1301"/>
      <c r="V40" s="263"/>
      <c r="W40" s="263"/>
      <c r="X40" s="263" t="s">
        <v>761</v>
      </c>
      <c r="Y40" s="263"/>
      <c r="Z40" s="263"/>
      <c r="AA40" s="263"/>
      <c r="AB40" s="263"/>
      <c r="AC40" s="263"/>
      <c r="AD40" s="263"/>
      <c r="AE40" s="263"/>
      <c r="AF40" s="263"/>
      <c r="AG40" s="263"/>
      <c r="AH40" s="263"/>
      <c r="AI40" s="263"/>
      <c r="AJ40" s="263"/>
      <c r="AK40" s="264"/>
      <c r="AL40" s="258"/>
      <c r="AM40" s="259">
        <v>4</v>
      </c>
      <c r="AN40" s="259">
        <v>10</v>
      </c>
      <c r="AO40" s="259"/>
      <c r="AP40" s="259"/>
      <c r="AQ40" s="259"/>
      <c r="AR40" s="265">
        <f t="shared" si="2"/>
        <v>58.12</v>
      </c>
      <c r="AS40" s="259">
        <f t="shared" si="3"/>
        <v>6.5</v>
      </c>
      <c r="AT40" s="266">
        <f t="shared" si="4"/>
        <v>24.452380952380956</v>
      </c>
      <c r="AU40" s="259">
        <f t="shared" si="5"/>
        <v>4</v>
      </c>
      <c r="AV40" s="259">
        <f t="shared" si="6"/>
        <v>5</v>
      </c>
      <c r="AW40" s="266">
        <f t="shared" si="7"/>
        <v>24.452380952380956</v>
      </c>
      <c r="AX40" s="259">
        <f t="shared" si="8"/>
        <v>0</v>
      </c>
      <c r="AY40" s="258"/>
      <c r="AZ40" s="238"/>
      <c r="BA40" s="238"/>
      <c r="BB40" s="238"/>
      <c r="BC40" s="238"/>
      <c r="BD40" s="238"/>
      <c r="BE40" s="239" t="s">
        <v>649</v>
      </c>
      <c r="BF40" s="239">
        <v>2.0000000000000001E-4</v>
      </c>
      <c r="BG40" s="239">
        <v>0</v>
      </c>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row>
    <row r="41" spans="1:94" s="240" customFormat="1" ht="14.25" customHeight="1">
      <c r="A41" s="267" t="s">
        <v>423</v>
      </c>
      <c r="B41" s="268"/>
      <c r="C41" s="268"/>
      <c r="D41" s="268"/>
      <c r="E41" s="269"/>
      <c r="F41" s="1377">
        <v>1E-4</v>
      </c>
      <c r="G41" s="1443"/>
      <c r="H41" s="1299">
        <f t="shared" si="0"/>
        <v>3.538372088415143E-3</v>
      </c>
      <c r="I41" s="1301"/>
      <c r="J41" s="1300"/>
      <c r="K41" s="1300"/>
      <c r="L41" s="1299"/>
      <c r="M41" s="1300"/>
      <c r="N41" s="1299">
        <f t="shared" si="1"/>
        <v>0.25527939269079891</v>
      </c>
      <c r="O41" s="1301"/>
      <c r="P41" s="1299">
        <f>R41/$R$53</f>
        <v>0</v>
      </c>
      <c r="Q41" s="1301"/>
      <c r="R41" s="1300">
        <f>T41/$AR41</f>
        <v>0</v>
      </c>
      <c r="S41" s="1300"/>
      <c r="T41" s="1299">
        <f>$Q$22*N41</f>
        <v>0</v>
      </c>
      <c r="U41" s="1301"/>
      <c r="V41" s="263"/>
      <c r="W41" s="263"/>
      <c r="X41" s="263"/>
      <c r="Y41" s="263"/>
      <c r="Z41" s="263"/>
      <c r="AA41" s="263"/>
      <c r="AB41" s="263"/>
      <c r="AC41" s="263"/>
      <c r="AD41" s="263"/>
      <c r="AE41" s="263"/>
      <c r="AF41" s="263"/>
      <c r="AG41" s="263"/>
      <c r="AH41" s="263"/>
      <c r="AI41" s="263"/>
      <c r="AJ41" s="263"/>
      <c r="AK41" s="264"/>
      <c r="AL41" s="258"/>
      <c r="AM41" s="259">
        <v>5</v>
      </c>
      <c r="AN41" s="259">
        <v>12</v>
      </c>
      <c r="AO41" s="259"/>
      <c r="AP41" s="259"/>
      <c r="AQ41" s="259"/>
      <c r="AR41" s="265">
        <f t="shared" si="2"/>
        <v>72.146000000000001</v>
      </c>
      <c r="AS41" s="259">
        <f t="shared" si="3"/>
        <v>8</v>
      </c>
      <c r="AT41" s="266">
        <f t="shared" si="4"/>
        <v>30.095238095238098</v>
      </c>
      <c r="AU41" s="259">
        <f t="shared" si="5"/>
        <v>5</v>
      </c>
      <c r="AV41" s="259">
        <f t="shared" si="6"/>
        <v>6</v>
      </c>
      <c r="AW41" s="266">
        <f t="shared" si="7"/>
        <v>30.095238095238098</v>
      </c>
      <c r="AX41" s="259">
        <f t="shared" si="8"/>
        <v>0</v>
      </c>
      <c r="AY41" s="258"/>
      <c r="AZ41" s="238"/>
      <c r="BA41" s="238"/>
      <c r="BB41" s="238"/>
      <c r="BC41" s="238"/>
      <c r="BD41" s="238"/>
      <c r="BE41" s="239" t="s">
        <v>650</v>
      </c>
      <c r="BF41" s="239">
        <v>8.8999999999999999E-3</v>
      </c>
      <c r="BG41" s="239">
        <v>1.9E-3</v>
      </c>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row>
    <row r="42" spans="1:94" s="240" customFormat="1" ht="14.25" customHeight="1">
      <c r="A42" s="267" t="s">
        <v>424</v>
      </c>
      <c r="B42" s="268"/>
      <c r="C42" s="268"/>
      <c r="D42" s="268"/>
      <c r="E42" s="269"/>
      <c r="F42" s="1377">
        <v>1E-4</v>
      </c>
      <c r="G42" s="1443"/>
      <c r="H42" s="1299">
        <f t="shared" si="0"/>
        <v>3.538372088415143E-3</v>
      </c>
      <c r="I42" s="1301"/>
      <c r="J42" s="1300"/>
      <c r="K42" s="1300"/>
      <c r="L42" s="1299"/>
      <c r="M42" s="1300"/>
      <c r="N42" s="1299">
        <f t="shared" si="1"/>
        <v>0.25527939269079891</v>
      </c>
      <c r="O42" s="1301"/>
      <c r="P42" s="1299">
        <f>R42/$R$53</f>
        <v>0</v>
      </c>
      <c r="Q42" s="1301"/>
      <c r="R42" s="1300">
        <f>T42/$AR42</f>
        <v>0</v>
      </c>
      <c r="S42" s="1300"/>
      <c r="T42" s="1299">
        <f>$Q$22*N42</f>
        <v>0</v>
      </c>
      <c r="U42" s="1301"/>
      <c r="V42" s="263"/>
      <c r="W42" s="263"/>
      <c r="X42" s="263"/>
      <c r="Y42" s="263"/>
      <c r="Z42" s="263"/>
      <c r="AA42" s="263"/>
      <c r="AB42" s="263"/>
      <c r="AC42" s="263"/>
      <c r="AD42" s="263"/>
      <c r="AE42" s="263"/>
      <c r="AF42" s="263"/>
      <c r="AG42" s="263"/>
      <c r="AH42" s="263"/>
      <c r="AI42" s="263"/>
      <c r="AJ42" s="263"/>
      <c r="AK42" s="264"/>
      <c r="AL42" s="258"/>
      <c r="AM42" s="259">
        <v>5</v>
      </c>
      <c r="AN42" s="259">
        <v>12</v>
      </c>
      <c r="AO42" s="259"/>
      <c r="AP42" s="259"/>
      <c r="AQ42" s="259"/>
      <c r="AR42" s="265">
        <f t="shared" si="2"/>
        <v>72.146000000000001</v>
      </c>
      <c r="AS42" s="259">
        <f t="shared" si="3"/>
        <v>8</v>
      </c>
      <c r="AT42" s="266">
        <f t="shared" si="4"/>
        <v>30.095238095238098</v>
      </c>
      <c r="AU42" s="259">
        <f t="shared" si="5"/>
        <v>5</v>
      </c>
      <c r="AV42" s="259">
        <f t="shared" si="6"/>
        <v>6</v>
      </c>
      <c r="AW42" s="266">
        <f t="shared" si="7"/>
        <v>30.095238095238098</v>
      </c>
      <c r="AX42" s="259">
        <f t="shared" si="8"/>
        <v>0</v>
      </c>
      <c r="AY42" s="258"/>
      <c r="AZ42" s="238"/>
      <c r="BA42" s="238"/>
      <c r="BB42" s="238"/>
      <c r="BC42" s="238"/>
      <c r="BD42" s="238"/>
      <c r="BE42" s="239" t="s">
        <v>651</v>
      </c>
      <c r="BF42" s="239">
        <v>2.0000000000000001E-4</v>
      </c>
      <c r="BG42" s="239">
        <v>2.9999999999999997E-4</v>
      </c>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row>
    <row r="43" spans="1:94" s="240" customFormat="1" ht="14.25" customHeight="1">
      <c r="A43" s="267" t="s">
        <v>721</v>
      </c>
      <c r="B43" s="268"/>
      <c r="C43" s="268"/>
      <c r="D43" s="268"/>
      <c r="E43" s="269"/>
      <c r="F43" s="1377">
        <v>2.00000000000089E-4</v>
      </c>
      <c r="G43" s="1443"/>
      <c r="H43" s="1299">
        <f t="shared" si="0"/>
        <v>7.0767441768334353E-3</v>
      </c>
      <c r="I43" s="1301"/>
      <c r="J43" s="1300"/>
      <c r="K43" s="1300"/>
      <c r="L43" s="1299"/>
      <c r="M43" s="1300"/>
      <c r="N43" s="1299">
        <f t="shared" si="1"/>
        <v>0.60981719920609079</v>
      </c>
      <c r="O43" s="1301"/>
      <c r="P43" s="1299">
        <f>R43/$R$53</f>
        <v>0</v>
      </c>
      <c r="Q43" s="1301"/>
      <c r="R43" s="1300">
        <f>T43/$AR43</f>
        <v>0</v>
      </c>
      <c r="S43" s="1300"/>
      <c r="T43" s="1299">
        <f>$Q$22*N43</f>
        <v>0</v>
      </c>
      <c r="U43" s="1301"/>
      <c r="V43" s="263"/>
      <c r="W43" s="263"/>
      <c r="X43" s="263"/>
      <c r="Y43" s="263"/>
      <c r="Z43" s="263"/>
      <c r="AA43" s="263"/>
      <c r="AB43" s="263"/>
      <c r="AC43" s="263"/>
      <c r="AD43" s="263"/>
      <c r="AE43" s="263"/>
      <c r="AF43" s="263"/>
      <c r="AG43" s="263"/>
      <c r="AH43" s="263"/>
      <c r="AI43" s="263"/>
      <c r="AJ43" s="263"/>
      <c r="AK43" s="264"/>
      <c r="AL43" s="258"/>
      <c r="AM43" s="259">
        <v>6</v>
      </c>
      <c r="AN43" s="259">
        <v>14</v>
      </c>
      <c r="AO43" s="259"/>
      <c r="AP43" s="259"/>
      <c r="AQ43" s="259"/>
      <c r="AR43" s="265">
        <f t="shared" si="2"/>
        <v>86.171999999999997</v>
      </c>
      <c r="AS43" s="259">
        <f t="shared" si="3"/>
        <v>9.5</v>
      </c>
      <c r="AT43" s="266">
        <f t="shared" si="4"/>
        <v>35.738095238095241</v>
      </c>
      <c r="AU43" s="259">
        <f t="shared" si="5"/>
        <v>6</v>
      </c>
      <c r="AV43" s="259">
        <f t="shared" si="6"/>
        <v>7</v>
      </c>
      <c r="AW43" s="266">
        <f t="shared" si="7"/>
        <v>35.738095238095241</v>
      </c>
      <c r="AX43" s="259">
        <f t="shared" si="8"/>
        <v>0</v>
      </c>
      <c r="AY43" s="258"/>
      <c r="AZ43" s="238"/>
      <c r="BA43" s="238"/>
      <c r="BB43" s="238"/>
      <c r="BC43" s="238"/>
      <c r="BD43" s="238"/>
      <c r="BE43" s="239" t="s">
        <v>652</v>
      </c>
      <c r="BF43" s="239">
        <v>0</v>
      </c>
      <c r="BG43" s="239">
        <v>5.0000000000000001E-4</v>
      </c>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38"/>
      <c r="CN43" s="238"/>
      <c r="CO43" s="238"/>
      <c r="CP43" s="238"/>
    </row>
    <row r="44" spans="1:94" s="240" customFormat="1" ht="14.25" customHeight="1">
      <c r="A44" s="267" t="s">
        <v>426</v>
      </c>
      <c r="B44" s="268"/>
      <c r="C44" s="268"/>
      <c r="D44" s="268"/>
      <c r="E44" s="269"/>
      <c r="F44" s="1377">
        <v>0</v>
      </c>
      <c r="G44" s="1443"/>
      <c r="H44" s="1299">
        <f>F44*$AC$25</f>
        <v>0</v>
      </c>
      <c r="I44" s="1301"/>
      <c r="J44" s="1300"/>
      <c r="K44" s="1300"/>
      <c r="L44" s="1299"/>
      <c r="M44" s="1300"/>
      <c r="N44" s="1299">
        <f t="shared" si="1"/>
        <v>0</v>
      </c>
      <c r="O44" s="1301"/>
      <c r="P44" s="1299"/>
      <c r="Q44" s="1301"/>
      <c r="R44" s="1300"/>
      <c r="S44" s="1300"/>
      <c r="T44" s="1299"/>
      <c r="U44" s="1301"/>
      <c r="V44" s="263"/>
      <c r="W44" s="263"/>
      <c r="X44" s="263"/>
      <c r="Y44" s="263"/>
      <c r="Z44" s="263"/>
      <c r="AA44" s="263"/>
      <c r="AB44" s="263"/>
      <c r="AC44" s="263"/>
      <c r="AD44" s="263"/>
      <c r="AE44" s="263"/>
      <c r="AF44" s="263"/>
      <c r="AG44" s="263"/>
      <c r="AH44" s="263"/>
      <c r="AI44" s="263"/>
      <c r="AJ44" s="263"/>
      <c r="AK44" s="264"/>
      <c r="AL44" s="258"/>
      <c r="AM44" s="259"/>
      <c r="AN44" s="259"/>
      <c r="AO44" s="259"/>
      <c r="AP44" s="259"/>
      <c r="AQ44" s="259"/>
      <c r="AR44" s="265">
        <v>4.0030000000000001</v>
      </c>
      <c r="AS44" s="259"/>
      <c r="AT44" s="266"/>
      <c r="AU44" s="259"/>
      <c r="AV44" s="259"/>
      <c r="AW44" s="266"/>
      <c r="AX44" s="259"/>
      <c r="AY44" s="258"/>
      <c r="AZ44" s="238"/>
      <c r="BA44" s="238"/>
      <c r="BB44" s="238"/>
      <c r="BC44" s="238"/>
      <c r="BD44" s="238"/>
      <c r="BE44" s="239" t="s">
        <v>653</v>
      </c>
      <c r="BF44" s="239">
        <v>0</v>
      </c>
      <c r="BG44" s="239">
        <v>1E-4</v>
      </c>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row>
    <row r="45" spans="1:94" s="240" customFormat="1" ht="14.25" customHeight="1">
      <c r="A45" s="267" t="s">
        <v>427</v>
      </c>
      <c r="B45" s="268"/>
      <c r="C45" s="268"/>
      <c r="D45" s="268"/>
      <c r="E45" s="269"/>
      <c r="F45" s="1377">
        <v>0</v>
      </c>
      <c r="G45" s="1443"/>
      <c r="H45" s="1299">
        <f t="shared" si="0"/>
        <v>0</v>
      </c>
      <c r="I45" s="1301"/>
      <c r="J45" s="1300"/>
      <c r="K45" s="1300"/>
      <c r="L45" s="1299"/>
      <c r="M45" s="1300"/>
      <c r="N45" s="1299">
        <f t="shared" si="1"/>
        <v>0</v>
      </c>
      <c r="O45" s="1301"/>
      <c r="P45" s="1299"/>
      <c r="Q45" s="1301"/>
      <c r="R45" s="1299"/>
      <c r="S45" s="1301"/>
      <c r="T45" s="1299"/>
      <c r="U45" s="1301"/>
      <c r="V45" s="263"/>
      <c r="W45" s="263"/>
      <c r="X45" s="263"/>
      <c r="Y45" s="263"/>
      <c r="Z45" s="263"/>
      <c r="AA45" s="263"/>
      <c r="AB45" s="263"/>
      <c r="AC45" s="263"/>
      <c r="AD45" s="263"/>
      <c r="AE45" s="263"/>
      <c r="AF45" s="263"/>
      <c r="AG45" s="263"/>
      <c r="AH45" s="263"/>
      <c r="AI45" s="263"/>
      <c r="AJ45" s="263"/>
      <c r="AK45" s="264"/>
      <c r="AL45" s="258"/>
      <c r="AM45" s="259"/>
      <c r="AN45" s="259">
        <v>2</v>
      </c>
      <c r="AO45" s="259"/>
      <c r="AP45" s="259"/>
      <c r="AQ45" s="259">
        <v>1</v>
      </c>
      <c r="AR45" s="265">
        <f t="shared" si="2"/>
        <v>34.015999999999998</v>
      </c>
      <c r="AS45" s="259">
        <f t="shared" si="3"/>
        <v>1.5</v>
      </c>
      <c r="AT45" s="266">
        <f t="shared" si="4"/>
        <v>5.6428571428571432</v>
      </c>
      <c r="AU45" s="259">
        <f t="shared" si="5"/>
        <v>0</v>
      </c>
      <c r="AV45" s="259">
        <f t="shared" si="6"/>
        <v>1</v>
      </c>
      <c r="AW45" s="266">
        <f t="shared" si="7"/>
        <v>5.6428571428571432</v>
      </c>
      <c r="AX45" s="259">
        <f t="shared" si="8"/>
        <v>1</v>
      </c>
      <c r="AY45" s="258"/>
      <c r="AZ45" s="238"/>
      <c r="BA45" s="238"/>
      <c r="BB45" s="238"/>
      <c r="BC45" s="238"/>
      <c r="BD45" s="238"/>
      <c r="BE45" s="239" t="s">
        <v>654</v>
      </c>
      <c r="BF45" s="239">
        <v>0</v>
      </c>
      <c r="BG45" s="239">
        <v>4.0000000000000002E-4</v>
      </c>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row>
    <row r="46" spans="1:94" s="240" customFormat="1" ht="14.25" customHeight="1">
      <c r="A46" s="267" t="s">
        <v>428</v>
      </c>
      <c r="B46" s="268"/>
      <c r="C46" s="268"/>
      <c r="D46" s="268"/>
      <c r="E46" s="269"/>
      <c r="F46" s="1377">
        <v>0</v>
      </c>
      <c r="G46" s="1443"/>
      <c r="H46" s="1299">
        <f t="shared" si="0"/>
        <v>0</v>
      </c>
      <c r="I46" s="1301"/>
      <c r="J46" s="1300">
        <f>SUMPRODUCT(H32:H52,AS32:AS52)-H46</f>
        <v>70.774518512479716</v>
      </c>
      <c r="K46" s="1300"/>
      <c r="L46" s="1299">
        <v>0</v>
      </c>
      <c r="M46" s="1300"/>
      <c r="N46" s="1299">
        <f t="shared" si="1"/>
        <v>2264.7845923993509</v>
      </c>
      <c r="O46" s="1301"/>
      <c r="P46" s="1299">
        <f t="shared" ref="P46:P52" si="9">R46/$R$53</f>
        <v>6.5640308933690534E-4</v>
      </c>
      <c r="Q46" s="1301"/>
      <c r="R46" s="1300">
        <f>L46+SUMPRODUCT(R33:R45,$AS33:$AS45)</f>
        <v>0.24449190607814741</v>
      </c>
      <c r="S46" s="1300"/>
      <c r="T46" s="1299">
        <f>R46*$AR46</f>
        <v>7.8237409945007172</v>
      </c>
      <c r="U46" s="1301"/>
      <c r="V46" s="263"/>
      <c r="W46" s="263"/>
      <c r="X46" s="263"/>
      <c r="Y46" s="263"/>
      <c r="Z46" s="263"/>
      <c r="AA46" s="263"/>
      <c r="AB46" s="263"/>
      <c r="AC46" s="263"/>
      <c r="AD46" s="263"/>
      <c r="AE46" s="263"/>
      <c r="AF46" s="263"/>
      <c r="AG46" s="263"/>
      <c r="AH46" s="263"/>
      <c r="AI46" s="263"/>
      <c r="AJ46" s="263"/>
      <c r="AK46" s="264"/>
      <c r="AL46" s="258"/>
      <c r="AM46" s="259"/>
      <c r="AN46" s="259"/>
      <c r="AO46" s="259">
        <v>2</v>
      </c>
      <c r="AP46" s="259"/>
      <c r="AQ46" s="259"/>
      <c r="AR46" s="265">
        <f t="shared" si="2"/>
        <v>32</v>
      </c>
      <c r="AS46" s="259">
        <f t="shared" si="3"/>
        <v>0</v>
      </c>
      <c r="AT46" s="266">
        <f t="shared" si="4"/>
        <v>0</v>
      </c>
      <c r="AU46" s="259">
        <f t="shared" si="5"/>
        <v>0</v>
      </c>
      <c r="AV46" s="259">
        <f t="shared" si="6"/>
        <v>0</v>
      </c>
      <c r="AW46" s="266">
        <f t="shared" si="7"/>
        <v>0</v>
      </c>
      <c r="AX46" s="259">
        <f t="shared" si="8"/>
        <v>0</v>
      </c>
      <c r="AY46" s="258"/>
      <c r="AZ46" s="238"/>
      <c r="BA46" s="238"/>
      <c r="BB46" s="238"/>
      <c r="BC46" s="238"/>
      <c r="BD46" s="238"/>
      <c r="BE46" s="239" t="s">
        <v>655</v>
      </c>
      <c r="BF46" s="239">
        <v>0</v>
      </c>
      <c r="BG46" s="239">
        <v>2.0000000000000001E-4</v>
      </c>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row>
    <row r="47" spans="1:94" s="240" customFormat="1" ht="14.25" customHeight="1">
      <c r="A47" s="267" t="s">
        <v>429</v>
      </c>
      <c r="B47" s="268"/>
      <c r="C47" s="268"/>
      <c r="D47" s="268"/>
      <c r="E47" s="269"/>
      <c r="F47" s="1377">
        <v>1.5E-3</v>
      </c>
      <c r="G47" s="1443"/>
      <c r="H47" s="1299">
        <f t="shared" si="0"/>
        <v>5.3075581326227146E-2</v>
      </c>
      <c r="I47" s="1301"/>
      <c r="J47" s="1300">
        <f>0.79/0.21*J46</f>
        <v>266.24699821361418</v>
      </c>
      <c r="K47" s="1301"/>
      <c r="L47" s="1299">
        <f>0.71/0.29*L46</f>
        <v>0</v>
      </c>
      <c r="M47" s="1300"/>
      <c r="N47" s="1299">
        <f t="shared" si="1"/>
        <v>7456.4020662583316</v>
      </c>
      <c r="O47" s="1301"/>
      <c r="P47" s="1299">
        <f t="shared" si="9"/>
        <v>0.71492507822389051</v>
      </c>
      <c r="Q47" s="1301"/>
      <c r="R47" s="1299">
        <f>$H47+J47+L47-R50/2</f>
        <v>266.28972032200966</v>
      </c>
      <c r="S47" s="1301"/>
      <c r="T47" s="1340">
        <f>R47*$AR47</f>
        <v>7456.1121690162709</v>
      </c>
      <c r="U47" s="1342"/>
      <c r="V47" s="263"/>
      <c r="W47" s="263"/>
      <c r="X47" s="263"/>
      <c r="Y47" s="263"/>
      <c r="Z47" s="263"/>
      <c r="AA47" s="263"/>
      <c r="AB47" s="263"/>
      <c r="AC47" s="263"/>
      <c r="AD47" s="263"/>
      <c r="AE47" s="263"/>
      <c r="AF47" s="263"/>
      <c r="AG47" s="263"/>
      <c r="AH47" s="263"/>
      <c r="AI47" s="263"/>
      <c r="AJ47" s="263"/>
      <c r="AK47" s="264"/>
      <c r="AL47" s="258"/>
      <c r="AM47" s="259"/>
      <c r="AN47" s="259"/>
      <c r="AO47" s="259"/>
      <c r="AP47" s="259">
        <v>2</v>
      </c>
      <c r="AQ47" s="259"/>
      <c r="AR47" s="265">
        <f t="shared" si="2"/>
        <v>28</v>
      </c>
      <c r="AS47" s="259">
        <f t="shared" si="3"/>
        <v>0</v>
      </c>
      <c r="AT47" s="266">
        <f t="shared" si="4"/>
        <v>0</v>
      </c>
      <c r="AU47" s="259">
        <f t="shared" si="5"/>
        <v>0</v>
      </c>
      <c r="AV47" s="259">
        <f t="shared" si="6"/>
        <v>0</v>
      </c>
      <c r="AW47" s="266">
        <f t="shared" si="7"/>
        <v>1</v>
      </c>
      <c r="AX47" s="259">
        <f t="shared" si="8"/>
        <v>0</v>
      </c>
      <c r="AY47" s="258"/>
      <c r="AZ47" s="238"/>
      <c r="BA47" s="238"/>
      <c r="BB47" s="238"/>
      <c r="BC47" s="238"/>
      <c r="BD47" s="238"/>
      <c r="BE47" s="239" t="s">
        <v>656</v>
      </c>
      <c r="BF47" s="239">
        <v>1.5E-3</v>
      </c>
      <c r="BG47" s="239">
        <v>0</v>
      </c>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row>
    <row r="48" spans="1:94" s="240" customFormat="1" ht="14.25" customHeight="1">
      <c r="A48" s="267" t="s">
        <v>115</v>
      </c>
      <c r="B48" s="268"/>
      <c r="C48" s="268"/>
      <c r="D48" s="268"/>
      <c r="E48" s="269"/>
      <c r="F48" s="1377">
        <v>0</v>
      </c>
      <c r="G48" s="1443"/>
      <c r="H48" s="1299">
        <f t="shared" si="0"/>
        <v>0</v>
      </c>
      <c r="I48" s="1301"/>
      <c r="J48" s="1300"/>
      <c r="K48" s="1300"/>
      <c r="L48" s="1299"/>
      <c r="M48" s="1300"/>
      <c r="N48" s="1299">
        <f t="shared" si="1"/>
        <v>0</v>
      </c>
      <c r="O48" s="1301"/>
      <c r="P48" s="1299">
        <f t="shared" si="9"/>
        <v>4.9677497741658274E-4</v>
      </c>
      <c r="Q48" s="1301"/>
      <c r="R48" s="1300">
        <f>T48/$AR$48</f>
        <v>0.18503487124535714</v>
      </c>
      <c r="S48" s="1300"/>
      <c r="T48" s="1299">
        <f>$AC17*$X25</f>
        <v>5.1828267435824529</v>
      </c>
      <c r="U48" s="1301"/>
      <c r="V48" s="263"/>
      <c r="W48" s="263"/>
      <c r="X48" s="263"/>
      <c r="Y48" s="263"/>
      <c r="Z48" s="263"/>
      <c r="AA48" s="263"/>
      <c r="AB48" s="263"/>
      <c r="AC48" s="263"/>
      <c r="AD48" s="263"/>
      <c r="AE48" s="263"/>
      <c r="AF48" s="263"/>
      <c r="AG48" s="263"/>
      <c r="AH48" s="263"/>
      <c r="AI48" s="263"/>
      <c r="AJ48" s="263"/>
      <c r="AK48" s="264"/>
      <c r="AL48" s="258"/>
      <c r="AM48" s="258">
        <v>1</v>
      </c>
      <c r="AN48" s="258"/>
      <c r="AO48" s="258">
        <v>1</v>
      </c>
      <c r="AP48" s="258"/>
      <c r="AQ48" s="258"/>
      <c r="AR48" s="265">
        <f t="shared" si="2"/>
        <v>28.009999999999998</v>
      </c>
      <c r="AS48" s="259"/>
      <c r="AT48" s="258"/>
      <c r="AU48" s="258"/>
      <c r="AV48" s="258"/>
      <c r="AW48" s="258"/>
      <c r="AX48" s="258"/>
      <c r="AY48" s="258"/>
      <c r="AZ48" s="238"/>
      <c r="BA48" s="238"/>
      <c r="BB48" s="238"/>
      <c r="BC48" s="238"/>
      <c r="BD48" s="238"/>
      <c r="BE48" s="239" t="s">
        <v>657</v>
      </c>
      <c r="BF48" s="239">
        <v>1E-4</v>
      </c>
      <c r="BG48" s="239">
        <v>0</v>
      </c>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38"/>
      <c r="CN48" s="238"/>
      <c r="CO48" s="238"/>
      <c r="CP48" s="238"/>
    </row>
    <row r="49" spans="1:94" s="240" customFormat="1" ht="14.25" customHeight="1">
      <c r="A49" s="267" t="s">
        <v>126</v>
      </c>
      <c r="B49" s="268"/>
      <c r="C49" s="268"/>
      <c r="D49" s="268"/>
      <c r="E49" s="269"/>
      <c r="F49" s="1377">
        <v>8.0000000000000004E-4</v>
      </c>
      <c r="G49" s="1443"/>
      <c r="H49" s="1299">
        <f t="shared" si="0"/>
        <v>2.8306976707321144E-2</v>
      </c>
      <c r="I49" s="1301"/>
      <c r="J49" s="1300"/>
      <c r="K49" s="1300"/>
      <c r="L49" s="1299"/>
      <c r="M49" s="1300"/>
      <c r="N49" s="1299">
        <f t="shared" si="1"/>
        <v>1.2457900448892034</v>
      </c>
      <c r="O49" s="1301"/>
      <c r="P49" s="1299">
        <f t="shared" si="9"/>
        <v>9.4333461424103676E-2</v>
      </c>
      <c r="Q49" s="1301"/>
      <c r="R49" s="1300">
        <f>SUMPRODUCT($H32:$H52,$AU32:$AU52)+$H49-R48-SUMPRODUCT(R33:R43,$AU33:$AU43)</f>
        <v>35.136592385370072</v>
      </c>
      <c r="S49" s="1300"/>
      <c r="T49" s="1299">
        <f>R49*$AR49</f>
        <v>1546.3614308801368</v>
      </c>
      <c r="U49" s="1301"/>
      <c r="V49" s="263"/>
      <c r="W49" s="263"/>
      <c r="X49" s="263"/>
      <c r="Y49" s="263"/>
      <c r="Z49" s="263"/>
      <c r="AA49" s="263"/>
      <c r="AB49" s="263"/>
      <c r="AC49" s="263"/>
      <c r="AD49" s="263"/>
      <c r="AE49" s="263"/>
      <c r="AF49" s="263"/>
      <c r="AG49" s="263"/>
      <c r="AH49" s="263"/>
      <c r="AI49" s="263"/>
      <c r="AJ49" s="263"/>
      <c r="AK49" s="264"/>
      <c r="AL49" s="258"/>
      <c r="AM49" s="259">
        <v>1</v>
      </c>
      <c r="AN49" s="259"/>
      <c r="AO49" s="259">
        <v>2</v>
      </c>
      <c r="AP49" s="259"/>
      <c r="AQ49" s="259"/>
      <c r="AR49" s="265">
        <f>AM49*12.01+AN49*1.008+AO49*16+AP49*14+AQ49*32</f>
        <v>44.01</v>
      </c>
      <c r="AS49" s="259"/>
      <c r="AT49" s="259"/>
      <c r="AU49" s="259"/>
      <c r="AV49" s="259"/>
      <c r="AW49" s="259"/>
      <c r="AX49" s="259"/>
      <c r="AY49" s="258"/>
      <c r="AZ49" s="238"/>
      <c r="BA49" s="238"/>
      <c r="BB49" s="238"/>
      <c r="BC49" s="238"/>
      <c r="BD49" s="238"/>
      <c r="BE49" s="239" t="s">
        <v>658</v>
      </c>
      <c r="BF49" s="239">
        <v>0</v>
      </c>
      <c r="BG49" s="239">
        <v>0</v>
      </c>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row>
    <row r="50" spans="1:94" s="240" customFormat="1" ht="14.25" customHeight="1">
      <c r="A50" s="267" t="s">
        <v>430</v>
      </c>
      <c r="B50" s="268"/>
      <c r="C50" s="268"/>
      <c r="D50" s="268"/>
      <c r="E50" s="269"/>
      <c r="F50" s="1377">
        <v>0</v>
      </c>
      <c r="G50" s="1443"/>
      <c r="H50" s="1299">
        <f t="shared" si="0"/>
        <v>0</v>
      </c>
      <c r="I50" s="1301"/>
      <c r="J50" s="1300"/>
      <c r="K50" s="1300"/>
      <c r="L50" s="1299"/>
      <c r="M50" s="1300"/>
      <c r="N50" s="1299">
        <f t="shared" si="1"/>
        <v>0</v>
      </c>
      <c r="O50" s="1301"/>
      <c r="P50" s="1299">
        <f t="shared" si="9"/>
        <v>5.5593264629013914E-5</v>
      </c>
      <c r="Q50" s="1301"/>
      <c r="R50" s="1300">
        <f>T50/$AR50</f>
        <v>2.0706945861551519E-2</v>
      </c>
      <c r="S50" s="1300"/>
      <c r="T50" s="1299">
        <f>$W17*$X25</f>
        <v>0.95251950963136978</v>
      </c>
      <c r="U50" s="1301"/>
      <c r="V50" s="263"/>
      <c r="W50" s="263"/>
      <c r="X50" s="263"/>
      <c r="Y50" s="263"/>
      <c r="Z50" s="263"/>
      <c r="AA50" s="263"/>
      <c r="AB50" s="263"/>
      <c r="AC50" s="263"/>
      <c r="AD50" s="263"/>
      <c r="AE50" s="263"/>
      <c r="AF50" s="263"/>
      <c r="AG50" s="263"/>
      <c r="AH50" s="263"/>
      <c r="AI50" s="263"/>
      <c r="AJ50" s="263"/>
      <c r="AK50" s="264"/>
      <c r="AL50" s="258"/>
      <c r="AM50" s="258"/>
      <c r="AN50" s="258"/>
      <c r="AO50" s="258">
        <v>2</v>
      </c>
      <c r="AP50" s="258">
        <v>1</v>
      </c>
      <c r="AQ50" s="258"/>
      <c r="AR50" s="265">
        <f>AM50*12.01+AN50*1.008+AO50*16+AP50*14+AQ50*32</f>
        <v>46</v>
      </c>
      <c r="AS50" s="259"/>
      <c r="AT50" s="258"/>
      <c r="AU50" s="258"/>
      <c r="AV50" s="258"/>
      <c r="AW50" s="258"/>
      <c r="AX50" s="258"/>
      <c r="AY50" s="258"/>
      <c r="AZ50" s="238"/>
      <c r="BA50" s="238"/>
      <c r="BB50" s="238"/>
      <c r="BC50" s="238"/>
      <c r="BD50" s="238"/>
      <c r="BE50" s="239" t="s">
        <v>659</v>
      </c>
      <c r="BF50" s="239">
        <v>0</v>
      </c>
      <c r="BG50" s="239">
        <v>0</v>
      </c>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38"/>
      <c r="CN50" s="238"/>
      <c r="CO50" s="238"/>
      <c r="CP50" s="238"/>
    </row>
    <row r="51" spans="1:94" s="240" customFormat="1" ht="14.25" customHeight="1">
      <c r="A51" s="267" t="s">
        <v>124</v>
      </c>
      <c r="B51" s="268"/>
      <c r="C51" s="268"/>
      <c r="D51" s="268"/>
      <c r="E51" s="269"/>
      <c r="F51" s="1377">
        <v>0</v>
      </c>
      <c r="G51" s="1443"/>
      <c r="H51" s="1299">
        <f t="shared" si="0"/>
        <v>0</v>
      </c>
      <c r="I51" s="1301"/>
      <c r="J51" s="1300"/>
      <c r="K51" s="1300"/>
      <c r="L51" s="1299"/>
      <c r="M51" s="1300"/>
      <c r="N51" s="1299">
        <f t="shared" si="1"/>
        <v>0</v>
      </c>
      <c r="O51" s="1301"/>
      <c r="P51" s="1299">
        <f t="shared" si="9"/>
        <v>0</v>
      </c>
      <c r="Q51" s="1301"/>
      <c r="R51" s="1299">
        <f>SUMPRODUCT(H32:H52,$AX32:$AX52)+H51</f>
        <v>0</v>
      </c>
      <c r="S51" s="1300"/>
      <c r="T51" s="1299">
        <f>R51*$AR51</f>
        <v>0</v>
      </c>
      <c r="U51" s="1301"/>
      <c r="V51" s="263"/>
      <c r="W51" s="263"/>
      <c r="X51" s="263"/>
      <c r="Y51" s="263"/>
      <c r="Z51" s="263"/>
      <c r="AA51" s="263"/>
      <c r="AB51" s="263"/>
      <c r="AC51" s="263"/>
      <c r="AD51" s="263"/>
      <c r="AE51" s="263"/>
      <c r="AF51" s="263"/>
      <c r="AG51" s="263"/>
      <c r="AH51" s="263"/>
      <c r="AI51" s="263"/>
      <c r="AJ51" s="263"/>
      <c r="AK51" s="264"/>
      <c r="AL51" s="258"/>
      <c r="AM51" s="258"/>
      <c r="AN51" s="258"/>
      <c r="AO51" s="258">
        <v>2</v>
      </c>
      <c r="AP51" s="258"/>
      <c r="AQ51" s="258">
        <v>1</v>
      </c>
      <c r="AR51" s="265">
        <f>AM51*12.01+AN51*1.008+AO51*16+AP51*14+AQ51*32</f>
        <v>64</v>
      </c>
      <c r="AS51" s="259"/>
      <c r="AT51" s="258"/>
      <c r="AU51" s="258"/>
      <c r="AV51" s="258"/>
      <c r="AW51" s="258"/>
      <c r="AX51" s="258"/>
      <c r="AY51" s="258"/>
      <c r="AZ51" s="238"/>
      <c r="BA51" s="238"/>
      <c r="BB51" s="238"/>
      <c r="BC51" s="238"/>
      <c r="BD51" s="238"/>
      <c r="BE51" s="239" t="s">
        <v>660</v>
      </c>
      <c r="BF51" s="239">
        <v>0</v>
      </c>
      <c r="BG51" s="239">
        <v>0</v>
      </c>
      <c r="BH51" s="238"/>
      <c r="BI51" s="238"/>
      <c r="BJ51" s="238"/>
      <c r="BK51" s="238"/>
      <c r="BL51" s="238"/>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38"/>
      <c r="CN51" s="238"/>
      <c r="CO51" s="238"/>
      <c r="CP51" s="238"/>
    </row>
    <row r="52" spans="1:94" s="240" customFormat="1" ht="14.25" customHeight="1">
      <c r="A52" s="273" t="s">
        <v>431</v>
      </c>
      <c r="B52" s="274"/>
      <c r="C52" s="274"/>
      <c r="D52" s="274"/>
      <c r="E52" s="274"/>
      <c r="F52" s="1444">
        <v>0</v>
      </c>
      <c r="G52" s="1445"/>
      <c r="H52" s="1299">
        <f t="shared" si="0"/>
        <v>0</v>
      </c>
      <c r="I52" s="1301"/>
      <c r="J52" s="1384"/>
      <c r="K52" s="1384"/>
      <c r="L52" s="1382"/>
      <c r="M52" s="1384"/>
      <c r="N52" s="1299">
        <f t="shared" si="1"/>
        <v>0</v>
      </c>
      <c r="O52" s="1301"/>
      <c r="P52" s="1343">
        <f t="shared" si="9"/>
        <v>0.18920448747595481</v>
      </c>
      <c r="Q52" s="1345"/>
      <c r="R52" s="1300">
        <f>SUMPRODUCT(H32:H52,$AV32:$AV52)+H52-SUMPRODUCT(R33:R43,$AV33:$AV43)</f>
        <v>70.473412652986909</v>
      </c>
      <c r="S52" s="1300"/>
      <c r="T52" s="1382">
        <f>R52*$AR52</f>
        <v>1269.6490023562121</v>
      </c>
      <c r="U52" s="1383"/>
      <c r="V52" s="263"/>
      <c r="W52" s="263"/>
      <c r="X52" s="263"/>
      <c r="Y52" s="263"/>
      <c r="Z52" s="263"/>
      <c r="AA52" s="263"/>
      <c r="AB52" s="263"/>
      <c r="AC52" s="263"/>
      <c r="AD52" s="263"/>
      <c r="AE52" s="263"/>
      <c r="AF52" s="263"/>
      <c r="AG52" s="263"/>
      <c r="AH52" s="263"/>
      <c r="AI52" s="263"/>
      <c r="AJ52" s="263"/>
      <c r="AK52" s="264"/>
      <c r="AL52" s="258"/>
      <c r="AM52" s="258"/>
      <c r="AN52" s="258">
        <v>2</v>
      </c>
      <c r="AO52" s="258">
        <v>1</v>
      </c>
      <c r="AP52" s="258"/>
      <c r="AQ52" s="258"/>
      <c r="AR52" s="265">
        <f>AM52*12.01+AN52*1.008+AO52*16+AP52*14+AQ52*32</f>
        <v>18.015999999999998</v>
      </c>
      <c r="AS52" s="259"/>
      <c r="AT52" s="258"/>
      <c r="AU52" s="258"/>
      <c r="AV52" s="258"/>
      <c r="AW52" s="258"/>
      <c r="AX52" s="258"/>
      <c r="AY52" s="258"/>
      <c r="AZ52" s="238"/>
      <c r="BA52" s="238"/>
      <c r="BB52" s="238"/>
      <c r="BC52" s="238"/>
      <c r="BD52" s="238"/>
      <c r="BE52" s="239" t="s">
        <v>661</v>
      </c>
      <c r="BF52" s="239">
        <v>0</v>
      </c>
      <c r="BG52" s="239">
        <v>0</v>
      </c>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row>
    <row r="53" spans="1:94" s="240" customFormat="1" ht="14.25" customHeight="1">
      <c r="A53" s="1391" t="s">
        <v>663</v>
      </c>
      <c r="B53" s="1392"/>
      <c r="C53" s="1392"/>
      <c r="D53" s="1392"/>
      <c r="E53" s="1393"/>
      <c r="F53" s="1394">
        <f>SUM(F32:F52)</f>
        <v>1</v>
      </c>
      <c r="G53" s="1395"/>
      <c r="H53" s="1371">
        <f>SUM(H32:H52)</f>
        <v>35.383720884151423</v>
      </c>
      <c r="I53" s="1373"/>
      <c r="J53" s="1396">
        <f>SUM(J32:J52)</f>
        <v>337.02151672609386</v>
      </c>
      <c r="K53" s="1396"/>
      <c r="L53" s="1371">
        <f>SUM(L32:L52)</f>
        <v>0</v>
      </c>
      <c r="M53" s="1372"/>
      <c r="N53" s="1385">
        <f>SUM(N32:N52)</f>
        <v>10290.340694751343</v>
      </c>
      <c r="O53" s="1386"/>
      <c r="P53" s="1385">
        <f>SUM(P32:P52)</f>
        <v>1</v>
      </c>
      <c r="Q53" s="1386"/>
      <c r="R53" s="1371">
        <f>SUM(R32:R52)</f>
        <v>372.47220503659076</v>
      </c>
      <c r="S53" s="1373"/>
      <c r="T53" s="1387">
        <f>SUM(T32:T52)</f>
        <v>10288.042759078988</v>
      </c>
      <c r="U53" s="1388"/>
      <c r="V53" s="275"/>
      <c r="W53" s="275"/>
      <c r="X53" s="30"/>
      <c r="Y53" s="30"/>
      <c r="Z53" s="276"/>
      <c r="AA53" s="276"/>
      <c r="AB53" s="30"/>
      <c r="AC53" s="30"/>
      <c r="AD53" s="277"/>
      <c r="AE53" s="277"/>
      <c r="AF53" s="263"/>
      <c r="AG53" s="263"/>
      <c r="AH53" s="30"/>
      <c r="AI53" s="30"/>
      <c r="AJ53" s="277"/>
      <c r="AK53" s="278"/>
      <c r="AL53" s="238"/>
      <c r="AM53" s="238"/>
      <c r="AN53" s="238"/>
      <c r="AO53" s="238"/>
      <c r="AP53" s="238"/>
      <c r="AQ53" s="238"/>
      <c r="AR53" s="238"/>
      <c r="AS53" s="238"/>
      <c r="AT53" s="238"/>
      <c r="AU53" s="238"/>
      <c r="AV53" s="238"/>
      <c r="AW53" s="238"/>
      <c r="AX53" s="238"/>
      <c r="AY53" s="238"/>
      <c r="AZ53" s="238"/>
      <c r="BA53" s="238"/>
      <c r="BB53" s="238"/>
      <c r="BC53" s="238"/>
      <c r="BD53" s="238"/>
      <c r="BE53" s="239" t="s">
        <v>662</v>
      </c>
      <c r="BF53" s="239">
        <v>0</v>
      </c>
      <c r="BG53" s="239">
        <v>0</v>
      </c>
      <c r="BH53" s="238"/>
      <c r="BI53" s="238"/>
      <c r="BJ53" s="238"/>
      <c r="BK53" s="238"/>
      <c r="BL53" s="238"/>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38"/>
      <c r="CN53" s="238"/>
      <c r="CO53" s="238"/>
      <c r="CP53" s="238"/>
    </row>
    <row r="54" spans="1:94" s="240" customFormat="1" ht="14.25" customHeight="1">
      <c r="A54" s="475" t="s">
        <v>665</v>
      </c>
      <c r="B54" s="476"/>
      <c r="C54" s="476"/>
      <c r="D54" s="476"/>
      <c r="E54" s="435"/>
      <c r="F54" s="435"/>
      <c r="G54" s="435"/>
      <c r="H54" s="435"/>
      <c r="I54" s="435"/>
      <c r="J54" s="435"/>
      <c r="K54" s="435"/>
      <c r="L54" s="1189" t="s">
        <v>666</v>
      </c>
      <c r="M54" s="1190"/>
      <c r="N54" s="477"/>
      <c r="O54" s="30" t="s">
        <v>617</v>
      </c>
      <c r="P54" s="1446" t="s">
        <v>332</v>
      </c>
      <c r="Q54" s="1446"/>
      <c r="T54" s="478"/>
      <c r="U54" s="478"/>
      <c r="V54" s="478"/>
      <c r="W54" s="478"/>
      <c r="X54" s="478"/>
      <c r="Y54" s="478"/>
      <c r="Z54" s="478"/>
      <c r="AA54" s="478"/>
      <c r="AB54" s="478"/>
      <c r="AC54" s="478"/>
      <c r="AD54" s="478"/>
      <c r="AE54" s="478"/>
      <c r="AF54" s="478"/>
      <c r="AG54" s="478"/>
      <c r="AH54" s="478"/>
      <c r="AI54" s="479"/>
      <c r="AJ54" s="479"/>
      <c r="AK54" s="480"/>
      <c r="AL54" s="481"/>
      <c r="AM54" s="238"/>
      <c r="AN54" s="238"/>
      <c r="AO54" s="238"/>
      <c r="AP54" s="238"/>
      <c r="AQ54" s="238"/>
      <c r="AR54" s="238"/>
      <c r="AS54" s="238"/>
      <c r="AT54" s="238"/>
      <c r="AU54" s="238"/>
      <c r="AV54" s="238"/>
      <c r="AW54" s="238"/>
      <c r="AX54" s="238"/>
      <c r="AY54" s="238"/>
      <c r="AZ54" s="238"/>
      <c r="BA54" s="238"/>
      <c r="BB54" s="238"/>
      <c r="BC54" s="238"/>
      <c r="BD54" s="238"/>
      <c r="BE54" s="239" t="s">
        <v>664</v>
      </c>
      <c r="BF54" s="239">
        <v>0</v>
      </c>
      <c r="BG54" s="239">
        <v>0</v>
      </c>
      <c r="BH54" s="238"/>
      <c r="BI54" s="238"/>
      <c r="BJ54" s="238"/>
      <c r="BK54" s="238"/>
      <c r="BL54" s="238"/>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38"/>
      <c r="CN54" s="238"/>
      <c r="CO54" s="238"/>
      <c r="CP54" s="238"/>
    </row>
    <row r="55" spans="1:94" s="240" customFormat="1" ht="14.25" customHeight="1">
      <c r="A55" s="273" t="s">
        <v>668</v>
      </c>
      <c r="B55" s="30"/>
      <c r="C55" s="30"/>
      <c r="D55" s="30"/>
      <c r="E55" s="30"/>
      <c r="F55" s="30"/>
      <c r="G55" s="30"/>
      <c r="H55" s="30"/>
      <c r="I55" s="30"/>
      <c r="J55" s="30"/>
      <c r="K55" s="30"/>
      <c r="L55" s="1185">
        <f>N55*1000/3600</f>
        <v>0.26458875267538051</v>
      </c>
      <c r="M55" s="1186"/>
      <c r="N55" s="1403">
        <f>W17*$X$25</f>
        <v>0.95251950963136978</v>
      </c>
      <c r="O55" s="1403"/>
      <c r="P55" s="1403">
        <f t="shared" ref="P55:P62" si="10">N55*365.25*24/1000</f>
        <v>8.3497860214285868</v>
      </c>
      <c r="Q55" s="1403"/>
      <c r="T55" s="478"/>
      <c r="U55" s="478"/>
      <c r="V55" s="478"/>
      <c r="W55" s="478"/>
      <c r="X55" s="478"/>
      <c r="Y55" s="478"/>
      <c r="Z55" s="478"/>
      <c r="AA55" s="478"/>
      <c r="AB55" s="478"/>
      <c r="AC55" s="478"/>
      <c r="AD55" s="478"/>
      <c r="AE55" s="478"/>
      <c r="AF55" s="478"/>
      <c r="AG55" s="478"/>
      <c r="AH55" s="478"/>
      <c r="AI55" s="30"/>
      <c r="AJ55" s="30"/>
      <c r="AK55" s="253"/>
      <c r="AL55" s="238"/>
      <c r="AM55" s="238"/>
      <c r="AN55" s="238"/>
      <c r="AO55" s="482"/>
      <c r="AP55" s="238"/>
      <c r="AQ55" s="238"/>
      <c r="AR55" s="238"/>
      <c r="AS55" s="238"/>
      <c r="AT55" s="238"/>
      <c r="AU55" s="238"/>
      <c r="AV55" s="238"/>
      <c r="AW55" s="238"/>
      <c r="AX55" s="238"/>
      <c r="AY55" s="238"/>
      <c r="AZ55" s="238"/>
      <c r="BA55" s="238"/>
      <c r="BB55" s="238"/>
      <c r="BC55" s="238"/>
      <c r="BD55" s="238"/>
      <c r="BE55" s="239" t="s">
        <v>669</v>
      </c>
      <c r="BF55" s="239">
        <v>0</v>
      </c>
      <c r="BG55" s="239">
        <v>1.5800000000000002E-2</v>
      </c>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38"/>
      <c r="CN55" s="238"/>
      <c r="CO55" s="238"/>
      <c r="CP55" s="238"/>
    </row>
    <row r="56" spans="1:94" s="240" customFormat="1" ht="14.25" customHeight="1">
      <c r="A56" s="273" t="s">
        <v>670</v>
      </c>
      <c r="B56" s="30"/>
      <c r="C56" s="30"/>
      <c r="D56" s="30"/>
      <c r="E56" s="30"/>
      <c r="F56" s="30"/>
      <c r="G56" s="30"/>
      <c r="H56" s="30"/>
      <c r="I56" s="30"/>
      <c r="J56" s="30"/>
      <c r="K56" s="30"/>
      <c r="L56" s="1185">
        <f>N56*1000/3600</f>
        <v>1.4396740954395701</v>
      </c>
      <c r="M56" s="1186"/>
      <c r="N56" s="1403">
        <f>AC17*$X$25</f>
        <v>5.1828267435824529</v>
      </c>
      <c r="O56" s="1403"/>
      <c r="P56" s="1403">
        <f t="shared" si="10"/>
        <v>45.432659234243779</v>
      </c>
      <c r="Q56" s="1403"/>
      <c r="T56" s="478"/>
      <c r="U56" s="478"/>
      <c r="V56" s="478"/>
      <c r="W56" s="478"/>
      <c r="X56" s="478"/>
      <c r="Y56" s="478"/>
      <c r="Z56" s="478"/>
      <c r="AA56" s="478"/>
      <c r="AB56" s="478"/>
      <c r="AC56" s="478"/>
      <c r="AD56" s="478"/>
      <c r="AE56" s="478"/>
      <c r="AF56" s="478"/>
      <c r="AG56" s="478"/>
      <c r="AH56" s="478"/>
      <c r="AI56" s="30"/>
      <c r="AJ56" s="30"/>
      <c r="AK56" s="253"/>
      <c r="AL56" s="238"/>
      <c r="AM56" s="238"/>
      <c r="AN56" s="238"/>
      <c r="AO56" s="482"/>
      <c r="AP56" s="238"/>
      <c r="AQ56" s="238"/>
      <c r="AR56" s="238"/>
      <c r="AS56" s="238"/>
      <c r="AT56" s="238"/>
      <c r="AU56" s="238"/>
      <c r="AV56" s="238"/>
      <c r="AW56" s="238"/>
      <c r="AX56" s="238"/>
      <c r="AY56" s="238"/>
      <c r="AZ56" s="238"/>
      <c r="BA56" s="238"/>
      <c r="BB56" s="238"/>
      <c r="BC56" s="238"/>
      <c r="BD56" s="238"/>
      <c r="BE56" s="239"/>
      <c r="BF56" s="239"/>
      <c r="BG56" s="239"/>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38"/>
      <c r="CN56" s="238"/>
      <c r="CO56" s="238"/>
      <c r="CP56" s="238"/>
    </row>
    <row r="57" spans="1:94" s="240" customFormat="1" ht="14.25" customHeight="1">
      <c r="A57" s="483" t="s">
        <v>748</v>
      </c>
      <c r="B57" s="484"/>
      <c r="C57" s="484"/>
      <c r="D57" s="484"/>
      <c r="E57" s="484"/>
      <c r="F57" s="484"/>
      <c r="G57" s="484"/>
      <c r="H57" s="484"/>
      <c r="I57" s="484"/>
      <c r="J57" s="484"/>
      <c r="K57" s="484"/>
      <c r="L57" s="1185">
        <f>N57*1000/3600</f>
        <v>9.0221909559011822E-3</v>
      </c>
      <c r="M57" s="1186"/>
      <c r="N57" s="1389">
        <f>AI17*X25</f>
        <v>3.2479887441244255E-2</v>
      </c>
      <c r="O57" s="1389"/>
      <c r="P57" s="1403">
        <f t="shared" si="10"/>
        <v>0.2847186933099472</v>
      </c>
      <c r="Q57" s="1403"/>
      <c r="T57" s="478"/>
      <c r="U57" s="478"/>
      <c r="V57" s="478"/>
      <c r="W57" s="478"/>
      <c r="X57" s="478"/>
      <c r="Y57" s="478"/>
      <c r="Z57" s="478"/>
      <c r="AA57" s="478"/>
      <c r="AB57" s="478"/>
      <c r="AC57" s="478"/>
      <c r="AD57" s="478"/>
      <c r="AE57" s="478"/>
      <c r="AF57" s="478"/>
      <c r="AG57" s="478"/>
      <c r="AH57" s="478"/>
      <c r="AI57" s="484"/>
      <c r="AJ57" s="485"/>
      <c r="AK57" s="486"/>
      <c r="AL57" s="238"/>
      <c r="AM57" s="238"/>
      <c r="AN57" s="281"/>
      <c r="AO57" s="238"/>
      <c r="AP57" s="238"/>
      <c r="AQ57" s="238"/>
      <c r="AR57" s="238"/>
      <c r="AS57" s="238"/>
      <c r="AT57" s="238"/>
      <c r="AU57" s="238"/>
      <c r="AV57" s="238"/>
      <c r="AW57" s="238"/>
      <c r="AX57" s="238"/>
      <c r="AY57" s="238"/>
      <c r="AZ57" s="238"/>
      <c r="BA57" s="238"/>
      <c r="BB57" s="238"/>
      <c r="BC57" s="238"/>
      <c r="BD57" s="238"/>
      <c r="BE57" s="239" t="s">
        <v>667</v>
      </c>
      <c r="BF57" s="239">
        <v>0</v>
      </c>
      <c r="BG57" s="239">
        <v>4.4999999999999997E-3</v>
      </c>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38"/>
      <c r="CN57" s="238"/>
      <c r="CO57" s="238"/>
      <c r="CP57" s="238"/>
    </row>
    <row r="58" spans="1:94" s="240" customFormat="1" ht="14.25" customHeight="1">
      <c r="A58" s="273" t="s">
        <v>672</v>
      </c>
      <c r="B58" s="30"/>
      <c r="C58" s="30"/>
      <c r="D58" s="30"/>
      <c r="E58" s="30"/>
      <c r="F58" s="30"/>
      <c r="G58" s="30"/>
      <c r="H58" s="30"/>
      <c r="I58" s="30"/>
      <c r="J58" s="30"/>
      <c r="K58" s="30"/>
      <c r="L58" s="1185">
        <f>N58*1000/3600</f>
        <v>0.54474154962578347</v>
      </c>
      <c r="M58" s="1186"/>
      <c r="N58" s="1407">
        <f>K22*$X$25</f>
        <v>1.9610695786528205</v>
      </c>
      <c r="O58" s="1407"/>
      <c r="P58" s="1403">
        <f t="shared" si="10"/>
        <v>17.190735926470623</v>
      </c>
      <c r="Q58" s="1403"/>
      <c r="T58" s="478"/>
      <c r="U58" s="478"/>
      <c r="V58" s="478"/>
      <c r="W58" s="478"/>
      <c r="X58" s="478"/>
      <c r="Y58" s="478"/>
      <c r="Z58" s="478"/>
      <c r="AA58" s="478"/>
      <c r="AB58" s="478"/>
      <c r="AC58" s="478"/>
      <c r="AD58" s="478"/>
      <c r="AE58" s="478"/>
      <c r="AF58" s="478"/>
      <c r="AG58" s="478"/>
      <c r="AH58" s="478"/>
      <c r="AI58" s="30"/>
      <c r="AJ58" s="30"/>
      <c r="AK58" s="253"/>
      <c r="AL58" s="238"/>
      <c r="AM58" s="238"/>
      <c r="AN58" s="238"/>
      <c r="AO58" s="482"/>
      <c r="AP58" s="238"/>
      <c r="AQ58" s="238"/>
      <c r="AR58" s="238"/>
      <c r="AS58" s="238"/>
      <c r="AT58" s="238"/>
      <c r="AU58" s="238"/>
      <c r="AV58" s="238"/>
      <c r="AW58" s="238"/>
      <c r="AX58" s="238"/>
      <c r="AY58" s="238"/>
      <c r="AZ58" s="238"/>
      <c r="BA58" s="238"/>
      <c r="BB58" s="238"/>
      <c r="BC58" s="238"/>
      <c r="BD58" s="238"/>
      <c r="BE58" s="239"/>
      <c r="BF58" s="239"/>
      <c r="BG58" s="239"/>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row>
    <row r="59" spans="1:94" s="240" customFormat="1" ht="14.25" customHeight="1">
      <c r="A59" s="273" t="s">
        <v>673</v>
      </c>
      <c r="B59" s="30"/>
      <c r="C59" s="30"/>
      <c r="D59" s="30"/>
      <c r="E59" s="30"/>
      <c r="F59" s="30"/>
      <c r="G59" s="30"/>
      <c r="H59" s="30"/>
      <c r="I59" s="30"/>
      <c r="J59" s="30"/>
      <c r="K59" s="30"/>
      <c r="L59" s="1187">
        <f>N59*1000/3600</f>
        <v>0</v>
      </c>
      <c r="M59" s="1408"/>
      <c r="N59" s="1409">
        <f>W22*$X$25</f>
        <v>0</v>
      </c>
      <c r="O59" s="1409"/>
      <c r="P59" s="1403">
        <f t="shared" si="10"/>
        <v>0</v>
      </c>
      <c r="Q59" s="1403"/>
      <c r="T59" s="478"/>
      <c r="U59" s="478"/>
      <c r="V59" s="478"/>
      <c r="W59" s="478"/>
      <c r="X59" s="478"/>
      <c r="Y59" s="478"/>
      <c r="Z59" s="478"/>
      <c r="AA59" s="478"/>
      <c r="AB59" s="478"/>
      <c r="AC59" s="478"/>
      <c r="AD59" s="478"/>
      <c r="AE59" s="478"/>
      <c r="AF59" s="478"/>
      <c r="AG59" s="478"/>
      <c r="AH59" s="478"/>
      <c r="AI59" s="30"/>
      <c r="AJ59" s="30"/>
      <c r="AK59" s="253"/>
      <c r="AL59" s="238"/>
      <c r="AM59" s="238"/>
      <c r="AN59" s="238"/>
      <c r="AO59" s="482"/>
      <c r="AP59" s="238"/>
      <c r="AQ59" s="238"/>
      <c r="AR59" s="238"/>
      <c r="AS59" s="238"/>
      <c r="AT59" s="238"/>
      <c r="AU59" s="238"/>
      <c r="AV59" s="238"/>
      <c r="AW59" s="238"/>
      <c r="AX59" s="238"/>
      <c r="AY59" s="238"/>
      <c r="AZ59" s="238"/>
      <c r="BA59" s="238"/>
      <c r="BB59" s="238"/>
      <c r="BC59" s="238"/>
      <c r="BD59" s="238"/>
      <c r="BE59" s="239"/>
      <c r="BF59" s="239"/>
      <c r="BG59" s="239"/>
      <c r="BH59" s="238"/>
      <c r="BI59" s="238"/>
      <c r="BJ59" s="238"/>
      <c r="BK59" s="238"/>
      <c r="BL59" s="238"/>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38"/>
      <c r="CN59" s="238"/>
      <c r="CO59" s="238"/>
      <c r="CP59" s="238"/>
    </row>
    <row r="60" spans="1:94" s="240" customFormat="1" ht="14.25" customHeight="1">
      <c r="A60" s="273" t="s">
        <v>675</v>
      </c>
      <c r="B60" s="30"/>
      <c r="C60" s="30"/>
      <c r="D60" s="30"/>
      <c r="E60" s="30"/>
      <c r="F60" s="30"/>
      <c r="G60" s="30"/>
      <c r="H60" s="30"/>
      <c r="I60" s="30"/>
      <c r="J60" s="30"/>
      <c r="K60" s="30"/>
      <c r="L60" s="1185">
        <f t="shared" ref="L60:L61" si="11">N60*1000/3600</f>
        <v>0</v>
      </c>
      <c r="M60" s="1186"/>
      <c r="N60" s="1185"/>
      <c r="O60" s="1186"/>
      <c r="P60" s="1403">
        <f t="shared" si="10"/>
        <v>0</v>
      </c>
      <c r="Q60" s="1403"/>
      <c r="T60" s="478"/>
      <c r="U60" s="478"/>
      <c r="V60" s="478"/>
      <c r="W60" s="478"/>
      <c r="X60" s="478"/>
      <c r="Y60" s="478"/>
      <c r="Z60" s="478"/>
      <c r="AA60" s="478"/>
      <c r="AB60" s="478"/>
      <c r="AC60" s="478"/>
      <c r="AD60" s="478"/>
      <c r="AE60" s="478"/>
      <c r="AF60" s="478"/>
      <c r="AG60" s="478"/>
      <c r="AH60" s="478"/>
      <c r="AI60" s="30"/>
      <c r="AJ60" s="30"/>
      <c r="AK60" s="253"/>
      <c r="AL60" s="238"/>
      <c r="AM60" s="238"/>
      <c r="AN60" s="238"/>
      <c r="AO60" s="482"/>
      <c r="AP60" s="238"/>
      <c r="AQ60" s="238"/>
      <c r="AR60" s="238"/>
      <c r="AS60" s="238"/>
      <c r="AT60" s="238"/>
      <c r="AU60" s="238"/>
      <c r="AV60" s="238"/>
      <c r="AW60" s="238"/>
      <c r="AX60" s="238"/>
      <c r="AY60" s="238"/>
      <c r="AZ60" s="238"/>
      <c r="BA60" s="238"/>
      <c r="BB60" s="238"/>
      <c r="BC60" s="238"/>
      <c r="BD60" s="238"/>
      <c r="BE60" s="239"/>
      <c r="BF60" s="239"/>
      <c r="BG60" s="239"/>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row>
    <row r="61" spans="1:94" s="240" customFormat="1" ht="14.25" customHeight="1">
      <c r="A61" s="273" t="s">
        <v>676</v>
      </c>
      <c r="B61" s="30"/>
      <c r="C61" s="30"/>
      <c r="D61" s="30"/>
      <c r="E61" s="30"/>
      <c r="F61" s="30"/>
      <c r="G61" s="30"/>
      <c r="H61" s="30"/>
      <c r="I61" s="30"/>
      <c r="J61" s="30"/>
      <c r="K61" s="30"/>
      <c r="L61" s="1185">
        <f t="shared" si="11"/>
        <v>0</v>
      </c>
      <c r="M61" s="1186"/>
      <c r="N61" s="1185"/>
      <c r="O61" s="1186"/>
      <c r="P61" s="1403">
        <f t="shared" si="10"/>
        <v>0</v>
      </c>
      <c r="Q61" s="1403"/>
      <c r="T61" s="478"/>
      <c r="U61" s="478"/>
      <c r="V61" s="478"/>
      <c r="W61" s="478"/>
      <c r="X61" s="478"/>
      <c r="Y61" s="478"/>
      <c r="Z61" s="478"/>
      <c r="AA61" s="478"/>
      <c r="AB61" s="478"/>
      <c r="AC61" s="478"/>
      <c r="AD61" s="478"/>
      <c r="AE61" s="478"/>
      <c r="AF61" s="478"/>
      <c r="AG61" s="478"/>
      <c r="AH61" s="478"/>
      <c r="AI61" s="30"/>
      <c r="AJ61" s="30"/>
      <c r="AK61" s="253"/>
      <c r="AL61" s="238"/>
      <c r="AM61" s="238"/>
      <c r="AN61" s="238"/>
      <c r="AO61" s="281"/>
      <c r="AP61" s="238"/>
      <c r="AQ61" s="238"/>
      <c r="AR61" s="238"/>
      <c r="AS61" s="238"/>
      <c r="AT61" s="238"/>
      <c r="AU61" s="238"/>
      <c r="AV61" s="238"/>
      <c r="AW61" s="238"/>
      <c r="AX61" s="238"/>
      <c r="AY61" s="238"/>
      <c r="AZ61" s="238"/>
      <c r="BA61" s="238"/>
      <c r="BB61" s="238"/>
      <c r="BC61" s="238"/>
      <c r="BD61" s="238"/>
      <c r="BE61" s="239"/>
      <c r="BF61" s="239"/>
      <c r="BG61" s="239"/>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row>
    <row r="62" spans="1:94" s="240" customFormat="1" ht="14.25" customHeight="1">
      <c r="A62" s="273" t="s">
        <v>677</v>
      </c>
      <c r="B62" s="30"/>
      <c r="C62" s="30"/>
      <c r="D62" s="30"/>
      <c r="E62" s="30"/>
      <c r="F62" s="30"/>
      <c r="G62" s="30"/>
      <c r="H62" s="30"/>
      <c r="I62" s="30"/>
      <c r="J62" s="30"/>
      <c r="K62" s="30"/>
      <c r="L62" s="1185">
        <f>N62*1000/3600</f>
        <v>432.9933465832878</v>
      </c>
      <c r="M62" s="1186"/>
      <c r="N62" s="1185">
        <f>X25*CO2eEF!I28</f>
        <v>1558.776047699836</v>
      </c>
      <c r="O62" s="1186"/>
      <c r="P62" s="1560">
        <f t="shared" si="10"/>
        <v>13664.230834136764</v>
      </c>
      <c r="Q62" s="1560"/>
      <c r="T62" s="478"/>
      <c r="U62" s="478"/>
      <c r="V62" s="478"/>
      <c r="W62" s="478"/>
      <c r="X62" s="478"/>
      <c r="Y62" s="478"/>
      <c r="Z62" s="478"/>
      <c r="AA62" s="478"/>
      <c r="AB62" s="478"/>
      <c r="AC62" s="478"/>
      <c r="AD62" s="478"/>
      <c r="AE62" s="478"/>
      <c r="AF62" s="478"/>
      <c r="AG62" s="478"/>
      <c r="AH62" s="478"/>
      <c r="AI62" s="30"/>
      <c r="AJ62" s="30"/>
      <c r="AK62" s="253"/>
      <c r="AL62" s="238"/>
      <c r="AM62" s="238"/>
      <c r="AN62" s="238"/>
      <c r="AO62" s="281"/>
      <c r="AP62" s="238"/>
      <c r="AQ62" s="238"/>
      <c r="AR62" s="238"/>
      <c r="AS62" s="238"/>
      <c r="AT62" s="238"/>
      <c r="AU62" s="238"/>
      <c r="AV62" s="238"/>
      <c r="AW62" s="238"/>
      <c r="AX62" s="238"/>
      <c r="AY62" s="238"/>
      <c r="AZ62" s="238"/>
      <c r="BA62" s="238"/>
      <c r="BB62" s="238"/>
      <c r="BC62" s="238"/>
      <c r="BD62" s="238"/>
      <c r="BE62" s="239"/>
      <c r="BF62" s="239"/>
      <c r="BG62" s="239"/>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row>
    <row r="63" spans="1:94" s="240" customFormat="1" ht="14.25" customHeight="1">
      <c r="A63" s="279" t="s">
        <v>749</v>
      </c>
      <c r="B63" s="132"/>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c r="AJ63" s="132"/>
      <c r="AK63" s="280"/>
      <c r="AL63" s="238"/>
      <c r="AM63" s="238"/>
      <c r="AN63" s="238"/>
      <c r="AO63" s="281"/>
      <c r="AP63" s="238"/>
      <c r="AQ63" s="238"/>
      <c r="AR63" s="238"/>
      <c r="AS63" s="238"/>
      <c r="AT63" s="238"/>
      <c r="AU63" s="238"/>
      <c r="AV63" s="238"/>
      <c r="AW63" s="238"/>
      <c r="AX63" s="238"/>
      <c r="AY63" s="238"/>
      <c r="AZ63" s="238"/>
      <c r="BA63" s="238"/>
      <c r="BB63" s="238"/>
      <c r="BC63" s="238"/>
      <c r="BD63" s="238"/>
      <c r="BE63" s="239"/>
      <c r="BF63" s="239"/>
      <c r="BG63" s="239"/>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row>
    <row r="64" spans="1:94" s="240" customFormat="1" ht="14.25" customHeight="1">
      <c r="A64" s="282" t="s">
        <v>31</v>
      </c>
      <c r="B64" s="30" t="s">
        <v>750</v>
      </c>
      <c r="C64" s="30"/>
      <c r="D64" s="30"/>
      <c r="E64" s="30"/>
      <c r="F64" s="30"/>
      <c r="G64" s="30"/>
      <c r="H64" s="30"/>
      <c r="I64" s="30"/>
      <c r="J64" s="30"/>
      <c r="K64" s="30"/>
      <c r="L64" s="30"/>
      <c r="M64" s="30"/>
      <c r="N64" s="283"/>
      <c r="O64" s="283"/>
      <c r="P64" s="283"/>
      <c r="Q64" s="30"/>
      <c r="R64" s="30"/>
      <c r="S64" s="30"/>
      <c r="T64" s="30"/>
      <c r="U64" s="30"/>
      <c r="V64" s="30"/>
      <c r="W64" s="30"/>
      <c r="X64" s="30"/>
      <c r="Y64" s="30"/>
      <c r="Z64" s="30"/>
      <c r="AA64" s="30"/>
      <c r="AB64" s="30"/>
      <c r="AC64" s="30"/>
      <c r="AD64" s="30"/>
      <c r="AE64" s="30"/>
      <c r="AF64" s="30"/>
      <c r="AG64" s="30"/>
      <c r="AH64" s="30"/>
      <c r="AI64" s="30"/>
      <c r="AJ64" s="30"/>
      <c r="AK64" s="253"/>
      <c r="AL64" s="238"/>
      <c r="AM64" s="238"/>
      <c r="AN64" s="238"/>
      <c r="AO64" s="238"/>
      <c r="AP64" s="238"/>
      <c r="AQ64" s="238"/>
      <c r="AR64" s="238"/>
      <c r="AS64" s="238"/>
      <c r="AT64" s="238"/>
      <c r="AU64" s="238"/>
      <c r="AV64" s="238"/>
      <c r="AW64" s="238"/>
      <c r="AX64" s="238"/>
      <c r="AY64" s="238"/>
      <c r="AZ64" s="238"/>
      <c r="BA64" s="238"/>
      <c r="BB64" s="238"/>
      <c r="BC64" s="238"/>
      <c r="BD64" s="238"/>
      <c r="BE64" s="239" t="s">
        <v>679</v>
      </c>
      <c r="BF64" s="239">
        <v>0</v>
      </c>
      <c r="BG64" s="239">
        <v>0</v>
      </c>
      <c r="BH64" s="238"/>
      <c r="BI64" s="238"/>
      <c r="BJ64" s="238"/>
      <c r="BK64" s="238"/>
      <c r="BL64" s="238"/>
      <c r="BM64" s="238"/>
      <c r="BN64" s="238"/>
      <c r="BO64" s="238"/>
      <c r="BP64" s="238"/>
      <c r="BQ64" s="238"/>
      <c r="BR64" s="238"/>
      <c r="BS64" s="238"/>
      <c r="BT64" s="238"/>
      <c r="BU64" s="238"/>
      <c r="BV64" s="238"/>
      <c r="BW64" s="238"/>
      <c r="BX64" s="238"/>
      <c r="BY64" s="238"/>
      <c r="BZ64" s="238"/>
      <c r="CA64" s="238"/>
      <c r="CB64" s="238"/>
      <c r="CC64" s="238"/>
      <c r="CD64" s="238"/>
      <c r="CE64" s="238"/>
      <c r="CF64" s="238"/>
      <c r="CG64" s="238"/>
      <c r="CH64" s="238"/>
      <c r="CI64" s="238"/>
      <c r="CJ64" s="238"/>
      <c r="CK64" s="238"/>
      <c r="CL64" s="238"/>
      <c r="CM64" s="238"/>
      <c r="CN64" s="238"/>
      <c r="CO64" s="238"/>
      <c r="CP64" s="238"/>
    </row>
    <row r="65" spans="1:94" ht="14.25" customHeight="1">
      <c r="A65" s="282" t="s">
        <v>33</v>
      </c>
      <c r="B65" s="31" t="s">
        <v>751</v>
      </c>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6"/>
      <c r="AL65" s="243"/>
      <c r="AM65" s="243"/>
      <c r="AN65" s="243"/>
      <c r="AO65" s="243"/>
      <c r="AP65" s="243"/>
      <c r="AQ65" s="243"/>
      <c r="AR65" s="243"/>
      <c r="AS65" s="243"/>
      <c r="AT65" s="243"/>
      <c r="AU65" s="243"/>
      <c r="AV65" s="243"/>
      <c r="AW65" s="243"/>
      <c r="AX65" s="243"/>
      <c r="AY65" s="243"/>
      <c r="AZ65" s="243"/>
      <c r="BA65" s="243"/>
      <c r="BB65" s="243"/>
      <c r="BC65" s="243"/>
      <c r="BD65" s="243"/>
      <c r="BE65" s="246" t="s">
        <v>681</v>
      </c>
      <c r="BF65" s="246">
        <v>0</v>
      </c>
      <c r="BG65" s="246">
        <v>0</v>
      </c>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c r="CM65" s="243"/>
      <c r="CN65" s="243"/>
      <c r="CO65" s="243"/>
      <c r="CP65" s="243"/>
    </row>
    <row r="66" spans="1:94" ht="14.25" customHeight="1">
      <c r="A66" s="282" t="s">
        <v>752</v>
      </c>
      <c r="B66" s="30" t="s">
        <v>753</v>
      </c>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6"/>
      <c r="AL66" s="243"/>
      <c r="AM66" s="243"/>
      <c r="AN66" s="243"/>
      <c r="AO66" s="243"/>
      <c r="AP66" s="243"/>
      <c r="AQ66" s="243"/>
      <c r="AR66" s="243"/>
      <c r="AS66" s="243"/>
      <c r="AT66" s="243"/>
      <c r="AU66" s="243"/>
      <c r="AV66" s="243"/>
      <c r="AW66" s="243"/>
      <c r="AX66" s="243"/>
      <c r="AY66" s="243"/>
      <c r="AZ66" s="243"/>
      <c r="BA66" s="243"/>
      <c r="BB66" s="243"/>
      <c r="BC66" s="243"/>
      <c r="BD66" s="243"/>
      <c r="BE66" s="246" t="s">
        <v>684</v>
      </c>
      <c r="BF66" s="246">
        <v>0</v>
      </c>
      <c r="BG66" s="246">
        <v>0</v>
      </c>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row>
    <row r="67" spans="1:94" ht="14.25" customHeight="1">
      <c r="A67" s="282" t="s">
        <v>38</v>
      </c>
      <c r="B67" s="31" t="s">
        <v>725</v>
      </c>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6"/>
      <c r="AL67" s="243"/>
      <c r="AM67" s="243"/>
      <c r="AN67" s="243"/>
      <c r="AO67" s="243"/>
      <c r="AP67" s="243"/>
      <c r="AQ67" s="243"/>
      <c r="AR67" s="243"/>
      <c r="AS67" s="243"/>
      <c r="AT67" s="243"/>
      <c r="AU67" s="243"/>
      <c r="AV67" s="243"/>
      <c r="AW67" s="243"/>
      <c r="AX67" s="243"/>
      <c r="AY67" s="243"/>
      <c r="AZ67" s="243"/>
      <c r="BA67" s="243"/>
      <c r="BB67" s="243"/>
      <c r="BC67" s="243"/>
      <c r="BD67" s="243"/>
      <c r="BE67" s="246"/>
      <c r="BF67" s="246"/>
      <c r="BG67" s="246"/>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c r="CM67" s="243"/>
      <c r="CN67" s="243"/>
      <c r="CO67" s="243"/>
      <c r="CP67" s="243"/>
    </row>
    <row r="68" spans="1:94" ht="13.15" customHeight="1">
      <c r="A68" s="282" t="s">
        <v>41</v>
      </c>
      <c r="B68" s="284" t="s">
        <v>726</v>
      </c>
      <c r="C68" s="487"/>
      <c r="D68" s="487"/>
      <c r="E68" s="487"/>
      <c r="F68" s="487"/>
      <c r="G68" s="487"/>
      <c r="H68" s="487"/>
      <c r="I68" s="487"/>
      <c r="J68" s="487"/>
      <c r="K68" s="487"/>
      <c r="L68" s="487"/>
      <c r="M68" s="487"/>
      <c r="N68" s="487"/>
      <c r="O68" s="487"/>
      <c r="P68" s="487"/>
      <c r="Q68" s="487"/>
      <c r="R68" s="487"/>
      <c r="S68" s="487"/>
      <c r="T68" s="487"/>
      <c r="U68" s="487"/>
      <c r="V68" s="487"/>
      <c r="W68" s="487"/>
      <c r="X68" s="487"/>
      <c r="Y68" s="487"/>
      <c r="Z68" s="487"/>
      <c r="AA68" s="487"/>
      <c r="AB68" s="487"/>
      <c r="AC68" s="487"/>
      <c r="AD68" s="487"/>
      <c r="AE68" s="487"/>
      <c r="AF68" s="487"/>
      <c r="AG68" s="487"/>
      <c r="AH68" s="487"/>
      <c r="AI68" s="487"/>
      <c r="AJ68" s="487"/>
      <c r="AK68" s="488"/>
      <c r="AL68" s="243"/>
      <c r="AM68" s="243"/>
      <c r="AN68" s="243"/>
      <c r="AO68" s="243"/>
      <c r="AP68" s="243"/>
      <c r="AQ68" s="243"/>
      <c r="AR68" s="243"/>
      <c r="AS68" s="243"/>
      <c r="AT68" s="243"/>
      <c r="AU68" s="243"/>
      <c r="AV68" s="243"/>
      <c r="AW68" s="243"/>
      <c r="AX68" s="243"/>
      <c r="AY68" s="243"/>
      <c r="AZ68" s="243"/>
      <c r="BA68" s="243"/>
      <c r="BB68" s="243"/>
      <c r="BC68" s="243"/>
      <c r="BD68" s="243"/>
      <c r="BE68" s="246" t="s">
        <v>686</v>
      </c>
      <c r="BF68" s="246">
        <v>0</v>
      </c>
      <c r="BG68" s="246">
        <v>0</v>
      </c>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c r="CM68" s="243"/>
      <c r="CN68" s="243"/>
      <c r="CO68" s="243"/>
      <c r="CP68" s="243"/>
    </row>
    <row r="69" spans="1:94">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9"/>
      <c r="AL69" s="289"/>
      <c r="AM69" s="289"/>
      <c r="AN69" s="289"/>
      <c r="AO69" s="289"/>
      <c r="AP69" s="289"/>
      <c r="AQ69" s="289"/>
      <c r="AR69" s="243"/>
      <c r="AS69" s="243"/>
      <c r="AT69" s="243"/>
      <c r="AU69" s="243"/>
      <c r="AV69" s="243"/>
      <c r="AW69" s="243"/>
      <c r="AX69" s="243"/>
      <c r="AY69" s="243"/>
      <c r="AZ69" s="243"/>
      <c r="BA69" s="243"/>
      <c r="BB69" s="243"/>
      <c r="BC69" s="243"/>
      <c r="BD69" s="243"/>
      <c r="BE69" s="246" t="s">
        <v>690</v>
      </c>
      <c r="BF69" s="246">
        <v>2.9999999999999997E-4</v>
      </c>
      <c r="BG69" s="246">
        <v>0</v>
      </c>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row>
    <row r="70" spans="1:94">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9"/>
      <c r="AL70" s="289"/>
      <c r="AM70" s="289"/>
      <c r="AN70" s="289"/>
      <c r="AO70" s="289"/>
      <c r="AP70" s="289"/>
      <c r="AQ70" s="289"/>
      <c r="AR70" s="243"/>
      <c r="AS70" s="243"/>
      <c r="AT70" s="243"/>
      <c r="AU70" s="243"/>
      <c r="AV70" s="243"/>
      <c r="AW70" s="243"/>
      <c r="AX70" s="243"/>
      <c r="AY70" s="243"/>
      <c r="AZ70" s="243"/>
      <c r="BA70" s="243"/>
      <c r="BB70" s="243"/>
      <c r="BC70" s="243"/>
      <c r="BD70" s="243"/>
      <c r="BE70" s="246" t="s">
        <v>691</v>
      </c>
      <c r="BF70" s="246">
        <v>0</v>
      </c>
      <c r="BG70" s="246">
        <v>0</v>
      </c>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row>
    <row r="71" spans="1:94">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9"/>
      <c r="AL71" s="289"/>
      <c r="AM71" s="289"/>
      <c r="AN71" s="289"/>
      <c r="AO71" s="289"/>
      <c r="AP71" s="289"/>
      <c r="AQ71" s="289"/>
      <c r="AR71" s="243"/>
      <c r="AS71" s="243"/>
      <c r="AT71" s="243"/>
      <c r="AU71" s="243"/>
      <c r="AV71" s="243"/>
      <c r="AW71" s="243"/>
      <c r="AX71" s="243"/>
      <c r="AY71" s="243"/>
      <c r="AZ71" s="243"/>
      <c r="BA71" s="243"/>
      <c r="BB71" s="243"/>
      <c r="BC71" s="243"/>
      <c r="BD71" s="243"/>
      <c r="BE71" s="246" t="s">
        <v>692</v>
      </c>
      <c r="BF71" s="246">
        <v>0</v>
      </c>
      <c r="BG71" s="246">
        <v>0</v>
      </c>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row>
    <row r="72" spans="1:94">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9"/>
      <c r="AL72" s="289"/>
      <c r="AM72" s="289"/>
      <c r="AN72" s="289"/>
      <c r="AO72" s="289"/>
      <c r="AP72" s="289"/>
      <c r="AQ72" s="289"/>
      <c r="AR72" s="243"/>
      <c r="AS72" s="243"/>
      <c r="AT72" s="243"/>
      <c r="AU72" s="243"/>
      <c r="AV72" s="243"/>
      <c r="AW72" s="243"/>
      <c r="AX72" s="243"/>
      <c r="AY72" s="243"/>
      <c r="AZ72" s="243"/>
      <c r="BA72" s="243"/>
      <c r="BB72" s="243"/>
      <c r="BC72" s="243"/>
      <c r="BD72" s="243"/>
      <c r="BE72" s="246" t="s">
        <v>693</v>
      </c>
      <c r="BF72" s="246">
        <v>0</v>
      </c>
      <c r="BG72" s="246">
        <v>0</v>
      </c>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row>
    <row r="73" spans="1:94">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9"/>
      <c r="AL73" s="289"/>
      <c r="AM73" s="289"/>
      <c r="AN73" s="289"/>
      <c r="AO73" s="289"/>
      <c r="AP73" s="289"/>
      <c r="AQ73" s="289"/>
      <c r="AR73" s="243"/>
      <c r="AS73" s="243"/>
      <c r="AT73" s="243"/>
      <c r="AU73" s="243"/>
      <c r="AV73" s="243"/>
      <c r="AW73" s="243"/>
      <c r="AX73" s="243"/>
      <c r="AY73" s="243"/>
      <c r="AZ73" s="243"/>
      <c r="BA73" s="243"/>
      <c r="BB73" s="243"/>
      <c r="BC73" s="243"/>
      <c r="BD73" s="243"/>
      <c r="BE73" s="246" t="s">
        <v>694</v>
      </c>
      <c r="BF73" s="246">
        <v>0</v>
      </c>
      <c r="BG73" s="246">
        <v>0</v>
      </c>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243"/>
      <c r="CO73" s="243"/>
      <c r="CP73" s="243"/>
    </row>
    <row r="74" spans="1:94">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9"/>
      <c r="AL74" s="289"/>
      <c r="AM74" s="289"/>
      <c r="AN74" s="289"/>
      <c r="AO74" s="289"/>
      <c r="AP74" s="289"/>
      <c r="AQ74" s="289"/>
      <c r="AR74" s="243"/>
      <c r="AS74" s="243"/>
      <c r="AT74" s="243"/>
      <c r="AU74" s="243"/>
      <c r="AV74" s="243"/>
      <c r="AW74" s="243"/>
      <c r="AX74" s="243"/>
      <c r="AY74" s="243"/>
      <c r="AZ74" s="243"/>
      <c r="BA74" s="243"/>
      <c r="BB74" s="243"/>
      <c r="BC74" s="243"/>
      <c r="BD74" s="243"/>
      <c r="BE74" s="246" t="s">
        <v>695</v>
      </c>
      <c r="BF74" s="246">
        <v>0</v>
      </c>
      <c r="BG74" s="246">
        <v>0</v>
      </c>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row>
    <row r="75" spans="1:94">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9"/>
      <c r="AL75" s="289"/>
      <c r="AM75" s="289"/>
      <c r="AN75" s="289"/>
      <c r="AO75" s="289"/>
      <c r="AP75" s="289"/>
      <c r="AQ75" s="289"/>
      <c r="AR75" s="243"/>
      <c r="AS75" s="243"/>
      <c r="AT75" s="243"/>
      <c r="AU75" s="243"/>
      <c r="AV75" s="243"/>
      <c r="AW75" s="243"/>
      <c r="AX75" s="243"/>
      <c r="AY75" s="243"/>
      <c r="AZ75" s="243"/>
      <c r="BA75" s="243"/>
      <c r="BB75" s="243"/>
      <c r="BC75" s="243"/>
      <c r="BD75" s="243"/>
      <c r="BE75" s="246" t="s">
        <v>696</v>
      </c>
      <c r="BF75" s="246">
        <v>0</v>
      </c>
      <c r="BG75" s="246">
        <v>0</v>
      </c>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row>
    <row r="76" spans="1:94">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8"/>
      <c r="AH76" s="288"/>
      <c r="AI76" s="288"/>
      <c r="AJ76" s="288"/>
      <c r="AK76" s="289"/>
      <c r="AL76" s="289"/>
      <c r="AM76" s="289"/>
      <c r="AN76" s="289"/>
      <c r="AO76" s="289"/>
      <c r="AP76" s="289"/>
      <c r="AQ76" s="289"/>
      <c r="AR76" s="243"/>
      <c r="AS76" s="243"/>
      <c r="AT76" s="243"/>
      <c r="AU76" s="243"/>
      <c r="AV76" s="243"/>
      <c r="AW76" s="243"/>
      <c r="AX76" s="243"/>
      <c r="AY76" s="243"/>
      <c r="AZ76" s="243"/>
      <c r="BA76" s="243"/>
      <c r="BB76" s="243"/>
      <c r="BC76" s="243"/>
      <c r="BD76" s="243"/>
      <c r="BE76" s="246" t="s">
        <v>697</v>
      </c>
      <c r="BF76" s="246">
        <v>0</v>
      </c>
      <c r="BG76" s="246">
        <v>0</v>
      </c>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c r="CM76" s="243"/>
      <c r="CN76" s="243"/>
      <c r="CO76" s="243"/>
      <c r="CP76" s="243"/>
    </row>
    <row r="77" spans="1:94" s="290" customForma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9"/>
      <c r="AL77" s="289"/>
      <c r="AM77" s="289"/>
      <c r="AN77" s="289"/>
      <c r="AO77" s="289"/>
      <c r="AP77" s="289"/>
      <c r="AQ77" s="289"/>
      <c r="AR77" s="243"/>
      <c r="AS77" s="243"/>
      <c r="AT77" s="243"/>
      <c r="AU77" s="243"/>
      <c r="AV77" s="243"/>
      <c r="AW77" s="243"/>
      <c r="AX77" s="243"/>
      <c r="AY77" s="243"/>
      <c r="AZ77" s="243"/>
      <c r="BA77" s="243"/>
      <c r="BB77" s="243"/>
      <c r="BC77" s="243"/>
      <c r="BD77" s="243"/>
      <c r="BE77" s="246" t="s">
        <v>431</v>
      </c>
      <c r="BF77" s="246">
        <v>1E-4</v>
      </c>
      <c r="BG77" s="246">
        <v>0.17530000000000001</v>
      </c>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c r="CM77" s="243"/>
      <c r="CN77" s="243"/>
      <c r="CO77" s="243"/>
      <c r="CP77" s="243"/>
    </row>
    <row r="78" spans="1:94" s="290" customForma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9"/>
      <c r="AL78" s="289"/>
      <c r="AM78" s="289"/>
      <c r="AN78" s="289"/>
      <c r="AO78" s="289"/>
      <c r="AP78" s="289"/>
      <c r="AQ78" s="289"/>
      <c r="AR78" s="243"/>
      <c r="AS78" s="243"/>
      <c r="AT78" s="243"/>
      <c r="AU78" s="243"/>
      <c r="AV78" s="243"/>
      <c r="AW78" s="243"/>
      <c r="AX78" s="243"/>
      <c r="AY78" s="243"/>
      <c r="AZ78" s="243"/>
      <c r="BA78" s="243"/>
      <c r="BB78" s="243"/>
      <c r="BC78" s="243"/>
      <c r="BD78" s="243"/>
      <c r="BE78" s="243"/>
      <c r="BF78" s="246"/>
      <c r="BG78" s="246"/>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c r="CM78" s="243"/>
      <c r="CN78" s="243"/>
      <c r="CO78" s="243"/>
      <c r="CP78" s="243"/>
    </row>
    <row r="79" spans="1:94" s="290" customForma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9"/>
      <c r="AL79" s="289"/>
      <c r="AM79" s="289"/>
      <c r="AN79" s="289"/>
      <c r="AO79" s="289"/>
      <c r="AP79" s="289"/>
      <c r="AQ79" s="289"/>
      <c r="AR79" s="243"/>
      <c r="AS79" s="243"/>
      <c r="AT79" s="243"/>
      <c r="AU79" s="243"/>
      <c r="AV79" s="243"/>
      <c r="AW79" s="243"/>
      <c r="AX79" s="243"/>
      <c r="AY79" s="243"/>
      <c r="AZ79" s="243"/>
      <c r="BA79" s="243"/>
      <c r="BB79" s="243"/>
      <c r="BC79" s="243"/>
      <c r="BD79" s="243"/>
      <c r="BE79" s="243"/>
      <c r="BF79" s="246"/>
      <c r="BG79" s="246"/>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c r="CM79" s="243"/>
      <c r="CN79" s="243"/>
      <c r="CO79" s="243"/>
      <c r="CP79" s="243"/>
    </row>
    <row r="80" spans="1:94" s="290" customForma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9"/>
      <c r="AL80" s="289"/>
      <c r="AM80" s="289"/>
      <c r="AN80" s="289"/>
      <c r="AO80" s="289"/>
      <c r="AP80" s="289"/>
      <c r="AQ80" s="289"/>
      <c r="AR80" s="243"/>
      <c r="AS80" s="243"/>
      <c r="AT80" s="243"/>
      <c r="AU80" s="243"/>
      <c r="AV80" s="243"/>
      <c r="AW80" s="243"/>
      <c r="AX80" s="243"/>
      <c r="AY80" s="243"/>
      <c r="AZ80" s="243"/>
      <c r="BA80" s="243"/>
      <c r="BB80" s="243"/>
      <c r="BC80" s="243"/>
      <c r="BD80" s="243"/>
      <c r="BE80" s="243"/>
      <c r="BF80" s="246"/>
      <c r="BG80" s="246"/>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c r="CM80" s="243"/>
      <c r="CN80" s="243"/>
      <c r="CO80" s="243"/>
      <c r="CP80" s="243"/>
    </row>
    <row r="81" spans="1:94" s="290" customForma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9"/>
      <c r="AL81" s="289"/>
      <c r="AM81" s="289"/>
      <c r="AN81" s="289"/>
      <c r="AO81" s="289"/>
      <c r="AP81" s="289"/>
      <c r="AQ81" s="289"/>
      <c r="AR81" s="243"/>
      <c r="AS81" s="243"/>
      <c r="AT81" s="243"/>
      <c r="AU81" s="243"/>
      <c r="AV81" s="243"/>
      <c r="AW81" s="243"/>
      <c r="AX81" s="243"/>
      <c r="AY81" s="243"/>
      <c r="AZ81" s="243"/>
      <c r="BA81" s="243"/>
      <c r="BB81" s="243"/>
      <c r="BC81" s="243"/>
      <c r="BD81" s="243"/>
      <c r="BE81" s="243"/>
      <c r="BF81" s="246"/>
      <c r="BG81" s="246"/>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c r="CM81" s="243"/>
      <c r="CN81" s="243"/>
      <c r="CO81" s="243"/>
      <c r="CP81" s="243"/>
    </row>
    <row r="82" spans="1:94" s="290" customForma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9"/>
      <c r="AL82" s="289"/>
      <c r="AM82" s="289"/>
      <c r="AN82" s="289"/>
      <c r="AO82" s="289"/>
      <c r="AP82" s="289"/>
      <c r="AQ82" s="289"/>
      <c r="AR82" s="243"/>
      <c r="AS82" s="243"/>
      <c r="AT82" s="243"/>
      <c r="AU82" s="243"/>
      <c r="AV82" s="243"/>
      <c r="AW82" s="243"/>
      <c r="AX82" s="243"/>
      <c r="AY82" s="243"/>
      <c r="AZ82" s="243"/>
      <c r="BA82" s="243"/>
      <c r="BB82" s="243"/>
      <c r="BC82" s="243"/>
      <c r="BD82" s="243"/>
      <c r="BE82" s="243"/>
      <c r="BF82" s="246"/>
      <c r="BG82" s="246"/>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c r="CM82" s="243"/>
      <c r="CN82" s="243"/>
      <c r="CO82" s="243"/>
      <c r="CP82" s="243"/>
    </row>
    <row r="83" spans="1:94" s="290" customForma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9"/>
      <c r="AL83" s="289"/>
      <c r="AM83" s="289"/>
      <c r="AN83" s="289"/>
      <c r="AO83" s="289"/>
      <c r="AP83" s="289"/>
      <c r="AQ83" s="289"/>
      <c r="AR83" s="243"/>
      <c r="AS83" s="243"/>
      <c r="AT83" s="243"/>
      <c r="AU83" s="243"/>
      <c r="AV83" s="243"/>
      <c r="AW83" s="243"/>
      <c r="AX83" s="243"/>
      <c r="AY83" s="243"/>
      <c r="AZ83" s="243"/>
      <c r="BA83" s="243"/>
      <c r="BB83" s="243"/>
      <c r="BC83" s="243"/>
      <c r="BD83" s="243"/>
      <c r="BE83" s="243"/>
      <c r="BF83" s="246"/>
      <c r="BG83" s="246"/>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c r="CM83" s="243"/>
      <c r="CN83" s="243"/>
      <c r="CO83" s="243"/>
      <c r="CP83" s="243"/>
    </row>
    <row r="84" spans="1:94" s="290" customForma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9"/>
      <c r="AL84" s="289"/>
      <c r="AM84" s="289"/>
      <c r="AN84" s="289"/>
      <c r="AO84" s="289"/>
      <c r="AP84" s="289"/>
      <c r="AQ84" s="289"/>
      <c r="AR84" s="243"/>
      <c r="AS84" s="243"/>
      <c r="AT84" s="243"/>
      <c r="AU84" s="243"/>
      <c r="AV84" s="243"/>
      <c r="AW84" s="243"/>
      <c r="AX84" s="243"/>
      <c r="AY84" s="243"/>
      <c r="AZ84" s="243"/>
      <c r="BA84" s="243"/>
      <c r="BB84" s="243"/>
      <c r="BC84" s="243"/>
      <c r="BD84" s="243"/>
      <c r="BE84" s="243"/>
      <c r="BF84" s="246"/>
      <c r="BG84" s="246"/>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c r="CM84" s="243"/>
      <c r="CN84" s="243"/>
      <c r="CO84" s="243"/>
      <c r="CP84" s="243"/>
    </row>
    <row r="85" spans="1:94" s="290" customForma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9"/>
      <c r="AL85" s="289"/>
      <c r="AM85" s="289"/>
      <c r="AN85" s="289"/>
      <c r="AO85" s="289"/>
      <c r="AP85" s="289"/>
      <c r="AQ85" s="289"/>
      <c r="AR85" s="243"/>
      <c r="AS85" s="243"/>
      <c r="AT85" s="243"/>
      <c r="AU85" s="243"/>
      <c r="AV85" s="243"/>
      <c r="AW85" s="243"/>
      <c r="AX85" s="243"/>
      <c r="AY85" s="243"/>
      <c r="AZ85" s="243"/>
      <c r="BA85" s="243"/>
      <c r="BB85" s="243"/>
      <c r="BC85" s="243"/>
      <c r="BD85" s="243"/>
      <c r="BE85" s="243"/>
      <c r="BF85" s="246"/>
      <c r="BG85" s="246"/>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c r="CM85" s="243"/>
      <c r="CN85" s="243"/>
      <c r="CO85" s="243"/>
      <c r="CP85" s="243"/>
    </row>
    <row r="86" spans="1:94" s="290" customForma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9"/>
      <c r="AL86" s="289"/>
      <c r="AM86" s="289"/>
      <c r="AN86" s="289"/>
      <c r="AO86" s="289"/>
      <c r="AP86" s="289"/>
      <c r="AQ86" s="289"/>
      <c r="AR86" s="243"/>
      <c r="AS86" s="243"/>
      <c r="AT86" s="243"/>
      <c r="AU86" s="243"/>
      <c r="AV86" s="243"/>
      <c r="AW86" s="243"/>
      <c r="AX86" s="243"/>
      <c r="AY86" s="243"/>
      <c r="AZ86" s="243"/>
      <c r="BA86" s="243"/>
      <c r="BB86" s="243"/>
      <c r="BC86" s="243"/>
      <c r="BD86" s="243"/>
      <c r="BE86" s="243"/>
      <c r="BF86" s="246"/>
      <c r="BG86" s="246"/>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row>
    <row r="87" spans="1:94" s="290" customForma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9"/>
      <c r="AL87" s="289"/>
      <c r="AM87" s="289"/>
      <c r="AN87" s="289"/>
      <c r="AO87" s="289"/>
      <c r="AP87" s="289"/>
      <c r="AQ87" s="289"/>
      <c r="AR87" s="243"/>
      <c r="AS87" s="243"/>
      <c r="AT87" s="243"/>
      <c r="AU87" s="243"/>
      <c r="AV87" s="243"/>
      <c r="AW87" s="243"/>
      <c r="AX87" s="243"/>
      <c r="AY87" s="243"/>
      <c r="AZ87" s="243"/>
      <c r="BA87" s="243"/>
      <c r="BB87" s="243"/>
      <c r="BC87" s="243"/>
      <c r="BD87" s="243"/>
      <c r="BE87" s="243"/>
      <c r="BF87" s="246"/>
      <c r="BG87" s="246"/>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c r="CM87" s="243"/>
      <c r="CN87" s="243"/>
      <c r="CO87" s="243"/>
      <c r="CP87" s="243"/>
    </row>
    <row r="88" spans="1:94" s="290" customForma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9"/>
      <c r="AL88" s="289"/>
      <c r="AM88" s="289"/>
      <c r="AN88" s="289"/>
      <c r="AO88" s="289"/>
      <c r="AP88" s="289"/>
      <c r="AQ88" s="289"/>
      <c r="AR88" s="243"/>
      <c r="AS88" s="243"/>
      <c r="AT88" s="243"/>
      <c r="AU88" s="243"/>
      <c r="AV88" s="243"/>
      <c r="AW88" s="243"/>
      <c r="AX88" s="243"/>
      <c r="AY88" s="243"/>
      <c r="AZ88" s="243"/>
      <c r="BA88" s="243"/>
      <c r="BB88" s="243"/>
      <c r="BC88" s="243"/>
      <c r="BD88" s="243"/>
      <c r="BE88" s="243"/>
      <c r="BF88" s="246"/>
      <c r="BG88" s="246"/>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c r="CM88" s="243"/>
      <c r="CN88" s="243"/>
      <c r="CO88" s="243"/>
      <c r="CP88" s="243"/>
    </row>
    <row r="89" spans="1:94" s="290" customForma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9"/>
      <c r="AL89" s="289"/>
      <c r="AM89" s="289"/>
      <c r="AN89" s="289"/>
      <c r="AO89" s="289"/>
      <c r="AP89" s="289"/>
      <c r="AQ89" s="289"/>
      <c r="AR89" s="243"/>
      <c r="AS89" s="243"/>
      <c r="AT89" s="243"/>
      <c r="AU89" s="243"/>
      <c r="AV89" s="243"/>
      <c r="AW89" s="243"/>
      <c r="AX89" s="243"/>
      <c r="AY89" s="243"/>
      <c r="AZ89" s="243"/>
      <c r="BA89" s="243"/>
      <c r="BB89" s="243"/>
      <c r="BC89" s="243"/>
      <c r="BD89" s="243"/>
      <c r="BE89" s="243"/>
      <c r="BF89" s="246"/>
      <c r="BG89" s="246"/>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row>
    <row r="90" spans="1:94" s="290" customForma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9"/>
      <c r="AL90" s="289"/>
      <c r="AM90" s="289"/>
      <c r="AN90" s="289"/>
      <c r="AO90" s="289"/>
      <c r="AP90" s="289"/>
      <c r="AQ90" s="289"/>
      <c r="AR90" s="243"/>
      <c r="AS90" s="243"/>
      <c r="AT90" s="243"/>
      <c r="AU90" s="243"/>
      <c r="AV90" s="243"/>
      <c r="AW90" s="243"/>
      <c r="AX90" s="243"/>
      <c r="AY90" s="243"/>
      <c r="AZ90" s="243"/>
      <c r="BA90" s="243"/>
      <c r="BB90" s="243"/>
      <c r="BC90" s="243"/>
      <c r="BD90" s="243"/>
      <c r="BE90" s="243"/>
      <c r="BF90" s="246"/>
      <c r="BG90" s="246"/>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row>
    <row r="91" spans="1:94" s="290" customFormat="1">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9"/>
      <c r="AL91" s="289"/>
      <c r="AM91" s="289"/>
      <c r="AN91" s="289"/>
      <c r="AO91" s="289"/>
      <c r="AP91" s="289"/>
      <c r="AQ91" s="289"/>
      <c r="AR91" s="243"/>
      <c r="AS91" s="243"/>
      <c r="AT91" s="243"/>
      <c r="AU91" s="243"/>
      <c r="AV91" s="243"/>
      <c r="AW91" s="243"/>
      <c r="AX91" s="243"/>
      <c r="AY91" s="243"/>
      <c r="AZ91" s="243"/>
      <c r="BA91" s="243"/>
      <c r="BB91" s="243"/>
      <c r="BC91" s="243"/>
      <c r="BD91" s="243"/>
      <c r="BE91" s="243"/>
      <c r="BF91" s="246"/>
      <c r="BG91" s="246"/>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row>
    <row r="92" spans="1:94" s="290" customFormat="1">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9"/>
      <c r="AL92" s="289"/>
      <c r="AM92" s="289"/>
      <c r="AN92" s="289"/>
      <c r="AO92" s="289"/>
      <c r="AP92" s="289"/>
      <c r="AQ92" s="289"/>
      <c r="AR92" s="243"/>
      <c r="AS92" s="243"/>
      <c r="AT92" s="243"/>
      <c r="AU92" s="243"/>
      <c r="AV92" s="243"/>
      <c r="AW92" s="243"/>
      <c r="AX92" s="243"/>
      <c r="AY92" s="243"/>
      <c r="AZ92" s="243"/>
      <c r="BA92" s="243"/>
      <c r="BB92" s="243"/>
      <c r="BC92" s="243"/>
      <c r="BD92" s="243"/>
      <c r="BE92" s="243"/>
      <c r="BF92" s="246"/>
      <c r="BG92" s="246"/>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row>
    <row r="93" spans="1:94">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9"/>
      <c r="AL93" s="289"/>
      <c r="AM93" s="289"/>
      <c r="AN93" s="289"/>
      <c r="AO93" s="289"/>
      <c r="AP93" s="289"/>
      <c r="AQ93" s="289"/>
      <c r="AR93" s="243"/>
      <c r="AS93" s="243"/>
      <c r="AT93" s="243"/>
      <c r="AU93" s="243"/>
      <c r="AV93" s="243"/>
      <c r="AW93" s="243"/>
      <c r="AX93" s="243"/>
      <c r="AY93" s="243"/>
      <c r="AZ93" s="243"/>
      <c r="BA93" s="243"/>
      <c r="BB93" s="243"/>
      <c r="BC93" s="243"/>
      <c r="BD93" s="243"/>
      <c r="BE93" s="243"/>
      <c r="BF93" s="246"/>
      <c r="BG93" s="246"/>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row>
    <row r="94" spans="1:94">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9"/>
      <c r="AL94" s="289"/>
      <c r="AM94" s="289"/>
      <c r="AN94" s="289"/>
      <c r="AO94" s="289"/>
      <c r="AP94" s="289"/>
      <c r="AQ94" s="289"/>
      <c r="AR94" s="243"/>
      <c r="AS94" s="243"/>
      <c r="AT94" s="243"/>
      <c r="AU94" s="243"/>
      <c r="AV94" s="243"/>
      <c r="AW94" s="243"/>
      <c r="AX94" s="243"/>
      <c r="AY94" s="243"/>
      <c r="AZ94" s="243"/>
      <c r="BA94" s="243"/>
      <c r="BB94" s="243"/>
      <c r="BC94" s="243"/>
      <c r="BD94" s="243"/>
      <c r="BE94" s="243"/>
      <c r="BF94" s="246"/>
      <c r="BG94" s="246"/>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row>
    <row r="95" spans="1:94">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9"/>
      <c r="AL95" s="289"/>
      <c r="AM95" s="289"/>
      <c r="AN95" s="289"/>
      <c r="AO95" s="289"/>
      <c r="AP95" s="289"/>
      <c r="AQ95" s="289"/>
      <c r="AR95" s="243"/>
      <c r="AS95" s="243"/>
      <c r="AT95" s="243"/>
      <c r="AU95" s="243"/>
      <c r="AV95" s="243"/>
      <c r="AW95" s="243"/>
      <c r="AX95" s="243"/>
      <c r="AY95" s="243"/>
      <c r="AZ95" s="243"/>
      <c r="BA95" s="243"/>
      <c r="BB95" s="243"/>
      <c r="BC95" s="243"/>
      <c r="BD95" s="243"/>
      <c r="BE95" s="243"/>
      <c r="BF95" s="246"/>
      <c r="BG95" s="246"/>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row>
    <row r="96" spans="1:94">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9"/>
      <c r="AL96" s="289"/>
      <c r="AM96" s="289"/>
      <c r="AN96" s="289"/>
      <c r="AO96" s="289"/>
      <c r="AP96" s="289"/>
      <c r="AQ96" s="289"/>
      <c r="AR96" s="243"/>
      <c r="AS96" s="243"/>
      <c r="AT96" s="243"/>
      <c r="AU96" s="243"/>
      <c r="AV96" s="243"/>
      <c r="AW96" s="243"/>
      <c r="AX96" s="243"/>
      <c r="AY96" s="243"/>
      <c r="AZ96" s="243"/>
      <c r="BA96" s="243"/>
      <c r="BB96" s="243"/>
      <c r="BC96" s="243"/>
      <c r="BD96" s="243"/>
      <c r="BE96" s="243"/>
      <c r="BF96" s="246"/>
      <c r="BG96" s="246"/>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row>
    <row r="97" spans="1:94">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9"/>
      <c r="AL97" s="289"/>
      <c r="AM97" s="289"/>
      <c r="AN97" s="289"/>
      <c r="AO97" s="289"/>
      <c r="AP97" s="289"/>
      <c r="AQ97" s="289"/>
      <c r="AR97" s="243"/>
      <c r="AS97" s="243"/>
      <c r="AT97" s="243"/>
      <c r="AU97" s="243"/>
      <c r="AV97" s="243"/>
      <c r="AW97" s="243"/>
      <c r="AX97" s="243"/>
      <c r="AY97" s="243"/>
      <c r="AZ97" s="243"/>
      <c r="BA97" s="243"/>
      <c r="BB97" s="243"/>
      <c r="BC97" s="243"/>
      <c r="BD97" s="243"/>
      <c r="BE97" s="243"/>
      <c r="BF97" s="246"/>
      <c r="BG97" s="246"/>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c r="CM97" s="243"/>
      <c r="CN97" s="243"/>
      <c r="CO97" s="243"/>
      <c r="CP97" s="243"/>
    </row>
    <row r="98" spans="1:94">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9"/>
      <c r="AL98" s="289"/>
      <c r="AM98" s="289"/>
      <c r="AN98" s="289"/>
      <c r="AO98" s="289"/>
      <c r="AP98" s="289"/>
      <c r="AQ98" s="289"/>
      <c r="AR98" s="243"/>
      <c r="AS98" s="243"/>
      <c r="AT98" s="243"/>
      <c r="AU98" s="243"/>
      <c r="AV98" s="243"/>
      <c r="AW98" s="243"/>
      <c r="AX98" s="243"/>
      <c r="AY98" s="243"/>
      <c r="AZ98" s="243"/>
      <c r="BA98" s="243"/>
      <c r="BB98" s="243"/>
      <c r="BC98" s="243"/>
      <c r="BD98" s="243"/>
      <c r="BE98" s="243"/>
      <c r="BF98" s="246"/>
      <c r="BG98" s="246"/>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c r="CM98" s="243"/>
      <c r="CN98" s="243"/>
      <c r="CO98" s="243"/>
      <c r="CP98" s="243"/>
    </row>
    <row r="99" spans="1:94">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9"/>
      <c r="AL99" s="289"/>
      <c r="AM99" s="289"/>
      <c r="AN99" s="289"/>
      <c r="AO99" s="289"/>
      <c r="AP99" s="289"/>
      <c r="AQ99" s="289"/>
      <c r="AR99" s="243"/>
      <c r="AS99" s="243"/>
      <c r="AT99" s="243"/>
      <c r="AU99" s="243"/>
      <c r="AV99" s="243"/>
      <c r="AW99" s="243"/>
      <c r="AX99" s="243"/>
      <c r="AY99" s="243"/>
      <c r="AZ99" s="243"/>
      <c r="BA99" s="243"/>
      <c r="BB99" s="243"/>
      <c r="BC99" s="243"/>
      <c r="BD99" s="243"/>
      <c r="BE99" s="243"/>
      <c r="BF99" s="246"/>
      <c r="BG99" s="246"/>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c r="CM99" s="243"/>
      <c r="CN99" s="243"/>
      <c r="CO99" s="243"/>
      <c r="CP99" s="243"/>
    </row>
    <row r="100" spans="1:94">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9"/>
      <c r="AL100" s="289"/>
      <c r="AM100" s="289"/>
      <c r="AN100" s="289"/>
      <c r="AO100" s="289"/>
      <c r="AP100" s="289"/>
      <c r="AQ100" s="289"/>
      <c r="AR100" s="243"/>
      <c r="AS100" s="243"/>
      <c r="AT100" s="243"/>
      <c r="AU100" s="243"/>
      <c r="AV100" s="243"/>
      <c r="AW100" s="243"/>
      <c r="AX100" s="243"/>
      <c r="AY100" s="243"/>
      <c r="AZ100" s="243"/>
      <c r="BA100" s="243"/>
      <c r="BB100" s="243"/>
      <c r="BC100" s="243"/>
      <c r="BD100" s="243"/>
      <c r="BE100" s="243"/>
      <c r="BF100" s="246"/>
      <c r="BG100" s="246"/>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c r="CM100" s="243"/>
      <c r="CN100" s="243"/>
      <c r="CO100" s="243"/>
      <c r="CP100" s="243"/>
    </row>
    <row r="101" spans="1:94">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9"/>
      <c r="AL101" s="289"/>
      <c r="AM101" s="289"/>
      <c r="AN101" s="289"/>
      <c r="AO101" s="289"/>
      <c r="AP101" s="289"/>
      <c r="AQ101" s="289"/>
      <c r="AR101" s="243"/>
      <c r="AS101" s="243"/>
      <c r="AT101" s="243"/>
      <c r="AU101" s="243"/>
      <c r="AV101" s="243"/>
      <c r="AW101" s="243"/>
      <c r="AX101" s="243"/>
      <c r="AY101" s="243"/>
      <c r="AZ101" s="243"/>
      <c r="BA101" s="243"/>
      <c r="BB101" s="243"/>
      <c r="BC101" s="243"/>
      <c r="BD101" s="243"/>
      <c r="BE101" s="243"/>
      <c r="BF101" s="246"/>
      <c r="BG101" s="246"/>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c r="CM101" s="243"/>
      <c r="CN101" s="243"/>
      <c r="CO101" s="243"/>
      <c r="CP101" s="243"/>
    </row>
    <row r="102" spans="1:94">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9"/>
      <c r="AL102" s="289"/>
      <c r="AM102" s="289"/>
      <c r="AN102" s="289"/>
      <c r="AO102" s="289"/>
      <c r="AP102" s="289"/>
      <c r="AQ102" s="289"/>
      <c r="AR102" s="243"/>
      <c r="AS102" s="243"/>
      <c r="AT102" s="243"/>
      <c r="AU102" s="243"/>
      <c r="AV102" s="243"/>
      <c r="AW102" s="243"/>
      <c r="AX102" s="243"/>
      <c r="AY102" s="243"/>
      <c r="AZ102" s="243"/>
      <c r="BA102" s="243"/>
      <c r="BB102" s="243"/>
      <c r="BC102" s="243"/>
      <c r="BD102" s="243"/>
      <c r="BE102" s="243"/>
      <c r="BF102" s="246"/>
      <c r="BG102" s="246"/>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row>
    <row r="103" spans="1:94">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9"/>
      <c r="AL103" s="289"/>
      <c r="AM103" s="289"/>
      <c r="AN103" s="289"/>
      <c r="AO103" s="289"/>
      <c r="AP103" s="289"/>
      <c r="AQ103" s="289"/>
      <c r="AR103" s="243"/>
      <c r="AS103" s="243"/>
      <c r="AT103" s="243"/>
      <c r="AU103" s="243"/>
      <c r="AV103" s="243"/>
      <c r="AW103" s="243"/>
      <c r="AX103" s="243"/>
      <c r="AY103" s="243"/>
      <c r="AZ103" s="243"/>
      <c r="BA103" s="243"/>
      <c r="BB103" s="243"/>
      <c r="BC103" s="243"/>
      <c r="BD103" s="243"/>
      <c r="BE103" s="243"/>
      <c r="BF103" s="246"/>
      <c r="BG103" s="246"/>
      <c r="BH103" s="243"/>
      <c r="BI103" s="243"/>
      <c r="BJ103" s="243"/>
      <c r="BK103" s="243"/>
      <c r="BL103" s="243"/>
      <c r="BM103" s="243"/>
      <c r="BN103" s="243"/>
      <c r="BO103" s="243"/>
      <c r="BP103" s="243"/>
      <c r="BQ103" s="243"/>
      <c r="BR103" s="243"/>
      <c r="BS103" s="243"/>
      <c r="BT103" s="243"/>
      <c r="BU103" s="243"/>
      <c r="BV103" s="243"/>
      <c r="BW103" s="243"/>
      <c r="BX103" s="243"/>
      <c r="BY103" s="243"/>
      <c r="BZ103" s="243"/>
      <c r="CA103" s="243"/>
      <c r="CB103" s="243"/>
      <c r="CC103" s="243"/>
      <c r="CD103" s="243"/>
      <c r="CE103" s="243"/>
      <c r="CF103" s="243"/>
      <c r="CG103" s="243"/>
      <c r="CH103" s="243"/>
      <c r="CI103" s="243"/>
      <c r="CJ103" s="243"/>
      <c r="CK103" s="243"/>
      <c r="CL103" s="243"/>
      <c r="CM103" s="243"/>
      <c r="CN103" s="243"/>
      <c r="CO103" s="243"/>
      <c r="CP103" s="243"/>
    </row>
    <row r="104" spans="1:94">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9"/>
      <c r="AL104" s="289"/>
      <c r="AM104" s="289"/>
      <c r="AN104" s="289"/>
      <c r="AO104" s="289"/>
      <c r="AP104" s="289"/>
      <c r="AQ104" s="289"/>
      <c r="AR104" s="243"/>
      <c r="AS104" s="243"/>
      <c r="AT104" s="243"/>
      <c r="AU104" s="243"/>
      <c r="AV104" s="243"/>
      <c r="AW104" s="243"/>
      <c r="AX104" s="243"/>
      <c r="AY104" s="243"/>
      <c r="AZ104" s="243"/>
      <c r="BA104" s="243"/>
      <c r="BB104" s="243"/>
      <c r="BC104" s="243"/>
      <c r="BD104" s="243"/>
      <c r="BE104" s="243"/>
      <c r="BF104" s="246"/>
      <c r="BG104" s="246"/>
      <c r="BH104" s="243"/>
      <c r="BI104" s="243"/>
      <c r="BJ104" s="243"/>
      <c r="BK104" s="243"/>
      <c r="BL104" s="243"/>
      <c r="BM104" s="243"/>
      <c r="BN104" s="243"/>
      <c r="BO104" s="243"/>
      <c r="BP104" s="243"/>
      <c r="BQ104" s="243"/>
      <c r="BR104" s="243"/>
      <c r="BS104" s="243"/>
      <c r="BT104" s="243"/>
      <c r="BU104" s="243"/>
      <c r="BV104" s="243"/>
      <c r="BW104" s="243"/>
      <c r="BX104" s="243"/>
      <c r="BY104" s="243"/>
      <c r="BZ104" s="243"/>
      <c r="CA104" s="243"/>
      <c r="CB104" s="243"/>
      <c r="CC104" s="243"/>
      <c r="CD104" s="243"/>
      <c r="CE104" s="243"/>
      <c r="CF104" s="243"/>
      <c r="CG104" s="243"/>
      <c r="CH104" s="243"/>
      <c r="CI104" s="243"/>
      <c r="CJ104" s="243"/>
      <c r="CK104" s="243"/>
      <c r="CL104" s="243"/>
      <c r="CM104" s="243"/>
      <c r="CN104" s="243"/>
      <c r="CO104" s="243"/>
      <c r="CP104" s="243"/>
    </row>
    <row r="105" spans="1:94">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9"/>
      <c r="AL105" s="289"/>
      <c r="AM105" s="289"/>
      <c r="AN105" s="289"/>
      <c r="AO105" s="289"/>
      <c r="AP105" s="289"/>
      <c r="AQ105" s="289"/>
      <c r="AR105" s="243"/>
      <c r="AS105" s="243"/>
      <c r="AT105" s="243"/>
      <c r="AU105" s="243"/>
      <c r="AV105" s="243"/>
      <c r="AW105" s="243"/>
      <c r="AX105" s="243"/>
      <c r="AY105" s="243"/>
      <c r="AZ105" s="243"/>
      <c r="BA105" s="243"/>
      <c r="BB105" s="243"/>
      <c r="BC105" s="243"/>
      <c r="BD105" s="243"/>
      <c r="BE105" s="243"/>
      <c r="BF105" s="246"/>
      <c r="BG105" s="246"/>
      <c r="BH105" s="243"/>
      <c r="BI105" s="243"/>
      <c r="BJ105" s="243"/>
      <c r="BK105" s="243"/>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row>
    <row r="106" spans="1:94">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9"/>
      <c r="AL106" s="289"/>
      <c r="AM106" s="289"/>
      <c r="AN106" s="289"/>
      <c r="AO106" s="289"/>
      <c r="AP106" s="289"/>
      <c r="AQ106" s="289"/>
      <c r="AR106" s="243"/>
      <c r="AS106" s="243"/>
      <c r="AT106" s="243"/>
      <c r="AU106" s="243"/>
      <c r="AV106" s="243"/>
      <c r="AW106" s="243"/>
      <c r="AX106" s="243"/>
      <c r="AY106" s="243"/>
      <c r="AZ106" s="243"/>
      <c r="BA106" s="243"/>
      <c r="BB106" s="243"/>
      <c r="BC106" s="243"/>
      <c r="BD106" s="243"/>
      <c r="BE106" s="243"/>
      <c r="BF106" s="246"/>
      <c r="BG106" s="246"/>
      <c r="BH106" s="243"/>
      <c r="BI106" s="243"/>
      <c r="BJ106" s="243"/>
      <c r="BK106" s="243"/>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row>
    <row r="107" spans="1:94">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9"/>
      <c r="AL107" s="289"/>
      <c r="AM107" s="289"/>
      <c r="AN107" s="289"/>
      <c r="AO107" s="289"/>
      <c r="AP107" s="289"/>
      <c r="AQ107" s="289"/>
      <c r="AR107" s="243"/>
      <c r="AS107" s="243"/>
      <c r="AT107" s="243"/>
      <c r="AU107" s="243"/>
      <c r="AV107" s="243"/>
      <c r="AW107" s="243"/>
      <c r="AX107" s="243"/>
      <c r="AY107" s="243"/>
      <c r="AZ107" s="243"/>
      <c r="BA107" s="243"/>
      <c r="BB107" s="243"/>
      <c r="BC107" s="243"/>
      <c r="BD107" s="243"/>
      <c r="BE107" s="243"/>
      <c r="BF107" s="246"/>
      <c r="BG107" s="246"/>
      <c r="BH107" s="243"/>
      <c r="BI107" s="243"/>
      <c r="BJ107" s="243"/>
      <c r="BK107" s="243"/>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row>
    <row r="108" spans="1:94">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9"/>
      <c r="AL108" s="289"/>
      <c r="AM108" s="289"/>
      <c r="AN108" s="289"/>
      <c r="AO108" s="289"/>
      <c r="AP108" s="289"/>
      <c r="AQ108" s="289"/>
      <c r="AR108" s="243"/>
      <c r="AS108" s="243"/>
      <c r="AT108" s="243"/>
      <c r="AU108" s="243"/>
      <c r="AV108" s="243"/>
      <c r="AW108" s="243"/>
      <c r="AX108" s="243"/>
      <c r="AY108" s="243"/>
      <c r="AZ108" s="243"/>
      <c r="BA108" s="243"/>
      <c r="BB108" s="243"/>
      <c r="BC108" s="243"/>
      <c r="BD108" s="243"/>
      <c r="BE108" s="243"/>
      <c r="BF108" s="246"/>
      <c r="BG108" s="246"/>
      <c r="BH108" s="243"/>
      <c r="BI108" s="243"/>
      <c r="BJ108" s="243"/>
      <c r="BK108" s="243"/>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row>
    <row r="109" spans="1:94">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9"/>
      <c r="AL109" s="289"/>
      <c r="AM109" s="289"/>
      <c r="AN109" s="289"/>
      <c r="AO109" s="289"/>
      <c r="AP109" s="289"/>
      <c r="AQ109" s="289"/>
      <c r="AR109" s="243"/>
      <c r="AS109" s="243"/>
      <c r="AT109" s="243"/>
      <c r="AU109" s="243"/>
      <c r="AV109" s="243"/>
      <c r="AW109" s="243"/>
      <c r="AX109" s="243"/>
      <c r="AY109" s="243"/>
      <c r="AZ109" s="243"/>
      <c r="BA109" s="243"/>
      <c r="BB109" s="243"/>
      <c r="BC109" s="243"/>
      <c r="BD109" s="243"/>
      <c r="BE109" s="243"/>
      <c r="BF109" s="246"/>
      <c r="BG109" s="246"/>
      <c r="BH109" s="243"/>
      <c r="BI109" s="243"/>
      <c r="BJ109" s="243"/>
      <c r="BK109" s="243"/>
      <c r="BL109" s="243"/>
      <c r="BM109" s="243"/>
      <c r="BN109" s="243"/>
      <c r="BO109" s="243"/>
      <c r="BP109" s="243"/>
      <c r="BQ109" s="243"/>
      <c r="BR109" s="243"/>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c r="CM109" s="243"/>
      <c r="CN109" s="243"/>
      <c r="CO109" s="243"/>
      <c r="CP109" s="243"/>
    </row>
    <row r="110" spans="1:94">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9"/>
      <c r="AL110" s="289"/>
      <c r="AM110" s="289"/>
      <c r="AN110" s="289"/>
      <c r="AO110" s="289"/>
      <c r="AP110" s="289"/>
      <c r="AQ110" s="289"/>
      <c r="AR110" s="243"/>
      <c r="AS110" s="243"/>
      <c r="AT110" s="243"/>
      <c r="AU110" s="243"/>
      <c r="AV110" s="243"/>
      <c r="AW110" s="243"/>
      <c r="AX110" s="243"/>
      <c r="AY110" s="243"/>
      <c r="AZ110" s="243"/>
      <c r="BA110" s="243"/>
      <c r="BB110" s="243"/>
      <c r="BC110" s="243"/>
      <c r="BD110" s="243"/>
      <c r="BE110" s="243"/>
      <c r="BF110" s="246"/>
      <c r="BG110" s="246"/>
      <c r="BH110" s="243"/>
      <c r="BI110" s="243"/>
      <c r="BJ110" s="243"/>
      <c r="BK110" s="243"/>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row>
    <row r="111" spans="1:94">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9"/>
      <c r="AL111" s="289"/>
      <c r="AM111" s="289"/>
      <c r="AN111" s="289"/>
      <c r="AO111" s="289"/>
      <c r="AP111" s="289"/>
      <c r="AQ111" s="289"/>
      <c r="AR111" s="243"/>
      <c r="AS111" s="243"/>
      <c r="AT111" s="243"/>
      <c r="AU111" s="243"/>
      <c r="AV111" s="243"/>
      <c r="AW111" s="243"/>
      <c r="AX111" s="243"/>
      <c r="AY111" s="243"/>
      <c r="AZ111" s="243"/>
      <c r="BA111" s="243"/>
      <c r="BB111" s="243"/>
      <c r="BC111" s="243"/>
      <c r="BD111" s="243"/>
      <c r="BE111" s="243"/>
      <c r="BF111" s="246"/>
      <c r="BG111" s="246"/>
      <c r="BH111" s="243"/>
      <c r="BI111" s="243"/>
      <c r="BJ111" s="243"/>
      <c r="BK111" s="243"/>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row>
    <row r="112" spans="1:94">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9"/>
      <c r="AL112" s="289"/>
      <c r="AM112" s="289"/>
      <c r="AN112" s="289"/>
      <c r="AO112" s="289"/>
      <c r="AP112" s="289"/>
      <c r="AQ112" s="289"/>
      <c r="AR112" s="243"/>
      <c r="AS112" s="243"/>
      <c r="AT112" s="243"/>
      <c r="AU112" s="243"/>
      <c r="AV112" s="243"/>
      <c r="AW112" s="243"/>
      <c r="AX112" s="243"/>
      <c r="AY112" s="243"/>
      <c r="AZ112" s="243"/>
      <c r="BA112" s="243"/>
      <c r="BB112" s="243"/>
      <c r="BC112" s="243"/>
      <c r="BD112" s="243"/>
      <c r="BE112" s="243"/>
      <c r="BF112" s="246"/>
      <c r="BG112" s="246"/>
      <c r="BH112" s="243"/>
      <c r="BI112" s="243"/>
      <c r="BJ112" s="243"/>
      <c r="BK112" s="243"/>
      <c r="BL112" s="243"/>
      <c r="BM112" s="243"/>
      <c r="BN112" s="243"/>
      <c r="BO112" s="243"/>
      <c r="BP112" s="243"/>
      <c r="BQ112" s="243"/>
      <c r="BR112" s="243"/>
      <c r="BS112" s="243"/>
      <c r="BT112" s="243"/>
      <c r="BU112" s="243"/>
      <c r="BV112" s="243"/>
      <c r="BW112" s="243"/>
      <c r="BX112" s="243"/>
      <c r="BY112" s="243"/>
      <c r="BZ112" s="243"/>
      <c r="CA112" s="243"/>
      <c r="CB112" s="243"/>
      <c r="CC112" s="243"/>
      <c r="CD112" s="243"/>
      <c r="CE112" s="243"/>
      <c r="CF112" s="243"/>
      <c r="CG112" s="243"/>
      <c r="CH112" s="243"/>
      <c r="CI112" s="243"/>
      <c r="CJ112" s="243"/>
      <c r="CK112" s="243"/>
      <c r="CL112" s="243"/>
      <c r="CM112" s="243"/>
      <c r="CN112" s="243"/>
      <c r="CO112" s="243"/>
      <c r="CP112" s="243"/>
    </row>
    <row r="113" spans="1:94">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9"/>
      <c r="AL113" s="289"/>
      <c r="AM113" s="289"/>
      <c r="AN113" s="289"/>
      <c r="AO113" s="289"/>
      <c r="AP113" s="289"/>
      <c r="AQ113" s="289"/>
      <c r="AR113" s="243"/>
      <c r="AS113" s="243"/>
      <c r="AT113" s="243"/>
      <c r="AU113" s="243"/>
      <c r="AV113" s="243"/>
      <c r="AW113" s="243"/>
      <c r="AX113" s="243"/>
      <c r="AY113" s="243"/>
      <c r="AZ113" s="243"/>
      <c r="BA113" s="243"/>
      <c r="BB113" s="243"/>
      <c r="BC113" s="243"/>
      <c r="BD113" s="243"/>
      <c r="BE113" s="243"/>
      <c r="BF113" s="246"/>
      <c r="BG113" s="246"/>
      <c r="BH113" s="243"/>
      <c r="BI113" s="243"/>
      <c r="BJ113" s="243"/>
      <c r="BK113" s="243"/>
      <c r="BL113" s="243"/>
      <c r="BM113" s="243"/>
      <c r="BN113" s="243"/>
      <c r="BO113" s="243"/>
      <c r="BP113" s="243"/>
      <c r="BQ113" s="243"/>
      <c r="BR113" s="243"/>
      <c r="BS113" s="243"/>
      <c r="BT113" s="243"/>
      <c r="BU113" s="243"/>
      <c r="BV113" s="243"/>
      <c r="BW113" s="243"/>
      <c r="BX113" s="243"/>
      <c r="BY113" s="243"/>
      <c r="BZ113" s="243"/>
      <c r="CA113" s="243"/>
      <c r="CB113" s="243"/>
      <c r="CC113" s="243"/>
      <c r="CD113" s="243"/>
      <c r="CE113" s="243"/>
      <c r="CF113" s="243"/>
      <c r="CG113" s="243"/>
      <c r="CH113" s="243"/>
      <c r="CI113" s="243"/>
      <c r="CJ113" s="243"/>
      <c r="CK113" s="243"/>
      <c r="CL113" s="243"/>
      <c r="CM113" s="243"/>
      <c r="CN113" s="243"/>
      <c r="CO113" s="243"/>
      <c r="CP113" s="243"/>
    </row>
    <row r="114" spans="1:94">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9"/>
      <c r="AL114" s="289"/>
      <c r="AM114" s="289"/>
      <c r="AN114" s="289"/>
      <c r="AO114" s="289"/>
      <c r="AP114" s="289"/>
      <c r="AQ114" s="289"/>
      <c r="AR114" s="243"/>
      <c r="AS114" s="243"/>
      <c r="AT114" s="243"/>
      <c r="AU114" s="243"/>
      <c r="AV114" s="243"/>
      <c r="AW114" s="243"/>
      <c r="AX114" s="243"/>
      <c r="AY114" s="243"/>
      <c r="AZ114" s="243"/>
      <c r="BA114" s="243"/>
      <c r="BB114" s="243"/>
      <c r="BC114" s="243"/>
      <c r="BD114" s="243"/>
      <c r="BE114" s="243"/>
      <c r="BF114" s="246"/>
      <c r="BG114" s="246"/>
      <c r="BH114" s="243"/>
      <c r="BI114" s="243"/>
      <c r="BJ114" s="243"/>
      <c r="BK114" s="243"/>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row>
    <row r="115" spans="1:94">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9"/>
      <c r="AL115" s="289"/>
      <c r="AM115" s="289"/>
      <c r="AN115" s="289"/>
      <c r="AO115" s="289"/>
      <c r="AP115" s="289"/>
      <c r="AQ115" s="289"/>
      <c r="AR115" s="243"/>
      <c r="AS115" s="243"/>
      <c r="AT115" s="243"/>
      <c r="AU115" s="243"/>
      <c r="AV115" s="243"/>
      <c r="AW115" s="243"/>
      <c r="AX115" s="243"/>
      <c r="AY115" s="243"/>
      <c r="AZ115" s="243"/>
      <c r="BA115" s="243"/>
      <c r="BB115" s="243"/>
      <c r="BC115" s="243"/>
      <c r="BD115" s="243"/>
      <c r="BE115" s="243"/>
      <c r="BF115" s="246"/>
      <c r="BG115" s="246"/>
      <c r="BH115" s="243"/>
      <c r="BI115" s="243"/>
      <c r="BJ115" s="243"/>
      <c r="BK115" s="243"/>
      <c r="BL115" s="243"/>
      <c r="BM115" s="243"/>
      <c r="BN115" s="243"/>
      <c r="BO115" s="243"/>
      <c r="BP115" s="243"/>
      <c r="BQ115" s="243"/>
      <c r="BR115" s="243"/>
      <c r="BS115" s="243"/>
      <c r="BT115" s="243"/>
      <c r="BU115" s="243"/>
      <c r="BV115" s="243"/>
      <c r="BW115" s="243"/>
      <c r="BX115" s="243"/>
      <c r="BY115" s="243"/>
      <c r="BZ115" s="243"/>
      <c r="CA115" s="243"/>
      <c r="CB115" s="243"/>
      <c r="CC115" s="243"/>
      <c r="CD115" s="243"/>
      <c r="CE115" s="243"/>
      <c r="CF115" s="243"/>
      <c r="CG115" s="243"/>
      <c r="CH115" s="243"/>
      <c r="CI115" s="243"/>
      <c r="CJ115" s="243"/>
      <c r="CK115" s="243"/>
      <c r="CL115" s="243"/>
      <c r="CM115" s="243"/>
      <c r="CN115" s="243"/>
      <c r="CO115" s="243"/>
      <c r="CP115" s="243"/>
    </row>
    <row r="116" spans="1:94">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9"/>
      <c r="AL116" s="289"/>
      <c r="AM116" s="289"/>
      <c r="AN116" s="289"/>
      <c r="AO116" s="289"/>
      <c r="AP116" s="289"/>
      <c r="AQ116" s="289"/>
      <c r="AR116" s="243"/>
      <c r="AS116" s="243"/>
      <c r="AT116" s="243"/>
      <c r="AU116" s="243"/>
      <c r="AV116" s="243"/>
      <c r="AW116" s="243"/>
      <c r="AX116" s="243"/>
      <c r="AY116" s="243"/>
      <c r="AZ116" s="243"/>
      <c r="BA116" s="243"/>
      <c r="BB116" s="243"/>
      <c r="BC116" s="243"/>
      <c r="BD116" s="243"/>
      <c r="BE116" s="243"/>
      <c r="BF116" s="246"/>
      <c r="BG116" s="246"/>
      <c r="BH116" s="243"/>
      <c r="BI116" s="243"/>
      <c r="BJ116" s="243"/>
      <c r="BK116" s="243"/>
      <c r="BL116" s="243"/>
      <c r="BM116" s="243"/>
      <c r="BN116" s="243"/>
      <c r="BO116" s="243"/>
      <c r="BP116" s="243"/>
      <c r="BQ116" s="243"/>
      <c r="BR116" s="243"/>
      <c r="BS116" s="243"/>
      <c r="BT116" s="243"/>
      <c r="BU116" s="243"/>
      <c r="BV116" s="243"/>
      <c r="BW116" s="243"/>
      <c r="BX116" s="243"/>
      <c r="BY116" s="243"/>
      <c r="BZ116" s="243"/>
      <c r="CA116" s="243"/>
      <c r="CB116" s="243"/>
      <c r="CC116" s="243"/>
      <c r="CD116" s="243"/>
      <c r="CE116" s="243"/>
      <c r="CF116" s="243"/>
      <c r="CG116" s="243"/>
      <c r="CH116" s="243"/>
      <c r="CI116" s="243"/>
      <c r="CJ116" s="243"/>
      <c r="CK116" s="243"/>
      <c r="CL116" s="243"/>
      <c r="CM116" s="243"/>
      <c r="CN116" s="243"/>
      <c r="CO116" s="243"/>
      <c r="CP116" s="243"/>
    </row>
    <row r="117" spans="1:94">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9"/>
      <c r="AL117" s="289"/>
      <c r="AM117" s="289"/>
      <c r="AN117" s="289"/>
      <c r="AO117" s="289"/>
      <c r="AP117" s="289"/>
      <c r="AQ117" s="289"/>
      <c r="AR117" s="243"/>
      <c r="AS117" s="243"/>
      <c r="AT117" s="243"/>
      <c r="AU117" s="243"/>
      <c r="AV117" s="243"/>
      <c r="AW117" s="243"/>
      <c r="AX117" s="243"/>
      <c r="AY117" s="243"/>
      <c r="AZ117" s="243"/>
      <c r="BA117" s="243"/>
      <c r="BB117" s="243"/>
      <c r="BC117" s="243"/>
      <c r="BD117" s="243"/>
      <c r="BE117" s="243"/>
      <c r="BF117" s="246"/>
      <c r="BG117" s="246"/>
      <c r="BH117" s="243"/>
      <c r="BI117" s="243"/>
      <c r="BJ117" s="243"/>
      <c r="BK117" s="243"/>
      <c r="BL117" s="243"/>
      <c r="BM117" s="243"/>
      <c r="BN117" s="243"/>
      <c r="BO117" s="243"/>
      <c r="BP117" s="243"/>
      <c r="BQ117" s="243"/>
      <c r="BR117" s="243"/>
      <c r="BS117" s="243"/>
      <c r="BT117" s="243"/>
      <c r="BU117" s="243"/>
      <c r="BV117" s="243"/>
      <c r="BW117" s="243"/>
      <c r="BX117" s="243"/>
      <c r="BY117" s="243"/>
      <c r="BZ117" s="243"/>
      <c r="CA117" s="243"/>
      <c r="CB117" s="243"/>
      <c r="CC117" s="243"/>
      <c r="CD117" s="243"/>
      <c r="CE117" s="243"/>
      <c r="CF117" s="243"/>
      <c r="CG117" s="243"/>
      <c r="CH117" s="243"/>
      <c r="CI117" s="243"/>
      <c r="CJ117" s="243"/>
      <c r="CK117" s="243"/>
      <c r="CL117" s="243"/>
      <c r="CM117" s="243"/>
      <c r="CN117" s="243"/>
      <c r="CO117" s="243"/>
      <c r="CP117" s="243"/>
    </row>
    <row r="118" spans="1:94">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9"/>
      <c r="AL118" s="289"/>
      <c r="AM118" s="289"/>
      <c r="AN118" s="289"/>
      <c r="AO118" s="289"/>
      <c r="AP118" s="289"/>
      <c r="AQ118" s="289"/>
      <c r="AR118" s="243"/>
      <c r="AS118" s="243"/>
      <c r="AT118" s="243"/>
      <c r="AU118" s="243"/>
      <c r="AV118" s="243"/>
      <c r="AW118" s="243"/>
      <c r="AX118" s="243"/>
      <c r="AY118" s="243"/>
      <c r="AZ118" s="243"/>
      <c r="BA118" s="243"/>
      <c r="BB118" s="243"/>
      <c r="BC118" s="243"/>
      <c r="BD118" s="243"/>
      <c r="BE118" s="243"/>
      <c r="BF118" s="246"/>
      <c r="BG118" s="246"/>
      <c r="BH118" s="243"/>
      <c r="BI118" s="243"/>
      <c r="BJ118" s="243"/>
      <c r="BK118" s="243"/>
      <c r="BL118" s="243"/>
      <c r="BM118" s="243"/>
      <c r="BN118" s="243"/>
      <c r="BO118" s="243"/>
      <c r="BP118" s="243"/>
      <c r="BQ118" s="243"/>
      <c r="BR118" s="243"/>
      <c r="BS118" s="243"/>
      <c r="BT118" s="243"/>
      <c r="BU118" s="243"/>
      <c r="BV118" s="243"/>
      <c r="BW118" s="243"/>
      <c r="BX118" s="243"/>
      <c r="BY118" s="243"/>
      <c r="BZ118" s="243"/>
      <c r="CA118" s="243"/>
      <c r="CB118" s="243"/>
      <c r="CC118" s="243"/>
      <c r="CD118" s="243"/>
      <c r="CE118" s="243"/>
      <c r="CF118" s="243"/>
      <c r="CG118" s="243"/>
      <c r="CH118" s="243"/>
      <c r="CI118" s="243"/>
      <c r="CJ118" s="243"/>
      <c r="CK118" s="243"/>
      <c r="CL118" s="243"/>
      <c r="CM118" s="243"/>
      <c r="CN118" s="243"/>
      <c r="CO118" s="243"/>
      <c r="CP118" s="243"/>
    </row>
    <row r="119" spans="1:94">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9"/>
      <c r="AL119" s="289"/>
      <c r="AM119" s="289"/>
      <c r="AN119" s="289"/>
      <c r="AO119" s="289"/>
      <c r="AP119" s="289"/>
      <c r="AQ119" s="289"/>
      <c r="AR119" s="243"/>
      <c r="AS119" s="243"/>
      <c r="AT119" s="243"/>
      <c r="AU119" s="243"/>
      <c r="AV119" s="243"/>
      <c r="AW119" s="243"/>
      <c r="AX119" s="243"/>
      <c r="AY119" s="243"/>
      <c r="AZ119" s="243"/>
      <c r="BA119" s="243"/>
      <c r="BB119" s="243"/>
      <c r="BC119" s="243"/>
      <c r="BD119" s="243"/>
      <c r="BE119" s="243"/>
      <c r="BF119" s="246"/>
      <c r="BG119" s="246"/>
      <c r="BH119" s="243"/>
      <c r="BI119" s="243"/>
      <c r="BJ119" s="243"/>
      <c r="BK119" s="243"/>
      <c r="BL119" s="243"/>
      <c r="BM119" s="243"/>
      <c r="BN119" s="243"/>
      <c r="BO119" s="243"/>
      <c r="BP119" s="243"/>
      <c r="BQ119" s="243"/>
      <c r="BR119" s="243"/>
      <c r="BS119" s="243"/>
      <c r="BT119" s="243"/>
      <c r="BU119" s="243"/>
      <c r="BV119" s="243"/>
      <c r="BW119" s="243"/>
      <c r="BX119" s="243"/>
      <c r="BY119" s="243"/>
      <c r="BZ119" s="243"/>
      <c r="CA119" s="243"/>
      <c r="CB119" s="243"/>
      <c r="CC119" s="243"/>
      <c r="CD119" s="243"/>
      <c r="CE119" s="243"/>
      <c r="CF119" s="243"/>
      <c r="CG119" s="243"/>
      <c r="CH119" s="243"/>
      <c r="CI119" s="243"/>
      <c r="CJ119" s="243"/>
      <c r="CK119" s="243"/>
      <c r="CL119" s="243"/>
      <c r="CM119" s="243"/>
      <c r="CN119" s="243"/>
      <c r="CO119" s="243"/>
      <c r="CP119" s="243"/>
    </row>
    <row r="120" spans="1:94">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9"/>
      <c r="AL120" s="289"/>
      <c r="AM120" s="289"/>
      <c r="AN120" s="289"/>
      <c r="AO120" s="289"/>
      <c r="AP120" s="289"/>
      <c r="AQ120" s="289"/>
      <c r="AR120" s="243"/>
      <c r="AS120" s="243"/>
      <c r="AT120" s="243"/>
      <c r="AU120" s="243"/>
      <c r="AV120" s="243"/>
      <c r="AW120" s="243"/>
      <c r="AX120" s="243"/>
      <c r="AY120" s="243"/>
      <c r="AZ120" s="243"/>
      <c r="BA120" s="243"/>
      <c r="BB120" s="243"/>
      <c r="BC120" s="243"/>
      <c r="BD120" s="243"/>
      <c r="BE120" s="243"/>
      <c r="BF120" s="246"/>
      <c r="BG120" s="246"/>
      <c r="BH120" s="243"/>
      <c r="BI120" s="243"/>
      <c r="BJ120" s="243"/>
      <c r="BK120" s="243"/>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row>
    <row r="121" spans="1:94">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9"/>
      <c r="AL121" s="289"/>
      <c r="AM121" s="289"/>
      <c r="AN121" s="289"/>
      <c r="AO121" s="289"/>
      <c r="AP121" s="289"/>
      <c r="AQ121" s="289"/>
      <c r="AR121" s="243"/>
      <c r="AS121" s="243"/>
      <c r="AT121" s="243"/>
      <c r="AU121" s="243"/>
      <c r="AV121" s="243"/>
      <c r="AW121" s="243"/>
      <c r="AX121" s="243"/>
      <c r="AY121" s="243"/>
      <c r="AZ121" s="243"/>
      <c r="BA121" s="243"/>
      <c r="BB121" s="243"/>
      <c r="BC121" s="243"/>
      <c r="BD121" s="243"/>
      <c r="BE121" s="243"/>
      <c r="BF121" s="246"/>
      <c r="BG121" s="246"/>
      <c r="BH121" s="243"/>
      <c r="BI121" s="243"/>
      <c r="BJ121" s="243"/>
      <c r="BK121" s="243"/>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row>
    <row r="122" spans="1:94">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9"/>
      <c r="AL122" s="289"/>
      <c r="AM122" s="289"/>
      <c r="AN122" s="289"/>
      <c r="AO122" s="289"/>
      <c r="AP122" s="289"/>
      <c r="AQ122" s="289"/>
      <c r="AR122" s="243"/>
      <c r="AS122" s="243"/>
      <c r="AT122" s="243"/>
      <c r="AU122" s="243"/>
      <c r="AV122" s="243"/>
      <c r="AW122" s="243"/>
      <c r="AX122" s="243"/>
      <c r="AY122" s="243"/>
      <c r="AZ122" s="243"/>
      <c r="BA122" s="243"/>
      <c r="BB122" s="243"/>
      <c r="BC122" s="243"/>
      <c r="BD122" s="243"/>
      <c r="BE122" s="243"/>
      <c r="BF122" s="246"/>
      <c r="BG122" s="246"/>
      <c r="BH122" s="243"/>
      <c r="BI122" s="243"/>
      <c r="BJ122" s="243"/>
      <c r="BK122" s="243"/>
      <c r="BL122" s="243"/>
      <c r="BM122" s="243"/>
      <c r="BN122" s="243"/>
      <c r="BO122" s="243"/>
      <c r="BP122" s="243"/>
      <c r="BQ122" s="243"/>
      <c r="BR122" s="243"/>
      <c r="BS122" s="243"/>
      <c r="BT122" s="243"/>
      <c r="BU122" s="243"/>
      <c r="BV122" s="243"/>
      <c r="BW122" s="243"/>
      <c r="BX122" s="243"/>
      <c r="BY122" s="243"/>
      <c r="BZ122" s="243"/>
      <c r="CA122" s="243"/>
      <c r="CB122" s="243"/>
      <c r="CC122" s="243"/>
      <c r="CD122" s="243"/>
      <c r="CE122" s="243"/>
      <c r="CF122" s="243"/>
      <c r="CG122" s="243"/>
      <c r="CH122" s="243"/>
      <c r="CI122" s="243"/>
      <c r="CJ122" s="243"/>
      <c r="CK122" s="243"/>
      <c r="CL122" s="243"/>
      <c r="CM122" s="243"/>
      <c r="CN122" s="243"/>
      <c r="CO122" s="243"/>
      <c r="CP122" s="243"/>
    </row>
    <row r="123" spans="1:94">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9"/>
      <c r="AL123" s="289"/>
      <c r="AM123" s="289"/>
      <c r="AN123" s="289"/>
      <c r="AO123" s="289"/>
      <c r="AP123" s="289"/>
      <c r="AQ123" s="289"/>
      <c r="AR123" s="243"/>
      <c r="AS123" s="243"/>
      <c r="AT123" s="243"/>
      <c r="AU123" s="243"/>
      <c r="AV123" s="243"/>
      <c r="AW123" s="243"/>
      <c r="AX123" s="243"/>
      <c r="AY123" s="243"/>
      <c r="AZ123" s="243"/>
      <c r="BA123" s="243"/>
      <c r="BB123" s="243"/>
      <c r="BC123" s="243"/>
      <c r="BD123" s="243"/>
      <c r="BE123" s="243"/>
      <c r="BF123" s="246"/>
      <c r="BG123" s="246"/>
      <c r="BH123" s="243"/>
      <c r="BI123" s="243"/>
      <c r="BJ123" s="243"/>
      <c r="BK123" s="243"/>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row>
    <row r="124" spans="1:94">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9"/>
      <c r="AL124" s="289"/>
      <c r="AM124" s="289"/>
      <c r="AN124" s="289"/>
      <c r="AO124" s="289"/>
      <c r="AP124" s="289"/>
      <c r="AQ124" s="289"/>
      <c r="AR124" s="243"/>
      <c r="AS124" s="243"/>
      <c r="AT124" s="243"/>
      <c r="AU124" s="243"/>
      <c r="AV124" s="243"/>
      <c r="AW124" s="243"/>
      <c r="AX124" s="243"/>
      <c r="AY124" s="243"/>
      <c r="AZ124" s="243"/>
      <c r="BA124" s="243"/>
      <c r="BB124" s="243"/>
      <c r="BC124" s="243"/>
      <c r="BD124" s="243"/>
      <c r="BE124" s="243"/>
      <c r="BF124" s="246"/>
      <c r="BG124" s="246"/>
      <c r="BH124" s="243"/>
      <c r="BI124" s="243"/>
      <c r="BJ124" s="243"/>
      <c r="BK124" s="243"/>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row>
    <row r="125" spans="1:94">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c r="AD125" s="288"/>
      <c r="AE125" s="288"/>
      <c r="AF125" s="288"/>
      <c r="AG125" s="288"/>
      <c r="AH125" s="288"/>
      <c r="AI125" s="288"/>
      <c r="AJ125" s="288"/>
      <c r="AK125" s="289"/>
      <c r="AL125" s="289"/>
      <c r="AM125" s="289"/>
      <c r="AN125" s="289"/>
      <c r="AO125" s="289"/>
      <c r="AP125" s="289"/>
      <c r="AQ125" s="289"/>
      <c r="AR125" s="243"/>
      <c r="AS125" s="243"/>
      <c r="AT125" s="243"/>
      <c r="AU125" s="243"/>
      <c r="AV125" s="243"/>
      <c r="AW125" s="243"/>
      <c r="AX125" s="243"/>
      <c r="AY125" s="243"/>
      <c r="AZ125" s="243"/>
      <c r="BA125" s="243"/>
      <c r="BB125" s="243"/>
      <c r="BC125" s="243"/>
      <c r="BD125" s="243"/>
      <c r="BE125" s="243"/>
      <c r="BF125" s="246"/>
      <c r="BG125" s="246"/>
      <c r="BH125" s="243"/>
      <c r="BI125" s="243"/>
      <c r="BJ125" s="243"/>
      <c r="BK125" s="243"/>
      <c r="BL125" s="243"/>
      <c r="BM125" s="243"/>
      <c r="BN125" s="243"/>
      <c r="BO125" s="243"/>
      <c r="BP125" s="243"/>
      <c r="BQ125" s="243"/>
      <c r="BR125" s="243"/>
      <c r="BS125" s="243"/>
      <c r="BT125" s="243"/>
      <c r="BU125" s="243"/>
      <c r="BV125" s="243"/>
      <c r="BW125" s="243"/>
      <c r="BX125" s="243"/>
      <c r="BY125" s="243"/>
      <c r="BZ125" s="243"/>
      <c r="CA125" s="243"/>
      <c r="CB125" s="243"/>
      <c r="CC125" s="243"/>
      <c r="CD125" s="243"/>
      <c r="CE125" s="243"/>
      <c r="CF125" s="243"/>
      <c r="CG125" s="243"/>
      <c r="CH125" s="243"/>
      <c r="CI125" s="243"/>
      <c r="CJ125" s="243"/>
      <c r="CK125" s="243"/>
      <c r="CL125" s="243"/>
      <c r="CM125" s="243"/>
      <c r="CN125" s="243"/>
      <c r="CO125" s="243"/>
      <c r="CP125" s="243"/>
    </row>
  </sheetData>
  <sheetProtection algorithmName="SHA-512" hashValue="nagNlp+TdNoZ1NJA4iU491l5ZS4CiOJ5a31hjxdO5o+FRUa/UeYmrsaCuZdFTo9m3aSoVc6HwgWa7Z/E2Lor2A==" saltValue="vTIhlCFKxFsD2jH+JQpADA==" spinCount="100000" sheet="1" objects="1" scenarios="1" selectLockedCells="1" selectUnlockedCells="1"/>
  <mergeCells count="343">
    <mergeCell ref="A1:AK4"/>
    <mergeCell ref="A5:G5"/>
    <mergeCell ref="Y5:AB5"/>
    <mergeCell ref="AC5:AK5"/>
    <mergeCell ref="A6:G6"/>
    <mergeCell ref="Y6:AB6"/>
    <mergeCell ref="AC6:AK6"/>
    <mergeCell ref="A7:G7"/>
    <mergeCell ref="Y7:AB7"/>
    <mergeCell ref="A8:G9"/>
    <mergeCell ref="H8:AK9"/>
    <mergeCell ref="A10:H10"/>
    <mergeCell ref="I10:X10"/>
    <mergeCell ref="Y10:AB10"/>
    <mergeCell ref="AC10:AE10"/>
    <mergeCell ref="AF10:AH10"/>
    <mergeCell ref="AI10:AK10"/>
    <mergeCell ref="A11:AK12"/>
    <mergeCell ref="A13:G13"/>
    <mergeCell ref="H13:AK13"/>
    <mergeCell ref="H14:J14"/>
    <mergeCell ref="K14:M14"/>
    <mergeCell ref="N14:P14"/>
    <mergeCell ref="Q14:S14"/>
    <mergeCell ref="T14:V14"/>
    <mergeCell ref="W14:Y14"/>
    <mergeCell ref="Z14:AB14"/>
    <mergeCell ref="AC14:AE14"/>
    <mergeCell ref="AF14:AH14"/>
    <mergeCell ref="AI14:AK14"/>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A28:E28"/>
    <mergeCell ref="F28:U28"/>
    <mergeCell ref="W28:AJ38"/>
    <mergeCell ref="F29:I30"/>
    <mergeCell ref="J29:M29"/>
    <mergeCell ref="N29:O30"/>
    <mergeCell ref="P29:U30"/>
    <mergeCell ref="J30:K30"/>
    <mergeCell ref="L30:M30"/>
    <mergeCell ref="A31:E31"/>
    <mergeCell ref="R31:S31"/>
    <mergeCell ref="T31:U31"/>
    <mergeCell ref="F32:G32"/>
    <mergeCell ref="H32:I32"/>
    <mergeCell ref="J32:K32"/>
    <mergeCell ref="L32:M32"/>
    <mergeCell ref="N32:O32"/>
    <mergeCell ref="P32:Q32"/>
    <mergeCell ref="R32:S32"/>
    <mergeCell ref="T32:U32"/>
    <mergeCell ref="F31:G31"/>
    <mergeCell ref="H31:I31"/>
    <mergeCell ref="J31:K31"/>
    <mergeCell ref="L31:M31"/>
    <mergeCell ref="N31:O31"/>
    <mergeCell ref="P31:Q31"/>
    <mergeCell ref="R33:S33"/>
    <mergeCell ref="T33:U33"/>
    <mergeCell ref="F34:G34"/>
    <mergeCell ref="H34:I34"/>
    <mergeCell ref="J34:K34"/>
    <mergeCell ref="L34:M34"/>
    <mergeCell ref="N34:O34"/>
    <mergeCell ref="P34:Q34"/>
    <mergeCell ref="R34:S34"/>
    <mergeCell ref="T34:U34"/>
    <mergeCell ref="F33:G33"/>
    <mergeCell ref="H33:I33"/>
    <mergeCell ref="J33:K33"/>
    <mergeCell ref="L33:M33"/>
    <mergeCell ref="N33:O33"/>
    <mergeCell ref="P33:Q33"/>
    <mergeCell ref="R35:S35"/>
    <mergeCell ref="T35:U35"/>
    <mergeCell ref="F36:G36"/>
    <mergeCell ref="H36:I36"/>
    <mergeCell ref="J36:K36"/>
    <mergeCell ref="L36:M36"/>
    <mergeCell ref="N36:O36"/>
    <mergeCell ref="P36:Q36"/>
    <mergeCell ref="R36:S36"/>
    <mergeCell ref="T36:U36"/>
    <mergeCell ref="F35:G35"/>
    <mergeCell ref="H35:I35"/>
    <mergeCell ref="J35:K35"/>
    <mergeCell ref="L35:M35"/>
    <mergeCell ref="N35:O35"/>
    <mergeCell ref="P35:Q35"/>
    <mergeCell ref="R37:S37"/>
    <mergeCell ref="T37:U37"/>
    <mergeCell ref="F38:G38"/>
    <mergeCell ref="H38:I38"/>
    <mergeCell ref="J38:K38"/>
    <mergeCell ref="L38:M38"/>
    <mergeCell ref="N38:O38"/>
    <mergeCell ref="P38:Q38"/>
    <mergeCell ref="R38:S38"/>
    <mergeCell ref="T38:U38"/>
    <mergeCell ref="F37:G37"/>
    <mergeCell ref="H37:I37"/>
    <mergeCell ref="J37:K37"/>
    <mergeCell ref="L37:M37"/>
    <mergeCell ref="N37:O37"/>
    <mergeCell ref="P37:Q37"/>
    <mergeCell ref="R39:S39"/>
    <mergeCell ref="T39:U39"/>
    <mergeCell ref="F40:G40"/>
    <mergeCell ref="H40:I40"/>
    <mergeCell ref="J40:K40"/>
    <mergeCell ref="L40:M40"/>
    <mergeCell ref="N40:O40"/>
    <mergeCell ref="P40:Q40"/>
    <mergeCell ref="R40:S40"/>
    <mergeCell ref="T40:U40"/>
    <mergeCell ref="F39:G39"/>
    <mergeCell ref="H39:I39"/>
    <mergeCell ref="J39:K39"/>
    <mergeCell ref="L39:M39"/>
    <mergeCell ref="N39:O39"/>
    <mergeCell ref="P39:Q39"/>
    <mergeCell ref="R41:S41"/>
    <mergeCell ref="T41:U41"/>
    <mergeCell ref="F42:G42"/>
    <mergeCell ref="H42:I42"/>
    <mergeCell ref="J42:K42"/>
    <mergeCell ref="L42:M42"/>
    <mergeCell ref="N42:O42"/>
    <mergeCell ref="P42:Q42"/>
    <mergeCell ref="R42:S42"/>
    <mergeCell ref="T42:U42"/>
    <mergeCell ref="F41:G41"/>
    <mergeCell ref="H41:I41"/>
    <mergeCell ref="J41:K41"/>
    <mergeCell ref="L41:M41"/>
    <mergeCell ref="N41:O41"/>
    <mergeCell ref="P41:Q41"/>
    <mergeCell ref="R43:S43"/>
    <mergeCell ref="T43:U43"/>
    <mergeCell ref="F44:G44"/>
    <mergeCell ref="H44:I44"/>
    <mergeCell ref="J44:K44"/>
    <mergeCell ref="L44:M44"/>
    <mergeCell ref="N44:O44"/>
    <mergeCell ref="P44:Q44"/>
    <mergeCell ref="R44:S44"/>
    <mergeCell ref="T44:U44"/>
    <mergeCell ref="F43:G43"/>
    <mergeCell ref="H43:I43"/>
    <mergeCell ref="J43:K43"/>
    <mergeCell ref="L43:M43"/>
    <mergeCell ref="N43:O43"/>
    <mergeCell ref="P43:Q43"/>
    <mergeCell ref="R45:S45"/>
    <mergeCell ref="T45:U45"/>
    <mergeCell ref="F46:G46"/>
    <mergeCell ref="H46:I46"/>
    <mergeCell ref="J46:K46"/>
    <mergeCell ref="L46:M46"/>
    <mergeCell ref="N46:O46"/>
    <mergeCell ref="P46:Q46"/>
    <mergeCell ref="R46:S46"/>
    <mergeCell ref="T46:U46"/>
    <mergeCell ref="F45:G45"/>
    <mergeCell ref="H45:I45"/>
    <mergeCell ref="J45:K45"/>
    <mergeCell ref="L45:M45"/>
    <mergeCell ref="N45:O45"/>
    <mergeCell ref="P45:Q45"/>
    <mergeCell ref="R47:S47"/>
    <mergeCell ref="T47:U47"/>
    <mergeCell ref="F48:G48"/>
    <mergeCell ref="H48:I48"/>
    <mergeCell ref="J48:K48"/>
    <mergeCell ref="L48:M48"/>
    <mergeCell ref="N48:O48"/>
    <mergeCell ref="P48:Q48"/>
    <mergeCell ref="R48:S48"/>
    <mergeCell ref="T48:U48"/>
    <mergeCell ref="F47:G47"/>
    <mergeCell ref="H47:I47"/>
    <mergeCell ref="J47:K47"/>
    <mergeCell ref="L47:M47"/>
    <mergeCell ref="N47:O47"/>
    <mergeCell ref="P47:Q47"/>
    <mergeCell ref="R49:S49"/>
    <mergeCell ref="T49:U49"/>
    <mergeCell ref="F50:G50"/>
    <mergeCell ref="H50:I50"/>
    <mergeCell ref="J50:K50"/>
    <mergeCell ref="L50:M50"/>
    <mergeCell ref="N50:O50"/>
    <mergeCell ref="P50:Q50"/>
    <mergeCell ref="R50:S50"/>
    <mergeCell ref="T50:U50"/>
    <mergeCell ref="F49:G49"/>
    <mergeCell ref="H49:I49"/>
    <mergeCell ref="J49:K49"/>
    <mergeCell ref="L49:M49"/>
    <mergeCell ref="N49:O49"/>
    <mergeCell ref="P49:Q49"/>
    <mergeCell ref="R51:S51"/>
    <mergeCell ref="T51:U51"/>
    <mergeCell ref="F52:G52"/>
    <mergeCell ref="H52:I52"/>
    <mergeCell ref="J52:K52"/>
    <mergeCell ref="L52:M52"/>
    <mergeCell ref="N52:O52"/>
    <mergeCell ref="P52:Q52"/>
    <mergeCell ref="R52:S52"/>
    <mergeCell ref="T52:U52"/>
    <mergeCell ref="F51:G51"/>
    <mergeCell ref="H51:I51"/>
    <mergeCell ref="J51:K51"/>
    <mergeCell ref="L51:M51"/>
    <mergeCell ref="N51:O51"/>
    <mergeCell ref="P51:Q51"/>
    <mergeCell ref="P53:Q53"/>
    <mergeCell ref="R53:S53"/>
    <mergeCell ref="T53:U53"/>
    <mergeCell ref="L54:M54"/>
    <mergeCell ref="P54:Q54"/>
    <mergeCell ref="L55:M55"/>
    <mergeCell ref="N55:O55"/>
    <mergeCell ref="P55:Q55"/>
    <mergeCell ref="A53:E53"/>
    <mergeCell ref="F53:G53"/>
    <mergeCell ref="H53:I53"/>
    <mergeCell ref="J53:K53"/>
    <mergeCell ref="L53:M53"/>
    <mergeCell ref="N53:O53"/>
    <mergeCell ref="L58:M58"/>
    <mergeCell ref="N58:O58"/>
    <mergeCell ref="P58:Q58"/>
    <mergeCell ref="L59:M59"/>
    <mergeCell ref="N59:O59"/>
    <mergeCell ref="P59:Q59"/>
    <mergeCell ref="L56:M56"/>
    <mergeCell ref="N56:O56"/>
    <mergeCell ref="P56:Q56"/>
    <mergeCell ref="L57:M57"/>
    <mergeCell ref="N57:O57"/>
    <mergeCell ref="P57:Q57"/>
    <mergeCell ref="L62:M62"/>
    <mergeCell ref="N62:O62"/>
    <mergeCell ref="P62:Q62"/>
    <mergeCell ref="L60:M60"/>
    <mergeCell ref="N60:O60"/>
    <mergeCell ref="P60:Q60"/>
    <mergeCell ref="L61:M61"/>
    <mergeCell ref="N61:O61"/>
    <mergeCell ref="P61:Q61"/>
  </mergeCells>
  <conditionalFormatting sqref="F53:M53 P53:S53">
    <cfRule type="expression" dxfId="103" priority="3" stopIfTrue="1">
      <formula>F53=0</formula>
    </cfRule>
  </conditionalFormatting>
  <conditionalFormatting sqref="H32:V38 AK32:AK38 H39:AK52">
    <cfRule type="expression" dxfId="102" priority="1">
      <formula>H32=0</formula>
    </cfRule>
  </conditionalFormatting>
  <conditionalFormatting sqref="V53:AC53">
    <cfRule type="expression" dxfId="101" priority="4" stopIfTrue="1">
      <formula>V53=0</formula>
    </cfRule>
  </conditionalFormatting>
  <conditionalFormatting sqref="AF53:AI53 N57 N59">
    <cfRule type="expression" dxfId="100" priority="5" stopIfTrue="1">
      <formula>N53=0</formula>
    </cfRule>
  </conditionalFormatting>
  <pageMargins left="0.74803149606299213" right="0.19685039370078741" top="0.39370078740157483" bottom="0.39370078740157483" header="0.19685039370078741" footer="0.19685039370078741"/>
  <pageSetup paperSize="9" scale="59"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26058-C176-40E8-B5A2-2FFCDACC88D2}">
  <sheetPr>
    <tabColor rgb="FFFFC000"/>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14" width="3.7109375" style="404"/>
    <col min="15" max="15" width="6.7109375" style="404" customWidth="1"/>
    <col min="16" max="18" width="3.7109375" style="404"/>
    <col min="19" max="19" width="5.42578125" style="404" bestFit="1" customWidth="1"/>
    <col min="20" max="23" width="3.7109375" style="404"/>
    <col min="24" max="24" width="6.28515625" style="404"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'Precom F P'!$AC$5</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
        <v>97</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172</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5.737756714060031E-17</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727</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'Diesel F'!G20</f>
        <v>44.890193469756099</v>
      </c>
      <c r="R16" s="1144"/>
      <c r="S16" s="1145"/>
      <c r="T16" s="1073">
        <f>'Diesel F'!E5</f>
        <v>76019.579999999987</v>
      </c>
      <c r="U16" s="1109"/>
      <c r="V16" s="1074"/>
      <c r="W16" s="1076" t="s">
        <v>604</v>
      </c>
      <c r="X16" s="1075"/>
      <c r="Y16" s="1077"/>
      <c r="Z16" s="1073">
        <f>'Diesel F'!E6</f>
        <v>16376.099999999999</v>
      </c>
      <c r="AA16" s="1109"/>
      <c r="AB16" s="1074"/>
      <c r="AC16" s="1076" t="s">
        <v>604</v>
      </c>
      <c r="AD16" s="1075"/>
      <c r="AE16" s="1077"/>
      <c r="AF16" s="1146">
        <f>'Diesel F'!E8</f>
        <v>5343.78</v>
      </c>
      <c r="AG16" s="1147"/>
      <c r="AH16" s="1148"/>
      <c r="AI16" s="1076" t="s">
        <v>604</v>
      </c>
      <c r="AJ16" s="1075"/>
      <c r="AK16" s="1077"/>
      <c r="AL16" s="303"/>
      <c r="AM16" s="303" t="s">
        <v>605</v>
      </c>
      <c r="AN16" s="303"/>
      <c r="AO16" s="303"/>
      <c r="AP16" s="351">
        <v>1020</v>
      </c>
      <c r="AQ16" s="352">
        <f>AP16/$AR$9/$AR$7 * ((AN18+273.15)/(AN19+273.15))</f>
        <v>37.956295834166582</v>
      </c>
      <c r="AR16" s="353">
        <f>AX4</f>
        <v>0.13333333333333333</v>
      </c>
      <c r="AS16" s="354">
        <f>AR16*$AR$6/1055.06</f>
        <v>5.7374304146999541E-5</v>
      </c>
      <c r="AT16" s="355">
        <f>AS16*$Q$16*1000000</f>
        <v>2575.543613351439</v>
      </c>
      <c r="AU16" s="356">
        <f>AX5</f>
        <v>3.3333333333333333E-2</v>
      </c>
      <c r="AV16" s="354">
        <f>AU16*$AR$6/1055.06</f>
        <v>1.4343576036749885E-5</v>
      </c>
      <c r="AW16" s="355">
        <f>AV16*$Q$16*1000000</f>
        <v>643.88590333785976</v>
      </c>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1">
        <v>305.24099999999999</v>
      </c>
      <c r="I17" s="1132"/>
      <c r="J17" s="1133"/>
      <c r="K17" s="1134">
        <v>832.5</v>
      </c>
      <c r="L17" s="1135"/>
      <c r="M17" s="1136"/>
      <c r="N17" s="1137">
        <v>42.59</v>
      </c>
      <c r="O17" s="1138"/>
      <c r="P17" s="1139"/>
      <c r="Q17" s="1137">
        <v>45.61</v>
      </c>
      <c r="R17" s="1138"/>
      <c r="S17" s="1139"/>
      <c r="T17" s="1066">
        <f>$Q$17/$Q$16*T16</f>
        <v>77238.5408883567</v>
      </c>
      <c r="U17" s="1110"/>
      <c r="V17" s="1067"/>
      <c r="W17" s="1114">
        <f>T17/1000000/K17</f>
        <v>9.2779028094122163E-5</v>
      </c>
      <c r="X17" s="1115"/>
      <c r="Y17" s="1116"/>
      <c r="Z17" s="1066">
        <f>$Q$17/$Q$16*Z16</f>
        <v>16638.6879464714</v>
      </c>
      <c r="AA17" s="1110"/>
      <c r="AB17" s="1067"/>
      <c r="AC17" s="1114">
        <f>Z17/1000000/K17</f>
        <v>1.9986411947713393E-5</v>
      </c>
      <c r="AD17" s="1115"/>
      <c r="AE17" s="1116"/>
      <c r="AF17" s="1066">
        <f>$Q$17/$Q$16*AF16</f>
        <v>5429.4665930590891</v>
      </c>
      <c r="AG17" s="1110"/>
      <c r="AH17" s="1067"/>
      <c r="AI17" s="1060">
        <f>AF17/1000000/K17</f>
        <v>6.5218817934643711E-6</v>
      </c>
      <c r="AJ17" s="1059"/>
      <c r="AK17" s="1063"/>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123"/>
      <c r="O18" s="1069"/>
      <c r="P18" s="1124"/>
      <c r="Q18" s="1125"/>
      <c r="R18" s="1126"/>
      <c r="S18" s="112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125</v>
      </c>
      <c r="AA19" s="1118"/>
      <c r="AB19" s="1119"/>
      <c r="AC19" s="1117" t="s">
        <v>125</v>
      </c>
      <c r="AD19" s="1118"/>
      <c r="AE19" s="1119"/>
      <c r="AF19" s="358" t="s">
        <v>728</v>
      </c>
      <c r="AG19" s="31"/>
      <c r="AH19" s="31"/>
      <c r="AI19" s="31"/>
      <c r="AJ19" s="31"/>
      <c r="AK19" s="226"/>
      <c r="AL19" s="303"/>
      <c r="AM19" s="24" t="s">
        <v>699</v>
      </c>
      <c r="AN19" s="24">
        <v>15.6</v>
      </c>
      <c r="AO19" s="23" t="s">
        <v>609</v>
      </c>
      <c r="AP19" s="303"/>
      <c r="AQ19" s="303"/>
      <c r="AR19" s="356">
        <f>AX6</f>
        <v>4.6666666666666669E-2</v>
      </c>
      <c r="AS19" s="354">
        <f>AR19*$AR$6/1055.06</f>
        <v>2.0081006451449841E-5</v>
      </c>
      <c r="AT19" s="355">
        <f>AS19*$Q$16*1000000</f>
        <v>901.44026467300375</v>
      </c>
      <c r="AU19" s="351">
        <v>0.37446000000000002</v>
      </c>
      <c r="AV19" s="354">
        <f>AU19*$AR$6/1055.06</f>
        <v>1.6113286448164087E-4</v>
      </c>
      <c r="AW19" s="355">
        <f>AV19*$Q$16*1000000</f>
        <v>7233.2854609168498</v>
      </c>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c r="I21" s="1109"/>
      <c r="J21" s="1074"/>
      <c r="K21" s="1076" t="s">
        <v>604</v>
      </c>
      <c r="L21" s="1075"/>
      <c r="M21" s="1077"/>
      <c r="N21" s="1073">
        <f>'Diesel F'!E7</f>
        <v>4999.0199999999986</v>
      </c>
      <c r="O21" s="1109"/>
      <c r="P21" s="1074"/>
      <c r="Q21" s="1076" t="s">
        <v>604</v>
      </c>
      <c r="R21" s="1075"/>
      <c r="S21" s="1077"/>
      <c r="T21" s="1073"/>
      <c r="U21" s="1109"/>
      <c r="V21" s="1074"/>
      <c r="W21" s="1214" t="s">
        <v>604</v>
      </c>
      <c r="X21" s="1215"/>
      <c r="Y21" s="1216"/>
      <c r="Z21" s="1073"/>
      <c r="AA21" s="1109"/>
      <c r="AB21" s="1074"/>
      <c r="AC21" s="1076" t="s">
        <v>604</v>
      </c>
      <c r="AD21" s="1075"/>
      <c r="AE21" s="1077"/>
      <c r="AF21" s="300"/>
      <c r="AG21" s="31"/>
      <c r="AH21" s="302"/>
      <c r="AI21" s="31"/>
      <c r="AJ21" s="31"/>
      <c r="AK21" s="32"/>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6"/>
      <c r="I22" s="1110"/>
      <c r="J22" s="1067"/>
      <c r="K22" s="1114"/>
      <c r="L22" s="1115"/>
      <c r="M22" s="1116"/>
      <c r="N22" s="1066">
        <f>$Q$17/$Q$16*N21</f>
        <v>5079.1784257649533</v>
      </c>
      <c r="O22" s="1110"/>
      <c r="P22" s="1067"/>
      <c r="Q22" s="1114">
        <f>N22/1000000/K17</f>
        <v>6.1011152261440878E-6</v>
      </c>
      <c r="R22" s="1115"/>
      <c r="S22" s="1116"/>
      <c r="T22" s="1099"/>
      <c r="U22" s="1048"/>
      <c r="V22" s="1058"/>
      <c r="W22" s="1211"/>
      <c r="X22" s="1212"/>
      <c r="Y22" s="1213"/>
      <c r="Z22" s="1066"/>
      <c r="AA22" s="1110"/>
      <c r="AB22" s="1067"/>
      <c r="AC22" s="1114"/>
      <c r="AD22" s="1115"/>
      <c r="AE22" s="1116"/>
      <c r="AF22" s="31"/>
      <c r="AG22" s="31"/>
      <c r="AH22" s="31"/>
      <c r="AI22" s="31"/>
      <c r="AJ22" s="31"/>
      <c r="AK22" s="32"/>
      <c r="AL22" s="303"/>
      <c r="AM22" s="303"/>
      <c r="AN22" s="303"/>
      <c r="AO22" s="303"/>
      <c r="AP22" s="303"/>
      <c r="AQ22" s="303"/>
      <c r="AR22" s="356">
        <f>AX8</f>
        <v>6.9333333333333339E-3</v>
      </c>
      <c r="AS22" s="354">
        <f>AR22*$AR$6/1055.06</f>
        <v>2.9834638156439767E-6</v>
      </c>
      <c r="AT22" s="355">
        <f>AS22*$Q$16*1000000</f>
        <v>133.92826789427485</v>
      </c>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045"/>
      <c r="I23" s="1033"/>
      <c r="J23" s="1046"/>
      <c r="K23" s="1089"/>
      <c r="L23" s="1090"/>
      <c r="M23" s="1091"/>
      <c r="N23" s="1045"/>
      <c r="O23" s="1033"/>
      <c r="P23" s="1046"/>
      <c r="Q23" s="1096"/>
      <c r="R23" s="1097"/>
      <c r="S23" s="1098"/>
      <c r="T23" s="1099"/>
      <c r="U23" s="1048"/>
      <c r="V23" s="1058"/>
      <c r="W23" s="1096"/>
      <c r="X23" s="1097"/>
      <c r="Y23" s="1098"/>
      <c r="Z23" s="1086"/>
      <c r="AA23" s="1087"/>
      <c r="AB23" s="1088"/>
      <c r="AC23" s="1089"/>
      <c r="AD23" s="1090"/>
      <c r="AE23" s="1091"/>
      <c r="AF23" s="31"/>
      <c r="AG23" s="31"/>
      <c r="AH23" s="31"/>
      <c r="AI23" s="31"/>
      <c r="AJ23" s="31"/>
      <c r="AK23" s="32"/>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c r="I25" s="31" t="s">
        <v>590</v>
      </c>
      <c r="J25" s="31"/>
      <c r="K25" s="31"/>
      <c r="L25" s="31" t="s">
        <v>615</v>
      </c>
      <c r="M25" s="31"/>
      <c r="N25" s="31"/>
      <c r="O25" s="31"/>
      <c r="P25" s="31"/>
      <c r="Q25" s="31"/>
      <c r="R25" s="31"/>
      <c r="S25" s="32" t="s">
        <v>616</v>
      </c>
      <c r="T25" s="1092" t="str">
        <f>A17</f>
        <v>Diesel</v>
      </c>
      <c r="U25" s="1093"/>
      <c r="V25" s="1093"/>
      <c r="W25" s="1093"/>
      <c r="X25" s="1094">
        <v>58.274999999999999</v>
      </c>
      <c r="Y25" s="1094"/>
      <c r="Z25" s="1094"/>
      <c r="AA25" s="1093" t="s">
        <v>617</v>
      </c>
      <c r="AB25" s="1093"/>
      <c r="AC25" s="1095">
        <f>X25/H17</f>
        <v>0.19091471984431974</v>
      </c>
      <c r="AD25" s="1095"/>
      <c r="AE25" s="1093" t="s">
        <v>618</v>
      </c>
      <c r="AF25" s="1093"/>
      <c r="AG25" s="1093"/>
      <c r="AH25" s="1198">
        <f>X25*N17/3600</f>
        <v>0.68942562500000004</v>
      </c>
      <c r="AI25" s="1198"/>
      <c r="AJ25" s="361" t="s">
        <v>590</v>
      </c>
      <c r="AK25" s="362"/>
      <c r="AL25" s="303"/>
      <c r="AM25" s="363">
        <f>X25*W22</f>
        <v>0</v>
      </c>
      <c r="AN25" s="303"/>
      <c r="AO25" s="303"/>
      <c r="AP25" s="303"/>
      <c r="AQ25" s="303"/>
      <c r="AR25" s="351">
        <f>AX7</f>
        <v>0.01</v>
      </c>
      <c r="AS25" s="354">
        <f>AR25*$AR$6/1055.06</f>
        <v>4.3030728110249664E-6</v>
      </c>
      <c r="AT25" s="355">
        <f>AS25*$Q$16*1000000</f>
        <v>193.16577100135797</v>
      </c>
      <c r="AU25" s="356">
        <f>AX9</f>
        <v>3.5333333333333336E-3</v>
      </c>
      <c r="AV25" s="354">
        <f>AU25*$AR$6/1055.06</f>
        <v>1.5204190598954882E-6</v>
      </c>
      <c r="AW25" s="355">
        <f>AV25*$Q$16*1000000</f>
        <v>68.251905753813148</v>
      </c>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0</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c r="B27" s="1081"/>
      <c r="C27" s="1081"/>
      <c r="D27" s="1081"/>
      <c r="E27" s="1081"/>
      <c r="F27" s="1042" t="str">
        <f>A17</f>
        <v>Diesel</v>
      </c>
      <c r="G27" s="1043"/>
      <c r="H27" s="1043"/>
      <c r="I27" s="1043"/>
      <c r="J27" s="1043"/>
      <c r="K27" s="1043"/>
      <c r="L27" s="1043"/>
      <c r="M27" s="1043"/>
      <c r="N27" s="1043"/>
      <c r="O27" s="1043"/>
      <c r="P27" s="1043"/>
      <c r="Q27" s="1043"/>
      <c r="R27" s="1043"/>
      <c r="S27" s="1043"/>
      <c r="T27" s="1043"/>
      <c r="U27" s="1080"/>
      <c r="V27" s="31"/>
      <c r="W27" s="31"/>
      <c r="X27" s="426">
        <f>AH25</f>
        <v>0.68942562500000004</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29">
        <v>144</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29">
        <f>X27*X28</f>
        <v>99.277290000000008</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29">
        <f>X29*3600/1000</f>
        <v>357.39824400000003</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196">
        <v>0</v>
      </c>
      <c r="G31" s="1197"/>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BF33</f>
        <v>3.7672634101823899E-6</v>
      </c>
      <c r="G32" s="1195"/>
      <c r="H32" s="1051">
        <f>F32*$AC$25</f>
        <v>7.192260385347275E-7</v>
      </c>
      <c r="I32" s="1052"/>
      <c r="J32" s="1059"/>
      <c r="K32" s="1059"/>
      <c r="L32" s="1060"/>
      <c r="M32" s="1059"/>
      <c r="N32" s="1054">
        <f t="shared" si="2"/>
        <v>1.1537824110174099E-5</v>
      </c>
      <c r="O32" s="1055"/>
      <c r="P32" s="1061">
        <f>R32/$R$53</f>
        <v>0</v>
      </c>
      <c r="Q32" s="1062"/>
      <c r="R32" s="1060">
        <f>T32/$AR32</f>
        <v>0</v>
      </c>
      <c r="S32" s="1059"/>
      <c r="T32" s="1064">
        <f>$K$22*$X$25</f>
        <v>0</v>
      </c>
      <c r="U32" s="1065"/>
      <c r="V32" s="1644" t="s">
        <v>846</v>
      </c>
      <c r="W32" s="1652"/>
      <c r="X32" s="1652"/>
      <c r="Y32" s="1652"/>
      <c r="Z32" s="1652"/>
      <c r="AA32" s="1652"/>
      <c r="AB32" s="1652"/>
      <c r="AC32" s="1652"/>
      <c r="AD32" s="1652"/>
      <c r="AE32" s="1652"/>
      <c r="AF32" s="1652"/>
      <c r="AG32" s="1652"/>
      <c r="AH32" s="1652"/>
      <c r="AI32" s="1652"/>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1653"/>
      <c r="W33" s="1652"/>
      <c r="X33" s="1652"/>
      <c r="Y33" s="1652"/>
      <c r="Z33" s="1652"/>
      <c r="AA33" s="1652"/>
      <c r="AB33" s="1652"/>
      <c r="AC33" s="1652"/>
      <c r="AD33" s="1652"/>
      <c r="AE33" s="1652"/>
      <c r="AF33" s="1652"/>
      <c r="AG33" s="1652"/>
      <c r="AH33" s="1652"/>
      <c r="AI33" s="1652"/>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BF34</f>
        <v>2.32021919756754E-4</v>
      </c>
      <c r="G34" s="1050"/>
      <c r="H34" s="1051">
        <f t="shared" si="1"/>
        <v>4.4296399808101926E-5</v>
      </c>
      <c r="I34" s="1052"/>
      <c r="J34" s="1059"/>
      <c r="K34" s="1059"/>
      <c r="L34" s="1060"/>
      <c r="M34" s="1059"/>
      <c r="N34" s="1054">
        <f t="shared" si="2"/>
        <v>1.3319041494300086E-3</v>
      </c>
      <c r="O34" s="1055"/>
      <c r="P34" s="1061">
        <f t="shared" si="10"/>
        <v>0</v>
      </c>
      <c r="Q34" s="1062"/>
      <c r="R34" s="1059">
        <f>T34/$AR34</f>
        <v>0</v>
      </c>
      <c r="S34" s="1059"/>
      <c r="T34" s="1061">
        <f t="shared" si="11"/>
        <v>0</v>
      </c>
      <c r="U34" s="1062"/>
      <c r="V34" s="1653"/>
      <c r="W34" s="1652"/>
      <c r="X34" s="1652"/>
      <c r="Y34" s="1652"/>
      <c r="Z34" s="1652"/>
      <c r="AA34" s="1652"/>
      <c r="AB34" s="1652"/>
      <c r="AC34" s="1652"/>
      <c r="AD34" s="1652"/>
      <c r="AE34" s="1652"/>
      <c r="AF34" s="1652"/>
      <c r="AG34" s="1652"/>
      <c r="AH34" s="1652"/>
      <c r="AI34" s="1652"/>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1653"/>
      <c r="W35" s="1652"/>
      <c r="X35" s="1652"/>
      <c r="Y35" s="1652"/>
      <c r="Z35" s="1652"/>
      <c r="AA35" s="1652"/>
      <c r="AB35" s="1652"/>
      <c r="AC35" s="1652"/>
      <c r="AD35" s="1652"/>
      <c r="AE35" s="1652"/>
      <c r="AF35" s="1652"/>
      <c r="AG35" s="1652"/>
      <c r="AH35" s="1652"/>
      <c r="AI35" s="1652"/>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BF35</f>
        <v>4.1140406723645098E-3</v>
      </c>
      <c r="G36" s="1050"/>
      <c r="H36" s="1051">
        <f t="shared" si="1"/>
        <v>7.8543092239260722E-4</v>
      </c>
      <c r="I36" s="1052"/>
      <c r="J36" s="1059"/>
      <c r="K36" s="1059"/>
      <c r="L36" s="1060"/>
      <c r="M36" s="1059"/>
      <c r="N36" s="1054">
        <f t="shared" si="2"/>
        <v>3.4632791091979621E-2</v>
      </c>
      <c r="O36" s="1055"/>
      <c r="P36" s="1061">
        <f t="shared" si="10"/>
        <v>0</v>
      </c>
      <c r="Q36" s="1062"/>
      <c r="R36" s="1059">
        <f t="shared" si="12"/>
        <v>0</v>
      </c>
      <c r="S36" s="1059"/>
      <c r="T36" s="1061">
        <f t="shared" si="11"/>
        <v>0</v>
      </c>
      <c r="U36" s="1062"/>
      <c r="V36" s="1653"/>
      <c r="W36" s="1652"/>
      <c r="X36" s="1652"/>
      <c r="Y36" s="1652"/>
      <c r="Z36" s="1652"/>
      <c r="AA36" s="1652"/>
      <c r="AB36" s="1652"/>
      <c r="AC36" s="1652"/>
      <c r="AD36" s="1652"/>
      <c r="AE36" s="1652"/>
      <c r="AF36" s="1652"/>
      <c r="AG36" s="1652"/>
      <c r="AH36" s="1652"/>
      <c r="AI36" s="1652"/>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1653"/>
      <c r="W37" s="1652"/>
      <c r="X37" s="1652"/>
      <c r="Y37" s="1652"/>
      <c r="Z37" s="1652"/>
      <c r="AA37" s="1652"/>
      <c r="AB37" s="1652"/>
      <c r="AC37" s="1652"/>
      <c r="AD37" s="1652"/>
      <c r="AE37" s="1652"/>
      <c r="AF37" s="1652"/>
      <c r="AG37" s="1652"/>
      <c r="AH37" s="1652"/>
      <c r="AI37" s="1652"/>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BF36</f>
        <v>4.2987554978870402E-3</v>
      </c>
      <c r="G38" s="1050"/>
      <c r="H38" s="1051">
        <f t="shared" si="1"/>
        <v>8.2069570155833343E-4</v>
      </c>
      <c r="I38" s="1052"/>
      <c r="J38" s="1059"/>
      <c r="K38" s="1059"/>
      <c r="L38" s="1060"/>
      <c r="M38" s="1059"/>
      <c r="N38" s="1054">
        <f t="shared" si="2"/>
        <v>4.769883417457034E-2</v>
      </c>
      <c r="O38" s="1055"/>
      <c r="P38" s="1061">
        <f t="shared" si="10"/>
        <v>0</v>
      </c>
      <c r="Q38" s="1062"/>
      <c r="R38" s="1059">
        <f t="shared" si="12"/>
        <v>0</v>
      </c>
      <c r="S38" s="1059"/>
      <c r="T38" s="1061">
        <f t="shared" si="11"/>
        <v>0</v>
      </c>
      <c r="U38" s="1062"/>
      <c r="V38" s="1653"/>
      <c r="W38" s="1652"/>
      <c r="X38" s="1652"/>
      <c r="Y38" s="1652"/>
      <c r="Z38" s="1652"/>
      <c r="AA38" s="1652"/>
      <c r="AB38" s="1652"/>
      <c r="AC38" s="1652"/>
      <c r="AD38" s="1652"/>
      <c r="AE38" s="1652"/>
      <c r="AF38" s="1652"/>
      <c r="AG38" s="1652"/>
      <c r="AH38" s="1652"/>
      <c r="AI38" s="1652"/>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f>BF37</f>
        <v>1.33109664079022E-2</v>
      </c>
      <c r="G39" s="1050"/>
      <c r="H39" s="1051">
        <f t="shared" si="1"/>
        <v>2.5412594226217997E-3</v>
      </c>
      <c r="I39" s="1052"/>
      <c r="J39" s="1059"/>
      <c r="K39" s="1059"/>
      <c r="L39" s="1060"/>
      <c r="M39" s="1059"/>
      <c r="N39" s="1054">
        <f t="shared" si="2"/>
        <v>0.14769799764277899</v>
      </c>
      <c r="O39" s="1055"/>
      <c r="P39" s="1061">
        <f t="shared" si="10"/>
        <v>0</v>
      </c>
      <c r="Q39" s="1062"/>
      <c r="R39" s="1059">
        <f t="shared" si="12"/>
        <v>0</v>
      </c>
      <c r="S39" s="1059"/>
      <c r="T39" s="1061">
        <f t="shared" si="11"/>
        <v>0</v>
      </c>
      <c r="U39" s="1062"/>
      <c r="V39" s="1653"/>
      <c r="W39" s="1652"/>
      <c r="X39" s="1652"/>
      <c r="Y39" s="1652"/>
      <c r="Z39" s="1652"/>
      <c r="AA39" s="1652"/>
      <c r="AB39" s="1652"/>
      <c r="AC39" s="1652"/>
      <c r="AD39" s="1652"/>
      <c r="AE39" s="1652"/>
      <c r="AF39" s="1652"/>
      <c r="AG39" s="1652"/>
      <c r="AH39" s="1652"/>
      <c r="AI39" s="1652"/>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BF38</f>
        <v>1.4450640107125301E-2</v>
      </c>
      <c r="G40" s="1050"/>
      <c r="H40" s="1051">
        <f t="shared" si="1"/>
        <v>2.7588399076229173E-3</v>
      </c>
      <c r="I40" s="1052"/>
      <c r="J40" s="1059"/>
      <c r="K40" s="1059"/>
      <c r="L40" s="1060"/>
      <c r="M40" s="1059"/>
      <c r="N40" s="1054">
        <f t="shared" si="2"/>
        <v>0.19903926397536298</v>
      </c>
      <c r="O40" s="1055"/>
      <c r="P40" s="1061">
        <f t="shared" si="10"/>
        <v>0</v>
      </c>
      <c r="Q40" s="1062"/>
      <c r="R40" s="1059">
        <f t="shared" si="12"/>
        <v>0</v>
      </c>
      <c r="S40" s="1059"/>
      <c r="T40" s="1061">
        <f t="shared" si="11"/>
        <v>0</v>
      </c>
      <c r="U40" s="1062"/>
      <c r="V40" s="1653"/>
      <c r="W40" s="1652"/>
      <c r="X40" s="1652"/>
      <c r="Y40" s="1652"/>
      <c r="Z40" s="1652"/>
      <c r="AA40" s="1652"/>
      <c r="AB40" s="1652"/>
      <c r="AC40" s="1652"/>
      <c r="AD40" s="1652"/>
      <c r="AE40" s="1652"/>
      <c r="AF40" s="1652"/>
      <c r="AG40" s="1652"/>
      <c r="AH40" s="1652"/>
      <c r="AI40" s="1652"/>
      <c r="AJ40" s="1069"/>
      <c r="AK40" s="1124"/>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BF40</f>
        <v>1.8657920075756399E-2</v>
      </c>
      <c r="G41" s="1050"/>
      <c r="H41" s="1051">
        <f t="shared" si="1"/>
        <v>3.5620715841407418E-3</v>
      </c>
      <c r="I41" s="1052"/>
      <c r="J41" s="1059"/>
      <c r="K41" s="1059"/>
      <c r="L41" s="1060"/>
      <c r="M41" s="1059"/>
      <c r="N41" s="1054">
        <f t="shared" si="2"/>
        <v>0.25698921650941797</v>
      </c>
      <c r="O41" s="1055"/>
      <c r="P41" s="1061">
        <f t="shared" si="10"/>
        <v>0</v>
      </c>
      <c r="Q41" s="1062"/>
      <c r="R41" s="1059">
        <f t="shared" si="12"/>
        <v>0</v>
      </c>
      <c r="S41" s="1059"/>
      <c r="T41" s="1061">
        <f t="shared" si="11"/>
        <v>0</v>
      </c>
      <c r="U41" s="1062"/>
      <c r="V41" s="1653"/>
      <c r="W41" s="1652"/>
      <c r="X41" s="1652"/>
      <c r="Y41" s="1652"/>
      <c r="Z41" s="1652"/>
      <c r="AA41" s="1652"/>
      <c r="AB41" s="1652"/>
      <c r="AC41" s="1652"/>
      <c r="AD41" s="1652"/>
      <c r="AE41" s="1652"/>
      <c r="AF41" s="1652"/>
      <c r="AG41" s="1652"/>
      <c r="AH41" s="1652"/>
      <c r="AI41" s="1652"/>
      <c r="AJ41" s="1069"/>
      <c r="AK41" s="1124"/>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425</v>
      </c>
      <c r="B42" s="376"/>
      <c r="C42" s="376"/>
      <c r="D42" s="376"/>
      <c r="E42" s="377"/>
      <c r="F42" s="1049">
        <f>SUM(BF41:BF75)</f>
        <v>0.94337200608568694</v>
      </c>
      <c r="G42" s="1050"/>
      <c r="H42" s="1064">
        <f t="shared" si="1"/>
        <v>0.18010360225082281</v>
      </c>
      <c r="I42" s="1065"/>
      <c r="J42" s="1059"/>
      <c r="K42" s="1059"/>
      <c r="L42" s="1060"/>
      <c r="M42" s="1059"/>
      <c r="N42" s="1054">
        <f t="shared" si="2"/>
        <v>57.58000414723908</v>
      </c>
      <c r="O42" s="1055"/>
      <c r="P42" s="1061">
        <f t="shared" si="10"/>
        <v>0</v>
      </c>
      <c r="Q42" s="1062"/>
      <c r="R42" s="1059">
        <f t="shared" si="12"/>
        <v>0</v>
      </c>
      <c r="S42" s="1059"/>
      <c r="T42" s="1061">
        <f t="shared" si="11"/>
        <v>0</v>
      </c>
      <c r="U42" s="1062"/>
      <c r="V42" s="1032"/>
      <c r="W42" s="1032"/>
      <c r="X42" s="1033"/>
      <c r="Y42" s="1033"/>
      <c r="Z42" s="1032"/>
      <c r="AA42" s="1032"/>
      <c r="AB42" s="1032"/>
      <c r="AC42" s="1032"/>
      <c r="AD42" s="1033"/>
      <c r="AE42" s="1033"/>
      <c r="AF42" s="1047"/>
      <c r="AG42" s="1047"/>
      <c r="AH42" s="1032"/>
      <c r="AI42" s="1032"/>
      <c r="AJ42" s="1048"/>
      <c r="AK42" s="105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6.2855753183017633</v>
      </c>
      <c r="K45" s="1070"/>
      <c r="L45" s="1060">
        <f>0.15*J45</f>
        <v>0.94283629774526445</v>
      </c>
      <c r="M45" s="1059"/>
      <c r="N45" s="1066">
        <f t="shared" si="2"/>
        <v>231.3091717135049</v>
      </c>
      <c r="O45" s="1067"/>
      <c r="P45" s="1061">
        <f t="shared" si="10"/>
        <v>2.6677885602713641E-2</v>
      </c>
      <c r="Q45" s="1062"/>
      <c r="R45" s="1059">
        <f>L45+SUMPRODUCT(R32:R44,$AS32:$AS44)</f>
        <v>0.94283629774526445</v>
      </c>
      <c r="S45" s="1059"/>
      <c r="T45" s="1071">
        <f>R45*$AR45</f>
        <v>30.170761527848462</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BF31</f>
        <v>1.4415226502516399E-10</v>
      </c>
      <c r="G46" s="1195"/>
      <c r="H46" s="1061">
        <f t="shared" si="1"/>
        <v>2.7520789292203315E-11</v>
      </c>
      <c r="I46" s="1062"/>
      <c r="J46" s="1059">
        <f>0.79/0.21*J45</f>
        <v>23.645735721230444</v>
      </c>
      <c r="K46" s="1063"/>
      <c r="L46" s="1060">
        <f>0.71/0.29*L45</f>
        <v>2.3083233496521993</v>
      </c>
      <c r="M46" s="1059"/>
      <c r="N46" s="1066">
        <f>SUM(H46,J46,L46)*AR46</f>
        <v>726.7136539854846</v>
      </c>
      <c r="O46" s="1067"/>
      <c r="P46" s="1064">
        <f t="shared" si="10"/>
        <v>0.73437593020060521</v>
      </c>
      <c r="Q46" s="1065"/>
      <c r="R46" s="1064">
        <f>$H46+J46+L46-R49</f>
        <v>25.953941534000116</v>
      </c>
      <c r="S46" s="1065"/>
      <c r="T46" s="1066">
        <f>R46*$AR46</f>
        <v>726.71036295200327</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1.176573655766454E-6</v>
      </c>
      <c r="Q47" s="1062"/>
      <c r="R47" s="1059">
        <f>T47/$AR$47</f>
        <v>4.1581869198607567E-5</v>
      </c>
      <c r="S47" s="1059"/>
      <c r="T47" s="1064">
        <f>$AC17*$X25</f>
        <v>1.1647081562529979E-3</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BF32</f>
        <v>1.04835044112351E-6</v>
      </c>
      <c r="G48" s="1195"/>
      <c r="H48" s="1061">
        <f t="shared" si="1"/>
        <v>2.0014553076576393E-7</v>
      </c>
      <c r="I48" s="1062"/>
      <c r="J48" s="1059"/>
      <c r="K48" s="1059"/>
      <c r="L48" s="1060"/>
      <c r="M48" s="1059"/>
      <c r="N48" s="1061">
        <f t="shared" si="2"/>
        <v>8.8084048090012708E-6</v>
      </c>
      <c r="O48" s="1062"/>
      <c r="P48" s="1064">
        <f t="shared" si="10"/>
        <v>0.11676935192729565</v>
      </c>
      <c r="Q48" s="1065"/>
      <c r="R48" s="1068">
        <f>SUMPRODUCT($H31:$H52,$AU31:$AU52)+$H48-R47-SUMPRODUCT(R32:R42,$AU32:$AU42)</f>
        <v>4.1268031920058394</v>
      </c>
      <c r="S48" s="1059"/>
      <c r="T48" s="1066">
        <f>R48*$AR48</f>
        <v>181.620608480177</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3.3257483275116937E-6</v>
      </c>
      <c r="Q49" s="1062"/>
      <c r="R49" s="1060">
        <f>T49/$AR49</f>
        <v>1.1753691004749932E-4</v>
      </c>
      <c r="S49" s="1063"/>
      <c r="T49" s="1064">
        <f>$W17*$X25</f>
        <v>5.4066978621849686E-3</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1.5719062744120606E-7</v>
      </c>
      <c r="Q51" s="1062"/>
      <c r="R51" s="1066">
        <f>T51/$AR51</f>
        <v>5.5553514031804174E-6</v>
      </c>
      <c r="S51" s="1067"/>
      <c r="T51" s="1060">
        <f>Q22*X25</f>
        <v>3.5554248980354671E-4</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193">
        <f>BF76</f>
        <v>1.4951987737782399E-3</v>
      </c>
      <c r="G52" s="1194"/>
      <c r="H52" s="1051">
        <f t="shared" si="1"/>
        <v>2.8545545500744307E-4</v>
      </c>
      <c r="I52" s="1052"/>
      <c r="J52" s="1032"/>
      <c r="K52" s="1032"/>
      <c r="L52" s="1053"/>
      <c r="M52" s="1032"/>
      <c r="N52" s="1054">
        <f t="shared" si="2"/>
        <v>5.142765477414094E-3</v>
      </c>
      <c r="O52" s="1055"/>
      <c r="P52" s="1056">
        <f t="shared" si="10"/>
        <v>0.12217217275677479</v>
      </c>
      <c r="Q52" s="1057"/>
      <c r="R52" s="1044">
        <f>SUMPRODUCT(H31:H52,$AV31:$AV52)+H52-SUMPRODUCT(R32:R42,$AV32:$AV42)</f>
        <v>4.3177469445995218</v>
      </c>
      <c r="S52" s="1044"/>
      <c r="T52" s="1045">
        <f>R52*$AR52</f>
        <v>77.788528953904972</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0.99993636529826091</v>
      </c>
      <c r="G53" s="1038"/>
      <c r="H53" s="1039">
        <f>SUM(H31:H52)</f>
        <v>0.19090257104306482</v>
      </c>
      <c r="I53" s="1040"/>
      <c r="J53" s="1041">
        <f>SUM(J31:J52)</f>
        <v>29.931311039532208</v>
      </c>
      <c r="K53" s="1041"/>
      <c r="L53" s="1042">
        <f>SUM(L31:L52)</f>
        <v>3.251159647397464</v>
      </c>
      <c r="M53" s="1043"/>
      <c r="N53" s="1030">
        <f>SUM(N31:N52)</f>
        <v>1016.2953829654784</v>
      </c>
      <c r="O53" s="1031"/>
      <c r="P53" s="1028">
        <f>SUM(P31:P52)</f>
        <v>1</v>
      </c>
      <c r="Q53" s="1029"/>
      <c r="R53" s="1030">
        <f>SUM(R31:R52)</f>
        <v>35.341492642481391</v>
      </c>
      <c r="S53" s="1031"/>
      <c r="T53" s="1030">
        <f>SUM(T31:T52)</f>
        <v>1016.297188862442</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1.5018605172736025E-3</v>
      </c>
      <c r="M55" s="1186"/>
      <c r="N55" s="1192">
        <f>W17*$X$25</f>
        <v>5.4066978621849686E-3</v>
      </c>
      <c r="O55" s="1192"/>
      <c r="P55" s="31" t="s">
        <v>617</v>
      </c>
      <c r="Q55" s="31"/>
      <c r="R55" s="1291">
        <f>N55*6*12/1000</f>
        <v>3.8928224607731777E-4</v>
      </c>
      <c r="S55" s="1291"/>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436">
        <f t="shared" ref="L56:L61" si="13">N56*1000/3600</f>
        <v>3.2353004340361055E-4</v>
      </c>
      <c r="M56" s="1437"/>
      <c r="N56" s="1192">
        <f>AC17*$X$25</f>
        <v>1.1647081562529979E-3</v>
      </c>
      <c r="O56" s="1192"/>
      <c r="P56" s="31" t="s">
        <v>617</v>
      </c>
      <c r="Q56" s="31"/>
      <c r="R56" s="1291">
        <f t="shared" ref="R56:R61" si="14">N56*6*12/1000</f>
        <v>8.3858987250215846E-5</v>
      </c>
      <c r="S56" s="1291"/>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436">
        <f t="shared" si="13"/>
        <v>1.0557296153170452E-4</v>
      </c>
      <c r="M57" s="1437"/>
      <c r="N57" s="1192">
        <f>AI17*$X$25</f>
        <v>3.8006266151413624E-4</v>
      </c>
      <c r="O57" s="1192"/>
      <c r="P57" s="31" t="s">
        <v>617</v>
      </c>
      <c r="Q57" s="31"/>
      <c r="R57" s="1291">
        <f t="shared" si="14"/>
        <v>2.7364511629017812E-5</v>
      </c>
      <c r="S57" s="1291"/>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436">
        <f t="shared" si="13"/>
        <v>0</v>
      </c>
      <c r="M58" s="1437"/>
      <c r="N58" s="1191">
        <f>K22*$X$25</f>
        <v>0</v>
      </c>
      <c r="O58" s="1191"/>
      <c r="P58" s="31" t="s">
        <v>617</v>
      </c>
      <c r="Q58" s="31"/>
      <c r="R58" s="1291">
        <f t="shared" si="14"/>
        <v>0</v>
      </c>
      <c r="S58" s="1291"/>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436">
        <f t="shared" si="13"/>
        <v>0</v>
      </c>
      <c r="M59" s="1437"/>
      <c r="N59" s="1192">
        <f>X25*W22</f>
        <v>0</v>
      </c>
      <c r="O59" s="1192"/>
      <c r="P59" s="31" t="s">
        <v>617</v>
      </c>
      <c r="Q59" s="31"/>
      <c r="R59" s="1291">
        <f t="shared" si="14"/>
        <v>0</v>
      </c>
      <c r="S59" s="1291"/>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9.8761802723207416E-5</v>
      </c>
      <c r="M60" s="1186"/>
      <c r="N60" s="1191">
        <f>Q22*$X$25</f>
        <v>3.5554248980354671E-4</v>
      </c>
      <c r="O60" s="1191"/>
      <c r="P60" s="31" t="s">
        <v>617</v>
      </c>
      <c r="Q60" s="31"/>
      <c r="R60" s="1291">
        <f t="shared" si="14"/>
        <v>2.5599059265855366E-5</v>
      </c>
      <c r="S60" s="1291"/>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0</v>
      </c>
      <c r="M61" s="1186"/>
      <c r="N61" s="1191">
        <f>AC22*$X$25</f>
        <v>0</v>
      </c>
      <c r="O61" s="1191"/>
      <c r="P61" s="31" t="s">
        <v>617</v>
      </c>
      <c r="Q61" s="31"/>
      <c r="R61" s="1291">
        <f t="shared" si="14"/>
        <v>0</v>
      </c>
      <c r="S61" s="1291"/>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436">
        <f>O62*1000/3600</f>
        <v>49.00499903768673</v>
      </c>
      <c r="M62" s="1437"/>
      <c r="N62" s="31"/>
      <c r="O62" s="428">
        <f>'Diesel F'!I56*X25</f>
        <v>176.41799653567222</v>
      </c>
      <c r="P62" s="395" t="s">
        <v>617</v>
      </c>
      <c r="Q62" s="395"/>
      <c r="R62" s="1291">
        <f>O62*6*12/1000</f>
        <v>12.702095750568398</v>
      </c>
      <c r="S62" s="1291"/>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680</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682</v>
      </c>
      <c r="B65" s="31" t="s">
        <v>689</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832</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232"/>
      <c r="B67" s="147"/>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2"/>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32"/>
      <c r="B68" s="147"/>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dJGOePHmRRBswYAQZmeU99yFj+Ie3Cy+cpXKAKatW9LAX+4rqpLaPfzRUn64XwWIJ2CWYXr+LZIbojwmvMMccg==" saltValue="oDiENP9tOdnwoC95E2YBOQ==" spinCount="100000" sheet="1" objects="1" scenarios="1" selectLockedCells="1" selectUnlockedCells="1"/>
  <mergeCells count="459">
    <mergeCell ref="L62:M62"/>
    <mergeCell ref="R62:S62"/>
    <mergeCell ref="AE59:AF59"/>
    <mergeCell ref="L60:M60"/>
    <mergeCell ref="N60:O60"/>
    <mergeCell ref="R60:S60"/>
    <mergeCell ref="L61:M61"/>
    <mergeCell ref="N61:O61"/>
    <mergeCell ref="R61:S61"/>
    <mergeCell ref="AE57:AF57"/>
    <mergeCell ref="L58:M58"/>
    <mergeCell ref="N58:O58"/>
    <mergeCell ref="R58:S58"/>
    <mergeCell ref="L59:M59"/>
    <mergeCell ref="N59:O59"/>
    <mergeCell ref="R59:S59"/>
    <mergeCell ref="T59:U59"/>
    <mergeCell ref="Y59:Z59"/>
    <mergeCell ref="AC59:AD59"/>
    <mergeCell ref="L56:M56"/>
    <mergeCell ref="N56:O56"/>
    <mergeCell ref="R56:S56"/>
    <mergeCell ref="L57:M57"/>
    <mergeCell ref="N57:O57"/>
    <mergeCell ref="R57:S57"/>
    <mergeCell ref="T57:U57"/>
    <mergeCell ref="Y57:Z57"/>
    <mergeCell ref="AC57:AD57"/>
    <mergeCell ref="AF53:AG53"/>
    <mergeCell ref="AH53:AI53"/>
    <mergeCell ref="AJ53:AK53"/>
    <mergeCell ref="L54:M54"/>
    <mergeCell ref="L55:M55"/>
    <mergeCell ref="N55:O55"/>
    <mergeCell ref="R55:S55"/>
    <mergeCell ref="T55:U55"/>
    <mergeCell ref="Y55:Z55"/>
    <mergeCell ref="AC55:AD55"/>
    <mergeCell ref="T53:U53"/>
    <mergeCell ref="V53:W53"/>
    <mergeCell ref="X53:Y53"/>
    <mergeCell ref="Z53:AA53"/>
    <mergeCell ref="AB53:AC53"/>
    <mergeCell ref="AD53:AE53"/>
    <mergeCell ref="AE55:AF55"/>
    <mergeCell ref="A53:E53"/>
    <mergeCell ref="F53:G53"/>
    <mergeCell ref="H53:I53"/>
    <mergeCell ref="J53:K53"/>
    <mergeCell ref="L53:M53"/>
    <mergeCell ref="N53:O53"/>
    <mergeCell ref="P53:Q53"/>
    <mergeCell ref="R53:S53"/>
    <mergeCell ref="V52:W52"/>
    <mergeCell ref="AJ51:AK51"/>
    <mergeCell ref="F52:G52"/>
    <mergeCell ref="H52:I52"/>
    <mergeCell ref="J52:K52"/>
    <mergeCell ref="L52:M52"/>
    <mergeCell ref="N52:O52"/>
    <mergeCell ref="P52:Q52"/>
    <mergeCell ref="R52:S52"/>
    <mergeCell ref="T52:U52"/>
    <mergeCell ref="V51:W51"/>
    <mergeCell ref="X51:Y51"/>
    <mergeCell ref="Z51:AA51"/>
    <mergeCell ref="AB51:AC51"/>
    <mergeCell ref="AD51:AE51"/>
    <mergeCell ref="AF51:AG51"/>
    <mergeCell ref="AH52:AI52"/>
    <mergeCell ref="AJ52:AK52"/>
    <mergeCell ref="X52:Y52"/>
    <mergeCell ref="Z52:AA52"/>
    <mergeCell ref="AB52:AC52"/>
    <mergeCell ref="AD52:AE52"/>
    <mergeCell ref="AF52:AG52"/>
    <mergeCell ref="F51:G51"/>
    <mergeCell ref="H51:I51"/>
    <mergeCell ref="J51:K51"/>
    <mergeCell ref="L51:M51"/>
    <mergeCell ref="N51:O51"/>
    <mergeCell ref="P51:Q51"/>
    <mergeCell ref="R51:S51"/>
    <mergeCell ref="T51:U51"/>
    <mergeCell ref="V50:W50"/>
    <mergeCell ref="AH49:AI49"/>
    <mergeCell ref="J49:K49"/>
    <mergeCell ref="L49:M49"/>
    <mergeCell ref="N49:O49"/>
    <mergeCell ref="P49:Q49"/>
    <mergeCell ref="R49:S49"/>
    <mergeCell ref="T49:U49"/>
    <mergeCell ref="AH51:AI51"/>
    <mergeCell ref="AJ49:AK49"/>
    <mergeCell ref="F50:G50"/>
    <mergeCell ref="H50:I50"/>
    <mergeCell ref="J50:K50"/>
    <mergeCell ref="L50:M50"/>
    <mergeCell ref="N50:O50"/>
    <mergeCell ref="P50:Q50"/>
    <mergeCell ref="R50:S50"/>
    <mergeCell ref="T50:U50"/>
    <mergeCell ref="V49:W49"/>
    <mergeCell ref="X49:Y49"/>
    <mergeCell ref="Z49:AA49"/>
    <mergeCell ref="AB49:AC49"/>
    <mergeCell ref="AD49:AE49"/>
    <mergeCell ref="AF49:AG49"/>
    <mergeCell ref="AH50:AI50"/>
    <mergeCell ref="AJ50:AK50"/>
    <mergeCell ref="X50:Y50"/>
    <mergeCell ref="Z50:AA50"/>
    <mergeCell ref="AB50:AC50"/>
    <mergeCell ref="AD50:AE50"/>
    <mergeCell ref="AF50:AG50"/>
    <mergeCell ref="F49:G49"/>
    <mergeCell ref="H49:I49"/>
    <mergeCell ref="V48:W48"/>
    <mergeCell ref="AH47:AI47"/>
    <mergeCell ref="AJ47:AK47"/>
    <mergeCell ref="F48:G48"/>
    <mergeCell ref="H48:I48"/>
    <mergeCell ref="J48:K48"/>
    <mergeCell ref="L48:M48"/>
    <mergeCell ref="N48:O48"/>
    <mergeCell ref="P48:Q48"/>
    <mergeCell ref="R48:S48"/>
    <mergeCell ref="T48:U48"/>
    <mergeCell ref="V47:W47"/>
    <mergeCell ref="X47:Y47"/>
    <mergeCell ref="Z47:AA47"/>
    <mergeCell ref="AB47:AC47"/>
    <mergeCell ref="AD47:AE47"/>
    <mergeCell ref="AF47:AG47"/>
    <mergeCell ref="AH48:AI48"/>
    <mergeCell ref="AJ48:AK48"/>
    <mergeCell ref="X48:Y48"/>
    <mergeCell ref="Z48:AA48"/>
    <mergeCell ref="AB48:AC48"/>
    <mergeCell ref="AD48:AE48"/>
    <mergeCell ref="AF48:AG48"/>
    <mergeCell ref="F47:G47"/>
    <mergeCell ref="H47:I47"/>
    <mergeCell ref="J47:K47"/>
    <mergeCell ref="L47:M47"/>
    <mergeCell ref="N47:O47"/>
    <mergeCell ref="P47:Q47"/>
    <mergeCell ref="R47:S47"/>
    <mergeCell ref="T47:U47"/>
    <mergeCell ref="V46:W46"/>
    <mergeCell ref="AJ45:AK45"/>
    <mergeCell ref="F46:G46"/>
    <mergeCell ref="H46:I46"/>
    <mergeCell ref="J46:K46"/>
    <mergeCell ref="L46:M46"/>
    <mergeCell ref="N46:O46"/>
    <mergeCell ref="P46:Q46"/>
    <mergeCell ref="R46:S46"/>
    <mergeCell ref="T46:U46"/>
    <mergeCell ref="V45:W45"/>
    <mergeCell ref="X45:Y45"/>
    <mergeCell ref="Z45:AA45"/>
    <mergeCell ref="AB45:AC45"/>
    <mergeCell ref="AD45:AE45"/>
    <mergeCell ref="AF45:AG45"/>
    <mergeCell ref="AH46:AI46"/>
    <mergeCell ref="AJ46:AK46"/>
    <mergeCell ref="X46:Y46"/>
    <mergeCell ref="Z46:AA46"/>
    <mergeCell ref="AB46:AC46"/>
    <mergeCell ref="AD46:AE46"/>
    <mergeCell ref="AF46:AG46"/>
    <mergeCell ref="F45:G45"/>
    <mergeCell ref="H45:I45"/>
    <mergeCell ref="J45:K45"/>
    <mergeCell ref="L45:M45"/>
    <mergeCell ref="N45:O45"/>
    <mergeCell ref="P45:Q45"/>
    <mergeCell ref="R45:S45"/>
    <mergeCell ref="T45:U45"/>
    <mergeCell ref="V44:W44"/>
    <mergeCell ref="AH43:AI43"/>
    <mergeCell ref="J43:K43"/>
    <mergeCell ref="L43:M43"/>
    <mergeCell ref="N43:O43"/>
    <mergeCell ref="P43:Q43"/>
    <mergeCell ref="R43:S43"/>
    <mergeCell ref="T43:U43"/>
    <mergeCell ref="AH45:AI45"/>
    <mergeCell ref="AJ43:AK43"/>
    <mergeCell ref="F44:G44"/>
    <mergeCell ref="H44:I44"/>
    <mergeCell ref="J44:K44"/>
    <mergeCell ref="L44:M44"/>
    <mergeCell ref="N44:O44"/>
    <mergeCell ref="P44:Q44"/>
    <mergeCell ref="R44:S44"/>
    <mergeCell ref="T44:U44"/>
    <mergeCell ref="V43:W43"/>
    <mergeCell ref="X43:Y43"/>
    <mergeCell ref="Z43:AA43"/>
    <mergeCell ref="AB43:AC43"/>
    <mergeCell ref="AD43:AE43"/>
    <mergeCell ref="AF43:AG43"/>
    <mergeCell ref="AH44:AI44"/>
    <mergeCell ref="AJ44:AK44"/>
    <mergeCell ref="X44:Y44"/>
    <mergeCell ref="Z44:AA44"/>
    <mergeCell ref="AB44:AC44"/>
    <mergeCell ref="AD44:AE44"/>
    <mergeCell ref="AF44:AG44"/>
    <mergeCell ref="F43:G43"/>
    <mergeCell ref="H43:I43"/>
    <mergeCell ref="V42:W42"/>
    <mergeCell ref="T41:U41"/>
    <mergeCell ref="AJ41:AK41"/>
    <mergeCell ref="F42:G42"/>
    <mergeCell ref="H42:I42"/>
    <mergeCell ref="J42:K42"/>
    <mergeCell ref="L42:M42"/>
    <mergeCell ref="N42:O42"/>
    <mergeCell ref="P42:Q42"/>
    <mergeCell ref="R42:S42"/>
    <mergeCell ref="T42:U42"/>
    <mergeCell ref="AH42:AI42"/>
    <mergeCell ref="AJ42:AK42"/>
    <mergeCell ref="X42:Y42"/>
    <mergeCell ref="Z42:AA42"/>
    <mergeCell ref="AB42:AC42"/>
    <mergeCell ref="AD42:AE42"/>
    <mergeCell ref="AF42:AG42"/>
    <mergeCell ref="R40:S40"/>
    <mergeCell ref="T40:U40"/>
    <mergeCell ref="AJ40:AK40"/>
    <mergeCell ref="F41:G41"/>
    <mergeCell ref="H41:I41"/>
    <mergeCell ref="J41:K41"/>
    <mergeCell ref="L41:M41"/>
    <mergeCell ref="N41:O41"/>
    <mergeCell ref="P41:Q41"/>
    <mergeCell ref="R41:S41"/>
    <mergeCell ref="F40:G40"/>
    <mergeCell ref="H40:I40"/>
    <mergeCell ref="J40:K40"/>
    <mergeCell ref="L40:M40"/>
    <mergeCell ref="N40:O40"/>
    <mergeCell ref="P40:Q40"/>
    <mergeCell ref="V32:AI41"/>
    <mergeCell ref="F33:G33"/>
    <mergeCell ref="H33:I33"/>
    <mergeCell ref="J33:K33"/>
    <mergeCell ref="L33:M33"/>
    <mergeCell ref="N33:O33"/>
    <mergeCell ref="P33:Q33"/>
    <mergeCell ref="R33:S33"/>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F35:G35"/>
    <mergeCell ref="H35:I35"/>
    <mergeCell ref="J35:K35"/>
    <mergeCell ref="L35:M35"/>
    <mergeCell ref="N35:O35"/>
    <mergeCell ref="P35:Q35"/>
    <mergeCell ref="R35:S35"/>
    <mergeCell ref="T35:U35"/>
    <mergeCell ref="H34:I34"/>
    <mergeCell ref="J34:K34"/>
    <mergeCell ref="L34:M34"/>
    <mergeCell ref="N34:O34"/>
    <mergeCell ref="P34:Q34"/>
    <mergeCell ref="R34:S34"/>
    <mergeCell ref="F31:G31"/>
    <mergeCell ref="H31:I31"/>
    <mergeCell ref="J31:K31"/>
    <mergeCell ref="L31:M31"/>
    <mergeCell ref="N31:O31"/>
    <mergeCell ref="P31:Q31"/>
    <mergeCell ref="R31:S31"/>
    <mergeCell ref="T33:U33"/>
    <mergeCell ref="F34:G34"/>
    <mergeCell ref="T31:U31"/>
    <mergeCell ref="F32:G32"/>
    <mergeCell ref="H32:I32"/>
    <mergeCell ref="J32:K32"/>
    <mergeCell ref="L32:M32"/>
    <mergeCell ref="N32:O32"/>
    <mergeCell ref="P32:Q32"/>
    <mergeCell ref="R32:S32"/>
    <mergeCell ref="T32:U32"/>
    <mergeCell ref="T34:U34"/>
    <mergeCell ref="A30:E30"/>
    <mergeCell ref="F30:G30"/>
    <mergeCell ref="H30:I30"/>
    <mergeCell ref="J30:K30"/>
    <mergeCell ref="L30:M30"/>
    <mergeCell ref="N30:O30"/>
    <mergeCell ref="A27:E27"/>
    <mergeCell ref="F27:U27"/>
    <mergeCell ref="F28:I29"/>
    <mergeCell ref="J28:M28"/>
    <mergeCell ref="N28:O29"/>
    <mergeCell ref="P28:U29"/>
    <mergeCell ref="J29:K29"/>
    <mergeCell ref="L29:M29"/>
    <mergeCell ref="P30:Q30"/>
    <mergeCell ref="R30:S30"/>
    <mergeCell ref="T30:U30"/>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F31:U52">
    <cfRule type="expression" dxfId="99" priority="2">
      <formula>F31=0</formula>
    </cfRule>
  </conditionalFormatting>
  <conditionalFormatting sqref="R55:S62">
    <cfRule type="expression" dxfId="98" priority="1" stopIfTrue="1">
      <formula>R55=0</formula>
    </cfRule>
  </conditionalFormatting>
  <conditionalFormatting sqref="V31:AK31 AJ32:AK41 V42:AK52">
    <cfRule type="expression" dxfId="97" priority="4">
      <formula>V31=0</formula>
    </cfRule>
  </conditionalFormatting>
  <conditionalFormatting sqref="V53:AK53">
    <cfRule type="expression" dxfId="96" priority="5" stopIfTrue="1">
      <formula>V53=0</formula>
    </cfRule>
  </conditionalFormatting>
  <conditionalFormatting sqref="Y56:Y62 AC56:AD62 N57 N59">
    <cfRule type="expression" dxfId="95" priority="7" stopIfTrue="1">
      <formula>N56=0</formula>
    </cfRule>
  </conditionalFormatting>
  <pageMargins left="0.7" right="0.7" top="0.75" bottom="0.75" header="0.3" footer="0.3"/>
  <pageSetup paperSize="9" scale="61" orientation="portrait" r:id="rId1"/>
  <headerFooter>
    <oddFooter>&amp;C_x000D_&amp;1#&amp;"Calibri"&amp;10&amp;K000000 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EF95D-58BD-4BCD-80C7-C572D874CC8A}">
  <sheetPr>
    <tabColor rgb="FF7030A0"/>
  </sheetPr>
  <dimension ref="B1:N87"/>
  <sheetViews>
    <sheetView topLeftCell="A21" zoomScale="70" zoomScaleNormal="70" workbookViewId="0">
      <selection activeCell="C33" sqref="C33"/>
    </sheetView>
  </sheetViews>
  <sheetFormatPr defaultColWidth="8.7109375" defaultRowHeight="12.75"/>
  <cols>
    <col min="1" max="1" width="8.7109375" style="624"/>
    <col min="2" max="2" width="28.7109375" style="624" customWidth="1"/>
    <col min="3" max="3" width="11.28515625" style="624" customWidth="1"/>
    <col min="4" max="4" width="10.5703125" style="624" customWidth="1"/>
    <col min="5" max="5" width="13.28515625" style="624" customWidth="1"/>
    <col min="6" max="6" width="17.5703125" style="635" customWidth="1"/>
    <col min="7" max="7" width="22.5703125" style="624" customWidth="1"/>
    <col min="8" max="8" width="13.7109375" style="624" customWidth="1"/>
    <col min="9" max="9" width="43.7109375" style="624" customWidth="1"/>
    <col min="10" max="10" width="28.7109375" style="624" bestFit="1" customWidth="1"/>
    <col min="11" max="11" width="10.7109375" style="624" bestFit="1" customWidth="1"/>
    <col min="12" max="12" width="10.7109375" style="624" customWidth="1"/>
    <col min="13" max="13" width="13.5703125" style="624" customWidth="1"/>
    <col min="14" max="14" width="14.28515625" style="624" customWidth="1"/>
    <col min="15" max="16384" width="8.7109375" style="624"/>
  </cols>
  <sheetData>
    <row r="1" spans="2:14">
      <c r="F1" s="625"/>
      <c r="G1" s="626"/>
    </row>
    <row r="2" spans="2:14">
      <c r="B2" s="627" t="s">
        <v>22</v>
      </c>
      <c r="C2" s="628" t="s">
        <v>1</v>
      </c>
      <c r="D2" s="628"/>
      <c r="E2" s="628"/>
      <c r="F2" s="629"/>
      <c r="G2" s="630"/>
      <c r="H2" s="631" t="s">
        <v>23</v>
      </c>
      <c r="I2" s="632" t="str">
        <f>'Emiss. Const. Offsh.'!$I$2</f>
        <v>PRJ-001030</v>
      </c>
    </row>
    <row r="3" spans="2:14">
      <c r="B3" s="633" t="s">
        <v>24</v>
      </c>
      <c r="C3" s="628" t="s">
        <v>5</v>
      </c>
      <c r="D3" s="634"/>
      <c r="E3" s="634"/>
      <c r="H3" s="636" t="s">
        <v>25</v>
      </c>
      <c r="I3" s="637"/>
    </row>
    <row r="4" spans="2:14" ht="12.6" customHeight="1">
      <c r="B4" s="633" t="s">
        <v>26</v>
      </c>
      <c r="C4" s="634" t="s">
        <v>96</v>
      </c>
      <c r="D4" s="634"/>
      <c r="E4" s="634"/>
      <c r="H4" s="636" t="s">
        <v>27</v>
      </c>
      <c r="I4" s="638" t="s">
        <v>201</v>
      </c>
    </row>
    <row r="5" spans="2:14">
      <c r="B5" s="639" t="s">
        <v>98</v>
      </c>
      <c r="C5" s="640"/>
      <c r="D5" s="640"/>
      <c r="E5" s="640"/>
      <c r="H5" s="641"/>
      <c r="I5" s="642"/>
    </row>
    <row r="6" spans="2:14">
      <c r="B6" s="639"/>
      <c r="C6" s="640"/>
      <c r="D6" s="640"/>
      <c r="E6" s="640"/>
      <c r="H6" s="641"/>
      <c r="I6" s="642"/>
    </row>
    <row r="7" spans="2:14">
      <c r="B7" s="643" t="s">
        <v>99</v>
      </c>
      <c r="C7" s="626"/>
      <c r="D7" s="644"/>
      <c r="E7" s="644"/>
      <c r="F7" s="625"/>
      <c r="G7" s="626"/>
      <c r="H7" s="645" t="s">
        <v>28</v>
      </c>
      <c r="I7" s="646"/>
    </row>
    <row r="8" spans="2:14">
      <c r="B8" s="633"/>
      <c r="C8" s="702"/>
      <c r="D8" s="702"/>
      <c r="E8" s="702"/>
      <c r="F8" s="636"/>
      <c r="G8" s="634"/>
      <c r="H8" s="634"/>
      <c r="I8" s="638"/>
    </row>
    <row r="9" spans="2:14" ht="15.75">
      <c r="B9" s="703" t="s">
        <v>202</v>
      </c>
      <c r="D9" s="704"/>
      <c r="E9" s="704"/>
      <c r="F9" s="705"/>
      <c r="G9" s="704"/>
      <c r="H9" s="704"/>
      <c r="I9" s="706"/>
      <c r="L9" s="879" t="s">
        <v>100</v>
      </c>
      <c r="M9" s="882" t="s">
        <v>101</v>
      </c>
      <c r="N9" s="882" t="s">
        <v>101</v>
      </c>
    </row>
    <row r="10" spans="2:14" ht="15.75" thickBot="1">
      <c r="B10" s="707" t="s">
        <v>103</v>
      </c>
      <c r="C10" s="704"/>
      <c r="D10" s="704"/>
      <c r="E10" s="704"/>
      <c r="F10" s="705"/>
      <c r="G10" s="704"/>
      <c r="H10" s="704"/>
      <c r="I10" s="706"/>
      <c r="L10" s="880"/>
      <c r="M10" s="882"/>
      <c r="N10" s="882"/>
    </row>
    <row r="11" spans="2:14">
      <c r="B11" s="888" t="s">
        <v>106</v>
      </c>
      <c r="C11" s="888" t="s">
        <v>107</v>
      </c>
      <c r="D11" s="888" t="s">
        <v>108</v>
      </c>
      <c r="E11" s="888" t="s">
        <v>109</v>
      </c>
      <c r="F11" s="898" t="s">
        <v>203</v>
      </c>
      <c r="G11" s="888" t="s">
        <v>111</v>
      </c>
      <c r="H11" s="888" t="s">
        <v>112</v>
      </c>
      <c r="I11" s="888" t="s">
        <v>113</v>
      </c>
      <c r="L11" s="881"/>
      <c r="M11" s="711" t="s">
        <v>104</v>
      </c>
      <c r="N11" s="711" t="s">
        <v>105</v>
      </c>
    </row>
    <row r="12" spans="2:14">
      <c r="B12" s="889"/>
      <c r="C12" s="889"/>
      <c r="D12" s="889"/>
      <c r="E12" s="889"/>
      <c r="F12" s="882"/>
      <c r="G12" s="889"/>
      <c r="H12" s="889"/>
      <c r="I12" s="889"/>
      <c r="L12" s="710" t="s">
        <v>114</v>
      </c>
      <c r="M12" s="709">
        <f>F14</f>
        <v>164.50005527999994</v>
      </c>
      <c r="N12" s="713">
        <v>0</v>
      </c>
    </row>
    <row r="13" spans="2:14">
      <c r="B13" s="889"/>
      <c r="C13" s="889"/>
      <c r="D13" s="889"/>
      <c r="E13" s="889"/>
      <c r="F13" s="882"/>
      <c r="G13" s="889"/>
      <c r="H13" s="889"/>
      <c r="I13" s="889"/>
      <c r="L13" s="710" t="s">
        <v>115</v>
      </c>
      <c r="M13" s="709">
        <f>F15</f>
        <v>43.478970840000002</v>
      </c>
      <c r="N13" s="712">
        <v>0</v>
      </c>
    </row>
    <row r="14" spans="2:14">
      <c r="B14" s="957" t="s">
        <v>204</v>
      </c>
      <c r="C14" s="708" t="s">
        <v>114</v>
      </c>
      <c r="D14" s="960" t="s">
        <v>118</v>
      </c>
      <c r="E14" s="960" t="s">
        <v>119</v>
      </c>
      <c r="F14" s="709">
        <f>'C E'!Q21</f>
        <v>164.50005527999994</v>
      </c>
      <c r="G14" s="960" t="s">
        <v>104</v>
      </c>
      <c r="H14" s="960" t="s">
        <v>120</v>
      </c>
      <c r="I14" s="933" t="s">
        <v>205</v>
      </c>
      <c r="J14" s="772" t="s">
        <v>206</v>
      </c>
      <c r="L14" s="710" t="s">
        <v>116</v>
      </c>
      <c r="M14" s="709">
        <v>0</v>
      </c>
      <c r="N14" s="714">
        <v>0</v>
      </c>
    </row>
    <row r="15" spans="2:14">
      <c r="B15" s="958"/>
      <c r="C15" s="710" t="s">
        <v>115</v>
      </c>
      <c r="D15" s="961"/>
      <c r="E15" s="961"/>
      <c r="F15" s="773">
        <f>'C E'!Q22</f>
        <v>43.478970840000002</v>
      </c>
      <c r="G15" s="961"/>
      <c r="H15" s="961"/>
      <c r="I15" s="933"/>
      <c r="L15" s="710" t="s">
        <v>122</v>
      </c>
      <c r="M15" s="709">
        <v>0</v>
      </c>
      <c r="N15" s="713">
        <v>0</v>
      </c>
    </row>
    <row r="16" spans="2:14">
      <c r="B16" s="958"/>
      <c r="C16" s="710" t="s">
        <v>116</v>
      </c>
      <c r="D16" s="961"/>
      <c r="E16" s="961"/>
      <c r="F16" s="709" t="s">
        <v>132</v>
      </c>
      <c r="G16" s="961"/>
      <c r="H16" s="961"/>
      <c r="I16" s="933"/>
      <c r="L16" s="710" t="s">
        <v>123</v>
      </c>
      <c r="M16" s="709">
        <f>F18</f>
        <v>5.5387224000000002</v>
      </c>
      <c r="N16" s="713">
        <v>0</v>
      </c>
    </row>
    <row r="17" spans="2:14">
      <c r="B17" s="958"/>
      <c r="C17" s="710" t="s">
        <v>122</v>
      </c>
      <c r="D17" s="961"/>
      <c r="E17" s="961"/>
      <c r="F17" s="709" t="s">
        <v>132</v>
      </c>
      <c r="G17" s="961"/>
      <c r="H17" s="961"/>
      <c r="I17" s="933"/>
      <c r="L17" s="710" t="s">
        <v>124</v>
      </c>
      <c r="M17" s="709">
        <f>F19</f>
        <v>11.0774448</v>
      </c>
      <c r="N17" s="713">
        <v>0</v>
      </c>
    </row>
    <row r="18" spans="2:14">
      <c r="B18" s="958"/>
      <c r="C18" s="710" t="s">
        <v>123</v>
      </c>
      <c r="D18" s="961"/>
      <c r="E18" s="961"/>
      <c r="F18" s="709">
        <f>'C E'!Q23</f>
        <v>5.5387224000000002</v>
      </c>
      <c r="G18" s="961"/>
      <c r="H18" s="961"/>
      <c r="I18" s="933"/>
      <c r="L18" s="710" t="s">
        <v>125</v>
      </c>
      <c r="M18" s="709">
        <v>0</v>
      </c>
      <c r="N18" s="713">
        <v>0</v>
      </c>
    </row>
    <row r="19" spans="2:14" ht="13.5" thickBot="1">
      <c r="B19" s="958"/>
      <c r="C19" s="710" t="s">
        <v>124</v>
      </c>
      <c r="D19" s="961"/>
      <c r="E19" s="961"/>
      <c r="F19" s="709">
        <f>'C E'!Q24</f>
        <v>11.0774448</v>
      </c>
      <c r="G19" s="961"/>
      <c r="H19" s="961"/>
      <c r="I19" s="933"/>
      <c r="L19" s="710" t="s">
        <v>126</v>
      </c>
      <c r="M19" s="716">
        <f>F21</f>
        <v>8861.9558399999969</v>
      </c>
      <c r="N19" s="713">
        <v>0</v>
      </c>
    </row>
    <row r="20" spans="2:14">
      <c r="B20" s="958"/>
      <c r="C20" s="710" t="s">
        <v>125</v>
      </c>
      <c r="D20" s="961"/>
      <c r="E20" s="961"/>
      <c r="F20" s="709" t="s">
        <v>132</v>
      </c>
      <c r="G20" s="961"/>
      <c r="H20" s="961"/>
      <c r="I20" s="933"/>
    </row>
    <row r="21" spans="2:14" ht="13.5" thickBot="1">
      <c r="B21" s="959"/>
      <c r="C21" s="715" t="s">
        <v>126</v>
      </c>
      <c r="D21" s="962"/>
      <c r="E21" s="962"/>
      <c r="F21" s="716">
        <f>'C E'!Q25</f>
        <v>8861.9558399999969</v>
      </c>
      <c r="G21" s="962"/>
      <c r="H21" s="962"/>
      <c r="I21" s="963"/>
    </row>
    <row r="22" spans="2:14">
      <c r="B22" s="633"/>
      <c r="C22" s="702"/>
      <c r="D22" s="702"/>
      <c r="E22" s="702"/>
      <c r="F22" s="636"/>
      <c r="G22" s="634"/>
      <c r="H22" s="634"/>
      <c r="I22" s="638"/>
    </row>
    <row r="23" spans="2:14" ht="15.75">
      <c r="B23" s="703" t="s">
        <v>207</v>
      </c>
      <c r="D23" s="704"/>
      <c r="E23" s="704"/>
      <c r="F23" s="705"/>
      <c r="G23" s="704"/>
      <c r="H23" s="704"/>
      <c r="I23" s="706"/>
    </row>
    <row r="24" spans="2:14" ht="15.75" thickBot="1">
      <c r="B24" s="707" t="s">
        <v>103</v>
      </c>
      <c r="C24" s="704"/>
      <c r="D24" s="704"/>
      <c r="E24" s="704"/>
      <c r="F24" s="705"/>
      <c r="G24" s="704"/>
      <c r="H24" s="704"/>
      <c r="I24" s="706"/>
    </row>
    <row r="25" spans="2:14">
      <c r="B25" s="888" t="s">
        <v>106</v>
      </c>
      <c r="C25" s="888" t="s">
        <v>107</v>
      </c>
      <c r="D25" s="888" t="s">
        <v>108</v>
      </c>
      <c r="E25" s="888" t="s">
        <v>109</v>
      </c>
      <c r="F25" s="898" t="s">
        <v>192</v>
      </c>
      <c r="G25" s="888" t="s">
        <v>111</v>
      </c>
      <c r="H25" s="888" t="s">
        <v>112</v>
      </c>
      <c r="I25" s="888" t="s">
        <v>113</v>
      </c>
    </row>
    <row r="26" spans="2:14">
      <c r="B26" s="889"/>
      <c r="C26" s="889"/>
      <c r="D26" s="889"/>
      <c r="E26" s="889"/>
      <c r="F26" s="882"/>
      <c r="G26" s="889"/>
      <c r="H26" s="889"/>
      <c r="I26" s="889"/>
    </row>
    <row r="27" spans="2:14" ht="13.5" thickBot="1">
      <c r="B27" s="890"/>
      <c r="C27" s="890"/>
      <c r="D27" s="890"/>
      <c r="E27" s="890"/>
      <c r="F27" s="899"/>
      <c r="G27" s="890"/>
      <c r="H27" s="890"/>
      <c r="I27" s="890"/>
    </row>
    <row r="28" spans="2:14" ht="12.75" customHeight="1">
      <c r="B28" s="954" t="s">
        <v>208</v>
      </c>
      <c r="C28" s="720" t="s">
        <v>114</v>
      </c>
      <c r="D28" s="894" t="s">
        <v>118</v>
      </c>
      <c r="E28" s="894" t="s">
        <v>119</v>
      </c>
      <c r="F28" s="726">
        <f>'O SPG'!R55</f>
        <v>2.0471738143698249E-4</v>
      </c>
      <c r="G28" s="894" t="s">
        <v>105</v>
      </c>
      <c r="H28" s="894" t="s">
        <v>120</v>
      </c>
      <c r="I28" s="970" t="s">
        <v>209</v>
      </c>
      <c r="L28" s="879" t="s">
        <v>100</v>
      </c>
      <c r="M28" s="882" t="s">
        <v>101</v>
      </c>
      <c r="N28" s="882" t="s">
        <v>101</v>
      </c>
    </row>
    <row r="29" spans="2:14">
      <c r="B29" s="955"/>
      <c r="C29" s="710" t="s">
        <v>115</v>
      </c>
      <c r="D29" s="886"/>
      <c r="E29" s="886"/>
      <c r="F29" s="717">
        <f>'O SPG'!R56</f>
        <v>5.4378054444198478E-5</v>
      </c>
      <c r="G29" s="886"/>
      <c r="H29" s="886"/>
      <c r="I29" s="971"/>
      <c r="L29" s="880"/>
      <c r="M29" s="882"/>
      <c r="N29" s="882"/>
    </row>
    <row r="30" spans="2:14">
      <c r="B30" s="955"/>
      <c r="C30" s="710" t="s">
        <v>116</v>
      </c>
      <c r="D30" s="886"/>
      <c r="E30" s="886"/>
      <c r="F30" s="717">
        <f>'O SPG'!R57</f>
        <v>6.3974181699057028E-6</v>
      </c>
      <c r="G30" s="886"/>
      <c r="H30" s="886"/>
      <c r="I30" s="971"/>
      <c r="L30" s="881"/>
      <c r="M30" s="711" t="s">
        <v>104</v>
      </c>
      <c r="N30" s="711" t="s">
        <v>105</v>
      </c>
    </row>
    <row r="31" spans="2:14">
      <c r="B31" s="955"/>
      <c r="C31" s="710" t="s">
        <v>122</v>
      </c>
      <c r="D31" s="886"/>
      <c r="E31" s="886"/>
      <c r="F31" s="717">
        <f>'O SPG'!R58</f>
        <v>0</v>
      </c>
      <c r="G31" s="886"/>
      <c r="H31" s="886"/>
      <c r="I31" s="971"/>
      <c r="L31" s="710" t="s">
        <v>114</v>
      </c>
      <c r="M31" s="774">
        <f>F76</f>
        <v>7.1746975675715304E-3</v>
      </c>
      <c r="N31" s="774">
        <f>F28</f>
        <v>2.0471738143698249E-4</v>
      </c>
    </row>
    <row r="32" spans="2:14">
      <c r="B32" s="955"/>
      <c r="C32" s="710" t="s">
        <v>123</v>
      </c>
      <c r="D32" s="886"/>
      <c r="E32" s="886"/>
      <c r="F32" s="718">
        <f>'O SPG'!R59</f>
        <v>0</v>
      </c>
      <c r="G32" s="886"/>
      <c r="H32" s="886"/>
      <c r="I32" s="971"/>
      <c r="L32" s="710" t="s">
        <v>115</v>
      </c>
      <c r="M32" s="774">
        <f>F77</f>
        <v>1.0138921254965421E-2</v>
      </c>
      <c r="N32" s="774">
        <f>F29</f>
        <v>5.4378054444198478E-5</v>
      </c>
    </row>
    <row r="33" spans="2:14">
      <c r="B33" s="955"/>
      <c r="C33" s="710" t="s">
        <v>124</v>
      </c>
      <c r="D33" s="886"/>
      <c r="E33" s="886"/>
      <c r="F33" s="717">
        <f>'O SPG'!R60</f>
        <v>6.4613923516047597E-5</v>
      </c>
      <c r="G33" s="886"/>
      <c r="H33" s="886"/>
      <c r="I33" s="971"/>
      <c r="L33" s="710" t="s">
        <v>116</v>
      </c>
      <c r="M33" s="775">
        <f>F78</f>
        <v>1.3549264559608147E-4</v>
      </c>
      <c r="N33" s="776">
        <f>F30</f>
        <v>6.3974181699057028E-6</v>
      </c>
    </row>
    <row r="34" spans="2:14">
      <c r="B34" s="955"/>
      <c r="C34" s="710" t="s">
        <v>125</v>
      </c>
      <c r="D34" s="886"/>
      <c r="E34" s="886"/>
      <c r="F34" s="718">
        <f>'O SPG'!R61</f>
        <v>0</v>
      </c>
      <c r="G34" s="886"/>
      <c r="H34" s="886"/>
      <c r="I34" s="971"/>
      <c r="L34" s="710" t="s">
        <v>122</v>
      </c>
      <c r="M34" s="775">
        <v>0</v>
      </c>
      <c r="N34" s="775">
        <f>F39+F47+F55+F63+F71</f>
        <v>9.6626003782408549</v>
      </c>
    </row>
    <row r="35" spans="2:14" ht="13.5" thickBot="1">
      <c r="B35" s="956"/>
      <c r="C35" s="715" t="s">
        <v>126</v>
      </c>
      <c r="D35" s="887"/>
      <c r="E35" s="887"/>
      <c r="F35" s="719">
        <f>'O SPG'!R62</f>
        <v>9.2052390335220391</v>
      </c>
      <c r="G35" s="887"/>
      <c r="H35" s="887"/>
      <c r="I35" s="972"/>
      <c r="L35" s="710" t="s">
        <v>123</v>
      </c>
      <c r="M35" s="775">
        <f>F80</f>
        <v>1.1331262152774681E-3</v>
      </c>
      <c r="N35" s="775">
        <f>F40+F48+F56+F64</f>
        <v>6.4420043315088604E-2</v>
      </c>
    </row>
    <row r="36" spans="2:14" ht="12" customHeight="1">
      <c r="B36" s="954" t="s">
        <v>210</v>
      </c>
      <c r="C36" s="720" t="s">
        <v>114</v>
      </c>
      <c r="D36" s="894" t="s">
        <v>156</v>
      </c>
      <c r="E36" s="894" t="s">
        <v>119</v>
      </c>
      <c r="F36" s="721"/>
      <c r="G36" s="894" t="s">
        <v>105</v>
      </c>
      <c r="H36" s="894" t="s">
        <v>120</v>
      </c>
      <c r="I36" s="967" t="s">
        <v>211</v>
      </c>
      <c r="L36" s="710" t="s">
        <v>124</v>
      </c>
      <c r="M36" s="775">
        <f>F81</f>
        <v>1.4158395997917738E-5</v>
      </c>
      <c r="N36" s="775">
        <f>F33</f>
        <v>6.4613923516047597E-5</v>
      </c>
    </row>
    <row r="37" spans="2:14" ht="12" customHeight="1">
      <c r="B37" s="955"/>
      <c r="C37" s="710" t="s">
        <v>115</v>
      </c>
      <c r="D37" s="886"/>
      <c r="E37" s="886"/>
      <c r="F37" s="722">
        <v>0</v>
      </c>
      <c r="G37" s="886"/>
      <c r="H37" s="886"/>
      <c r="I37" s="968"/>
      <c r="L37" s="710" t="s">
        <v>125</v>
      </c>
      <c r="M37" s="775">
        <f>F82</f>
        <v>8.7460910983269715E-5</v>
      </c>
      <c r="N37" s="775">
        <v>0</v>
      </c>
    </row>
    <row r="38" spans="2:14" ht="12" customHeight="1">
      <c r="B38" s="955"/>
      <c r="C38" s="710" t="s">
        <v>116</v>
      </c>
      <c r="D38" s="886"/>
      <c r="E38" s="886"/>
      <c r="F38" s="722">
        <v>0</v>
      </c>
      <c r="G38" s="886"/>
      <c r="H38" s="886"/>
      <c r="I38" s="968"/>
      <c r="L38" s="710" t="s">
        <v>126</v>
      </c>
      <c r="M38" s="775">
        <f>F83</f>
        <v>7.0127999999999996E-2</v>
      </c>
      <c r="N38" s="775">
        <f>F35+F43+F51+F59+F67+F75</f>
        <v>9.2265233476683317</v>
      </c>
    </row>
    <row r="39" spans="2:14" ht="12" customHeight="1">
      <c r="B39" s="955"/>
      <c r="C39" s="710" t="s">
        <v>122</v>
      </c>
      <c r="D39" s="886"/>
      <c r="E39" s="886"/>
      <c r="F39" s="722">
        <f>'OV FR'!P19</f>
        <v>1.1892431234757979</v>
      </c>
      <c r="G39" s="886"/>
      <c r="H39" s="886"/>
      <c r="I39" s="968"/>
    </row>
    <row r="40" spans="2:14" ht="12" customHeight="1">
      <c r="B40" s="955"/>
      <c r="C40" s="710" t="s">
        <v>123</v>
      </c>
      <c r="D40" s="886"/>
      <c r="E40" s="886"/>
      <c r="F40" s="722">
        <f>SUM('OV FR'!P21:Q33)</f>
        <v>8.1372686292743492E-3</v>
      </c>
      <c r="G40" s="886"/>
      <c r="H40" s="886"/>
      <c r="I40" s="968"/>
    </row>
    <row r="41" spans="2:14" ht="12" customHeight="1">
      <c r="B41" s="955"/>
      <c r="C41" s="710" t="s">
        <v>124</v>
      </c>
      <c r="D41" s="886"/>
      <c r="E41" s="886"/>
      <c r="F41" s="722">
        <v>0</v>
      </c>
      <c r="G41" s="886"/>
      <c r="H41" s="886"/>
      <c r="I41" s="968"/>
    </row>
    <row r="42" spans="2:14" ht="12" customHeight="1">
      <c r="B42" s="955"/>
      <c r="C42" s="710" t="s">
        <v>125</v>
      </c>
      <c r="D42" s="886"/>
      <c r="E42" s="886"/>
      <c r="F42" s="722">
        <v>0</v>
      </c>
      <c r="G42" s="886"/>
      <c r="H42" s="886"/>
      <c r="I42" s="968"/>
    </row>
    <row r="43" spans="2:14" ht="12" customHeight="1" thickBot="1">
      <c r="B43" s="956"/>
      <c r="C43" s="715" t="s">
        <v>126</v>
      </c>
      <c r="D43" s="887"/>
      <c r="E43" s="887"/>
      <c r="F43" s="723">
        <f>'OV FR'!P35</f>
        <v>2.6196078949281137E-3</v>
      </c>
      <c r="G43" s="887"/>
      <c r="H43" s="887"/>
      <c r="I43" s="969"/>
    </row>
    <row r="44" spans="2:14">
      <c r="B44" s="973" t="s">
        <v>212</v>
      </c>
      <c r="C44" s="708" t="s">
        <v>114</v>
      </c>
      <c r="D44" s="886" t="s">
        <v>156</v>
      </c>
      <c r="E44" s="886" t="s">
        <v>119</v>
      </c>
      <c r="F44" s="721">
        <v>0</v>
      </c>
      <c r="G44" s="886" t="s">
        <v>105</v>
      </c>
      <c r="H44" s="886" t="s">
        <v>120</v>
      </c>
      <c r="I44" s="964" t="s">
        <v>213</v>
      </c>
    </row>
    <row r="45" spans="2:14">
      <c r="B45" s="952"/>
      <c r="C45" s="710" t="s">
        <v>115</v>
      </c>
      <c r="D45" s="886"/>
      <c r="E45" s="886"/>
      <c r="F45" s="722">
        <v>0</v>
      </c>
      <c r="G45" s="886"/>
      <c r="H45" s="886"/>
      <c r="I45" s="965"/>
    </row>
    <row r="46" spans="2:14">
      <c r="B46" s="952"/>
      <c r="C46" s="710" t="s">
        <v>116</v>
      </c>
      <c r="D46" s="886"/>
      <c r="E46" s="886"/>
      <c r="F46" s="722">
        <v>0</v>
      </c>
      <c r="G46" s="886"/>
      <c r="H46" s="886"/>
      <c r="I46" s="965"/>
    </row>
    <row r="47" spans="2:14">
      <c r="B47" s="952"/>
      <c r="C47" s="710" t="s">
        <v>122</v>
      </c>
      <c r="D47" s="886"/>
      <c r="E47" s="886"/>
      <c r="F47" s="722">
        <f>'OV IPC'!P19</f>
        <v>0.18829682788366797</v>
      </c>
      <c r="G47" s="886"/>
      <c r="H47" s="886"/>
      <c r="I47" s="965"/>
    </row>
    <row r="48" spans="2:14">
      <c r="B48" s="952"/>
      <c r="C48" s="710" t="s">
        <v>123</v>
      </c>
      <c r="D48" s="886"/>
      <c r="E48" s="886"/>
      <c r="F48" s="722">
        <f>SUM('OV IPC'!P21:Q33)</f>
        <v>1.2884008663017722E-3</v>
      </c>
      <c r="G48" s="886"/>
      <c r="H48" s="886"/>
      <c r="I48" s="965"/>
    </row>
    <row r="49" spans="2:9">
      <c r="B49" s="952"/>
      <c r="C49" s="710" t="s">
        <v>124</v>
      </c>
      <c r="D49" s="886"/>
      <c r="E49" s="886"/>
      <c r="F49" s="722">
        <v>0</v>
      </c>
      <c r="G49" s="886"/>
      <c r="H49" s="886"/>
      <c r="I49" s="965"/>
    </row>
    <row r="50" spans="2:9">
      <c r="B50" s="952"/>
      <c r="C50" s="710" t="s">
        <v>125</v>
      </c>
      <c r="D50" s="886"/>
      <c r="E50" s="886"/>
      <c r="F50" s="722">
        <v>0</v>
      </c>
      <c r="G50" s="886"/>
      <c r="H50" s="886"/>
      <c r="I50" s="965"/>
    </row>
    <row r="51" spans="2:9" ht="13.5" thickBot="1">
      <c r="B51" s="953"/>
      <c r="C51" s="715" t="s">
        <v>126</v>
      </c>
      <c r="D51" s="887"/>
      <c r="E51" s="887"/>
      <c r="F51" s="723">
        <f>'OV IPC'!P35</f>
        <v>4.1477125003028459E-4</v>
      </c>
      <c r="G51" s="887"/>
      <c r="H51" s="887"/>
      <c r="I51" s="966"/>
    </row>
    <row r="52" spans="2:9">
      <c r="B52" s="951" t="s">
        <v>214</v>
      </c>
      <c r="C52" s="720" t="s">
        <v>114</v>
      </c>
      <c r="D52" s="894" t="s">
        <v>156</v>
      </c>
      <c r="E52" s="894" t="s">
        <v>119</v>
      </c>
      <c r="F52" s="721">
        <v>0</v>
      </c>
      <c r="G52" s="894" t="s">
        <v>105</v>
      </c>
      <c r="H52" s="894" t="s">
        <v>120</v>
      </c>
      <c r="I52" s="976" t="s">
        <v>215</v>
      </c>
    </row>
    <row r="53" spans="2:9">
      <c r="B53" s="952"/>
      <c r="C53" s="710" t="s">
        <v>115</v>
      </c>
      <c r="D53" s="886"/>
      <c r="E53" s="886"/>
      <c r="F53" s="722">
        <v>0</v>
      </c>
      <c r="G53" s="886"/>
      <c r="H53" s="886"/>
      <c r="I53" s="965"/>
    </row>
    <row r="54" spans="2:9">
      <c r="B54" s="952"/>
      <c r="C54" s="710" t="s">
        <v>116</v>
      </c>
      <c r="D54" s="886"/>
      <c r="E54" s="886"/>
      <c r="F54" s="722">
        <v>0</v>
      </c>
      <c r="G54" s="886"/>
      <c r="H54" s="886"/>
      <c r="I54" s="965"/>
    </row>
    <row r="55" spans="2:9">
      <c r="B55" s="952"/>
      <c r="C55" s="710" t="s">
        <v>122</v>
      </c>
      <c r="D55" s="886"/>
      <c r="E55" s="886"/>
      <c r="F55" s="722">
        <f>'OV PT'!P19</f>
        <v>7.9282874898386506</v>
      </c>
      <c r="G55" s="886"/>
      <c r="H55" s="886"/>
      <c r="I55" s="965"/>
    </row>
    <row r="56" spans="2:9">
      <c r="B56" s="952"/>
      <c r="C56" s="710" t="s">
        <v>123</v>
      </c>
      <c r="D56" s="886"/>
      <c r="E56" s="886"/>
      <c r="F56" s="722">
        <f>SUM('OV PT'!P21:Q33)</f>
        <v>5.4248457528495664E-2</v>
      </c>
      <c r="G56" s="886"/>
      <c r="H56" s="886"/>
      <c r="I56" s="965"/>
    </row>
    <row r="57" spans="2:9">
      <c r="B57" s="952"/>
      <c r="C57" s="710" t="s">
        <v>124</v>
      </c>
      <c r="D57" s="886"/>
      <c r="E57" s="886"/>
      <c r="F57" s="722">
        <v>0</v>
      </c>
      <c r="G57" s="886"/>
      <c r="H57" s="886"/>
      <c r="I57" s="965"/>
    </row>
    <row r="58" spans="2:9">
      <c r="B58" s="952"/>
      <c r="C58" s="710" t="s">
        <v>125</v>
      </c>
      <c r="D58" s="886"/>
      <c r="E58" s="886"/>
      <c r="F58" s="722">
        <v>0</v>
      </c>
      <c r="G58" s="886"/>
      <c r="H58" s="886"/>
      <c r="I58" s="965"/>
    </row>
    <row r="59" spans="2:9" ht="13.5" thickBot="1">
      <c r="B59" s="953"/>
      <c r="C59" s="715" t="s">
        <v>126</v>
      </c>
      <c r="D59" s="887"/>
      <c r="E59" s="887"/>
      <c r="F59" s="723">
        <f>'OV PT'!P35</f>
        <v>1.7464052632854089E-2</v>
      </c>
      <c r="G59" s="887"/>
      <c r="H59" s="887"/>
      <c r="I59" s="966"/>
    </row>
    <row r="60" spans="2:9">
      <c r="B60" s="951" t="s">
        <v>216</v>
      </c>
      <c r="C60" s="720" t="s">
        <v>114</v>
      </c>
      <c r="D60" s="894" t="s">
        <v>156</v>
      </c>
      <c r="E60" s="894" t="s">
        <v>119</v>
      </c>
      <c r="F60" s="721">
        <v>0</v>
      </c>
      <c r="G60" s="894" t="s">
        <v>105</v>
      </c>
      <c r="H60" s="894" t="s">
        <v>120</v>
      </c>
      <c r="I60" s="919" t="s">
        <v>217</v>
      </c>
    </row>
    <row r="61" spans="2:9">
      <c r="B61" s="952"/>
      <c r="C61" s="710" t="s">
        <v>115</v>
      </c>
      <c r="D61" s="886"/>
      <c r="E61" s="886"/>
      <c r="F61" s="722">
        <v>0</v>
      </c>
      <c r="G61" s="886"/>
      <c r="H61" s="886"/>
      <c r="I61" s="974"/>
    </row>
    <row r="62" spans="2:9">
      <c r="B62" s="952"/>
      <c r="C62" s="710" t="s">
        <v>116</v>
      </c>
      <c r="D62" s="886"/>
      <c r="E62" s="886"/>
      <c r="F62" s="722">
        <v>0</v>
      </c>
      <c r="G62" s="886"/>
      <c r="H62" s="886"/>
      <c r="I62" s="974"/>
    </row>
    <row r="63" spans="2:9">
      <c r="B63" s="952"/>
      <c r="C63" s="710" t="s">
        <v>122</v>
      </c>
      <c r="D63" s="886"/>
      <c r="E63" s="886"/>
      <c r="F63" s="727">
        <f>'OV PSVL'!P19</f>
        <v>0.10901395298528144</v>
      </c>
      <c r="G63" s="886"/>
      <c r="H63" s="886"/>
      <c r="I63" s="974"/>
    </row>
    <row r="64" spans="2:9">
      <c r="B64" s="952"/>
      <c r="C64" s="710" t="s">
        <v>123</v>
      </c>
      <c r="D64" s="886"/>
      <c r="E64" s="886"/>
      <c r="F64" s="727">
        <f>SUM('OV PSVL'!P21:Q33)</f>
        <v>7.4591629101681547E-4</v>
      </c>
      <c r="G64" s="886"/>
      <c r="H64" s="886"/>
      <c r="I64" s="974"/>
    </row>
    <row r="65" spans="2:9">
      <c r="B65" s="952"/>
      <c r="C65" s="710" t="s">
        <v>124</v>
      </c>
      <c r="D65" s="886"/>
      <c r="E65" s="886"/>
      <c r="F65" s="722">
        <v>0</v>
      </c>
      <c r="G65" s="886"/>
      <c r="H65" s="886"/>
      <c r="I65" s="974"/>
    </row>
    <row r="66" spans="2:9">
      <c r="B66" s="952"/>
      <c r="C66" s="710" t="s">
        <v>125</v>
      </c>
      <c r="D66" s="886"/>
      <c r="E66" s="886"/>
      <c r="F66" s="722">
        <v>0</v>
      </c>
      <c r="G66" s="886"/>
      <c r="H66" s="886"/>
      <c r="I66" s="974"/>
    </row>
    <row r="67" spans="2:9" ht="13.5" thickBot="1">
      <c r="B67" s="953"/>
      <c r="C67" s="715" t="s">
        <v>126</v>
      </c>
      <c r="D67" s="887"/>
      <c r="E67" s="887"/>
      <c r="F67" s="728">
        <f>'OV PSVL'!P35</f>
        <v>2.4013072370174368E-4</v>
      </c>
      <c r="G67" s="887"/>
      <c r="H67" s="887"/>
      <c r="I67" s="975"/>
    </row>
    <row r="68" spans="2:9">
      <c r="B68" s="951" t="s">
        <v>218</v>
      </c>
      <c r="C68" s="720" t="s">
        <v>114</v>
      </c>
      <c r="D68" s="894" t="s">
        <v>156</v>
      </c>
      <c r="E68" s="894" t="s">
        <v>119</v>
      </c>
      <c r="F68" s="721">
        <v>0</v>
      </c>
      <c r="G68" s="894" t="s">
        <v>105</v>
      </c>
      <c r="H68" s="894" t="s">
        <v>120</v>
      </c>
      <c r="I68" s="919" t="s">
        <v>219</v>
      </c>
    </row>
    <row r="69" spans="2:9">
      <c r="B69" s="952"/>
      <c r="C69" s="710" t="s">
        <v>115</v>
      </c>
      <c r="D69" s="886"/>
      <c r="E69" s="886"/>
      <c r="F69" s="722">
        <v>0</v>
      </c>
      <c r="G69" s="886"/>
      <c r="H69" s="886"/>
      <c r="I69" s="974"/>
    </row>
    <row r="70" spans="2:9">
      <c r="B70" s="952"/>
      <c r="C70" s="710" t="s">
        <v>116</v>
      </c>
      <c r="D70" s="886"/>
      <c r="E70" s="886"/>
      <c r="F70" s="722">
        <v>0</v>
      </c>
      <c r="G70" s="886"/>
      <c r="H70" s="886"/>
      <c r="I70" s="974"/>
    </row>
    <row r="71" spans="2:9">
      <c r="B71" s="952"/>
      <c r="C71" s="710" t="s">
        <v>122</v>
      </c>
      <c r="D71" s="886"/>
      <c r="E71" s="886"/>
      <c r="F71" s="727">
        <f>'O FE'!P19</f>
        <v>0.24775898405745783</v>
      </c>
      <c r="G71" s="886"/>
      <c r="H71" s="886"/>
      <c r="I71" s="974"/>
    </row>
    <row r="72" spans="2:9">
      <c r="B72" s="952"/>
      <c r="C72" s="710" t="s">
        <v>123</v>
      </c>
      <c r="D72" s="886"/>
      <c r="E72" s="886"/>
      <c r="F72" s="727">
        <f>SUM('O FE'!P21:Q33)</f>
        <v>1.6952642977654895E-3</v>
      </c>
      <c r="G72" s="886"/>
      <c r="H72" s="886"/>
      <c r="I72" s="974"/>
    </row>
    <row r="73" spans="2:9">
      <c r="B73" s="952"/>
      <c r="C73" s="710" t="s">
        <v>124</v>
      </c>
      <c r="D73" s="886"/>
      <c r="E73" s="886"/>
      <c r="F73" s="722">
        <v>0</v>
      </c>
      <c r="G73" s="886"/>
      <c r="H73" s="886"/>
      <c r="I73" s="974"/>
    </row>
    <row r="74" spans="2:9">
      <c r="B74" s="952"/>
      <c r="C74" s="710" t="s">
        <v>125</v>
      </c>
      <c r="D74" s="886"/>
      <c r="E74" s="886"/>
      <c r="F74" s="722">
        <v>0</v>
      </c>
      <c r="G74" s="886"/>
      <c r="H74" s="886"/>
      <c r="I74" s="974"/>
    </row>
    <row r="75" spans="2:9" ht="13.5" thickBot="1">
      <c r="B75" s="953"/>
      <c r="C75" s="715" t="s">
        <v>126</v>
      </c>
      <c r="D75" s="887"/>
      <c r="E75" s="887"/>
      <c r="F75" s="728">
        <f>'O FE'!P35</f>
        <v>5.4575164477669029E-4</v>
      </c>
      <c r="G75" s="887"/>
      <c r="H75" s="887"/>
      <c r="I75" s="975"/>
    </row>
    <row r="76" spans="2:9">
      <c r="B76" s="951" t="s">
        <v>220</v>
      </c>
      <c r="C76" s="720" t="s">
        <v>114</v>
      </c>
      <c r="D76" s="894" t="s">
        <v>221</v>
      </c>
      <c r="E76" s="894" t="s">
        <v>119</v>
      </c>
      <c r="F76" s="726">
        <f>'O V'!P31</f>
        <v>7.1746975675715304E-3</v>
      </c>
      <c r="G76" s="894" t="s">
        <v>104</v>
      </c>
      <c r="H76" s="894" t="s">
        <v>120</v>
      </c>
      <c r="I76" s="919" t="s">
        <v>222</v>
      </c>
    </row>
    <row r="77" spans="2:9">
      <c r="B77" s="952"/>
      <c r="C77" s="710" t="s">
        <v>115</v>
      </c>
      <c r="D77" s="886"/>
      <c r="E77" s="886"/>
      <c r="F77" s="727">
        <f>'O V'!P32</f>
        <v>1.0138921254965421E-2</v>
      </c>
      <c r="G77" s="886"/>
      <c r="H77" s="886"/>
      <c r="I77" s="974"/>
    </row>
    <row r="78" spans="2:9">
      <c r="B78" s="952"/>
      <c r="C78" s="710" t="s">
        <v>116</v>
      </c>
      <c r="D78" s="886"/>
      <c r="E78" s="886"/>
      <c r="F78" s="727">
        <f>'O V'!P33</f>
        <v>1.3549264559608147E-4</v>
      </c>
      <c r="G78" s="886"/>
      <c r="H78" s="886"/>
      <c r="I78" s="974"/>
    </row>
    <row r="79" spans="2:9">
      <c r="B79" s="952"/>
      <c r="C79" s="710" t="s">
        <v>122</v>
      </c>
      <c r="D79" s="886"/>
      <c r="E79" s="886"/>
      <c r="F79" s="727">
        <f>'O V'!P34</f>
        <v>0</v>
      </c>
      <c r="G79" s="886"/>
      <c r="H79" s="886"/>
      <c r="I79" s="974"/>
    </row>
    <row r="80" spans="2:9">
      <c r="B80" s="952"/>
      <c r="C80" s="710" t="s">
        <v>123</v>
      </c>
      <c r="D80" s="886"/>
      <c r="E80" s="886"/>
      <c r="F80" s="727">
        <f>'O V'!P35</f>
        <v>1.1331262152774681E-3</v>
      </c>
      <c r="G80" s="886"/>
      <c r="H80" s="886"/>
      <c r="I80" s="974"/>
    </row>
    <row r="81" spans="2:11">
      <c r="B81" s="952"/>
      <c r="C81" s="710" t="s">
        <v>124</v>
      </c>
      <c r="D81" s="886"/>
      <c r="E81" s="886"/>
      <c r="F81" s="727">
        <f>'O V'!P36</f>
        <v>1.4158395997917738E-5</v>
      </c>
      <c r="G81" s="886"/>
      <c r="H81" s="886"/>
      <c r="I81" s="974"/>
    </row>
    <row r="82" spans="2:11">
      <c r="B82" s="952"/>
      <c r="C82" s="710" t="s">
        <v>125</v>
      </c>
      <c r="D82" s="886"/>
      <c r="E82" s="886"/>
      <c r="F82" s="727">
        <f>'O V'!P37</f>
        <v>8.7460910983269715E-5</v>
      </c>
      <c r="G82" s="886"/>
      <c r="H82" s="886"/>
      <c r="I82" s="974"/>
    </row>
    <row r="83" spans="2:11" ht="13.5" thickBot="1">
      <c r="B83" s="953"/>
      <c r="C83" s="715" t="s">
        <v>126</v>
      </c>
      <c r="D83" s="887"/>
      <c r="E83" s="887"/>
      <c r="F83" s="728">
        <f>'O V'!P38</f>
        <v>7.0127999999999996E-2</v>
      </c>
      <c r="G83" s="887"/>
      <c r="H83" s="887"/>
      <c r="I83" s="975"/>
    </row>
    <row r="84" spans="2:11" ht="37.15" hidden="1" customHeight="1" thickBot="1">
      <c r="B84" s="734" t="s">
        <v>174</v>
      </c>
      <c r="C84" s="735" t="s">
        <v>175</v>
      </c>
      <c r="D84" s="735" t="s">
        <v>156</v>
      </c>
      <c r="E84" s="735" t="s">
        <v>119</v>
      </c>
      <c r="F84" s="736" t="e">
        <f>#REF!*1000</f>
        <v>#REF!</v>
      </c>
      <c r="G84" s="735" t="s">
        <v>104</v>
      </c>
      <c r="H84" s="735" t="s">
        <v>120</v>
      </c>
      <c r="I84" s="737" t="s">
        <v>176</v>
      </c>
    </row>
    <row r="86" spans="2:11">
      <c r="B86" s="738"/>
      <c r="C86" s="739"/>
      <c r="D86" s="739"/>
      <c r="E86" s="739"/>
      <c r="F86" s="739"/>
      <c r="G86" s="739"/>
      <c r="H86" s="739"/>
      <c r="I86" s="739"/>
    </row>
    <row r="87" spans="2:11">
      <c r="B87" s="739"/>
      <c r="C87" s="739"/>
      <c r="D87" s="739"/>
      <c r="E87" s="739"/>
      <c r="F87" s="739"/>
      <c r="G87" s="739"/>
      <c r="H87" s="739"/>
      <c r="I87" s="739"/>
      <c r="K87" s="740"/>
    </row>
  </sheetData>
  <sheetProtection algorithmName="SHA-512" hashValue="LIQjlT4vxUFfoCzOerm64yZiGh1tHyrCT636bTOM7v4FoieN+GaorAi2kJ8SuyfJ8cSjlWyZhTVlIwqfgh+jpA==" saltValue="7ZKM8nKyEFgjOzvxbUXTTw==" spinCount="100000" sheet="1" objects="1" scenarios="1" selectLockedCells="1" selectUnlockedCells="1"/>
  <mergeCells count="70">
    <mergeCell ref="H25:H27"/>
    <mergeCell ref="I25:I27"/>
    <mergeCell ref="B25:B27"/>
    <mergeCell ref="C25:C27"/>
    <mergeCell ref="D25:D27"/>
    <mergeCell ref="E25:E27"/>
    <mergeCell ref="F25:F27"/>
    <mergeCell ref="G25:G27"/>
    <mergeCell ref="I76:I83"/>
    <mergeCell ref="B68:B75"/>
    <mergeCell ref="D68:D75"/>
    <mergeCell ref="E68:E75"/>
    <mergeCell ref="G68:G75"/>
    <mergeCell ref="H68:H75"/>
    <mergeCell ref="I68:I75"/>
    <mergeCell ref="B76:B83"/>
    <mergeCell ref="D76:D83"/>
    <mergeCell ref="E76:E83"/>
    <mergeCell ref="G76:G83"/>
    <mergeCell ref="H76:H83"/>
    <mergeCell ref="I60:I67"/>
    <mergeCell ref="B52:B59"/>
    <mergeCell ref="D52:D59"/>
    <mergeCell ref="E52:E59"/>
    <mergeCell ref="G52:G59"/>
    <mergeCell ref="H52:H59"/>
    <mergeCell ref="I52:I59"/>
    <mergeCell ref="B60:B67"/>
    <mergeCell ref="D60:D67"/>
    <mergeCell ref="E60:E67"/>
    <mergeCell ref="G60:G67"/>
    <mergeCell ref="H60:H67"/>
    <mergeCell ref="B44:B51"/>
    <mergeCell ref="D44:D51"/>
    <mergeCell ref="E44:E51"/>
    <mergeCell ref="G44:G51"/>
    <mergeCell ref="H44:H51"/>
    <mergeCell ref="B36:B43"/>
    <mergeCell ref="D36:D43"/>
    <mergeCell ref="E36:E43"/>
    <mergeCell ref="G36:G43"/>
    <mergeCell ref="H36:H43"/>
    <mergeCell ref="E28:E35"/>
    <mergeCell ref="G28:G35"/>
    <mergeCell ref="H28:H35"/>
    <mergeCell ref="I44:I51"/>
    <mergeCell ref="I36:I43"/>
    <mergeCell ref="I28:I35"/>
    <mergeCell ref="B28:B35"/>
    <mergeCell ref="H11:H13"/>
    <mergeCell ref="I11:I13"/>
    <mergeCell ref="B14:B21"/>
    <mergeCell ref="D14:D21"/>
    <mergeCell ref="E14:E21"/>
    <mergeCell ref="G14:G21"/>
    <mergeCell ref="H14:H21"/>
    <mergeCell ref="I14:I21"/>
    <mergeCell ref="B11:B13"/>
    <mergeCell ref="C11:C13"/>
    <mergeCell ref="D11:D13"/>
    <mergeCell ref="E11:E13"/>
    <mergeCell ref="F11:F13"/>
    <mergeCell ref="G11:G13"/>
    <mergeCell ref="D28:D35"/>
    <mergeCell ref="L28:L30"/>
    <mergeCell ref="M28:M29"/>
    <mergeCell ref="N28:N29"/>
    <mergeCell ref="L9:L11"/>
    <mergeCell ref="M9:M10"/>
    <mergeCell ref="N9:N10"/>
  </mergeCells>
  <pageMargins left="0.7" right="0.7" top="0.75" bottom="0.75" header="0.3" footer="0.3"/>
  <pageSetup paperSize="9" orientation="portrait" r:id="rId1"/>
  <headerFooter>
    <oddFooter>&amp;C_x000D_&amp;1#&amp;"Calibri"&amp;10&amp;K000000 Internal</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F35FB-2F87-4402-8812-0AAB7C47ED47}">
  <sheetPr>
    <tabColor rgb="FFFFC000"/>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14" width="3.7109375" style="404"/>
    <col min="15" max="15" width="6.7109375" style="404" customWidth="1"/>
    <col min="16" max="18" width="3.7109375" style="404"/>
    <col min="19" max="19" width="5.42578125" style="404" bestFit="1" customWidth="1"/>
    <col min="20" max="23" width="3.7109375" style="404"/>
    <col min="24" max="24" width="6.28515625" style="404"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'Precom F P'!$AC$5</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
        <v>97</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177</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5.737756714060031E-17</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727</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'Diesel F'!G20</f>
        <v>44.890193469756099</v>
      </c>
      <c r="R16" s="1144"/>
      <c r="S16" s="1145"/>
      <c r="T16" s="1073">
        <f>'Diesel F'!E5</f>
        <v>76019.579999999987</v>
      </c>
      <c r="U16" s="1109"/>
      <c r="V16" s="1074"/>
      <c r="W16" s="1076" t="s">
        <v>604</v>
      </c>
      <c r="X16" s="1075"/>
      <c r="Y16" s="1077"/>
      <c r="Z16" s="1073">
        <f>'Diesel F'!E6</f>
        <v>16376.099999999999</v>
      </c>
      <c r="AA16" s="1109"/>
      <c r="AB16" s="1074"/>
      <c r="AC16" s="1076" t="s">
        <v>604</v>
      </c>
      <c r="AD16" s="1075"/>
      <c r="AE16" s="1077"/>
      <c r="AF16" s="1146">
        <f>'Diesel F'!E8</f>
        <v>5343.78</v>
      </c>
      <c r="AG16" s="1147"/>
      <c r="AH16" s="1148"/>
      <c r="AI16" s="1076" t="s">
        <v>604</v>
      </c>
      <c r="AJ16" s="1075"/>
      <c r="AK16" s="1077"/>
      <c r="AL16" s="303"/>
      <c r="AM16" s="303" t="s">
        <v>605</v>
      </c>
      <c r="AN16" s="303"/>
      <c r="AO16" s="303"/>
      <c r="AP16" s="351">
        <v>1020</v>
      </c>
      <c r="AQ16" s="352">
        <f>AP16/$AR$9/$AR$7 * ((AN18+273.15)/(AN19+273.15))</f>
        <v>37.956295834166582</v>
      </c>
      <c r="AR16" s="353">
        <f>AX4</f>
        <v>0.13333333333333333</v>
      </c>
      <c r="AS16" s="354">
        <f>AR16*$AR$6/1055.06</f>
        <v>5.7374304146999541E-5</v>
      </c>
      <c r="AT16" s="355">
        <f>AS16*$Q$16*1000000</f>
        <v>2575.543613351439</v>
      </c>
      <c r="AU16" s="356">
        <f>AX5</f>
        <v>3.3333333333333333E-2</v>
      </c>
      <c r="AV16" s="354">
        <f>AU16*$AR$6/1055.06</f>
        <v>1.4343576036749885E-5</v>
      </c>
      <c r="AW16" s="355">
        <f>AV16*$Q$16*1000000</f>
        <v>643.88590333785976</v>
      </c>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1">
        <v>305.24099999999999</v>
      </c>
      <c r="I17" s="1132"/>
      <c r="J17" s="1133"/>
      <c r="K17" s="1134">
        <v>832.5</v>
      </c>
      <c r="L17" s="1135"/>
      <c r="M17" s="1136"/>
      <c r="N17" s="1137">
        <v>42.59</v>
      </c>
      <c r="O17" s="1138"/>
      <c r="P17" s="1139"/>
      <c r="Q17" s="1137">
        <v>45.61</v>
      </c>
      <c r="R17" s="1138"/>
      <c r="S17" s="1139"/>
      <c r="T17" s="1066">
        <f>$Q$17/$Q$16*T16</f>
        <v>77238.5408883567</v>
      </c>
      <c r="U17" s="1110"/>
      <c r="V17" s="1067"/>
      <c r="W17" s="1114">
        <f>T17/1000000/K17</f>
        <v>9.2779028094122163E-5</v>
      </c>
      <c r="X17" s="1115"/>
      <c r="Y17" s="1116"/>
      <c r="Z17" s="1066">
        <f>$Q$17/$Q$16*Z16</f>
        <v>16638.6879464714</v>
      </c>
      <c r="AA17" s="1110"/>
      <c r="AB17" s="1067"/>
      <c r="AC17" s="1114">
        <f>Z17/1000000/K17</f>
        <v>1.9986411947713393E-5</v>
      </c>
      <c r="AD17" s="1115"/>
      <c r="AE17" s="1116"/>
      <c r="AF17" s="1066">
        <f>$Q$17/$Q$16*AF16</f>
        <v>5429.4665930590891</v>
      </c>
      <c r="AG17" s="1110"/>
      <c r="AH17" s="1067"/>
      <c r="AI17" s="1060">
        <f>AF17/1000000/K17</f>
        <v>6.5218817934643711E-6</v>
      </c>
      <c r="AJ17" s="1059"/>
      <c r="AK17" s="1063"/>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123"/>
      <c r="O18" s="1069"/>
      <c r="P18" s="1124"/>
      <c r="Q18" s="1125"/>
      <c r="R18" s="1126"/>
      <c r="S18" s="112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125</v>
      </c>
      <c r="AA19" s="1118"/>
      <c r="AB19" s="1119"/>
      <c r="AC19" s="1117" t="s">
        <v>125</v>
      </c>
      <c r="AD19" s="1118"/>
      <c r="AE19" s="1119"/>
      <c r="AF19" s="358" t="s">
        <v>728</v>
      </c>
      <c r="AG19" s="31"/>
      <c r="AH19" s="31"/>
      <c r="AI19" s="31"/>
      <c r="AJ19" s="31"/>
      <c r="AK19" s="226"/>
      <c r="AL19" s="303"/>
      <c r="AM19" s="24" t="s">
        <v>699</v>
      </c>
      <c r="AN19" s="24">
        <v>15.6</v>
      </c>
      <c r="AO19" s="23" t="s">
        <v>609</v>
      </c>
      <c r="AP19" s="303"/>
      <c r="AQ19" s="303"/>
      <c r="AR19" s="356">
        <f>AX6</f>
        <v>4.6666666666666669E-2</v>
      </c>
      <c r="AS19" s="354">
        <f>AR19*$AR$6/1055.06</f>
        <v>2.0081006451449841E-5</v>
      </c>
      <c r="AT19" s="355">
        <f>AS19*$Q$16*1000000</f>
        <v>901.44026467300375</v>
      </c>
      <c r="AU19" s="351">
        <v>0.37446000000000002</v>
      </c>
      <c r="AV19" s="354">
        <f>AU19*$AR$6/1055.06</f>
        <v>1.6113286448164087E-4</v>
      </c>
      <c r="AW19" s="355">
        <f>AV19*$Q$16*1000000</f>
        <v>7233.2854609168498</v>
      </c>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c r="I21" s="1109"/>
      <c r="J21" s="1074"/>
      <c r="K21" s="1076" t="s">
        <v>604</v>
      </c>
      <c r="L21" s="1075"/>
      <c r="M21" s="1077"/>
      <c r="N21" s="1073">
        <f>'Diesel F'!E7</f>
        <v>4999.0199999999986</v>
      </c>
      <c r="O21" s="1109"/>
      <c r="P21" s="1074"/>
      <c r="Q21" s="1076" t="s">
        <v>604</v>
      </c>
      <c r="R21" s="1075"/>
      <c r="S21" s="1077"/>
      <c r="T21" s="1073"/>
      <c r="U21" s="1109"/>
      <c r="V21" s="1074"/>
      <c r="W21" s="1214" t="s">
        <v>604</v>
      </c>
      <c r="X21" s="1215"/>
      <c r="Y21" s="1216"/>
      <c r="Z21" s="1073"/>
      <c r="AA21" s="1109"/>
      <c r="AB21" s="1074"/>
      <c r="AC21" s="1076" t="s">
        <v>604</v>
      </c>
      <c r="AD21" s="1075"/>
      <c r="AE21" s="1077"/>
      <c r="AF21" s="300"/>
      <c r="AG21" s="31"/>
      <c r="AH21" s="302"/>
      <c r="AI21" s="31"/>
      <c r="AJ21" s="31"/>
      <c r="AK21" s="32"/>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6"/>
      <c r="I22" s="1110"/>
      <c r="J22" s="1067"/>
      <c r="K22" s="1114"/>
      <c r="L22" s="1115"/>
      <c r="M22" s="1116"/>
      <c r="N22" s="1066">
        <f>$Q$17/$Q$16*N21</f>
        <v>5079.1784257649533</v>
      </c>
      <c r="O22" s="1110"/>
      <c r="P22" s="1067"/>
      <c r="Q22" s="1114">
        <f>N22/1000000/K17</f>
        <v>6.1011152261440878E-6</v>
      </c>
      <c r="R22" s="1115"/>
      <c r="S22" s="1116"/>
      <c r="T22" s="1099"/>
      <c r="U22" s="1048"/>
      <c r="V22" s="1058"/>
      <c r="W22" s="1211"/>
      <c r="X22" s="1212"/>
      <c r="Y22" s="1213"/>
      <c r="Z22" s="1066"/>
      <c r="AA22" s="1110"/>
      <c r="AB22" s="1067"/>
      <c r="AC22" s="1114"/>
      <c r="AD22" s="1115"/>
      <c r="AE22" s="1116"/>
      <c r="AF22" s="31"/>
      <c r="AG22" s="31"/>
      <c r="AH22" s="31"/>
      <c r="AI22" s="31"/>
      <c r="AJ22" s="31"/>
      <c r="AK22" s="32"/>
      <c r="AL22" s="303"/>
      <c r="AM22" s="303"/>
      <c r="AN22" s="303"/>
      <c r="AO22" s="303"/>
      <c r="AP22" s="303"/>
      <c r="AQ22" s="303"/>
      <c r="AR22" s="356">
        <f>AX8</f>
        <v>6.9333333333333339E-3</v>
      </c>
      <c r="AS22" s="354">
        <f>AR22*$AR$6/1055.06</f>
        <v>2.9834638156439767E-6</v>
      </c>
      <c r="AT22" s="355">
        <f>AS22*$Q$16*1000000</f>
        <v>133.92826789427485</v>
      </c>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045"/>
      <c r="I23" s="1033"/>
      <c r="J23" s="1046"/>
      <c r="K23" s="1089"/>
      <c r="L23" s="1090"/>
      <c r="M23" s="1091"/>
      <c r="N23" s="1045"/>
      <c r="O23" s="1033"/>
      <c r="P23" s="1046"/>
      <c r="Q23" s="1096"/>
      <c r="R23" s="1097"/>
      <c r="S23" s="1098"/>
      <c r="T23" s="1099"/>
      <c r="U23" s="1048"/>
      <c r="V23" s="1058"/>
      <c r="W23" s="1096"/>
      <c r="X23" s="1097"/>
      <c r="Y23" s="1098"/>
      <c r="Z23" s="1086"/>
      <c r="AA23" s="1087"/>
      <c r="AB23" s="1088"/>
      <c r="AC23" s="1089"/>
      <c r="AD23" s="1090"/>
      <c r="AE23" s="1091"/>
      <c r="AF23" s="31"/>
      <c r="AG23" s="31"/>
      <c r="AH23" s="31"/>
      <c r="AI23" s="31"/>
      <c r="AJ23" s="31"/>
      <c r="AK23" s="32"/>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c r="I25" s="31" t="s">
        <v>590</v>
      </c>
      <c r="J25" s="31"/>
      <c r="K25" s="31"/>
      <c r="L25" s="31" t="s">
        <v>615</v>
      </c>
      <c r="M25" s="31"/>
      <c r="N25" s="31"/>
      <c r="O25" s="31"/>
      <c r="P25" s="31"/>
      <c r="Q25" s="31"/>
      <c r="R25" s="31"/>
      <c r="S25" s="32" t="s">
        <v>616</v>
      </c>
      <c r="T25" s="1092" t="str">
        <f>A17</f>
        <v>Diesel</v>
      </c>
      <c r="U25" s="1093"/>
      <c r="V25" s="1093"/>
      <c r="W25" s="1093"/>
      <c r="X25" s="1094">
        <v>524.47500000000002</v>
      </c>
      <c r="Y25" s="1094"/>
      <c r="Z25" s="1094"/>
      <c r="AA25" s="1093" t="s">
        <v>617</v>
      </c>
      <c r="AB25" s="1093"/>
      <c r="AC25" s="1095">
        <f>X25/H17</f>
        <v>1.7182324785988778</v>
      </c>
      <c r="AD25" s="1095"/>
      <c r="AE25" s="1093" t="s">
        <v>618</v>
      </c>
      <c r="AF25" s="1093"/>
      <c r="AG25" s="1093"/>
      <c r="AH25" s="1198">
        <f>X25*N17/3600</f>
        <v>6.2048306250000014</v>
      </c>
      <c r="AI25" s="1198"/>
      <c r="AJ25" s="361" t="s">
        <v>590</v>
      </c>
      <c r="AK25" s="362"/>
      <c r="AL25" s="303"/>
      <c r="AM25" s="363">
        <f>X25*W22</f>
        <v>0</v>
      </c>
      <c r="AN25" s="303"/>
      <c r="AO25" s="303"/>
      <c r="AP25" s="303"/>
      <c r="AQ25" s="303"/>
      <c r="AR25" s="351">
        <f>AX7</f>
        <v>0.01</v>
      </c>
      <c r="AS25" s="354">
        <f>AR25*$AR$6/1055.06</f>
        <v>4.3030728110249664E-6</v>
      </c>
      <c r="AT25" s="355">
        <f>AS25*$Q$16*1000000</f>
        <v>193.16577100135797</v>
      </c>
      <c r="AU25" s="356">
        <f>AX9</f>
        <v>3.5333333333333336E-3</v>
      </c>
      <c r="AV25" s="354">
        <f>AU25*$AR$6/1055.06</f>
        <v>1.5204190598954882E-6</v>
      </c>
      <c r="AW25" s="355">
        <f>AV25*$Q$16*1000000</f>
        <v>68.251905753813148</v>
      </c>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0</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c r="B27" s="1081"/>
      <c r="C27" s="1081"/>
      <c r="D27" s="1081"/>
      <c r="E27" s="1081"/>
      <c r="F27" s="1042" t="str">
        <f>A17</f>
        <v>Diesel</v>
      </c>
      <c r="G27" s="1043"/>
      <c r="H27" s="1043"/>
      <c r="I27" s="1043"/>
      <c r="J27" s="1043"/>
      <c r="K27" s="1043"/>
      <c r="L27" s="1043"/>
      <c r="M27" s="1043"/>
      <c r="N27" s="1043"/>
      <c r="O27" s="1043"/>
      <c r="P27" s="1043"/>
      <c r="Q27" s="1043"/>
      <c r="R27" s="1043"/>
      <c r="S27" s="1043"/>
      <c r="T27" s="1043"/>
      <c r="U27" s="1080"/>
      <c r="V27" s="31"/>
      <c r="W27" s="31"/>
      <c r="X27" s="426">
        <f>AH25</f>
        <v>6.2048306250000014</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29">
        <v>60</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29">
        <f>X27*X28</f>
        <v>372.28983750000009</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29">
        <f>X29*3600/1000</f>
        <v>1340.2434150000004</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196">
        <v>0</v>
      </c>
      <c r="G31" s="1197"/>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BF33</f>
        <v>3.7672634101823899E-6</v>
      </c>
      <c r="G32" s="1195"/>
      <c r="H32" s="1051">
        <f>F32*$AC$25</f>
        <v>6.4730343468125489E-6</v>
      </c>
      <c r="I32" s="1052"/>
      <c r="J32" s="1059"/>
      <c r="K32" s="1059"/>
      <c r="L32" s="1060"/>
      <c r="M32" s="1059"/>
      <c r="N32" s="1054">
        <f t="shared" si="2"/>
        <v>1.0384041699156692E-4</v>
      </c>
      <c r="O32" s="1055"/>
      <c r="P32" s="1061">
        <f>R32/$R$53</f>
        <v>0</v>
      </c>
      <c r="Q32" s="1062"/>
      <c r="R32" s="1060">
        <f>T32/$AR32</f>
        <v>0</v>
      </c>
      <c r="S32" s="1059"/>
      <c r="T32" s="1064">
        <f>$K$22*$X$25</f>
        <v>0</v>
      </c>
      <c r="U32" s="1065"/>
      <c r="V32" s="1644" t="s">
        <v>847</v>
      </c>
      <c r="W32" s="1652"/>
      <c r="X32" s="1652"/>
      <c r="Y32" s="1652"/>
      <c r="Z32" s="1652"/>
      <c r="AA32" s="1652"/>
      <c r="AB32" s="1652"/>
      <c r="AC32" s="1652"/>
      <c r="AD32" s="1652"/>
      <c r="AE32" s="1652"/>
      <c r="AF32" s="1652"/>
      <c r="AG32" s="1652"/>
      <c r="AH32" s="1652"/>
      <c r="AI32" s="1652"/>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1653"/>
      <c r="W33" s="1652"/>
      <c r="X33" s="1652"/>
      <c r="Y33" s="1652"/>
      <c r="Z33" s="1652"/>
      <c r="AA33" s="1652"/>
      <c r="AB33" s="1652"/>
      <c r="AC33" s="1652"/>
      <c r="AD33" s="1652"/>
      <c r="AE33" s="1652"/>
      <c r="AF33" s="1652"/>
      <c r="AG33" s="1652"/>
      <c r="AH33" s="1652"/>
      <c r="AI33" s="1652"/>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BF34</f>
        <v>2.32021919756754E-4</v>
      </c>
      <c r="G34" s="1050"/>
      <c r="H34" s="1051">
        <f t="shared" si="1"/>
        <v>3.9866759827291738E-4</v>
      </c>
      <c r="I34" s="1052"/>
      <c r="J34" s="1059"/>
      <c r="K34" s="1059"/>
      <c r="L34" s="1060"/>
      <c r="M34" s="1059"/>
      <c r="N34" s="1054">
        <f t="shared" si="2"/>
        <v>1.1987137344870079E-2</v>
      </c>
      <c r="O34" s="1055"/>
      <c r="P34" s="1061">
        <f t="shared" si="10"/>
        <v>0</v>
      </c>
      <c r="Q34" s="1062"/>
      <c r="R34" s="1059">
        <f>T34/$AR34</f>
        <v>0</v>
      </c>
      <c r="S34" s="1059"/>
      <c r="T34" s="1061">
        <f t="shared" si="11"/>
        <v>0</v>
      </c>
      <c r="U34" s="1062"/>
      <c r="V34" s="1653"/>
      <c r="W34" s="1652"/>
      <c r="X34" s="1652"/>
      <c r="Y34" s="1652"/>
      <c r="Z34" s="1652"/>
      <c r="AA34" s="1652"/>
      <c r="AB34" s="1652"/>
      <c r="AC34" s="1652"/>
      <c r="AD34" s="1652"/>
      <c r="AE34" s="1652"/>
      <c r="AF34" s="1652"/>
      <c r="AG34" s="1652"/>
      <c r="AH34" s="1652"/>
      <c r="AI34" s="1652"/>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1653"/>
      <c r="W35" s="1652"/>
      <c r="X35" s="1652"/>
      <c r="Y35" s="1652"/>
      <c r="Z35" s="1652"/>
      <c r="AA35" s="1652"/>
      <c r="AB35" s="1652"/>
      <c r="AC35" s="1652"/>
      <c r="AD35" s="1652"/>
      <c r="AE35" s="1652"/>
      <c r="AF35" s="1652"/>
      <c r="AG35" s="1652"/>
      <c r="AH35" s="1652"/>
      <c r="AI35" s="1652"/>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BF35</f>
        <v>4.1140406723645098E-3</v>
      </c>
      <c r="G36" s="1050"/>
      <c r="H36" s="1051">
        <f t="shared" si="1"/>
        <v>7.0688783015334655E-3</v>
      </c>
      <c r="I36" s="1052"/>
      <c r="J36" s="1059"/>
      <c r="K36" s="1059"/>
      <c r="L36" s="1060"/>
      <c r="M36" s="1059"/>
      <c r="N36" s="1054">
        <f t="shared" si="2"/>
        <v>0.31169511982781661</v>
      </c>
      <c r="O36" s="1055"/>
      <c r="P36" s="1061">
        <f t="shared" si="10"/>
        <v>0</v>
      </c>
      <c r="Q36" s="1062"/>
      <c r="R36" s="1059">
        <f t="shared" si="12"/>
        <v>0</v>
      </c>
      <c r="S36" s="1059"/>
      <c r="T36" s="1061">
        <f t="shared" si="11"/>
        <v>0</v>
      </c>
      <c r="U36" s="1062"/>
      <c r="V36" s="1653"/>
      <c r="W36" s="1652"/>
      <c r="X36" s="1652"/>
      <c r="Y36" s="1652"/>
      <c r="Z36" s="1652"/>
      <c r="AA36" s="1652"/>
      <c r="AB36" s="1652"/>
      <c r="AC36" s="1652"/>
      <c r="AD36" s="1652"/>
      <c r="AE36" s="1652"/>
      <c r="AF36" s="1652"/>
      <c r="AG36" s="1652"/>
      <c r="AH36" s="1652"/>
      <c r="AI36" s="1652"/>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1653"/>
      <c r="W37" s="1652"/>
      <c r="X37" s="1652"/>
      <c r="Y37" s="1652"/>
      <c r="Z37" s="1652"/>
      <c r="AA37" s="1652"/>
      <c r="AB37" s="1652"/>
      <c r="AC37" s="1652"/>
      <c r="AD37" s="1652"/>
      <c r="AE37" s="1652"/>
      <c r="AF37" s="1652"/>
      <c r="AG37" s="1652"/>
      <c r="AH37" s="1652"/>
      <c r="AI37" s="1652"/>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BF36</f>
        <v>4.2987554978870402E-3</v>
      </c>
      <c r="G38" s="1050"/>
      <c r="H38" s="1051">
        <f t="shared" si="1"/>
        <v>7.3862613140250021E-3</v>
      </c>
      <c r="I38" s="1052"/>
      <c r="J38" s="1059"/>
      <c r="K38" s="1059"/>
      <c r="L38" s="1060"/>
      <c r="M38" s="1059"/>
      <c r="N38" s="1054">
        <f t="shared" si="2"/>
        <v>0.4292895075711331</v>
      </c>
      <c r="O38" s="1055"/>
      <c r="P38" s="1061">
        <f t="shared" si="10"/>
        <v>0</v>
      </c>
      <c r="Q38" s="1062"/>
      <c r="R38" s="1059">
        <f t="shared" si="12"/>
        <v>0</v>
      </c>
      <c r="S38" s="1059"/>
      <c r="T38" s="1061">
        <f t="shared" si="11"/>
        <v>0</v>
      </c>
      <c r="U38" s="1062"/>
      <c r="V38" s="1653"/>
      <c r="W38" s="1652"/>
      <c r="X38" s="1652"/>
      <c r="Y38" s="1652"/>
      <c r="Z38" s="1652"/>
      <c r="AA38" s="1652"/>
      <c r="AB38" s="1652"/>
      <c r="AC38" s="1652"/>
      <c r="AD38" s="1652"/>
      <c r="AE38" s="1652"/>
      <c r="AF38" s="1652"/>
      <c r="AG38" s="1652"/>
      <c r="AH38" s="1652"/>
      <c r="AI38" s="1652"/>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f>BF37</f>
        <v>1.33109664079022E-2</v>
      </c>
      <c r="G39" s="1050"/>
      <c r="H39" s="1051">
        <f t="shared" si="1"/>
        <v>2.28713348035962E-2</v>
      </c>
      <c r="I39" s="1052"/>
      <c r="J39" s="1059"/>
      <c r="K39" s="1059"/>
      <c r="L39" s="1060"/>
      <c r="M39" s="1059"/>
      <c r="N39" s="1054">
        <f t="shared" si="2"/>
        <v>1.3292819787850112</v>
      </c>
      <c r="O39" s="1055"/>
      <c r="P39" s="1061">
        <f t="shared" si="10"/>
        <v>0</v>
      </c>
      <c r="Q39" s="1062"/>
      <c r="R39" s="1059">
        <f t="shared" si="12"/>
        <v>0</v>
      </c>
      <c r="S39" s="1059"/>
      <c r="T39" s="1061">
        <f t="shared" si="11"/>
        <v>0</v>
      </c>
      <c r="U39" s="1062"/>
      <c r="V39" s="1653"/>
      <c r="W39" s="1652"/>
      <c r="X39" s="1652"/>
      <c r="Y39" s="1652"/>
      <c r="Z39" s="1652"/>
      <c r="AA39" s="1652"/>
      <c r="AB39" s="1652"/>
      <c r="AC39" s="1652"/>
      <c r="AD39" s="1652"/>
      <c r="AE39" s="1652"/>
      <c r="AF39" s="1652"/>
      <c r="AG39" s="1652"/>
      <c r="AH39" s="1652"/>
      <c r="AI39" s="1652"/>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BF38</f>
        <v>1.4450640107125301E-2</v>
      </c>
      <c r="G40" s="1050"/>
      <c r="H40" s="1051">
        <f t="shared" si="1"/>
        <v>2.4829559168606258E-2</v>
      </c>
      <c r="I40" s="1052"/>
      <c r="J40" s="1059"/>
      <c r="K40" s="1059"/>
      <c r="L40" s="1060"/>
      <c r="M40" s="1059"/>
      <c r="N40" s="1054">
        <f t="shared" si="2"/>
        <v>1.7913533757782671</v>
      </c>
      <c r="O40" s="1055"/>
      <c r="P40" s="1061">
        <f t="shared" si="10"/>
        <v>0</v>
      </c>
      <c r="Q40" s="1062"/>
      <c r="R40" s="1059">
        <f t="shared" si="12"/>
        <v>0</v>
      </c>
      <c r="S40" s="1059"/>
      <c r="T40" s="1061">
        <f t="shared" si="11"/>
        <v>0</v>
      </c>
      <c r="U40" s="1062"/>
      <c r="V40" s="1653"/>
      <c r="W40" s="1652"/>
      <c r="X40" s="1652"/>
      <c r="Y40" s="1652"/>
      <c r="Z40" s="1652"/>
      <c r="AA40" s="1652"/>
      <c r="AB40" s="1652"/>
      <c r="AC40" s="1652"/>
      <c r="AD40" s="1652"/>
      <c r="AE40" s="1652"/>
      <c r="AF40" s="1652"/>
      <c r="AG40" s="1652"/>
      <c r="AH40" s="1652"/>
      <c r="AI40" s="1652"/>
      <c r="AJ40" s="1069"/>
      <c r="AK40" s="1124"/>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BF40</f>
        <v>1.8657920075756399E-2</v>
      </c>
      <c r="G41" s="1050"/>
      <c r="H41" s="1051">
        <f t="shared" si="1"/>
        <v>3.2058644257266677E-2</v>
      </c>
      <c r="I41" s="1052"/>
      <c r="J41" s="1059"/>
      <c r="K41" s="1059"/>
      <c r="L41" s="1060"/>
      <c r="M41" s="1059"/>
      <c r="N41" s="1054">
        <f t="shared" si="2"/>
        <v>2.3129029485847616</v>
      </c>
      <c r="O41" s="1055"/>
      <c r="P41" s="1061">
        <f t="shared" si="10"/>
        <v>0</v>
      </c>
      <c r="Q41" s="1062"/>
      <c r="R41" s="1059">
        <f t="shared" si="12"/>
        <v>0</v>
      </c>
      <c r="S41" s="1059"/>
      <c r="T41" s="1061">
        <f t="shared" si="11"/>
        <v>0</v>
      </c>
      <c r="U41" s="1062"/>
      <c r="V41" s="1653"/>
      <c r="W41" s="1652"/>
      <c r="X41" s="1652"/>
      <c r="Y41" s="1652"/>
      <c r="Z41" s="1652"/>
      <c r="AA41" s="1652"/>
      <c r="AB41" s="1652"/>
      <c r="AC41" s="1652"/>
      <c r="AD41" s="1652"/>
      <c r="AE41" s="1652"/>
      <c r="AF41" s="1652"/>
      <c r="AG41" s="1652"/>
      <c r="AH41" s="1652"/>
      <c r="AI41" s="1652"/>
      <c r="AJ41" s="1069"/>
      <c r="AK41" s="1124"/>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425</v>
      </c>
      <c r="B42" s="376"/>
      <c r="C42" s="376"/>
      <c r="D42" s="376"/>
      <c r="E42" s="377"/>
      <c r="F42" s="1049">
        <f>SUM(BF41:BF75)</f>
        <v>0.94337200608568694</v>
      </c>
      <c r="G42" s="1050"/>
      <c r="H42" s="1064">
        <f t="shared" si="1"/>
        <v>1.6209324202574056</v>
      </c>
      <c r="I42" s="1065"/>
      <c r="J42" s="1059"/>
      <c r="K42" s="1059"/>
      <c r="L42" s="1060"/>
      <c r="M42" s="1059"/>
      <c r="N42" s="1054">
        <f t="shared" si="2"/>
        <v>518.22003732515179</v>
      </c>
      <c r="O42" s="1055"/>
      <c r="P42" s="1061">
        <f t="shared" si="10"/>
        <v>0</v>
      </c>
      <c r="Q42" s="1062"/>
      <c r="R42" s="1059">
        <f t="shared" si="12"/>
        <v>0</v>
      </c>
      <c r="S42" s="1059"/>
      <c r="T42" s="1061">
        <f t="shared" si="11"/>
        <v>0</v>
      </c>
      <c r="U42" s="1062"/>
      <c r="V42" s="1032"/>
      <c r="W42" s="1032"/>
      <c r="X42" s="1033"/>
      <c r="Y42" s="1033"/>
      <c r="Z42" s="1032"/>
      <c r="AA42" s="1032"/>
      <c r="AB42" s="1032"/>
      <c r="AC42" s="1032"/>
      <c r="AD42" s="1033"/>
      <c r="AE42" s="1033"/>
      <c r="AF42" s="1047"/>
      <c r="AG42" s="1047"/>
      <c r="AH42" s="1032"/>
      <c r="AI42" s="1032"/>
      <c r="AJ42" s="1048"/>
      <c r="AK42" s="105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56.570177864715887</v>
      </c>
      <c r="K45" s="1070"/>
      <c r="L45" s="1060">
        <f>0.15*J45</f>
        <v>8.4855266797073821</v>
      </c>
      <c r="M45" s="1059"/>
      <c r="N45" s="1066">
        <f t="shared" si="2"/>
        <v>2081.7825454215445</v>
      </c>
      <c r="O45" s="1067"/>
      <c r="P45" s="1061">
        <f t="shared" si="10"/>
        <v>2.6677885602713638E-2</v>
      </c>
      <c r="Q45" s="1062"/>
      <c r="R45" s="1059">
        <f>L45+SUMPRODUCT(R32:R44,$AS32:$AS44)</f>
        <v>8.4855266797073821</v>
      </c>
      <c r="S45" s="1059"/>
      <c r="T45" s="1071">
        <f>R45*$AR45</f>
        <v>271.53685375063623</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BF31</f>
        <v>1.4415226502516399E-10</v>
      </c>
      <c r="G46" s="1195"/>
      <c r="H46" s="1061">
        <f t="shared" si="1"/>
        <v>2.4768710362982983E-10</v>
      </c>
      <c r="I46" s="1062"/>
      <c r="J46" s="1059">
        <f>0.79/0.21*J45</f>
        <v>212.81162149107408</v>
      </c>
      <c r="K46" s="1063"/>
      <c r="L46" s="1060">
        <f>0.71/0.29*L45</f>
        <v>20.7749101468698</v>
      </c>
      <c r="M46" s="1059"/>
      <c r="N46" s="1066">
        <f>SUM(H46,J46,L46)*AR46</f>
        <v>6540.4228858693641</v>
      </c>
      <c r="O46" s="1067"/>
      <c r="P46" s="1064">
        <f t="shared" si="10"/>
        <v>0.7343759302006051</v>
      </c>
      <c r="Q46" s="1065"/>
      <c r="R46" s="1064">
        <f>$H46+J46+L46-R49</f>
        <v>233.58547380600112</v>
      </c>
      <c r="S46" s="1065"/>
      <c r="T46" s="1066">
        <f>R46*$AR46</f>
        <v>6540.3932665680313</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1.1765736557664538E-6</v>
      </c>
      <c r="Q47" s="1062"/>
      <c r="R47" s="1059">
        <f>T47/$AR$47</f>
        <v>3.7423682278746816E-4</v>
      </c>
      <c r="S47" s="1059"/>
      <c r="T47" s="1064">
        <f>$AC17*$X25</f>
        <v>1.0482373406276982E-2</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BF32</f>
        <v>1.04835044112351E-6</v>
      </c>
      <c r="G48" s="1195"/>
      <c r="H48" s="1061">
        <f t="shared" si="1"/>
        <v>1.8013097768918756E-6</v>
      </c>
      <c r="I48" s="1062"/>
      <c r="J48" s="1059"/>
      <c r="K48" s="1059"/>
      <c r="L48" s="1060"/>
      <c r="M48" s="1059"/>
      <c r="N48" s="1061">
        <f t="shared" si="2"/>
        <v>7.9275643281011442E-5</v>
      </c>
      <c r="O48" s="1062"/>
      <c r="P48" s="1064">
        <f t="shared" si="10"/>
        <v>0.11676935192729565</v>
      </c>
      <c r="Q48" s="1065"/>
      <c r="R48" s="1068">
        <f>SUMPRODUCT($H31:$H52,$AU31:$AU52)+$H48-R47-SUMPRODUCT(R32:R42,$AU32:$AU42)</f>
        <v>37.141228728052567</v>
      </c>
      <c r="S48" s="1059"/>
      <c r="T48" s="1066">
        <f>R48*$AR48</f>
        <v>1634.5854763215934</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3.3257483275116929E-6</v>
      </c>
      <c r="Q49" s="1062"/>
      <c r="R49" s="1060">
        <f>T49/$AR49</f>
        <v>1.057832190427494E-3</v>
      </c>
      <c r="S49" s="1063"/>
      <c r="T49" s="1064">
        <f>$W17*$X25</f>
        <v>4.866028075966472E-2</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1.5719062744120601E-7</v>
      </c>
      <c r="Q51" s="1062"/>
      <c r="R51" s="1066">
        <f>T51/$AR51</f>
        <v>4.9998162628623762E-5</v>
      </c>
      <c r="S51" s="1067"/>
      <c r="T51" s="1060">
        <f>Q22*X25</f>
        <v>3.1998824082319207E-3</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193">
        <f>BF76</f>
        <v>1.4951987737782399E-3</v>
      </c>
      <c r="G52" s="1194"/>
      <c r="H52" s="1051">
        <f t="shared" si="1"/>
        <v>2.5690990950669882E-3</v>
      </c>
      <c r="I52" s="1052"/>
      <c r="J52" s="1032"/>
      <c r="K52" s="1032"/>
      <c r="L52" s="1053"/>
      <c r="M52" s="1032"/>
      <c r="N52" s="1054">
        <f t="shared" si="2"/>
        <v>4.6284889296726854E-2</v>
      </c>
      <c r="O52" s="1055"/>
      <c r="P52" s="1056">
        <f t="shared" si="10"/>
        <v>0.12217217275677476</v>
      </c>
      <c r="Q52" s="1057"/>
      <c r="R52" s="1044">
        <f>SUMPRODUCT(H31:H52,$AV31:$AV52)+H52-SUMPRODUCT(R32:R42,$AV32:$AV42)</f>
        <v>38.859722501395701</v>
      </c>
      <c r="S52" s="1044"/>
      <c r="T52" s="1045">
        <f>R52*$AR52</f>
        <v>700.09676058514492</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0.99993636529826091</v>
      </c>
      <c r="G53" s="1038"/>
      <c r="H53" s="1039">
        <f>SUM(H31:H52)</f>
        <v>1.718123139387584</v>
      </c>
      <c r="I53" s="1040"/>
      <c r="J53" s="1041">
        <f>SUM(J31:J52)</f>
        <v>269.38179935578995</v>
      </c>
      <c r="K53" s="1041"/>
      <c r="L53" s="1042">
        <f>SUM(L31:L52)</f>
        <v>29.260436826577184</v>
      </c>
      <c r="M53" s="1043"/>
      <c r="N53" s="1030">
        <f>SUM(N31:N52)</f>
        <v>9146.6584466893091</v>
      </c>
      <c r="O53" s="1031"/>
      <c r="P53" s="1028">
        <f>SUM(P31:P52)</f>
        <v>0.99999999999999978</v>
      </c>
      <c r="Q53" s="1029"/>
      <c r="R53" s="1030">
        <f>SUM(R31:R52)</f>
        <v>318.07343378233264</v>
      </c>
      <c r="S53" s="1031"/>
      <c r="T53" s="1030">
        <f>SUM(T31:T52)</f>
        <v>9146.6746997619812</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1.3516744655462423E-2</v>
      </c>
      <c r="M55" s="1186"/>
      <c r="N55" s="1192">
        <f>W17*$X$25</f>
        <v>4.866028075966472E-2</v>
      </c>
      <c r="O55" s="1192"/>
      <c r="P55" s="31" t="s">
        <v>617</v>
      </c>
      <c r="Q55" s="31"/>
      <c r="R55" s="1291">
        <f>N55*5*12/1000</f>
        <v>2.9196168455798829E-3</v>
      </c>
      <c r="S55" s="1291"/>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436">
        <f t="shared" ref="L56:L61" si="13">N56*1000/3600</f>
        <v>2.9117703906324953E-3</v>
      </c>
      <c r="M56" s="1437"/>
      <c r="N56" s="1192">
        <f>AC17*$X$25</f>
        <v>1.0482373406276982E-2</v>
      </c>
      <c r="O56" s="1192"/>
      <c r="P56" s="31" t="s">
        <v>617</v>
      </c>
      <c r="Q56" s="31"/>
      <c r="R56" s="1291">
        <f t="shared" ref="R56:R61" si="14">N56*5*12/1000</f>
        <v>6.2894240437661895E-4</v>
      </c>
      <c r="S56" s="1291"/>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436">
        <f t="shared" si="13"/>
        <v>9.5015665378534071E-4</v>
      </c>
      <c r="M57" s="1437"/>
      <c r="N57" s="1192">
        <f>AI17*$X$25</f>
        <v>3.4205639536272264E-3</v>
      </c>
      <c r="O57" s="1192"/>
      <c r="P57" s="31" t="s">
        <v>617</v>
      </c>
      <c r="Q57" s="31"/>
      <c r="R57" s="1291">
        <f t="shared" si="14"/>
        <v>2.052338372176336E-4</v>
      </c>
      <c r="S57" s="1291"/>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436">
        <f t="shared" si="13"/>
        <v>0</v>
      </c>
      <c r="M58" s="1437"/>
      <c r="N58" s="1191">
        <f>K22*$X$25</f>
        <v>0</v>
      </c>
      <c r="O58" s="1191"/>
      <c r="P58" s="31" t="s">
        <v>617</v>
      </c>
      <c r="Q58" s="31"/>
      <c r="R58" s="1291">
        <f t="shared" si="14"/>
        <v>0</v>
      </c>
      <c r="S58" s="1291"/>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436">
        <f t="shared" si="13"/>
        <v>0</v>
      </c>
      <c r="M59" s="1437"/>
      <c r="N59" s="1192">
        <f>X25*W22</f>
        <v>0</v>
      </c>
      <c r="O59" s="1192"/>
      <c r="P59" s="31" t="s">
        <v>617</v>
      </c>
      <c r="Q59" s="31"/>
      <c r="R59" s="1291">
        <f t="shared" si="14"/>
        <v>0</v>
      </c>
      <c r="S59" s="1291"/>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8.8885622450886694E-4</v>
      </c>
      <c r="M60" s="1186"/>
      <c r="N60" s="1191">
        <f>Q22*$X$25</f>
        <v>3.1998824082319207E-3</v>
      </c>
      <c r="O60" s="1191"/>
      <c r="P60" s="31" t="s">
        <v>617</v>
      </c>
      <c r="Q60" s="31"/>
      <c r="R60" s="1291">
        <f t="shared" si="14"/>
        <v>1.9199294449391525E-4</v>
      </c>
      <c r="S60" s="1291"/>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0</v>
      </c>
      <c r="M61" s="1186"/>
      <c r="N61" s="1191">
        <f>AC22*$X$25</f>
        <v>0</v>
      </c>
      <c r="O61" s="1191"/>
      <c r="P61" s="31" t="s">
        <v>617</v>
      </c>
      <c r="Q61" s="31"/>
      <c r="R61" s="1291">
        <f t="shared" si="14"/>
        <v>0</v>
      </c>
      <c r="S61" s="1291"/>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436">
        <f>O62*1000/3600</f>
        <v>441.04499133918051</v>
      </c>
      <c r="M62" s="1437"/>
      <c r="N62" s="31"/>
      <c r="O62" s="427">
        <f>'Diesel F'!I56*X25</f>
        <v>1587.76196882105</v>
      </c>
      <c r="P62" s="395" t="s">
        <v>617</v>
      </c>
      <c r="Q62" s="395"/>
      <c r="R62" s="1291">
        <f>O62*5*12/1000</f>
        <v>95.265718129262993</v>
      </c>
      <c r="S62" s="1291"/>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680</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682</v>
      </c>
      <c r="B65" s="31" t="s">
        <v>689</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832</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232"/>
      <c r="B67" s="147"/>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2"/>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32"/>
      <c r="B68" s="147"/>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I7O5sfi+QAsjEtv7ojd2tcclQAKb83uyXGRfUvere9BoFf/QRPck79l8lPTX6tRD2hRn1escl0AdjpX8YpFlAA==" saltValue="EJac6xYaAtaBt7M/a/uzEg==" spinCount="100000" sheet="1" objects="1" scenarios="1" selectLockedCells="1" selectUnlockedCells="1"/>
  <mergeCells count="459">
    <mergeCell ref="L62:M62"/>
    <mergeCell ref="R62:S62"/>
    <mergeCell ref="AE59:AF59"/>
    <mergeCell ref="L60:M60"/>
    <mergeCell ref="N60:O60"/>
    <mergeCell ref="R60:S60"/>
    <mergeCell ref="L61:M61"/>
    <mergeCell ref="N61:O61"/>
    <mergeCell ref="R61:S61"/>
    <mergeCell ref="AE57:AF57"/>
    <mergeCell ref="L58:M58"/>
    <mergeCell ref="N58:O58"/>
    <mergeCell ref="R58:S58"/>
    <mergeCell ref="L59:M59"/>
    <mergeCell ref="N59:O59"/>
    <mergeCell ref="R59:S59"/>
    <mergeCell ref="T59:U59"/>
    <mergeCell ref="Y59:Z59"/>
    <mergeCell ref="AC59:AD59"/>
    <mergeCell ref="L56:M56"/>
    <mergeCell ref="N56:O56"/>
    <mergeCell ref="R56:S56"/>
    <mergeCell ref="L57:M57"/>
    <mergeCell ref="N57:O57"/>
    <mergeCell ref="R57:S57"/>
    <mergeCell ref="T57:U57"/>
    <mergeCell ref="Y57:Z57"/>
    <mergeCell ref="AC57:AD57"/>
    <mergeCell ref="AF53:AG53"/>
    <mergeCell ref="AH53:AI53"/>
    <mergeCell ref="AJ53:AK53"/>
    <mergeCell ref="L54:M54"/>
    <mergeCell ref="L55:M55"/>
    <mergeCell ref="N55:O55"/>
    <mergeCell ref="R55:S55"/>
    <mergeCell ref="T55:U55"/>
    <mergeCell ref="Y55:Z55"/>
    <mergeCell ref="AC55:AD55"/>
    <mergeCell ref="T53:U53"/>
    <mergeCell ref="V53:W53"/>
    <mergeCell ref="X53:Y53"/>
    <mergeCell ref="Z53:AA53"/>
    <mergeCell ref="AB53:AC53"/>
    <mergeCell ref="AD53:AE53"/>
    <mergeCell ref="AE55:AF55"/>
    <mergeCell ref="A53:E53"/>
    <mergeCell ref="F53:G53"/>
    <mergeCell ref="H53:I53"/>
    <mergeCell ref="J53:K53"/>
    <mergeCell ref="L53:M53"/>
    <mergeCell ref="N53:O53"/>
    <mergeCell ref="P53:Q53"/>
    <mergeCell ref="R53:S53"/>
    <mergeCell ref="V52:W52"/>
    <mergeCell ref="AJ51:AK51"/>
    <mergeCell ref="F52:G52"/>
    <mergeCell ref="H52:I52"/>
    <mergeCell ref="J52:K52"/>
    <mergeCell ref="L52:M52"/>
    <mergeCell ref="N52:O52"/>
    <mergeCell ref="P52:Q52"/>
    <mergeCell ref="R52:S52"/>
    <mergeCell ref="T52:U52"/>
    <mergeCell ref="V51:W51"/>
    <mergeCell ref="X51:Y51"/>
    <mergeCell ref="Z51:AA51"/>
    <mergeCell ref="AB51:AC51"/>
    <mergeCell ref="AD51:AE51"/>
    <mergeCell ref="AF51:AG51"/>
    <mergeCell ref="AH52:AI52"/>
    <mergeCell ref="AJ52:AK52"/>
    <mergeCell ref="X52:Y52"/>
    <mergeCell ref="Z52:AA52"/>
    <mergeCell ref="AB52:AC52"/>
    <mergeCell ref="AD52:AE52"/>
    <mergeCell ref="AF52:AG52"/>
    <mergeCell ref="F51:G51"/>
    <mergeCell ref="H51:I51"/>
    <mergeCell ref="J51:K51"/>
    <mergeCell ref="L51:M51"/>
    <mergeCell ref="N51:O51"/>
    <mergeCell ref="P51:Q51"/>
    <mergeCell ref="R51:S51"/>
    <mergeCell ref="T51:U51"/>
    <mergeCell ref="V50:W50"/>
    <mergeCell ref="AH49:AI49"/>
    <mergeCell ref="J49:K49"/>
    <mergeCell ref="L49:M49"/>
    <mergeCell ref="N49:O49"/>
    <mergeCell ref="P49:Q49"/>
    <mergeCell ref="R49:S49"/>
    <mergeCell ref="T49:U49"/>
    <mergeCell ref="AH51:AI51"/>
    <mergeCell ref="AJ49:AK49"/>
    <mergeCell ref="F50:G50"/>
    <mergeCell ref="H50:I50"/>
    <mergeCell ref="J50:K50"/>
    <mergeCell ref="L50:M50"/>
    <mergeCell ref="N50:O50"/>
    <mergeCell ref="P50:Q50"/>
    <mergeCell ref="R50:S50"/>
    <mergeCell ref="T50:U50"/>
    <mergeCell ref="V49:W49"/>
    <mergeCell ref="X49:Y49"/>
    <mergeCell ref="Z49:AA49"/>
    <mergeCell ref="AB49:AC49"/>
    <mergeCell ref="AD49:AE49"/>
    <mergeCell ref="AF49:AG49"/>
    <mergeCell ref="AH50:AI50"/>
    <mergeCell ref="AJ50:AK50"/>
    <mergeCell ref="X50:Y50"/>
    <mergeCell ref="Z50:AA50"/>
    <mergeCell ref="AB50:AC50"/>
    <mergeCell ref="AD50:AE50"/>
    <mergeCell ref="AF50:AG50"/>
    <mergeCell ref="F49:G49"/>
    <mergeCell ref="H49:I49"/>
    <mergeCell ref="V48:W48"/>
    <mergeCell ref="AH47:AI47"/>
    <mergeCell ref="AJ47:AK47"/>
    <mergeCell ref="F48:G48"/>
    <mergeCell ref="H48:I48"/>
    <mergeCell ref="J48:K48"/>
    <mergeCell ref="L48:M48"/>
    <mergeCell ref="N48:O48"/>
    <mergeCell ref="P48:Q48"/>
    <mergeCell ref="R48:S48"/>
    <mergeCell ref="T48:U48"/>
    <mergeCell ref="V47:W47"/>
    <mergeCell ref="X47:Y47"/>
    <mergeCell ref="Z47:AA47"/>
    <mergeCell ref="AB47:AC47"/>
    <mergeCell ref="AD47:AE47"/>
    <mergeCell ref="AF47:AG47"/>
    <mergeCell ref="AH48:AI48"/>
    <mergeCell ref="AJ48:AK48"/>
    <mergeCell ref="X48:Y48"/>
    <mergeCell ref="Z48:AA48"/>
    <mergeCell ref="AB48:AC48"/>
    <mergeCell ref="AD48:AE48"/>
    <mergeCell ref="AF48:AG48"/>
    <mergeCell ref="F47:G47"/>
    <mergeCell ref="H47:I47"/>
    <mergeCell ref="J47:K47"/>
    <mergeCell ref="L47:M47"/>
    <mergeCell ref="N47:O47"/>
    <mergeCell ref="P47:Q47"/>
    <mergeCell ref="R47:S47"/>
    <mergeCell ref="T47:U47"/>
    <mergeCell ref="V46:W46"/>
    <mergeCell ref="AJ45:AK45"/>
    <mergeCell ref="F46:G46"/>
    <mergeCell ref="H46:I46"/>
    <mergeCell ref="J46:K46"/>
    <mergeCell ref="L46:M46"/>
    <mergeCell ref="N46:O46"/>
    <mergeCell ref="P46:Q46"/>
    <mergeCell ref="R46:S46"/>
    <mergeCell ref="T46:U46"/>
    <mergeCell ref="V45:W45"/>
    <mergeCell ref="X45:Y45"/>
    <mergeCell ref="Z45:AA45"/>
    <mergeCell ref="AB45:AC45"/>
    <mergeCell ref="AD45:AE45"/>
    <mergeCell ref="AF45:AG45"/>
    <mergeCell ref="AH46:AI46"/>
    <mergeCell ref="AJ46:AK46"/>
    <mergeCell ref="X46:Y46"/>
    <mergeCell ref="Z46:AA46"/>
    <mergeCell ref="AB46:AC46"/>
    <mergeCell ref="AD46:AE46"/>
    <mergeCell ref="AF46:AG46"/>
    <mergeCell ref="F45:G45"/>
    <mergeCell ref="H45:I45"/>
    <mergeCell ref="J45:K45"/>
    <mergeCell ref="L45:M45"/>
    <mergeCell ref="N45:O45"/>
    <mergeCell ref="P45:Q45"/>
    <mergeCell ref="R45:S45"/>
    <mergeCell ref="T45:U45"/>
    <mergeCell ref="V44:W44"/>
    <mergeCell ref="AH43:AI43"/>
    <mergeCell ref="J43:K43"/>
    <mergeCell ref="L43:M43"/>
    <mergeCell ref="N43:O43"/>
    <mergeCell ref="P43:Q43"/>
    <mergeCell ref="R43:S43"/>
    <mergeCell ref="T43:U43"/>
    <mergeCell ref="AH45:AI45"/>
    <mergeCell ref="AJ43:AK43"/>
    <mergeCell ref="F44:G44"/>
    <mergeCell ref="H44:I44"/>
    <mergeCell ref="J44:K44"/>
    <mergeCell ref="L44:M44"/>
    <mergeCell ref="N44:O44"/>
    <mergeCell ref="P44:Q44"/>
    <mergeCell ref="R44:S44"/>
    <mergeCell ref="T44:U44"/>
    <mergeCell ref="V43:W43"/>
    <mergeCell ref="X43:Y43"/>
    <mergeCell ref="Z43:AA43"/>
    <mergeCell ref="AB43:AC43"/>
    <mergeCell ref="AD43:AE43"/>
    <mergeCell ref="AF43:AG43"/>
    <mergeCell ref="AH44:AI44"/>
    <mergeCell ref="AJ44:AK44"/>
    <mergeCell ref="X44:Y44"/>
    <mergeCell ref="Z44:AA44"/>
    <mergeCell ref="AB44:AC44"/>
    <mergeCell ref="AD44:AE44"/>
    <mergeCell ref="AF44:AG44"/>
    <mergeCell ref="F43:G43"/>
    <mergeCell ref="H43:I43"/>
    <mergeCell ref="V42:W42"/>
    <mergeCell ref="T41:U41"/>
    <mergeCell ref="AJ41:AK41"/>
    <mergeCell ref="F42:G42"/>
    <mergeCell ref="H42:I42"/>
    <mergeCell ref="J42:K42"/>
    <mergeCell ref="L42:M42"/>
    <mergeCell ref="N42:O42"/>
    <mergeCell ref="P42:Q42"/>
    <mergeCell ref="R42:S42"/>
    <mergeCell ref="T42:U42"/>
    <mergeCell ref="AH42:AI42"/>
    <mergeCell ref="AJ42:AK42"/>
    <mergeCell ref="X42:Y42"/>
    <mergeCell ref="Z42:AA42"/>
    <mergeCell ref="AB42:AC42"/>
    <mergeCell ref="AD42:AE42"/>
    <mergeCell ref="AF42:AG42"/>
    <mergeCell ref="R40:S40"/>
    <mergeCell ref="T40:U40"/>
    <mergeCell ref="AJ40:AK40"/>
    <mergeCell ref="F41:G41"/>
    <mergeCell ref="H41:I41"/>
    <mergeCell ref="J41:K41"/>
    <mergeCell ref="L41:M41"/>
    <mergeCell ref="N41:O41"/>
    <mergeCell ref="P41:Q41"/>
    <mergeCell ref="R41:S41"/>
    <mergeCell ref="F40:G40"/>
    <mergeCell ref="H40:I40"/>
    <mergeCell ref="J40:K40"/>
    <mergeCell ref="L40:M40"/>
    <mergeCell ref="N40:O40"/>
    <mergeCell ref="P40:Q40"/>
    <mergeCell ref="V32:AI41"/>
    <mergeCell ref="F33:G33"/>
    <mergeCell ref="H33:I33"/>
    <mergeCell ref="J33:K33"/>
    <mergeCell ref="L33:M33"/>
    <mergeCell ref="N33:O33"/>
    <mergeCell ref="P33:Q33"/>
    <mergeCell ref="R33:S33"/>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F35:G35"/>
    <mergeCell ref="H35:I35"/>
    <mergeCell ref="J35:K35"/>
    <mergeCell ref="L35:M35"/>
    <mergeCell ref="N35:O35"/>
    <mergeCell ref="P35:Q35"/>
    <mergeCell ref="R35:S35"/>
    <mergeCell ref="T35:U35"/>
    <mergeCell ref="H34:I34"/>
    <mergeCell ref="J34:K34"/>
    <mergeCell ref="L34:M34"/>
    <mergeCell ref="N34:O34"/>
    <mergeCell ref="P34:Q34"/>
    <mergeCell ref="R34:S34"/>
    <mergeCell ref="F31:G31"/>
    <mergeCell ref="H31:I31"/>
    <mergeCell ref="J31:K31"/>
    <mergeCell ref="L31:M31"/>
    <mergeCell ref="N31:O31"/>
    <mergeCell ref="P31:Q31"/>
    <mergeCell ref="R31:S31"/>
    <mergeCell ref="T33:U33"/>
    <mergeCell ref="F34:G34"/>
    <mergeCell ref="T31:U31"/>
    <mergeCell ref="F32:G32"/>
    <mergeCell ref="H32:I32"/>
    <mergeCell ref="J32:K32"/>
    <mergeCell ref="L32:M32"/>
    <mergeCell ref="N32:O32"/>
    <mergeCell ref="P32:Q32"/>
    <mergeCell ref="R32:S32"/>
    <mergeCell ref="T32:U32"/>
    <mergeCell ref="T34:U34"/>
    <mergeCell ref="A30:E30"/>
    <mergeCell ref="F30:G30"/>
    <mergeCell ref="H30:I30"/>
    <mergeCell ref="J30:K30"/>
    <mergeCell ref="L30:M30"/>
    <mergeCell ref="N30:O30"/>
    <mergeCell ref="A27:E27"/>
    <mergeCell ref="F27:U27"/>
    <mergeCell ref="F28:I29"/>
    <mergeCell ref="J28:M28"/>
    <mergeCell ref="N28:O29"/>
    <mergeCell ref="P28:U29"/>
    <mergeCell ref="J29:K29"/>
    <mergeCell ref="L29:M29"/>
    <mergeCell ref="P30:Q30"/>
    <mergeCell ref="R30:S30"/>
    <mergeCell ref="T30:U30"/>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F31:U52">
    <cfRule type="expression" dxfId="94" priority="2">
      <formula>F31=0</formula>
    </cfRule>
  </conditionalFormatting>
  <conditionalFormatting sqref="R55:S62">
    <cfRule type="expression" dxfId="93" priority="1" stopIfTrue="1">
      <formula>R55=0</formula>
    </cfRule>
  </conditionalFormatting>
  <conditionalFormatting sqref="V31:AK31 AJ32:AK41 V42:AK52">
    <cfRule type="expression" dxfId="92" priority="4">
      <formula>V31=0</formula>
    </cfRule>
  </conditionalFormatting>
  <conditionalFormatting sqref="V53:AK53">
    <cfRule type="expression" dxfId="91" priority="5" stopIfTrue="1">
      <formula>V53=0</formula>
    </cfRule>
  </conditionalFormatting>
  <conditionalFormatting sqref="Y56:Y62 AC56:AD62 N57 N59">
    <cfRule type="expression" dxfId="90" priority="7" stopIfTrue="1">
      <formula>N56=0</formula>
    </cfRule>
  </conditionalFormatting>
  <pageMargins left="0.7" right="0.7" top="0.75" bottom="0.75" header="0.3" footer="0.3"/>
  <pageSetup paperSize="9" scale="61" orientation="portrait" r:id="rId1"/>
  <headerFooter>
    <oddFooter>&amp;C_x000D_&amp;1#&amp;"Calibri"&amp;10&amp;K000000 Internal</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E2B75-018D-47EB-BA01-7663E7C0135B}">
  <sheetPr>
    <tabColor rgb="FFFFC000"/>
  </sheetPr>
  <dimension ref="A1:CP125"/>
  <sheetViews>
    <sheetView showGridLines="0" view="pageBreakPreview" zoomScaleNormal="100" zoomScaleSheetLayoutView="100" workbookViewId="0">
      <selection activeCell="A6" sqref="A6:G6"/>
    </sheetView>
  </sheetViews>
  <sheetFormatPr defaultColWidth="3.7109375" defaultRowHeight="11.25"/>
  <cols>
    <col min="1" max="6" width="3.7109375" style="404"/>
    <col min="7" max="7" width="4.42578125" style="404" customWidth="1"/>
    <col min="8" max="14" width="3.7109375" style="404"/>
    <col min="15" max="15" width="6.7109375" style="404" customWidth="1"/>
    <col min="16" max="18" width="3.7109375" style="404"/>
    <col min="19" max="19" width="5.42578125" style="404" bestFit="1" customWidth="1"/>
    <col min="20" max="23" width="3.7109375" style="404"/>
    <col min="24" max="24" width="6.28515625" style="404"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'Precom F P'!$AC$5</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tr">
        <f>'Emiss. Ops'!$I$4</f>
        <v>Normal Operations</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179</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5.737756714060031E-17</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727</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'Diesel F'!G20</f>
        <v>44.890193469756099</v>
      </c>
      <c r="R16" s="1144"/>
      <c r="S16" s="1145"/>
      <c r="T16" s="1073">
        <f>'Diesel F'!E5</f>
        <v>76019.579999999987</v>
      </c>
      <c r="U16" s="1109"/>
      <c r="V16" s="1074"/>
      <c r="W16" s="1076" t="s">
        <v>604</v>
      </c>
      <c r="X16" s="1075"/>
      <c r="Y16" s="1077"/>
      <c r="Z16" s="1073">
        <f>'Diesel F'!E6</f>
        <v>16376.099999999999</v>
      </c>
      <c r="AA16" s="1109"/>
      <c r="AB16" s="1074"/>
      <c r="AC16" s="1076" t="s">
        <v>604</v>
      </c>
      <c r="AD16" s="1075"/>
      <c r="AE16" s="1077"/>
      <c r="AF16" s="1146">
        <f>'Diesel F'!E8</f>
        <v>5343.78</v>
      </c>
      <c r="AG16" s="1147"/>
      <c r="AH16" s="1148"/>
      <c r="AI16" s="1076" t="s">
        <v>604</v>
      </c>
      <c r="AJ16" s="1075"/>
      <c r="AK16" s="1077"/>
      <c r="AL16" s="303"/>
      <c r="AM16" s="303" t="s">
        <v>605</v>
      </c>
      <c r="AN16" s="303"/>
      <c r="AO16" s="303"/>
      <c r="AP16" s="351">
        <v>1020</v>
      </c>
      <c r="AQ16" s="352">
        <f>AP16/$AR$9/$AR$7 * ((AN18+273.15)/(AN19+273.15))</f>
        <v>37.956295834166582</v>
      </c>
      <c r="AR16" s="353">
        <f>AX4</f>
        <v>0.13333333333333333</v>
      </c>
      <c r="AS16" s="354">
        <f>AR16*$AR$6/1055.06</f>
        <v>5.7374304146999541E-5</v>
      </c>
      <c r="AT16" s="355">
        <f>AS16*$Q$16*1000000</f>
        <v>2575.543613351439</v>
      </c>
      <c r="AU16" s="356">
        <f>AX5</f>
        <v>3.3333333333333333E-2</v>
      </c>
      <c r="AV16" s="354">
        <f>AU16*$AR$6/1055.06</f>
        <v>1.4343576036749885E-5</v>
      </c>
      <c r="AW16" s="355">
        <f>AV16*$Q$16*1000000</f>
        <v>643.88590333785976</v>
      </c>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1">
        <v>305.24099999999999</v>
      </c>
      <c r="I17" s="1132"/>
      <c r="J17" s="1133"/>
      <c r="K17" s="1134">
        <v>832.5</v>
      </c>
      <c r="L17" s="1135"/>
      <c r="M17" s="1136"/>
      <c r="N17" s="1137">
        <v>42.59</v>
      </c>
      <c r="O17" s="1138"/>
      <c r="P17" s="1139"/>
      <c r="Q17" s="1137">
        <v>45.61</v>
      </c>
      <c r="R17" s="1138"/>
      <c r="S17" s="1139"/>
      <c r="T17" s="1066">
        <f>$Q$17/$Q$16*T16</f>
        <v>77238.5408883567</v>
      </c>
      <c r="U17" s="1110"/>
      <c r="V17" s="1067"/>
      <c r="W17" s="1114">
        <f>T17/1000000/K17</f>
        <v>9.2779028094122163E-5</v>
      </c>
      <c r="X17" s="1115"/>
      <c r="Y17" s="1116"/>
      <c r="Z17" s="1066">
        <f>$Q$17/$Q$16*Z16</f>
        <v>16638.6879464714</v>
      </c>
      <c r="AA17" s="1110"/>
      <c r="AB17" s="1067"/>
      <c r="AC17" s="1114">
        <f>Z17/1000000/K17</f>
        <v>1.9986411947713393E-5</v>
      </c>
      <c r="AD17" s="1115"/>
      <c r="AE17" s="1116"/>
      <c r="AF17" s="1066">
        <f>$Q$17/$Q$16*AF16</f>
        <v>5429.4665930590891</v>
      </c>
      <c r="AG17" s="1110"/>
      <c r="AH17" s="1067"/>
      <c r="AI17" s="1060">
        <f>AF17/1000000/K17</f>
        <v>6.5218817934643711E-6</v>
      </c>
      <c r="AJ17" s="1059"/>
      <c r="AK17" s="1063"/>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123"/>
      <c r="O18" s="1069"/>
      <c r="P18" s="1124"/>
      <c r="Q18" s="1125"/>
      <c r="R18" s="1126"/>
      <c r="S18" s="112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125</v>
      </c>
      <c r="AA19" s="1118"/>
      <c r="AB19" s="1119"/>
      <c r="AC19" s="1117" t="s">
        <v>125</v>
      </c>
      <c r="AD19" s="1118"/>
      <c r="AE19" s="1119"/>
      <c r="AF19" s="358" t="s">
        <v>728</v>
      </c>
      <c r="AG19" s="31"/>
      <c r="AH19" s="31"/>
      <c r="AI19" s="31"/>
      <c r="AJ19" s="31"/>
      <c r="AK19" s="226"/>
      <c r="AL19" s="303"/>
      <c r="AM19" s="24" t="s">
        <v>699</v>
      </c>
      <c r="AN19" s="24">
        <v>15.6</v>
      </c>
      <c r="AO19" s="23" t="s">
        <v>609</v>
      </c>
      <c r="AP19" s="303"/>
      <c r="AQ19" s="303"/>
      <c r="AR19" s="356">
        <f>AX6</f>
        <v>4.6666666666666669E-2</v>
      </c>
      <c r="AS19" s="354">
        <f>AR19*$AR$6/1055.06</f>
        <v>2.0081006451449841E-5</v>
      </c>
      <c r="AT19" s="355">
        <f>AS19*$Q$16*1000000</f>
        <v>901.44026467300375</v>
      </c>
      <c r="AU19" s="351">
        <v>0.37446000000000002</v>
      </c>
      <c r="AV19" s="354">
        <f>AU19*$AR$6/1055.06</f>
        <v>1.6113286448164087E-4</v>
      </c>
      <c r="AW19" s="355">
        <f>AV19*$Q$16*1000000</f>
        <v>7233.2854609168498</v>
      </c>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c r="I21" s="1109"/>
      <c r="J21" s="1074"/>
      <c r="K21" s="1076" t="s">
        <v>604</v>
      </c>
      <c r="L21" s="1075"/>
      <c r="M21" s="1077"/>
      <c r="N21" s="1073">
        <f>'Diesel F'!E7</f>
        <v>4999.0199999999986</v>
      </c>
      <c r="O21" s="1109"/>
      <c r="P21" s="1074"/>
      <c r="Q21" s="1076" t="s">
        <v>604</v>
      </c>
      <c r="R21" s="1075"/>
      <c r="S21" s="1077"/>
      <c r="T21" s="1073"/>
      <c r="U21" s="1109"/>
      <c r="V21" s="1074"/>
      <c r="W21" s="1214" t="s">
        <v>604</v>
      </c>
      <c r="X21" s="1215"/>
      <c r="Y21" s="1216"/>
      <c r="Z21" s="1073"/>
      <c r="AA21" s="1109"/>
      <c r="AB21" s="1074"/>
      <c r="AC21" s="1076" t="s">
        <v>604</v>
      </c>
      <c r="AD21" s="1075"/>
      <c r="AE21" s="1077"/>
      <c r="AF21" s="300"/>
      <c r="AG21" s="31"/>
      <c r="AH21" s="302"/>
      <c r="AI21" s="31"/>
      <c r="AJ21" s="31"/>
      <c r="AK21" s="32"/>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6"/>
      <c r="I22" s="1110"/>
      <c r="J22" s="1067"/>
      <c r="K22" s="1114"/>
      <c r="L22" s="1115"/>
      <c r="M22" s="1116"/>
      <c r="N22" s="1066">
        <f>$Q$17/$Q$16*N21</f>
        <v>5079.1784257649533</v>
      </c>
      <c r="O22" s="1110"/>
      <c r="P22" s="1067"/>
      <c r="Q22" s="1114">
        <f>N22/1000000/K17</f>
        <v>6.1011152261440878E-6</v>
      </c>
      <c r="R22" s="1115"/>
      <c r="S22" s="1116"/>
      <c r="T22" s="1099"/>
      <c r="U22" s="1048"/>
      <c r="V22" s="1058"/>
      <c r="W22" s="1211"/>
      <c r="X22" s="1212"/>
      <c r="Y22" s="1213"/>
      <c r="Z22" s="1066"/>
      <c r="AA22" s="1110"/>
      <c r="AB22" s="1067"/>
      <c r="AC22" s="1114"/>
      <c r="AD22" s="1115"/>
      <c r="AE22" s="1116"/>
      <c r="AF22" s="31"/>
      <c r="AG22" s="31"/>
      <c r="AH22" s="31"/>
      <c r="AI22" s="31"/>
      <c r="AJ22" s="31"/>
      <c r="AK22" s="32"/>
      <c r="AL22" s="303"/>
      <c r="AM22" s="303"/>
      <c r="AN22" s="303"/>
      <c r="AO22" s="303"/>
      <c r="AP22" s="303"/>
      <c r="AQ22" s="303"/>
      <c r="AR22" s="356">
        <f>AX8</f>
        <v>6.9333333333333339E-3</v>
      </c>
      <c r="AS22" s="354">
        <f>AR22*$AR$6/1055.06</f>
        <v>2.9834638156439767E-6</v>
      </c>
      <c r="AT22" s="355">
        <f>AS22*$Q$16*1000000</f>
        <v>133.92826789427485</v>
      </c>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045"/>
      <c r="I23" s="1033"/>
      <c r="J23" s="1046"/>
      <c r="K23" s="1089"/>
      <c r="L23" s="1090"/>
      <c r="M23" s="1091"/>
      <c r="N23" s="1045"/>
      <c r="O23" s="1033"/>
      <c r="P23" s="1046"/>
      <c r="Q23" s="1096"/>
      <c r="R23" s="1097"/>
      <c r="S23" s="1098"/>
      <c r="T23" s="1099"/>
      <c r="U23" s="1048"/>
      <c r="V23" s="1058"/>
      <c r="W23" s="1096"/>
      <c r="X23" s="1097"/>
      <c r="Y23" s="1098"/>
      <c r="Z23" s="1086"/>
      <c r="AA23" s="1087"/>
      <c r="AB23" s="1088"/>
      <c r="AC23" s="1089"/>
      <c r="AD23" s="1090"/>
      <c r="AE23" s="1091"/>
      <c r="AF23" s="31"/>
      <c r="AG23" s="31"/>
      <c r="AH23" s="31"/>
      <c r="AI23" s="31"/>
      <c r="AJ23" s="31"/>
      <c r="AK23" s="32"/>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c r="I25" s="31" t="s">
        <v>590</v>
      </c>
      <c r="J25" s="31"/>
      <c r="K25" s="31"/>
      <c r="L25" s="31" t="s">
        <v>615</v>
      </c>
      <c r="M25" s="31"/>
      <c r="N25" s="31"/>
      <c r="O25" s="31"/>
      <c r="P25" s="31"/>
      <c r="Q25" s="31"/>
      <c r="R25" s="31"/>
      <c r="S25" s="32" t="s">
        <v>616</v>
      </c>
      <c r="T25" s="1092" t="str">
        <f>A17</f>
        <v>Diesel</v>
      </c>
      <c r="U25" s="1093"/>
      <c r="V25" s="1093"/>
      <c r="W25" s="1093"/>
      <c r="X25" s="1094">
        <v>1725.7725</v>
      </c>
      <c r="Y25" s="1094"/>
      <c r="Z25" s="1094"/>
      <c r="AA25" s="1093" t="s">
        <v>617</v>
      </c>
      <c r="AB25" s="1093"/>
      <c r="AC25" s="1095">
        <f>X25/H17</f>
        <v>5.653803060532498</v>
      </c>
      <c r="AD25" s="1095"/>
      <c r="AE25" s="1093" t="s">
        <v>618</v>
      </c>
      <c r="AF25" s="1093"/>
      <c r="AG25" s="1093"/>
      <c r="AH25" s="1198">
        <f>X25*N17/3600</f>
        <v>20.4168474375</v>
      </c>
      <c r="AI25" s="1198"/>
      <c r="AJ25" s="361" t="s">
        <v>590</v>
      </c>
      <c r="AK25" s="362"/>
      <c r="AL25" s="303"/>
      <c r="AM25" s="363">
        <f>X25*W22</f>
        <v>0</v>
      </c>
      <c r="AN25" s="303"/>
      <c r="AO25" s="303"/>
      <c r="AP25" s="303"/>
      <c r="AQ25" s="303"/>
      <c r="AR25" s="351">
        <f>AX7</f>
        <v>0.01</v>
      </c>
      <c r="AS25" s="354">
        <f>AR25*$AR$6/1055.06</f>
        <v>4.3030728110249664E-6</v>
      </c>
      <c r="AT25" s="355">
        <f>AS25*$Q$16*1000000</f>
        <v>193.16577100135797</v>
      </c>
      <c r="AU25" s="356">
        <f>AX9</f>
        <v>3.5333333333333336E-3</v>
      </c>
      <c r="AV25" s="354">
        <f>AU25*$AR$6/1055.06</f>
        <v>1.5204190598954882E-6</v>
      </c>
      <c r="AW25" s="355">
        <f>AV25*$Q$16*1000000</f>
        <v>68.251905753813148</v>
      </c>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0</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t="s">
        <v>718</v>
      </c>
      <c r="B27" s="1081"/>
      <c r="C27" s="1081"/>
      <c r="D27" s="1081"/>
      <c r="E27" s="1081"/>
      <c r="F27" s="1042" t="str">
        <f>A17</f>
        <v>Diesel</v>
      </c>
      <c r="G27" s="1043"/>
      <c r="H27" s="1043"/>
      <c r="I27" s="1043"/>
      <c r="J27" s="1043"/>
      <c r="K27" s="1043"/>
      <c r="L27" s="1043"/>
      <c r="M27" s="1043"/>
      <c r="N27" s="1043"/>
      <c r="O27" s="1043"/>
      <c r="P27" s="1043"/>
      <c r="Q27" s="1043"/>
      <c r="R27" s="1043"/>
      <c r="S27" s="1043"/>
      <c r="T27" s="1043"/>
      <c r="U27" s="1080"/>
      <c r="V27" s="31"/>
      <c r="W27" s="31"/>
      <c r="X27" s="426">
        <f>AH25</f>
        <v>20.4168474375</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29">
        <v>384</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29">
        <f>X27*X28</f>
        <v>7840.0694160000003</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29">
        <f>X29*3600/1000</f>
        <v>28224.249897600002</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196">
        <v>0</v>
      </c>
      <c r="G31" s="1197"/>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BF33</f>
        <v>3.7672634101823899E-6</v>
      </c>
      <c r="G32" s="1195"/>
      <c r="H32" s="1051">
        <f>F32*$AC$25</f>
        <v>2.1299365398321291E-5</v>
      </c>
      <c r="I32" s="1052"/>
      <c r="J32" s="1059"/>
      <c r="K32" s="1059"/>
      <c r="L32" s="1060"/>
      <c r="M32" s="1059"/>
      <c r="N32" s="1054">
        <f t="shared" si="2"/>
        <v>3.4168441971987016E-4</v>
      </c>
      <c r="O32" s="1055"/>
      <c r="P32" s="1061">
        <f>R32/$R$53</f>
        <v>0</v>
      </c>
      <c r="Q32" s="1062"/>
      <c r="R32" s="1060">
        <f>T32/$AR32</f>
        <v>0</v>
      </c>
      <c r="S32" s="1059"/>
      <c r="T32" s="1064">
        <f>$K$22*$X$25</f>
        <v>0</v>
      </c>
      <c r="U32" s="1065"/>
      <c r="V32" s="1644" t="s">
        <v>848</v>
      </c>
      <c r="W32" s="1652"/>
      <c r="X32" s="1652"/>
      <c r="Y32" s="1652"/>
      <c r="Z32" s="1652"/>
      <c r="AA32" s="1652"/>
      <c r="AB32" s="1652"/>
      <c r="AC32" s="1652"/>
      <c r="AD32" s="1652"/>
      <c r="AE32" s="1652"/>
      <c r="AF32" s="1652"/>
      <c r="AG32" s="1652"/>
      <c r="AH32" s="1652"/>
      <c r="AI32" s="1652"/>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1653"/>
      <c r="W33" s="1652"/>
      <c r="X33" s="1652"/>
      <c r="Y33" s="1652"/>
      <c r="Z33" s="1652"/>
      <c r="AA33" s="1652"/>
      <c r="AB33" s="1652"/>
      <c r="AC33" s="1652"/>
      <c r="AD33" s="1652"/>
      <c r="AE33" s="1652"/>
      <c r="AF33" s="1652"/>
      <c r="AG33" s="1652"/>
      <c r="AH33" s="1652"/>
      <c r="AI33" s="1652"/>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BF34</f>
        <v>2.32021919756754E-4</v>
      </c>
      <c r="G34" s="1050"/>
      <c r="H34" s="1051">
        <f t="shared" si="1"/>
        <v>1.3118062400313615E-3</v>
      </c>
      <c r="I34" s="1052"/>
      <c r="J34" s="1059"/>
      <c r="K34" s="1059"/>
      <c r="L34" s="1060"/>
      <c r="M34" s="1059"/>
      <c r="N34" s="1054">
        <f t="shared" si="2"/>
        <v>3.9443390025262974E-2</v>
      </c>
      <c r="O34" s="1055"/>
      <c r="P34" s="1061">
        <f t="shared" si="10"/>
        <v>0</v>
      </c>
      <c r="Q34" s="1062"/>
      <c r="R34" s="1059">
        <f>T34/$AR34</f>
        <v>0</v>
      </c>
      <c r="S34" s="1059"/>
      <c r="T34" s="1061">
        <f t="shared" si="11"/>
        <v>0</v>
      </c>
      <c r="U34" s="1062"/>
      <c r="V34" s="1653"/>
      <c r="W34" s="1652"/>
      <c r="X34" s="1652"/>
      <c r="Y34" s="1652"/>
      <c r="Z34" s="1652"/>
      <c r="AA34" s="1652"/>
      <c r="AB34" s="1652"/>
      <c r="AC34" s="1652"/>
      <c r="AD34" s="1652"/>
      <c r="AE34" s="1652"/>
      <c r="AF34" s="1652"/>
      <c r="AG34" s="1652"/>
      <c r="AH34" s="1652"/>
      <c r="AI34" s="1652"/>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1653"/>
      <c r="W35" s="1652"/>
      <c r="X35" s="1652"/>
      <c r="Y35" s="1652"/>
      <c r="Z35" s="1652"/>
      <c r="AA35" s="1652"/>
      <c r="AB35" s="1652"/>
      <c r="AC35" s="1652"/>
      <c r="AD35" s="1652"/>
      <c r="AE35" s="1652"/>
      <c r="AF35" s="1652"/>
      <c r="AG35" s="1652"/>
      <c r="AH35" s="1652"/>
      <c r="AI35" s="1652"/>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BF35</f>
        <v>4.1140406723645098E-3</v>
      </c>
      <c r="G36" s="1050"/>
      <c r="H36" s="1051">
        <f t="shared" si="1"/>
        <v>2.3259975744569641E-2</v>
      </c>
      <c r="I36" s="1052"/>
      <c r="J36" s="1059"/>
      <c r="K36" s="1059"/>
      <c r="L36" s="1060"/>
      <c r="M36" s="1059"/>
      <c r="N36" s="1054">
        <f t="shared" si="2"/>
        <v>1.0256253704810538</v>
      </c>
      <c r="O36" s="1055"/>
      <c r="P36" s="1061">
        <f t="shared" si="10"/>
        <v>0</v>
      </c>
      <c r="Q36" s="1062"/>
      <c r="R36" s="1059">
        <f t="shared" si="12"/>
        <v>0</v>
      </c>
      <c r="S36" s="1059"/>
      <c r="T36" s="1061">
        <f t="shared" si="11"/>
        <v>0</v>
      </c>
      <c r="U36" s="1062"/>
      <c r="V36" s="1653"/>
      <c r="W36" s="1652"/>
      <c r="X36" s="1652"/>
      <c r="Y36" s="1652"/>
      <c r="Z36" s="1652"/>
      <c r="AA36" s="1652"/>
      <c r="AB36" s="1652"/>
      <c r="AC36" s="1652"/>
      <c r="AD36" s="1652"/>
      <c r="AE36" s="1652"/>
      <c r="AF36" s="1652"/>
      <c r="AG36" s="1652"/>
      <c r="AH36" s="1652"/>
      <c r="AI36" s="1652"/>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1653"/>
      <c r="W37" s="1652"/>
      <c r="X37" s="1652"/>
      <c r="Y37" s="1652"/>
      <c r="Z37" s="1652"/>
      <c r="AA37" s="1652"/>
      <c r="AB37" s="1652"/>
      <c r="AC37" s="1652"/>
      <c r="AD37" s="1652"/>
      <c r="AE37" s="1652"/>
      <c r="AF37" s="1652"/>
      <c r="AG37" s="1652"/>
      <c r="AH37" s="1652"/>
      <c r="AI37" s="1652"/>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BF36</f>
        <v>4.2987554978870402E-3</v>
      </c>
      <c r="G38" s="1050"/>
      <c r="H38" s="1051">
        <f t="shared" si="1"/>
        <v>2.430431699043465E-2</v>
      </c>
      <c r="I38" s="1052"/>
      <c r="J38" s="1059"/>
      <c r="K38" s="1059"/>
      <c r="L38" s="1060"/>
      <c r="M38" s="1059"/>
      <c r="N38" s="1054">
        <f t="shared" si="2"/>
        <v>1.4125669034840618</v>
      </c>
      <c r="O38" s="1055"/>
      <c r="P38" s="1061">
        <f t="shared" si="10"/>
        <v>0</v>
      </c>
      <c r="Q38" s="1062"/>
      <c r="R38" s="1059">
        <f t="shared" si="12"/>
        <v>0</v>
      </c>
      <c r="S38" s="1059"/>
      <c r="T38" s="1061">
        <f t="shared" si="11"/>
        <v>0</v>
      </c>
      <c r="U38" s="1062"/>
      <c r="V38" s="1653"/>
      <c r="W38" s="1652"/>
      <c r="X38" s="1652"/>
      <c r="Y38" s="1652"/>
      <c r="Z38" s="1652"/>
      <c r="AA38" s="1652"/>
      <c r="AB38" s="1652"/>
      <c r="AC38" s="1652"/>
      <c r="AD38" s="1652"/>
      <c r="AE38" s="1652"/>
      <c r="AF38" s="1652"/>
      <c r="AG38" s="1652"/>
      <c r="AH38" s="1652"/>
      <c r="AI38" s="1652"/>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f>BF37</f>
        <v>1.33109664079022E-2</v>
      </c>
      <c r="G39" s="1050"/>
      <c r="H39" s="1051">
        <f t="shared" si="1"/>
        <v>7.5257582615642735E-2</v>
      </c>
      <c r="I39" s="1052"/>
      <c r="J39" s="1059"/>
      <c r="K39" s="1059"/>
      <c r="L39" s="1060"/>
      <c r="M39" s="1059"/>
      <c r="N39" s="1054">
        <f t="shared" si="2"/>
        <v>4.3739707016211558</v>
      </c>
      <c r="O39" s="1055"/>
      <c r="P39" s="1061">
        <f t="shared" si="10"/>
        <v>0</v>
      </c>
      <c r="Q39" s="1062"/>
      <c r="R39" s="1059">
        <f t="shared" si="12"/>
        <v>0</v>
      </c>
      <c r="S39" s="1059"/>
      <c r="T39" s="1061">
        <f t="shared" si="11"/>
        <v>0</v>
      </c>
      <c r="U39" s="1062"/>
      <c r="V39" s="1653"/>
      <c r="W39" s="1652"/>
      <c r="X39" s="1652"/>
      <c r="Y39" s="1652"/>
      <c r="Z39" s="1652"/>
      <c r="AA39" s="1652"/>
      <c r="AB39" s="1652"/>
      <c r="AC39" s="1652"/>
      <c r="AD39" s="1652"/>
      <c r="AE39" s="1652"/>
      <c r="AF39" s="1652"/>
      <c r="AG39" s="1652"/>
      <c r="AH39" s="1652"/>
      <c r="AI39" s="1652"/>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BF38</f>
        <v>1.4450640107125301E-2</v>
      </c>
      <c r="G40" s="1050"/>
      <c r="H40" s="1051">
        <f t="shared" si="1"/>
        <v>8.1701073264318691E-2</v>
      </c>
      <c r="I40" s="1052"/>
      <c r="J40" s="1059"/>
      <c r="K40" s="1059"/>
      <c r="L40" s="1060"/>
      <c r="M40" s="1059"/>
      <c r="N40" s="1054">
        <f t="shared" si="2"/>
        <v>5.894405631727536</v>
      </c>
      <c r="O40" s="1055"/>
      <c r="P40" s="1061">
        <f t="shared" si="10"/>
        <v>0</v>
      </c>
      <c r="Q40" s="1062"/>
      <c r="R40" s="1059">
        <f t="shared" si="12"/>
        <v>0</v>
      </c>
      <c r="S40" s="1059"/>
      <c r="T40" s="1061">
        <f t="shared" si="11"/>
        <v>0</v>
      </c>
      <c r="U40" s="1062"/>
      <c r="V40" s="1653"/>
      <c r="W40" s="1652"/>
      <c r="X40" s="1652"/>
      <c r="Y40" s="1652"/>
      <c r="Z40" s="1652"/>
      <c r="AA40" s="1652"/>
      <c r="AB40" s="1652"/>
      <c r="AC40" s="1652"/>
      <c r="AD40" s="1652"/>
      <c r="AE40" s="1652"/>
      <c r="AF40" s="1652"/>
      <c r="AG40" s="1652"/>
      <c r="AH40" s="1652"/>
      <c r="AI40" s="1652"/>
      <c r="AJ40" s="1069"/>
      <c r="AK40" s="1124"/>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BF40</f>
        <v>1.8657920075756399E-2</v>
      </c>
      <c r="G41" s="1050"/>
      <c r="H41" s="1051">
        <f t="shared" si="1"/>
        <v>0.10548820562748226</v>
      </c>
      <c r="I41" s="1052"/>
      <c r="J41" s="1059"/>
      <c r="K41" s="1059"/>
      <c r="L41" s="1060"/>
      <c r="M41" s="1059"/>
      <c r="N41" s="1054">
        <f t="shared" si="2"/>
        <v>7.6105520832003357</v>
      </c>
      <c r="O41" s="1055"/>
      <c r="P41" s="1061">
        <f t="shared" si="10"/>
        <v>0</v>
      </c>
      <c r="Q41" s="1062"/>
      <c r="R41" s="1059">
        <f t="shared" si="12"/>
        <v>0</v>
      </c>
      <c r="S41" s="1059"/>
      <c r="T41" s="1061">
        <f t="shared" si="11"/>
        <v>0</v>
      </c>
      <c r="U41" s="1062"/>
      <c r="V41" s="1653"/>
      <c r="W41" s="1652"/>
      <c r="X41" s="1652"/>
      <c r="Y41" s="1652"/>
      <c r="Z41" s="1652"/>
      <c r="AA41" s="1652"/>
      <c r="AB41" s="1652"/>
      <c r="AC41" s="1652"/>
      <c r="AD41" s="1652"/>
      <c r="AE41" s="1652"/>
      <c r="AF41" s="1652"/>
      <c r="AG41" s="1652"/>
      <c r="AH41" s="1652"/>
      <c r="AI41" s="1652"/>
      <c r="AJ41" s="1069"/>
      <c r="AK41" s="1124"/>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425</v>
      </c>
      <c r="B42" s="376"/>
      <c r="C42" s="376"/>
      <c r="D42" s="376"/>
      <c r="E42" s="377"/>
      <c r="F42" s="1049">
        <f>SUM(BF41:BF75)</f>
        <v>0.94337200608568694</v>
      </c>
      <c r="G42" s="1050"/>
      <c r="H42" s="1064">
        <f t="shared" si="1"/>
        <v>5.3336395352279391</v>
      </c>
      <c r="I42" s="1065"/>
      <c r="J42" s="1059"/>
      <c r="K42" s="1059"/>
      <c r="L42" s="1060"/>
      <c r="M42" s="1059"/>
      <c r="N42" s="1054">
        <f t="shared" si="2"/>
        <v>1705.1906942460948</v>
      </c>
      <c r="O42" s="1055"/>
      <c r="P42" s="1061">
        <f t="shared" si="10"/>
        <v>0</v>
      </c>
      <c r="Q42" s="1062"/>
      <c r="R42" s="1059">
        <f t="shared" si="12"/>
        <v>0</v>
      </c>
      <c r="S42" s="1059"/>
      <c r="T42" s="1061">
        <f t="shared" si="11"/>
        <v>0</v>
      </c>
      <c r="U42" s="1062"/>
      <c r="V42" s="1032"/>
      <c r="W42" s="1032"/>
      <c r="X42" s="1033"/>
      <c r="Y42" s="1033"/>
      <c r="Z42" s="1032"/>
      <c r="AA42" s="1032"/>
      <c r="AB42" s="1032"/>
      <c r="AC42" s="1032"/>
      <c r="AD42" s="1033"/>
      <c r="AE42" s="1033"/>
      <c r="AF42" s="1047"/>
      <c r="AG42" s="1047"/>
      <c r="AH42" s="1032"/>
      <c r="AI42" s="1032"/>
      <c r="AJ42" s="1048"/>
      <c r="AK42" s="105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186.14282335485083</v>
      </c>
      <c r="K45" s="1070"/>
      <c r="L45" s="1060">
        <f>0.15*J45</f>
        <v>27.921423503227626</v>
      </c>
      <c r="M45" s="1059"/>
      <c r="N45" s="1066">
        <f t="shared" si="2"/>
        <v>6850.0558994585108</v>
      </c>
      <c r="O45" s="1067"/>
      <c r="P45" s="1061">
        <f t="shared" si="10"/>
        <v>2.6677885602713645E-2</v>
      </c>
      <c r="Q45" s="1062"/>
      <c r="R45" s="1059">
        <f>L45+SUMPRODUCT(R32:R44,$AS32:$AS44)</f>
        <v>27.921423503227626</v>
      </c>
      <c r="S45" s="1059"/>
      <c r="T45" s="1071">
        <f>R45*$AR45</f>
        <v>893.48555210328402</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BF31</f>
        <v>1.4415226502516399E-10</v>
      </c>
      <c r="G46" s="1195"/>
      <c r="H46" s="1061">
        <f t="shared" si="1"/>
        <v>8.1500851718196397E-10</v>
      </c>
      <c r="I46" s="1062"/>
      <c r="J46" s="1059">
        <f>0.79/0.21*J45</f>
        <v>700.25157357301032</v>
      </c>
      <c r="K46" s="1063"/>
      <c r="L46" s="1060">
        <f>0.71/0.29*L45</f>
        <v>68.359347197557298</v>
      </c>
      <c r="M46" s="1059"/>
      <c r="N46" s="1066">
        <f>SUM(H46,J46,L46)*AR46</f>
        <v>21521.105781598715</v>
      </c>
      <c r="O46" s="1067"/>
      <c r="P46" s="1064">
        <f t="shared" si="10"/>
        <v>0.73437593020060532</v>
      </c>
      <c r="Q46" s="1065"/>
      <c r="R46" s="1064">
        <f>$H46+J46+L46-R49</f>
        <v>768.60743999974659</v>
      </c>
      <c r="S46" s="1065"/>
      <c r="T46" s="1066">
        <f>R46*$AR46</f>
        <v>21521.008319992903</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1.176573655766454E-6</v>
      </c>
      <c r="Q47" s="1062"/>
      <c r="R47" s="1059">
        <f>T47/$AR$47</f>
        <v>1.2314173549816214E-3</v>
      </c>
      <c r="S47" s="1059"/>
      <c r="T47" s="1064">
        <f>$AC17*$X25</f>
        <v>3.4492000113035215E-2</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BF32</f>
        <v>1.04835044112351E-6</v>
      </c>
      <c r="G48" s="1195"/>
      <c r="H48" s="1061">
        <f t="shared" si="1"/>
        <v>5.9271669325346951E-6</v>
      </c>
      <c r="I48" s="1062"/>
      <c r="J48" s="1059"/>
      <c r="K48" s="1059"/>
      <c r="L48" s="1060"/>
      <c r="M48" s="1059"/>
      <c r="N48" s="1061">
        <f t="shared" si="2"/>
        <v>2.6085461670085193E-4</v>
      </c>
      <c r="O48" s="1062"/>
      <c r="P48" s="1064">
        <f t="shared" si="10"/>
        <v>0.11676935192729566</v>
      </c>
      <c r="Q48" s="1065"/>
      <c r="R48" s="1068">
        <f>SUMPRODUCT($H31:$H52,$AU31:$AU52)+$H48-R47-SUMPRODUCT(R32:R42,$AU32:$AU42)</f>
        <v>122.21232881468725</v>
      </c>
      <c r="S48" s="1059"/>
      <c r="T48" s="1066">
        <f>R48*$AR48</f>
        <v>5378.5645911343854</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3.3257483275116933E-6</v>
      </c>
      <c r="Q49" s="1062"/>
      <c r="R49" s="1060">
        <f>T49/$AR49</f>
        <v>3.4807716361209442E-3</v>
      </c>
      <c r="S49" s="1063"/>
      <c r="T49" s="1064">
        <f>$W17*$X25</f>
        <v>0.16011549526156343</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1.5719062744120603E-7</v>
      </c>
      <c r="Q51" s="1062"/>
      <c r="R51" s="1066">
        <f>T51/$AR51</f>
        <v>1.6451776369704293E-4</v>
      </c>
      <c r="S51" s="1067"/>
      <c r="T51" s="1060">
        <f>Q22*X25</f>
        <v>1.0529136876610747E-2</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193">
        <f>BF76</f>
        <v>1.4951987737782399E-3</v>
      </c>
      <c r="G52" s="1194"/>
      <c r="H52" s="1051">
        <f t="shared" si="1"/>
        <v>8.4535594032918507E-3</v>
      </c>
      <c r="I52" s="1052"/>
      <c r="J52" s="1032"/>
      <c r="K52" s="1032"/>
      <c r="L52" s="1053"/>
      <c r="M52" s="1032"/>
      <c r="N52" s="1054">
        <f t="shared" si="2"/>
        <v>0.15229932620970596</v>
      </c>
      <c r="O52" s="1055"/>
      <c r="P52" s="1056">
        <f t="shared" si="10"/>
        <v>0.12217217275677478</v>
      </c>
      <c r="Q52" s="1057"/>
      <c r="R52" s="1044">
        <f>SUMPRODUCT(H31:H52,$AV31:$AV52)+H52-SUMPRODUCT(R32:R42,$AV32:$AV42)</f>
        <v>127.86699165935441</v>
      </c>
      <c r="S52" s="1044"/>
      <c r="T52" s="1045">
        <f>R52*$AR52</f>
        <v>2303.6517217349287</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0.99993636529826091</v>
      </c>
      <c r="G53" s="1038"/>
      <c r="H53" s="1039">
        <f>SUM(H31:H52)</f>
        <v>5.6534432824610494</v>
      </c>
      <c r="I53" s="1040"/>
      <c r="J53" s="1041">
        <f>SUM(J31:J52)</f>
        <v>886.39439692786118</v>
      </c>
      <c r="K53" s="1041"/>
      <c r="L53" s="1042">
        <f>SUM(L31:L52)</f>
        <v>96.280770700784927</v>
      </c>
      <c r="M53" s="1043"/>
      <c r="N53" s="1030">
        <f>SUM(N31:N52)</f>
        <v>30096.861841249109</v>
      </c>
      <c r="O53" s="1031"/>
      <c r="P53" s="1028">
        <f>SUM(P31:P52)</f>
        <v>1</v>
      </c>
      <c r="Q53" s="1029"/>
      <c r="R53" s="1030">
        <f>SUM(R31:R52)</f>
        <v>1046.6130606837705</v>
      </c>
      <c r="S53" s="1031"/>
      <c r="T53" s="1030">
        <f>SUM(T31:T52)</f>
        <v>30096.915321597753</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4.4476526461545401E-2</v>
      </c>
      <c r="M55" s="1186"/>
      <c r="N55" s="1192">
        <f>W17*$X$25</f>
        <v>0.16011549526156343</v>
      </c>
      <c r="O55" s="1192"/>
      <c r="P55" s="31" t="s">
        <v>617</v>
      </c>
      <c r="Q55" s="31"/>
      <c r="R55" s="1291">
        <f>N55*32*12/1000</f>
        <v>6.1484350180440357E-2</v>
      </c>
      <c r="S55" s="1291"/>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436">
        <f t="shared" ref="L56:L61" si="13">N56*1000/3600</f>
        <v>9.5811111425097833E-3</v>
      </c>
      <c r="M56" s="1437"/>
      <c r="N56" s="1192">
        <f>AC17*$X$25</f>
        <v>3.4492000113035215E-2</v>
      </c>
      <c r="O56" s="1192"/>
      <c r="P56" s="31" t="s">
        <v>617</v>
      </c>
      <c r="Q56" s="31"/>
      <c r="R56" s="1291">
        <f t="shared" ref="R56:R61" si="14">N56*32*12/1000</f>
        <v>1.3244928043405522E-2</v>
      </c>
      <c r="S56" s="1291"/>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436">
        <f t="shared" si="13"/>
        <v>3.1264678465031922E-3</v>
      </c>
      <c r="M57" s="1437"/>
      <c r="N57" s="1192">
        <f>AI17*$X$25</f>
        <v>1.1255284247411491E-2</v>
      </c>
      <c r="O57" s="1192"/>
      <c r="P57" s="31" t="s">
        <v>617</v>
      </c>
      <c r="Q57" s="31"/>
      <c r="R57" s="1291">
        <f t="shared" si="14"/>
        <v>4.3220291510060131E-3</v>
      </c>
      <c r="S57" s="1291"/>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436">
        <f t="shared" si="13"/>
        <v>0</v>
      </c>
      <c r="M58" s="1437"/>
      <c r="N58" s="1191">
        <f>K22*$X$25</f>
        <v>0</v>
      </c>
      <c r="O58" s="1191"/>
      <c r="P58" s="31" t="s">
        <v>617</v>
      </c>
      <c r="Q58" s="31"/>
      <c r="R58" s="1291">
        <f t="shared" si="14"/>
        <v>0</v>
      </c>
      <c r="S58" s="1291"/>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436">
        <f t="shared" si="13"/>
        <v>0</v>
      </c>
      <c r="M59" s="1437"/>
      <c r="N59" s="1192">
        <f>X25*W22</f>
        <v>0</v>
      </c>
      <c r="O59" s="1192"/>
      <c r="P59" s="31" t="s">
        <v>617</v>
      </c>
      <c r="Q59" s="31"/>
      <c r="R59" s="1291">
        <f t="shared" si="14"/>
        <v>0</v>
      </c>
      <c r="S59" s="1291"/>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2.9247602435029853E-3</v>
      </c>
      <c r="M60" s="1186"/>
      <c r="N60" s="1191">
        <f>Q22*$X$25</f>
        <v>1.0529136876610747E-2</v>
      </c>
      <c r="O60" s="1191"/>
      <c r="P60" s="31" t="s">
        <v>617</v>
      </c>
      <c r="Q60" s="31"/>
      <c r="R60" s="1291">
        <f t="shared" si="14"/>
        <v>4.0431885606185261E-3</v>
      </c>
      <c r="S60" s="1291"/>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0</v>
      </c>
      <c r="M61" s="1186"/>
      <c r="N61" s="1191">
        <f>AC22*$X$25</f>
        <v>0</v>
      </c>
      <c r="O61" s="1191"/>
      <c r="P61" s="31" t="s">
        <v>617</v>
      </c>
      <c r="Q61" s="31"/>
      <c r="R61" s="1291">
        <f t="shared" si="14"/>
        <v>0</v>
      </c>
      <c r="S61" s="1291"/>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246">
        <f>O62*1000/3600</f>
        <v>1451.2480429303514</v>
      </c>
      <c r="M62" s="1247"/>
      <c r="N62" s="31"/>
      <c r="O62" s="427">
        <f>'Diesel F'!I56*X25</f>
        <v>5224.4929545492651</v>
      </c>
      <c r="P62" s="395" t="s">
        <v>617</v>
      </c>
      <c r="Q62" s="395"/>
      <c r="R62" s="1585">
        <f>O62*32*12/1000</f>
        <v>2006.2052945469177</v>
      </c>
      <c r="S62" s="1585"/>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680</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682</v>
      </c>
      <c r="B65" s="31" t="s">
        <v>689</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832</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232"/>
      <c r="B67" s="147"/>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2"/>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32"/>
      <c r="B68" s="147"/>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Scpsyfrc6JCcfSXbug6F3NKS18/A9DiRq6d+YhbswdkG/OQxsoFrpp2dY6au2Gp0yopoG8Nl84FJnfa/SnLssw==" saltValue="eHjcsQInmjUkW8cwu8dIvg==" spinCount="100000" sheet="1" objects="1" scenarios="1" selectLockedCells="1" selectUnlockedCells="1"/>
  <mergeCells count="459">
    <mergeCell ref="L62:M62"/>
    <mergeCell ref="R62:S62"/>
    <mergeCell ref="AE59:AF59"/>
    <mergeCell ref="L60:M60"/>
    <mergeCell ref="N60:O60"/>
    <mergeCell ref="R60:S60"/>
    <mergeCell ref="L61:M61"/>
    <mergeCell ref="N61:O61"/>
    <mergeCell ref="R61:S61"/>
    <mergeCell ref="AE57:AF57"/>
    <mergeCell ref="L58:M58"/>
    <mergeCell ref="N58:O58"/>
    <mergeCell ref="R58:S58"/>
    <mergeCell ref="L59:M59"/>
    <mergeCell ref="N59:O59"/>
    <mergeCell ref="R59:S59"/>
    <mergeCell ref="T59:U59"/>
    <mergeCell ref="Y59:Z59"/>
    <mergeCell ref="AC59:AD59"/>
    <mergeCell ref="L56:M56"/>
    <mergeCell ref="N56:O56"/>
    <mergeCell ref="R56:S56"/>
    <mergeCell ref="L57:M57"/>
    <mergeCell ref="N57:O57"/>
    <mergeCell ref="R57:S57"/>
    <mergeCell ref="T57:U57"/>
    <mergeCell ref="Y57:Z57"/>
    <mergeCell ref="AC57:AD57"/>
    <mergeCell ref="AF53:AG53"/>
    <mergeCell ref="AH53:AI53"/>
    <mergeCell ref="AJ53:AK53"/>
    <mergeCell ref="L54:M54"/>
    <mergeCell ref="L55:M55"/>
    <mergeCell ref="N55:O55"/>
    <mergeCell ref="R55:S55"/>
    <mergeCell ref="T55:U55"/>
    <mergeCell ref="Y55:Z55"/>
    <mergeCell ref="AC55:AD55"/>
    <mergeCell ref="T53:U53"/>
    <mergeCell ref="V53:W53"/>
    <mergeCell ref="X53:Y53"/>
    <mergeCell ref="Z53:AA53"/>
    <mergeCell ref="AB53:AC53"/>
    <mergeCell ref="AD53:AE53"/>
    <mergeCell ref="AE55:AF55"/>
    <mergeCell ref="A53:E53"/>
    <mergeCell ref="F53:G53"/>
    <mergeCell ref="H53:I53"/>
    <mergeCell ref="J53:K53"/>
    <mergeCell ref="L53:M53"/>
    <mergeCell ref="N53:O53"/>
    <mergeCell ref="P53:Q53"/>
    <mergeCell ref="R53:S53"/>
    <mergeCell ref="V52:W52"/>
    <mergeCell ref="AJ51:AK51"/>
    <mergeCell ref="F52:G52"/>
    <mergeCell ref="H52:I52"/>
    <mergeCell ref="J52:K52"/>
    <mergeCell ref="L52:M52"/>
    <mergeCell ref="N52:O52"/>
    <mergeCell ref="P52:Q52"/>
    <mergeCell ref="R52:S52"/>
    <mergeCell ref="T52:U52"/>
    <mergeCell ref="V51:W51"/>
    <mergeCell ref="X51:Y51"/>
    <mergeCell ref="Z51:AA51"/>
    <mergeCell ref="AB51:AC51"/>
    <mergeCell ref="AD51:AE51"/>
    <mergeCell ref="AF51:AG51"/>
    <mergeCell ref="AH52:AI52"/>
    <mergeCell ref="AJ52:AK52"/>
    <mergeCell ref="X52:Y52"/>
    <mergeCell ref="Z52:AA52"/>
    <mergeCell ref="AB52:AC52"/>
    <mergeCell ref="AD52:AE52"/>
    <mergeCell ref="AF52:AG52"/>
    <mergeCell ref="F51:G51"/>
    <mergeCell ref="H51:I51"/>
    <mergeCell ref="J51:K51"/>
    <mergeCell ref="L51:M51"/>
    <mergeCell ref="N51:O51"/>
    <mergeCell ref="P51:Q51"/>
    <mergeCell ref="R51:S51"/>
    <mergeCell ref="T51:U51"/>
    <mergeCell ref="V50:W50"/>
    <mergeCell ref="AH49:AI49"/>
    <mergeCell ref="J49:K49"/>
    <mergeCell ref="L49:M49"/>
    <mergeCell ref="N49:O49"/>
    <mergeCell ref="P49:Q49"/>
    <mergeCell ref="R49:S49"/>
    <mergeCell ref="T49:U49"/>
    <mergeCell ref="AH51:AI51"/>
    <mergeCell ref="AJ49:AK49"/>
    <mergeCell ref="F50:G50"/>
    <mergeCell ref="H50:I50"/>
    <mergeCell ref="J50:K50"/>
    <mergeCell ref="L50:M50"/>
    <mergeCell ref="N50:O50"/>
    <mergeCell ref="P50:Q50"/>
    <mergeCell ref="R50:S50"/>
    <mergeCell ref="T50:U50"/>
    <mergeCell ref="V49:W49"/>
    <mergeCell ref="X49:Y49"/>
    <mergeCell ref="Z49:AA49"/>
    <mergeCell ref="AB49:AC49"/>
    <mergeCell ref="AD49:AE49"/>
    <mergeCell ref="AF49:AG49"/>
    <mergeCell ref="AH50:AI50"/>
    <mergeCell ref="AJ50:AK50"/>
    <mergeCell ref="X50:Y50"/>
    <mergeCell ref="Z50:AA50"/>
    <mergeCell ref="AB50:AC50"/>
    <mergeCell ref="AD50:AE50"/>
    <mergeCell ref="AF50:AG50"/>
    <mergeCell ref="F49:G49"/>
    <mergeCell ref="H49:I49"/>
    <mergeCell ref="V48:W48"/>
    <mergeCell ref="AH47:AI47"/>
    <mergeCell ref="AJ47:AK47"/>
    <mergeCell ref="F48:G48"/>
    <mergeCell ref="H48:I48"/>
    <mergeCell ref="J48:K48"/>
    <mergeCell ref="L48:M48"/>
    <mergeCell ref="N48:O48"/>
    <mergeCell ref="P48:Q48"/>
    <mergeCell ref="R48:S48"/>
    <mergeCell ref="T48:U48"/>
    <mergeCell ref="V47:W47"/>
    <mergeCell ref="X47:Y47"/>
    <mergeCell ref="Z47:AA47"/>
    <mergeCell ref="AB47:AC47"/>
    <mergeCell ref="AD47:AE47"/>
    <mergeCell ref="AF47:AG47"/>
    <mergeCell ref="AH48:AI48"/>
    <mergeCell ref="AJ48:AK48"/>
    <mergeCell ref="X48:Y48"/>
    <mergeCell ref="Z48:AA48"/>
    <mergeCell ref="AB48:AC48"/>
    <mergeCell ref="AD48:AE48"/>
    <mergeCell ref="AF48:AG48"/>
    <mergeCell ref="F47:G47"/>
    <mergeCell ref="H47:I47"/>
    <mergeCell ref="J47:K47"/>
    <mergeCell ref="L47:M47"/>
    <mergeCell ref="N47:O47"/>
    <mergeCell ref="P47:Q47"/>
    <mergeCell ref="R47:S47"/>
    <mergeCell ref="T47:U47"/>
    <mergeCell ref="V46:W46"/>
    <mergeCell ref="AJ45:AK45"/>
    <mergeCell ref="F46:G46"/>
    <mergeCell ref="H46:I46"/>
    <mergeCell ref="J46:K46"/>
    <mergeCell ref="L46:M46"/>
    <mergeCell ref="N46:O46"/>
    <mergeCell ref="P46:Q46"/>
    <mergeCell ref="R46:S46"/>
    <mergeCell ref="T46:U46"/>
    <mergeCell ref="V45:W45"/>
    <mergeCell ref="X45:Y45"/>
    <mergeCell ref="Z45:AA45"/>
    <mergeCell ref="AB45:AC45"/>
    <mergeCell ref="AD45:AE45"/>
    <mergeCell ref="AF45:AG45"/>
    <mergeCell ref="AH46:AI46"/>
    <mergeCell ref="AJ46:AK46"/>
    <mergeCell ref="X46:Y46"/>
    <mergeCell ref="Z46:AA46"/>
    <mergeCell ref="AB46:AC46"/>
    <mergeCell ref="AD46:AE46"/>
    <mergeCell ref="AF46:AG46"/>
    <mergeCell ref="F45:G45"/>
    <mergeCell ref="H45:I45"/>
    <mergeCell ref="J45:K45"/>
    <mergeCell ref="L45:M45"/>
    <mergeCell ref="N45:O45"/>
    <mergeCell ref="P45:Q45"/>
    <mergeCell ref="R45:S45"/>
    <mergeCell ref="T45:U45"/>
    <mergeCell ref="V44:W44"/>
    <mergeCell ref="AH43:AI43"/>
    <mergeCell ref="J43:K43"/>
    <mergeCell ref="L43:M43"/>
    <mergeCell ref="N43:O43"/>
    <mergeCell ref="P43:Q43"/>
    <mergeCell ref="R43:S43"/>
    <mergeCell ref="T43:U43"/>
    <mergeCell ref="AH45:AI45"/>
    <mergeCell ref="AJ43:AK43"/>
    <mergeCell ref="F44:G44"/>
    <mergeCell ref="H44:I44"/>
    <mergeCell ref="J44:K44"/>
    <mergeCell ref="L44:M44"/>
    <mergeCell ref="N44:O44"/>
    <mergeCell ref="P44:Q44"/>
    <mergeCell ref="R44:S44"/>
    <mergeCell ref="T44:U44"/>
    <mergeCell ref="V43:W43"/>
    <mergeCell ref="X43:Y43"/>
    <mergeCell ref="Z43:AA43"/>
    <mergeCell ref="AB43:AC43"/>
    <mergeCell ref="AD43:AE43"/>
    <mergeCell ref="AF43:AG43"/>
    <mergeCell ref="AH44:AI44"/>
    <mergeCell ref="AJ44:AK44"/>
    <mergeCell ref="X44:Y44"/>
    <mergeCell ref="Z44:AA44"/>
    <mergeCell ref="AB44:AC44"/>
    <mergeCell ref="AD44:AE44"/>
    <mergeCell ref="AF44:AG44"/>
    <mergeCell ref="F43:G43"/>
    <mergeCell ref="H43:I43"/>
    <mergeCell ref="V42:W42"/>
    <mergeCell ref="T41:U41"/>
    <mergeCell ref="AJ41:AK41"/>
    <mergeCell ref="F42:G42"/>
    <mergeCell ref="H42:I42"/>
    <mergeCell ref="J42:K42"/>
    <mergeCell ref="L42:M42"/>
    <mergeCell ref="N42:O42"/>
    <mergeCell ref="P42:Q42"/>
    <mergeCell ref="R42:S42"/>
    <mergeCell ref="T42:U42"/>
    <mergeCell ref="AH42:AI42"/>
    <mergeCell ref="AJ42:AK42"/>
    <mergeCell ref="X42:Y42"/>
    <mergeCell ref="Z42:AA42"/>
    <mergeCell ref="AB42:AC42"/>
    <mergeCell ref="AD42:AE42"/>
    <mergeCell ref="AF42:AG42"/>
    <mergeCell ref="R40:S40"/>
    <mergeCell ref="T40:U40"/>
    <mergeCell ref="AJ40:AK40"/>
    <mergeCell ref="F41:G41"/>
    <mergeCell ref="H41:I41"/>
    <mergeCell ref="J41:K41"/>
    <mergeCell ref="L41:M41"/>
    <mergeCell ref="N41:O41"/>
    <mergeCell ref="P41:Q41"/>
    <mergeCell ref="R41:S41"/>
    <mergeCell ref="F40:G40"/>
    <mergeCell ref="H40:I40"/>
    <mergeCell ref="J40:K40"/>
    <mergeCell ref="L40:M40"/>
    <mergeCell ref="N40:O40"/>
    <mergeCell ref="P40:Q40"/>
    <mergeCell ref="V32:AI41"/>
    <mergeCell ref="F33:G33"/>
    <mergeCell ref="H33:I33"/>
    <mergeCell ref="J33:K33"/>
    <mergeCell ref="L33:M33"/>
    <mergeCell ref="N33:O33"/>
    <mergeCell ref="P33:Q33"/>
    <mergeCell ref="R33:S33"/>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F35:G35"/>
    <mergeCell ref="H35:I35"/>
    <mergeCell ref="J35:K35"/>
    <mergeCell ref="L35:M35"/>
    <mergeCell ref="N35:O35"/>
    <mergeCell ref="P35:Q35"/>
    <mergeCell ref="R35:S35"/>
    <mergeCell ref="T35:U35"/>
    <mergeCell ref="H34:I34"/>
    <mergeCell ref="J34:K34"/>
    <mergeCell ref="L34:M34"/>
    <mergeCell ref="N34:O34"/>
    <mergeCell ref="P34:Q34"/>
    <mergeCell ref="R34:S34"/>
    <mergeCell ref="F31:G31"/>
    <mergeCell ref="H31:I31"/>
    <mergeCell ref="J31:K31"/>
    <mergeCell ref="L31:M31"/>
    <mergeCell ref="N31:O31"/>
    <mergeCell ref="P31:Q31"/>
    <mergeCell ref="R31:S31"/>
    <mergeCell ref="T33:U33"/>
    <mergeCell ref="F34:G34"/>
    <mergeCell ref="T31:U31"/>
    <mergeCell ref="F32:G32"/>
    <mergeCell ref="H32:I32"/>
    <mergeCell ref="J32:K32"/>
    <mergeCell ref="L32:M32"/>
    <mergeCell ref="N32:O32"/>
    <mergeCell ref="P32:Q32"/>
    <mergeCell ref="R32:S32"/>
    <mergeCell ref="T32:U32"/>
    <mergeCell ref="T34:U34"/>
    <mergeCell ref="A30:E30"/>
    <mergeCell ref="F30:G30"/>
    <mergeCell ref="H30:I30"/>
    <mergeCell ref="J30:K30"/>
    <mergeCell ref="L30:M30"/>
    <mergeCell ref="N30:O30"/>
    <mergeCell ref="A27:E27"/>
    <mergeCell ref="F27:U27"/>
    <mergeCell ref="F28:I29"/>
    <mergeCell ref="J28:M28"/>
    <mergeCell ref="N28:O29"/>
    <mergeCell ref="P28:U29"/>
    <mergeCell ref="J29:K29"/>
    <mergeCell ref="L29:M29"/>
    <mergeCell ref="P30:Q30"/>
    <mergeCell ref="R30:S30"/>
    <mergeCell ref="T30:U30"/>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F31:U52">
    <cfRule type="expression" dxfId="89" priority="2">
      <formula>F31=0</formula>
    </cfRule>
  </conditionalFormatting>
  <conditionalFormatting sqref="R55:S62">
    <cfRule type="expression" dxfId="88" priority="1" stopIfTrue="1">
      <formula>R55=0</formula>
    </cfRule>
  </conditionalFormatting>
  <conditionalFormatting sqref="V31:AK31 AJ32:AK41 V42:AK52">
    <cfRule type="expression" dxfId="87" priority="4">
      <formula>V31=0</formula>
    </cfRule>
  </conditionalFormatting>
  <conditionalFormatting sqref="V53:AK53">
    <cfRule type="expression" dxfId="86" priority="5" stopIfTrue="1">
      <formula>V53=0</formula>
    </cfRule>
  </conditionalFormatting>
  <conditionalFormatting sqref="Y56:Y62 AC56:AD62 N57 N59">
    <cfRule type="expression" dxfId="85" priority="7" stopIfTrue="1">
      <formula>N56=0</formula>
    </cfRule>
  </conditionalFormatting>
  <pageMargins left="0.7" right="0.7" top="0.75" bottom="0.75" header="0.3" footer="0.3"/>
  <pageSetup paperSize="9" scale="61" orientation="portrait" r:id="rId1"/>
  <headerFooter>
    <oddFooter>&amp;C_x000D_&amp;1#&amp;"Calibri"&amp;10&amp;K000000 Internal</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1351D-86D3-45C7-B34B-60F4CE730E5B}">
  <sheetPr>
    <tabColor rgb="FFFFC000"/>
    <pageSetUpPr fitToPage="1"/>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11" width="3.7109375" style="404"/>
    <col min="12" max="12" width="5.5703125" style="404" bestFit="1" customWidth="1"/>
    <col min="13" max="14" width="3.7109375" style="404"/>
    <col min="15" max="15" width="6.7109375" style="404" customWidth="1"/>
    <col min="16" max="18" width="3.7109375" style="404"/>
    <col min="19" max="19" width="5.42578125" style="404" customWidth="1"/>
    <col min="20" max="23" width="3.7109375" style="404"/>
    <col min="24" max="24" width="6" style="404" bestFit="1"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'Precom F P'!$AC$5</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
        <v>97</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181</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5.737756714060031E-17</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727</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'Diesel F'!G20</f>
        <v>44.890193469756099</v>
      </c>
      <c r="R16" s="1144"/>
      <c r="S16" s="1145"/>
      <c r="T16" s="1073">
        <f>'Diesel F'!E5</f>
        <v>76019.579999999987</v>
      </c>
      <c r="U16" s="1109"/>
      <c r="V16" s="1074"/>
      <c r="W16" s="1076" t="s">
        <v>604</v>
      </c>
      <c r="X16" s="1075"/>
      <c r="Y16" s="1077"/>
      <c r="Z16" s="1073">
        <f>'Diesel F'!E6</f>
        <v>16376.099999999999</v>
      </c>
      <c r="AA16" s="1109"/>
      <c r="AB16" s="1074"/>
      <c r="AC16" s="1076" t="s">
        <v>604</v>
      </c>
      <c r="AD16" s="1075"/>
      <c r="AE16" s="1077"/>
      <c r="AF16" s="1146">
        <f>'Diesel F'!E8</f>
        <v>5343.78</v>
      </c>
      <c r="AG16" s="1147"/>
      <c r="AH16" s="1148"/>
      <c r="AI16" s="1076" t="s">
        <v>604</v>
      </c>
      <c r="AJ16" s="1075"/>
      <c r="AK16" s="1077"/>
      <c r="AL16" s="303"/>
      <c r="AM16" s="303" t="s">
        <v>605</v>
      </c>
      <c r="AN16" s="303"/>
      <c r="AO16" s="303"/>
      <c r="AP16" s="351">
        <v>1020</v>
      </c>
      <c r="AQ16" s="352">
        <f>AP16/$AR$9/$AR$7 * ((AN18+273.15)/(AN19+273.15))</f>
        <v>37.956295834166582</v>
      </c>
      <c r="AR16" s="353">
        <f>AX4</f>
        <v>0.13333333333333333</v>
      </c>
      <c r="AS16" s="354">
        <f>AR16*$AR$6/1055.06</f>
        <v>5.7374304146999541E-5</v>
      </c>
      <c r="AT16" s="355">
        <f>AS16*$Q$16*1000000</f>
        <v>2575.543613351439</v>
      </c>
      <c r="AU16" s="356">
        <f>AX5</f>
        <v>3.3333333333333333E-2</v>
      </c>
      <c r="AV16" s="354">
        <f>AU16*$AR$6/1055.06</f>
        <v>1.4343576036749885E-5</v>
      </c>
      <c r="AW16" s="355">
        <f>AV16*$Q$16*1000000</f>
        <v>643.88590333785976</v>
      </c>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1">
        <v>305.24099999999999</v>
      </c>
      <c r="I17" s="1132"/>
      <c r="J17" s="1133"/>
      <c r="K17" s="1134">
        <v>832.5</v>
      </c>
      <c r="L17" s="1135"/>
      <c r="M17" s="1136"/>
      <c r="N17" s="1137">
        <v>42.59</v>
      </c>
      <c r="O17" s="1138"/>
      <c r="P17" s="1139"/>
      <c r="Q17" s="1137">
        <v>45.61</v>
      </c>
      <c r="R17" s="1138"/>
      <c r="S17" s="1139"/>
      <c r="T17" s="1066">
        <f>$Q$17/$Q$16*T16</f>
        <v>77238.5408883567</v>
      </c>
      <c r="U17" s="1110"/>
      <c r="V17" s="1067"/>
      <c r="W17" s="1114">
        <f>T17/1000000/K17</f>
        <v>9.2779028094122163E-5</v>
      </c>
      <c r="X17" s="1115"/>
      <c r="Y17" s="1116"/>
      <c r="Z17" s="1066">
        <f>$Q$17/$Q$16*Z16</f>
        <v>16638.6879464714</v>
      </c>
      <c r="AA17" s="1110"/>
      <c r="AB17" s="1067"/>
      <c r="AC17" s="1114">
        <f>Z17/1000000/K17</f>
        <v>1.9986411947713393E-5</v>
      </c>
      <c r="AD17" s="1115"/>
      <c r="AE17" s="1116"/>
      <c r="AF17" s="1066">
        <f>$Q$17/$Q$16*AF16</f>
        <v>5429.4665930590891</v>
      </c>
      <c r="AG17" s="1110"/>
      <c r="AH17" s="1067"/>
      <c r="AI17" s="1060">
        <f>AF17/1000000/K17</f>
        <v>6.5218817934643711E-6</v>
      </c>
      <c r="AJ17" s="1059"/>
      <c r="AK17" s="1063"/>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123"/>
      <c r="O18" s="1069"/>
      <c r="P18" s="1124"/>
      <c r="Q18" s="1125"/>
      <c r="R18" s="1126"/>
      <c r="S18" s="112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125</v>
      </c>
      <c r="AA19" s="1118"/>
      <c r="AB19" s="1119"/>
      <c r="AC19" s="1117" t="s">
        <v>125</v>
      </c>
      <c r="AD19" s="1118"/>
      <c r="AE19" s="1119"/>
      <c r="AF19" s="358" t="s">
        <v>728</v>
      </c>
      <c r="AG19" s="31"/>
      <c r="AH19" s="31"/>
      <c r="AI19" s="31"/>
      <c r="AJ19" s="31"/>
      <c r="AK19" s="226"/>
      <c r="AL19" s="303"/>
      <c r="AM19" s="24" t="s">
        <v>611</v>
      </c>
      <c r="AN19" s="24">
        <v>15.6</v>
      </c>
      <c r="AO19" s="23" t="s">
        <v>609</v>
      </c>
      <c r="AP19" s="303"/>
      <c r="AQ19" s="303"/>
      <c r="AR19" s="356">
        <f>AX6</f>
        <v>4.6666666666666669E-2</v>
      </c>
      <c r="AS19" s="354">
        <f>AR19*$AR$6/1055.06</f>
        <v>2.0081006451449841E-5</v>
      </c>
      <c r="AT19" s="355">
        <f>AS19*$Q$16*1000000</f>
        <v>901.44026467300375</v>
      </c>
      <c r="AU19" s="351">
        <v>0.37446000000000002</v>
      </c>
      <c r="AV19" s="354">
        <f>AU19*$AR$6/1055.06</f>
        <v>1.6113286448164087E-4</v>
      </c>
      <c r="AW19" s="355">
        <f>AV19*$Q$16*1000000</f>
        <v>7233.2854609168498</v>
      </c>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c r="I21" s="1109"/>
      <c r="J21" s="1074"/>
      <c r="K21" s="1076" t="s">
        <v>604</v>
      </c>
      <c r="L21" s="1075"/>
      <c r="M21" s="1077"/>
      <c r="N21" s="1073">
        <f>'Diesel F'!E7</f>
        <v>4999.0199999999986</v>
      </c>
      <c r="O21" s="1109"/>
      <c r="P21" s="1074"/>
      <c r="Q21" s="1076" t="s">
        <v>604</v>
      </c>
      <c r="R21" s="1075"/>
      <c r="S21" s="1077"/>
      <c r="T21" s="1073"/>
      <c r="U21" s="1109"/>
      <c r="V21" s="1074"/>
      <c r="W21" s="1214" t="s">
        <v>604</v>
      </c>
      <c r="X21" s="1215"/>
      <c r="Y21" s="1216"/>
      <c r="Z21" s="1073"/>
      <c r="AA21" s="1109"/>
      <c r="AB21" s="1074"/>
      <c r="AC21" s="1076" t="s">
        <v>604</v>
      </c>
      <c r="AD21" s="1075"/>
      <c r="AE21" s="1077"/>
      <c r="AF21" s="300"/>
      <c r="AG21" s="31"/>
      <c r="AH21" s="302"/>
      <c r="AI21" s="31"/>
      <c r="AJ21" s="31"/>
      <c r="AK21" s="32"/>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6"/>
      <c r="I22" s="1110"/>
      <c r="J22" s="1067"/>
      <c r="K22" s="1114"/>
      <c r="L22" s="1115"/>
      <c r="M22" s="1116"/>
      <c r="N22" s="1066">
        <f>$Q$17/$Q$16*N21</f>
        <v>5079.1784257649533</v>
      </c>
      <c r="O22" s="1110"/>
      <c r="P22" s="1067"/>
      <c r="Q22" s="1114">
        <f>N22/1000000/K17</f>
        <v>6.1011152261440878E-6</v>
      </c>
      <c r="R22" s="1115"/>
      <c r="S22" s="1116"/>
      <c r="T22" s="1099"/>
      <c r="U22" s="1048"/>
      <c r="V22" s="1058"/>
      <c r="W22" s="1211"/>
      <c r="X22" s="1212"/>
      <c r="Y22" s="1213"/>
      <c r="Z22" s="1066"/>
      <c r="AA22" s="1110"/>
      <c r="AB22" s="1067"/>
      <c r="AC22" s="1114"/>
      <c r="AD22" s="1115"/>
      <c r="AE22" s="1116"/>
      <c r="AF22" s="31"/>
      <c r="AG22" s="31"/>
      <c r="AH22" s="31"/>
      <c r="AI22" s="31"/>
      <c r="AJ22" s="31"/>
      <c r="AK22" s="32"/>
      <c r="AL22" s="303"/>
      <c r="AM22" s="303"/>
      <c r="AN22" s="303"/>
      <c r="AO22" s="303"/>
      <c r="AP22" s="303"/>
      <c r="AQ22" s="303"/>
      <c r="AR22" s="356">
        <f>AX8</f>
        <v>6.9333333333333339E-3</v>
      </c>
      <c r="AS22" s="354">
        <f>AR22*$AR$6/1055.06</f>
        <v>2.9834638156439767E-6</v>
      </c>
      <c r="AT22" s="355">
        <f>AS22*$Q$16*1000000</f>
        <v>133.92826789427485</v>
      </c>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045"/>
      <c r="I23" s="1033"/>
      <c r="J23" s="1046"/>
      <c r="K23" s="1089"/>
      <c r="L23" s="1090"/>
      <c r="M23" s="1091"/>
      <c r="N23" s="1045"/>
      <c r="O23" s="1033"/>
      <c r="P23" s="1046"/>
      <c r="Q23" s="1096"/>
      <c r="R23" s="1097"/>
      <c r="S23" s="1098"/>
      <c r="T23" s="1099"/>
      <c r="U23" s="1048"/>
      <c r="V23" s="1058"/>
      <c r="W23" s="1096"/>
      <c r="X23" s="1097"/>
      <c r="Y23" s="1098"/>
      <c r="Z23" s="1086"/>
      <c r="AA23" s="1087"/>
      <c r="AB23" s="1088"/>
      <c r="AC23" s="1089"/>
      <c r="AD23" s="1090"/>
      <c r="AE23" s="1091"/>
      <c r="AF23" s="31"/>
      <c r="AG23" s="31"/>
      <c r="AH23" s="31"/>
      <c r="AI23" s="31"/>
      <c r="AJ23" s="31"/>
      <c r="AK23" s="32"/>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c r="I25" s="31" t="s">
        <v>590</v>
      </c>
      <c r="J25" s="31"/>
      <c r="K25" s="31"/>
      <c r="L25" s="31" t="s">
        <v>615</v>
      </c>
      <c r="M25" s="31"/>
      <c r="N25" s="31"/>
      <c r="O25" s="31"/>
      <c r="P25" s="31"/>
      <c r="Q25" s="31"/>
      <c r="R25" s="31"/>
      <c r="S25" s="32" t="s">
        <v>616</v>
      </c>
      <c r="T25" s="1092" t="str">
        <f>A17</f>
        <v>Diesel</v>
      </c>
      <c r="U25" s="1093"/>
      <c r="V25" s="1093"/>
      <c r="W25" s="1093"/>
      <c r="X25" s="1094">
        <v>6993</v>
      </c>
      <c r="Y25" s="1094"/>
      <c r="Z25" s="1094"/>
      <c r="AA25" s="1093" t="s">
        <v>617</v>
      </c>
      <c r="AB25" s="1093"/>
      <c r="AC25" s="1095">
        <f>X25/H17</f>
        <v>22.90976638131837</v>
      </c>
      <c r="AD25" s="1095"/>
      <c r="AE25" s="1093" t="s">
        <v>618</v>
      </c>
      <c r="AF25" s="1093"/>
      <c r="AG25" s="1093"/>
      <c r="AH25" s="1083">
        <f>X25*N17/3600</f>
        <v>82.731075000000004</v>
      </c>
      <c r="AI25" s="1083"/>
      <c r="AJ25" s="361" t="s">
        <v>590</v>
      </c>
      <c r="AK25" s="362"/>
      <c r="AL25" s="303"/>
      <c r="AM25" s="363">
        <f>X25*W22</f>
        <v>0</v>
      </c>
      <c r="AN25" s="303"/>
      <c r="AO25" s="303"/>
      <c r="AP25" s="303"/>
      <c r="AQ25" s="303"/>
      <c r="AR25" s="351">
        <f>AX7</f>
        <v>0.01</v>
      </c>
      <c r="AS25" s="354">
        <f>AR25*$AR$6/1055.06</f>
        <v>4.3030728110249664E-6</v>
      </c>
      <c r="AT25" s="355">
        <f>AS25*$Q$16*1000000</f>
        <v>193.16577100135797</v>
      </c>
      <c r="AU25" s="356">
        <f>AX9</f>
        <v>3.5333333333333336E-3</v>
      </c>
      <c r="AV25" s="354">
        <f>AU25*$AR$6/1055.06</f>
        <v>1.5204190598954882E-6</v>
      </c>
      <c r="AW25" s="355">
        <f>AV25*$Q$16*1000000</f>
        <v>68.251905753813148</v>
      </c>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0</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c r="B27" s="1081"/>
      <c r="C27" s="1081"/>
      <c r="D27" s="1081"/>
      <c r="E27" s="1081"/>
      <c r="F27" s="1042" t="str">
        <f>A17</f>
        <v>Diesel</v>
      </c>
      <c r="G27" s="1043"/>
      <c r="H27" s="1043"/>
      <c r="I27" s="1043"/>
      <c r="J27" s="1043"/>
      <c r="K27" s="1043"/>
      <c r="L27" s="1043"/>
      <c r="M27" s="1043"/>
      <c r="N27" s="1043"/>
      <c r="O27" s="1043"/>
      <c r="P27" s="1043"/>
      <c r="Q27" s="1043"/>
      <c r="R27" s="1043"/>
      <c r="S27" s="1043"/>
      <c r="T27" s="1043"/>
      <c r="U27" s="1080"/>
      <c r="V27" s="31"/>
      <c r="W27" s="31"/>
      <c r="X27" s="270">
        <f>AH25</f>
        <v>82.731075000000004</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1">
        <v>2160</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1">
        <f>X27*X28</f>
        <v>178699.122</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1">
        <f>X29*3600/1000</f>
        <v>643316.83920000005</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049">
        <v>0</v>
      </c>
      <c r="G31" s="1050"/>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BF33</f>
        <v>3.7672634101823899E-6</v>
      </c>
      <c r="G32" s="1050"/>
      <c r="H32" s="1051">
        <f>F32*$AC$25</f>
        <v>8.6307124624167308E-5</v>
      </c>
      <c r="I32" s="1052"/>
      <c r="J32" s="1059"/>
      <c r="K32" s="1059"/>
      <c r="L32" s="1060"/>
      <c r="M32" s="1059"/>
      <c r="N32" s="1054">
        <f t="shared" si="2"/>
        <v>1.384538893220892E-3</v>
      </c>
      <c r="O32" s="1055"/>
      <c r="P32" s="1061">
        <f>R32/$R$53</f>
        <v>0</v>
      </c>
      <c r="Q32" s="1062"/>
      <c r="R32" s="1060">
        <f>T32/$AR32</f>
        <v>0</v>
      </c>
      <c r="S32" s="1059"/>
      <c r="T32" s="1064">
        <f>$K$22*$X$25</f>
        <v>0</v>
      </c>
      <c r="U32" s="1065"/>
      <c r="V32" s="31"/>
      <c r="W32" s="31"/>
      <c r="X32" s="272"/>
      <c r="Y32" s="1183" t="s">
        <v>849</v>
      </c>
      <c r="Z32" s="1184"/>
      <c r="AA32" s="1184"/>
      <c r="AB32" s="1184"/>
      <c r="AC32" s="1184"/>
      <c r="AD32" s="1184"/>
      <c r="AE32" s="1184"/>
      <c r="AF32" s="1184"/>
      <c r="AG32" s="1184"/>
      <c r="AH32" s="1184"/>
      <c r="AI32" s="1184"/>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31"/>
      <c r="W33" s="31"/>
      <c r="X33" s="272"/>
      <c r="Y33" s="1184"/>
      <c r="Z33" s="1184"/>
      <c r="AA33" s="1184"/>
      <c r="AB33" s="1184"/>
      <c r="AC33" s="1184"/>
      <c r="AD33" s="1184"/>
      <c r="AE33" s="1184"/>
      <c r="AF33" s="1184"/>
      <c r="AG33" s="1184"/>
      <c r="AH33" s="1184"/>
      <c r="AI33" s="1184"/>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BF34</f>
        <v>2.32021919756754E-4</v>
      </c>
      <c r="G34" s="1050"/>
      <c r="H34" s="1051">
        <f t="shared" si="1"/>
        <v>5.3155679769722316E-3</v>
      </c>
      <c r="I34" s="1052"/>
      <c r="J34" s="1059"/>
      <c r="K34" s="1059"/>
      <c r="L34" s="1060"/>
      <c r="M34" s="1059"/>
      <c r="N34" s="1054">
        <f t="shared" si="2"/>
        <v>0.15982849793160106</v>
      </c>
      <c r="O34" s="1055"/>
      <c r="P34" s="1061">
        <f t="shared" si="10"/>
        <v>0</v>
      </c>
      <c r="Q34" s="1062"/>
      <c r="R34" s="1059">
        <f>T34/$AR34</f>
        <v>0</v>
      </c>
      <c r="S34" s="1059"/>
      <c r="T34" s="1061">
        <f t="shared" si="11"/>
        <v>0</v>
      </c>
      <c r="U34" s="1062"/>
      <c r="V34" s="31"/>
      <c r="W34" s="31"/>
      <c r="X34" s="272"/>
      <c r="Y34" s="1184"/>
      <c r="Z34" s="1184"/>
      <c r="AA34" s="1184"/>
      <c r="AB34" s="1184"/>
      <c r="AC34" s="1184"/>
      <c r="AD34" s="1184"/>
      <c r="AE34" s="1184"/>
      <c r="AF34" s="1184"/>
      <c r="AG34" s="1184"/>
      <c r="AH34" s="1184"/>
      <c r="AI34" s="1184"/>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31"/>
      <c r="W35" s="31"/>
      <c r="X35" s="272"/>
      <c r="Y35" s="1184"/>
      <c r="Z35" s="1184"/>
      <c r="AA35" s="1184"/>
      <c r="AB35" s="1184"/>
      <c r="AC35" s="1184"/>
      <c r="AD35" s="1184"/>
      <c r="AE35" s="1184"/>
      <c r="AF35" s="1184"/>
      <c r="AG35" s="1184"/>
      <c r="AH35" s="1184"/>
      <c r="AI35" s="1184"/>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BF35</f>
        <v>4.1140406723645098E-3</v>
      </c>
      <c r="G36" s="1050"/>
      <c r="H36" s="1051">
        <f t="shared" si="1"/>
        <v>9.4251710687112869E-2</v>
      </c>
      <c r="I36" s="1052"/>
      <c r="J36" s="1059"/>
      <c r="K36" s="1059"/>
      <c r="L36" s="1060"/>
      <c r="M36" s="1059"/>
      <c r="N36" s="1054">
        <f t="shared" si="2"/>
        <v>4.1559349310375548</v>
      </c>
      <c r="O36" s="1055"/>
      <c r="P36" s="1061">
        <f t="shared" si="10"/>
        <v>0</v>
      </c>
      <c r="Q36" s="1062"/>
      <c r="R36" s="1059">
        <f t="shared" si="12"/>
        <v>0</v>
      </c>
      <c r="S36" s="1059"/>
      <c r="T36" s="1061">
        <f t="shared" si="11"/>
        <v>0</v>
      </c>
      <c r="U36" s="1062"/>
      <c r="V36" s="31"/>
      <c r="W36" s="31"/>
      <c r="X36" s="272"/>
      <c r="Y36" s="1184"/>
      <c r="Z36" s="1184"/>
      <c r="AA36" s="1184"/>
      <c r="AB36" s="1184"/>
      <c r="AC36" s="1184"/>
      <c r="AD36" s="1184"/>
      <c r="AE36" s="1184"/>
      <c r="AF36" s="1184"/>
      <c r="AG36" s="1184"/>
      <c r="AH36" s="1184"/>
      <c r="AI36" s="1184"/>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31"/>
      <c r="W37" s="31"/>
      <c r="X37" s="272"/>
      <c r="Y37" s="1184"/>
      <c r="Z37" s="1184"/>
      <c r="AA37" s="1184"/>
      <c r="AB37" s="1184"/>
      <c r="AC37" s="1184"/>
      <c r="AD37" s="1184"/>
      <c r="AE37" s="1184"/>
      <c r="AF37" s="1184"/>
      <c r="AG37" s="1184"/>
      <c r="AH37" s="1184"/>
      <c r="AI37" s="1184"/>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BF36</f>
        <v>4.2987554978870402E-3</v>
      </c>
      <c r="G38" s="1050"/>
      <c r="H38" s="1051">
        <f t="shared" si="1"/>
        <v>9.8483484187000023E-2</v>
      </c>
      <c r="I38" s="1052"/>
      <c r="J38" s="1059"/>
      <c r="K38" s="1059"/>
      <c r="L38" s="1060"/>
      <c r="M38" s="1059"/>
      <c r="N38" s="1054">
        <f t="shared" si="2"/>
        <v>5.7238601009484409</v>
      </c>
      <c r="O38" s="1055"/>
      <c r="P38" s="1061">
        <f t="shared" si="10"/>
        <v>0</v>
      </c>
      <c r="Q38" s="1062"/>
      <c r="R38" s="1059">
        <f t="shared" si="12"/>
        <v>0</v>
      </c>
      <c r="S38" s="1059"/>
      <c r="T38" s="1061">
        <f t="shared" si="11"/>
        <v>0</v>
      </c>
      <c r="U38" s="1062"/>
      <c r="V38" s="31"/>
      <c r="W38" s="31"/>
      <c r="X38" s="272"/>
      <c r="Y38" s="272"/>
      <c r="Z38" s="31"/>
      <c r="AA38" s="31"/>
      <c r="AB38" s="31"/>
      <c r="AC38" s="31"/>
      <c r="AD38" s="272"/>
      <c r="AE38" s="272"/>
      <c r="AF38" s="382"/>
      <c r="AG38" s="382"/>
      <c r="AH38" s="31"/>
      <c r="AI38" s="31"/>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f>BF37</f>
        <v>1.33109664079022E-2</v>
      </c>
      <c r="G39" s="1050"/>
      <c r="H39" s="1051">
        <f t="shared" si="1"/>
        <v>0.30495113071461599</v>
      </c>
      <c r="I39" s="1052"/>
      <c r="J39" s="1059"/>
      <c r="K39" s="1059"/>
      <c r="L39" s="1060"/>
      <c r="M39" s="1059"/>
      <c r="N39" s="1054">
        <f t="shared" si="2"/>
        <v>17.723759717133479</v>
      </c>
      <c r="O39" s="1055"/>
      <c r="P39" s="1061">
        <f t="shared" si="10"/>
        <v>0</v>
      </c>
      <c r="Q39" s="1062"/>
      <c r="R39" s="1059">
        <f t="shared" si="12"/>
        <v>0</v>
      </c>
      <c r="S39" s="1059"/>
      <c r="T39" s="1061">
        <f t="shared" si="11"/>
        <v>0</v>
      </c>
      <c r="U39" s="1062"/>
      <c r="V39" s="31"/>
      <c r="W39" s="31"/>
      <c r="X39" s="272"/>
      <c r="Y39" s="272"/>
      <c r="Z39" s="31"/>
      <c r="AA39" s="31"/>
      <c r="AB39" s="31"/>
      <c r="AC39" s="31"/>
      <c r="AD39" s="272"/>
      <c r="AE39" s="272"/>
      <c r="AF39" s="382"/>
      <c r="AG39" s="382"/>
      <c r="AH39" s="31"/>
      <c r="AI39" s="31"/>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BF38</f>
        <v>1.4450640107125301E-2</v>
      </c>
      <c r="G40" s="1050"/>
      <c r="H40" s="1051">
        <f t="shared" si="1"/>
        <v>0.3310607889147501</v>
      </c>
      <c r="I40" s="1052"/>
      <c r="J40" s="1059"/>
      <c r="K40" s="1059"/>
      <c r="L40" s="1060"/>
      <c r="M40" s="1059"/>
      <c r="N40" s="1054">
        <f t="shared" si="2"/>
        <v>23.884711677043562</v>
      </c>
      <c r="O40" s="1055"/>
      <c r="P40" s="1061">
        <f t="shared" si="10"/>
        <v>0</v>
      </c>
      <c r="Q40" s="1062"/>
      <c r="R40" s="1059">
        <f t="shared" si="12"/>
        <v>0</v>
      </c>
      <c r="S40" s="1059"/>
      <c r="T40" s="1061">
        <f t="shared" si="11"/>
        <v>0</v>
      </c>
      <c r="U40" s="1062"/>
      <c r="V40" s="31"/>
      <c r="W40" s="31"/>
      <c r="X40" s="272"/>
      <c r="Y40" s="272"/>
      <c r="Z40" s="31"/>
      <c r="AA40" s="31"/>
      <c r="AB40" s="31"/>
      <c r="AC40" s="31"/>
      <c r="AD40" s="272"/>
      <c r="AE40" s="272"/>
      <c r="AF40" s="382"/>
      <c r="AG40" s="382"/>
      <c r="AH40" s="31"/>
      <c r="AI40" s="31"/>
      <c r="AJ40" s="380"/>
      <c r="AK40" s="381"/>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BF40</f>
        <v>1.8657920075756399E-2</v>
      </c>
      <c r="G41" s="1050"/>
      <c r="H41" s="1051">
        <f t="shared" si="1"/>
        <v>0.42744859009688907</v>
      </c>
      <c r="I41" s="1052"/>
      <c r="J41" s="1059"/>
      <c r="K41" s="1059"/>
      <c r="L41" s="1060"/>
      <c r="M41" s="1059"/>
      <c r="N41" s="1054">
        <f t="shared" si="2"/>
        <v>30.838705981130158</v>
      </c>
      <c r="O41" s="1055"/>
      <c r="P41" s="1061">
        <f t="shared" si="10"/>
        <v>0</v>
      </c>
      <c r="Q41" s="1062"/>
      <c r="R41" s="1059">
        <f t="shared" si="12"/>
        <v>0</v>
      </c>
      <c r="S41" s="1059"/>
      <c r="T41" s="1061">
        <f t="shared" si="11"/>
        <v>0</v>
      </c>
      <c r="U41" s="1062"/>
      <c r="V41" s="31"/>
      <c r="W41" s="31"/>
      <c r="X41" s="272"/>
      <c r="Y41" s="272"/>
      <c r="Z41" s="31"/>
      <c r="AA41" s="31"/>
      <c r="AB41" s="31"/>
      <c r="AC41" s="31"/>
      <c r="AD41" s="272"/>
      <c r="AE41" s="272"/>
      <c r="AF41" s="382"/>
      <c r="AG41" s="382"/>
      <c r="AH41" s="31"/>
      <c r="AI41" s="31"/>
      <c r="AJ41" s="380"/>
      <c r="AK41" s="381"/>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425</v>
      </c>
      <c r="B42" s="376"/>
      <c r="C42" s="376"/>
      <c r="D42" s="376"/>
      <c r="E42" s="377"/>
      <c r="F42" s="1049">
        <f>SUM(BF41:BF75)</f>
        <v>0.94337200608568694</v>
      </c>
      <c r="G42" s="1050"/>
      <c r="H42" s="1064">
        <f t="shared" si="1"/>
        <v>21.61243227009874</v>
      </c>
      <c r="I42" s="1065"/>
      <c r="J42" s="1059"/>
      <c r="K42" s="1059"/>
      <c r="L42" s="1060"/>
      <c r="M42" s="1059"/>
      <c r="N42" s="1054">
        <f t="shared" si="2"/>
        <v>6909.6004976686909</v>
      </c>
      <c r="O42" s="1055"/>
      <c r="P42" s="1061">
        <f t="shared" si="10"/>
        <v>0</v>
      </c>
      <c r="Q42" s="1062"/>
      <c r="R42" s="1059">
        <f t="shared" si="12"/>
        <v>0</v>
      </c>
      <c r="S42" s="1059"/>
      <c r="T42" s="1061">
        <f t="shared" si="11"/>
        <v>0</v>
      </c>
      <c r="U42" s="1062"/>
      <c r="V42" s="31"/>
      <c r="W42" s="31"/>
      <c r="X42" s="272"/>
      <c r="Y42" s="272"/>
      <c r="Z42" s="31"/>
      <c r="AA42" s="31"/>
      <c r="AB42" s="31"/>
      <c r="AC42" s="31"/>
      <c r="AD42" s="272"/>
      <c r="AE42" s="272"/>
      <c r="AF42" s="382"/>
      <c r="AG42" s="382"/>
      <c r="AH42" s="31"/>
      <c r="AI42" s="31"/>
      <c r="AJ42" s="270"/>
      <c r="AK42" s="37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754.26903819621168</v>
      </c>
      <c r="K45" s="1070"/>
      <c r="L45" s="1060">
        <f>0.15*J45</f>
        <v>113.14035572943175</v>
      </c>
      <c r="M45" s="1059"/>
      <c r="N45" s="1066">
        <f t="shared" si="2"/>
        <v>27757.100605620588</v>
      </c>
      <c r="O45" s="1067"/>
      <c r="P45" s="1061">
        <f t="shared" si="10"/>
        <v>2.6677885602713645E-2</v>
      </c>
      <c r="Q45" s="1062"/>
      <c r="R45" s="1059">
        <f>L45+SUMPRODUCT(R32:R44,$AS32:$AS44)</f>
        <v>113.14035572943175</v>
      </c>
      <c r="S45" s="1059"/>
      <c r="T45" s="1071">
        <f>R45*$AR45</f>
        <v>3620.4913833418159</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BF31</f>
        <v>1.4415226502516399E-10</v>
      </c>
      <c r="G46" s="1050"/>
      <c r="H46" s="1061">
        <f t="shared" si="1"/>
        <v>3.3024947150643979E-9</v>
      </c>
      <c r="I46" s="1062"/>
      <c r="J46" s="1059">
        <f>0.79/0.21*J45</f>
        <v>2837.4882865476538</v>
      </c>
      <c r="K46" s="1063"/>
      <c r="L46" s="1060">
        <f>0.71/0.29*L45</f>
        <v>276.99880195826398</v>
      </c>
      <c r="M46" s="1059"/>
      <c r="N46" s="1066">
        <f>SUM(H46,J46,L46)*AR46</f>
        <v>87205.638478258159</v>
      </c>
      <c r="O46" s="1067"/>
      <c r="P46" s="1064">
        <f t="shared" si="10"/>
        <v>0.73437593020060521</v>
      </c>
      <c r="Q46" s="1065"/>
      <c r="R46" s="1064">
        <f>$H46+J46+L46-R49</f>
        <v>3114.4729840800142</v>
      </c>
      <c r="S46" s="1065"/>
      <c r="T46" s="1066">
        <f>R46*$AR46</f>
        <v>87205.243554240398</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1.1765736557664542E-6</v>
      </c>
      <c r="Q47" s="1062"/>
      <c r="R47" s="1059">
        <f>T47/$AR$47</f>
        <v>4.9898243038329088E-3</v>
      </c>
      <c r="S47" s="1059"/>
      <c r="T47" s="1064">
        <f>$AC17*$X25</f>
        <v>0.13976497875035976</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BF32</f>
        <v>1.04835044112351E-6</v>
      </c>
      <c r="G48" s="1050"/>
      <c r="H48" s="1061">
        <f t="shared" si="1"/>
        <v>2.4017463691891674E-5</v>
      </c>
      <c r="I48" s="1062"/>
      <c r="J48" s="1059"/>
      <c r="K48" s="1059"/>
      <c r="L48" s="1060"/>
      <c r="M48" s="1059"/>
      <c r="N48" s="1061">
        <f t="shared" si="2"/>
        <v>1.0570085770801525E-3</v>
      </c>
      <c r="O48" s="1062"/>
      <c r="P48" s="1064">
        <f t="shared" si="10"/>
        <v>0.11676935192729568</v>
      </c>
      <c r="Q48" s="1065"/>
      <c r="R48" s="1068">
        <f>SUMPRODUCT($H31:$H52,$AU31:$AU52)+$H48-R47-SUMPRODUCT(R32:R42,$AU32:$AU42)</f>
        <v>495.21638304070086</v>
      </c>
      <c r="S48" s="1059"/>
      <c r="T48" s="1066">
        <f>R48*$AR48</f>
        <v>21794.473017621243</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3.3257483275116941E-6</v>
      </c>
      <c r="Q49" s="1062"/>
      <c r="R49" s="1060">
        <f>T49/$AR49</f>
        <v>1.4104429205699919E-2</v>
      </c>
      <c r="S49" s="1063"/>
      <c r="T49" s="1064">
        <f>$W17*$X25</f>
        <v>0.64880374346219627</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1.5719062744120606E-7</v>
      </c>
      <c r="Q51" s="1062"/>
      <c r="R51" s="1066">
        <f>T51/$AR51</f>
        <v>6.6664216838165005E-4</v>
      </c>
      <c r="S51" s="1067"/>
      <c r="T51" s="1060">
        <f>Q22*X25</f>
        <v>4.2665098776425603E-2</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049">
        <f>BF76</f>
        <v>1.4951987737782399E-3</v>
      </c>
      <c r="G52" s="1050"/>
      <c r="H52" s="1051">
        <f t="shared" si="1"/>
        <v>3.4254654600893171E-2</v>
      </c>
      <c r="I52" s="1052"/>
      <c r="J52" s="1032"/>
      <c r="K52" s="1032"/>
      <c r="L52" s="1053"/>
      <c r="M52" s="1032"/>
      <c r="N52" s="1054">
        <f t="shared" si="2"/>
        <v>0.61713185728969133</v>
      </c>
      <c r="O52" s="1055"/>
      <c r="P52" s="1056">
        <f t="shared" si="10"/>
        <v>0.12217217275677479</v>
      </c>
      <c r="Q52" s="1057"/>
      <c r="R52" s="1044">
        <f>SUMPRODUCT(H31:H52,$AV31:$AV52)+H52-SUMPRODUCT(R32:R42,$AV32:$AV42)</f>
        <v>518.12963335194263</v>
      </c>
      <c r="S52" s="1044"/>
      <c r="T52" s="1045">
        <f>R52*$AR52</f>
        <v>9334.6234744685971</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0.99993636529826091</v>
      </c>
      <c r="G53" s="1038"/>
      <c r="H53" s="1039">
        <f>SUM(H31:H52)</f>
        <v>22.908308525167783</v>
      </c>
      <c r="I53" s="1040"/>
      <c r="J53" s="1041">
        <f>SUM(J31:J52)</f>
        <v>3591.7573247438654</v>
      </c>
      <c r="K53" s="1041"/>
      <c r="L53" s="1042">
        <f>SUM(L31:L52)</f>
        <v>390.13915768769573</v>
      </c>
      <c r="M53" s="1043"/>
      <c r="N53" s="1030">
        <f>SUM(N31:N52)</f>
        <v>121955.44595585742</v>
      </c>
      <c r="O53" s="1031"/>
      <c r="P53" s="1028">
        <f>SUM(P31:P52)</f>
        <v>1</v>
      </c>
      <c r="Q53" s="1029"/>
      <c r="R53" s="1030">
        <f>SUM(R31:R52)</f>
        <v>4240.9791170977669</v>
      </c>
      <c r="S53" s="1031"/>
      <c r="T53" s="1030">
        <f>SUM(T31:T52)</f>
        <v>121955.66266349304</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0.18022326207283229</v>
      </c>
      <c r="M55" s="1186"/>
      <c r="N55" s="1669">
        <f>W17*$X$25</f>
        <v>0.64880374346219627</v>
      </c>
      <c r="O55" s="1669"/>
      <c r="P55" s="31" t="s">
        <v>617</v>
      </c>
      <c r="Q55" s="31"/>
      <c r="R55" s="1397">
        <f>N55*90*24/1000</f>
        <v>1.401416085878344</v>
      </c>
      <c r="S55" s="1397"/>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185">
        <f t="shared" ref="L56:L61" si="13">N56*1000/3600</f>
        <v>3.8823605208433261E-2</v>
      </c>
      <c r="M56" s="1186"/>
      <c r="N56" s="1669">
        <f>AC17*$X$25</f>
        <v>0.13976497875035976</v>
      </c>
      <c r="O56" s="1669"/>
      <c r="P56" s="31" t="s">
        <v>617</v>
      </c>
      <c r="Q56" s="31"/>
      <c r="R56" s="1397">
        <f t="shared" ref="R56:R61" si="14">N56*90*24/1000</f>
        <v>0.30189235410077708</v>
      </c>
      <c r="S56" s="1397"/>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185">
        <f t="shared" si="13"/>
        <v>1.2668755383804542E-2</v>
      </c>
      <c r="M57" s="1186"/>
      <c r="N57" s="1026">
        <f>AI17*$X$25</f>
        <v>4.5607519381696347E-2</v>
      </c>
      <c r="O57" s="1026"/>
      <c r="P57" s="31" t="s">
        <v>617</v>
      </c>
      <c r="Q57" s="31"/>
      <c r="R57" s="1024">
        <f t="shared" si="14"/>
        <v>9.8512241864464112E-2</v>
      </c>
      <c r="S57" s="1024"/>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185">
        <f t="shared" si="13"/>
        <v>0</v>
      </c>
      <c r="M58" s="1186"/>
      <c r="N58" s="1023">
        <f>K22*$X$25</f>
        <v>0</v>
      </c>
      <c r="O58" s="1023"/>
      <c r="P58" s="31" t="s">
        <v>617</v>
      </c>
      <c r="Q58" s="31"/>
      <c r="R58" s="1024">
        <f t="shared" si="14"/>
        <v>0</v>
      </c>
      <c r="S58" s="1024"/>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185">
        <f t="shared" si="13"/>
        <v>0</v>
      </c>
      <c r="M59" s="1186"/>
      <c r="N59" s="1026">
        <f>X25*W22</f>
        <v>0</v>
      </c>
      <c r="O59" s="1026"/>
      <c r="P59" s="31" t="s">
        <v>617</v>
      </c>
      <c r="Q59" s="31"/>
      <c r="R59" s="1024">
        <f t="shared" si="14"/>
        <v>0</v>
      </c>
      <c r="S59" s="1024"/>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1.1851416326784889E-2</v>
      </c>
      <c r="M60" s="1186"/>
      <c r="N60" s="1023">
        <f>Q22*$X$25</f>
        <v>4.2665098776425603E-2</v>
      </c>
      <c r="O60" s="1023"/>
      <c r="P60" s="31" t="s">
        <v>617</v>
      </c>
      <c r="Q60" s="31"/>
      <c r="R60" s="1024">
        <f t="shared" si="14"/>
        <v>9.2156613357079309E-2</v>
      </c>
      <c r="S60" s="1024"/>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0</v>
      </c>
      <c r="M61" s="1186"/>
      <c r="N61" s="1023">
        <f>AC22*$X$25</f>
        <v>0</v>
      </c>
      <c r="O61" s="1023"/>
      <c r="P61" s="31" t="s">
        <v>617</v>
      </c>
      <c r="Q61" s="31"/>
      <c r="R61" s="1024">
        <f t="shared" si="14"/>
        <v>0</v>
      </c>
      <c r="S61" s="1024"/>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187">
        <f>O62*1000/3600</f>
        <v>5880.5998845224076</v>
      </c>
      <c r="M62" s="1188"/>
      <c r="N62" s="31"/>
      <c r="O62" s="416">
        <f>'Diesel F'!I56*X25</f>
        <v>21170.159584280667</v>
      </c>
      <c r="P62" s="395" t="s">
        <v>617</v>
      </c>
      <c r="Q62" s="395"/>
      <c r="R62" s="1668">
        <f>O62*90*24/1000</f>
        <v>45727.544702046245</v>
      </c>
      <c r="S62" s="1668"/>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680</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682</v>
      </c>
      <c r="B65" s="31" t="s">
        <v>683</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832</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415" t="s">
        <v>38</v>
      </c>
      <c r="B67" s="147" t="s">
        <v>689</v>
      </c>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32"/>
      <c r="B68" s="147"/>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YzyPXkeAJkNfGXq2l/y4nEObGsWo+pKJ1IuCHKdQdc+o34K1vTN+NyaUuatz4hqeE3J0GF8cK3UF8ny28Y3NUg==" saltValue="kKNL5L7DWL9yniG7nBcQ6w==" spinCount="100000" sheet="1" objects="1" scenarios="1" selectLockedCells="1" selectUnlockedCells="1"/>
  <mergeCells count="449">
    <mergeCell ref="A1:AK4"/>
    <mergeCell ref="A5:G5"/>
    <mergeCell ref="Y5:AB5"/>
    <mergeCell ref="AC5:AK5"/>
    <mergeCell ref="A6:G6"/>
    <mergeCell ref="Y6:AB6"/>
    <mergeCell ref="AC6:AK6"/>
    <mergeCell ref="A7:G7"/>
    <mergeCell ref="Y7:AB7"/>
    <mergeCell ref="A8:G9"/>
    <mergeCell ref="H8:AK9"/>
    <mergeCell ref="A10:H10"/>
    <mergeCell ref="I10:X10"/>
    <mergeCell ref="Y10:AB10"/>
    <mergeCell ref="AC10:AE10"/>
    <mergeCell ref="AF10:AH10"/>
    <mergeCell ref="AI10:AK10"/>
    <mergeCell ref="A11:AK12"/>
    <mergeCell ref="A13:G13"/>
    <mergeCell ref="H13:AK13"/>
    <mergeCell ref="H14:J14"/>
    <mergeCell ref="K14:M14"/>
    <mergeCell ref="N14:P14"/>
    <mergeCell ref="Q14:S14"/>
    <mergeCell ref="T14:V14"/>
    <mergeCell ref="W14:Y14"/>
    <mergeCell ref="Z14:AB14"/>
    <mergeCell ref="AC14:AE14"/>
    <mergeCell ref="AF14:AH14"/>
    <mergeCell ref="AI14:AK14"/>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A30:E30"/>
    <mergeCell ref="F30:G30"/>
    <mergeCell ref="H30:I30"/>
    <mergeCell ref="J30:K30"/>
    <mergeCell ref="L30:M30"/>
    <mergeCell ref="N30:O30"/>
    <mergeCell ref="A27:E27"/>
    <mergeCell ref="F27:U27"/>
    <mergeCell ref="F28:I29"/>
    <mergeCell ref="J28:M28"/>
    <mergeCell ref="N28:O29"/>
    <mergeCell ref="P28:U29"/>
    <mergeCell ref="J29:K29"/>
    <mergeCell ref="L29:M29"/>
    <mergeCell ref="P30:Q30"/>
    <mergeCell ref="R30:S30"/>
    <mergeCell ref="T30:U30"/>
    <mergeCell ref="F31:G31"/>
    <mergeCell ref="H31:I31"/>
    <mergeCell ref="J31:K31"/>
    <mergeCell ref="L31:M31"/>
    <mergeCell ref="N31:O31"/>
    <mergeCell ref="P31:Q31"/>
    <mergeCell ref="R31:S31"/>
    <mergeCell ref="T31:U31"/>
    <mergeCell ref="F32:G32"/>
    <mergeCell ref="H32:I32"/>
    <mergeCell ref="J32:K32"/>
    <mergeCell ref="L32:M32"/>
    <mergeCell ref="N32:O32"/>
    <mergeCell ref="P32:Q32"/>
    <mergeCell ref="R32:S32"/>
    <mergeCell ref="T32:U32"/>
    <mergeCell ref="Y32:AI37"/>
    <mergeCell ref="F33:G33"/>
    <mergeCell ref="H33:I33"/>
    <mergeCell ref="J33:K33"/>
    <mergeCell ref="L33:M33"/>
    <mergeCell ref="N33:O33"/>
    <mergeCell ref="P33:Q33"/>
    <mergeCell ref="R33:S33"/>
    <mergeCell ref="T33:U33"/>
    <mergeCell ref="F34:G34"/>
    <mergeCell ref="T34:U34"/>
    <mergeCell ref="F35:G35"/>
    <mergeCell ref="H35:I35"/>
    <mergeCell ref="J35:K35"/>
    <mergeCell ref="L35:M35"/>
    <mergeCell ref="N35:O35"/>
    <mergeCell ref="P35:Q35"/>
    <mergeCell ref="R35:S35"/>
    <mergeCell ref="T35:U35"/>
    <mergeCell ref="H34:I34"/>
    <mergeCell ref="J34:K34"/>
    <mergeCell ref="L34:M34"/>
    <mergeCell ref="N34:O34"/>
    <mergeCell ref="P34:Q34"/>
    <mergeCell ref="R34:S34"/>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R40:S40"/>
    <mergeCell ref="T40:U40"/>
    <mergeCell ref="F41:G41"/>
    <mergeCell ref="H41:I41"/>
    <mergeCell ref="J41:K41"/>
    <mergeCell ref="L41:M41"/>
    <mergeCell ref="N41:O41"/>
    <mergeCell ref="P41:Q41"/>
    <mergeCell ref="R41:S41"/>
    <mergeCell ref="T41:U41"/>
    <mergeCell ref="F40:G40"/>
    <mergeCell ref="H40:I40"/>
    <mergeCell ref="J40:K40"/>
    <mergeCell ref="L40:M40"/>
    <mergeCell ref="N40:O40"/>
    <mergeCell ref="P40:Q40"/>
    <mergeCell ref="R42:S42"/>
    <mergeCell ref="T42:U42"/>
    <mergeCell ref="F43:G43"/>
    <mergeCell ref="H43:I43"/>
    <mergeCell ref="J43:K43"/>
    <mergeCell ref="L43:M43"/>
    <mergeCell ref="N43:O43"/>
    <mergeCell ref="P43:Q43"/>
    <mergeCell ref="R43:S43"/>
    <mergeCell ref="T43:U43"/>
    <mergeCell ref="F42:G42"/>
    <mergeCell ref="H42:I42"/>
    <mergeCell ref="J42:K42"/>
    <mergeCell ref="L42:M42"/>
    <mergeCell ref="N42:O42"/>
    <mergeCell ref="P42:Q42"/>
    <mergeCell ref="AJ43:AK43"/>
    <mergeCell ref="F44:G44"/>
    <mergeCell ref="H44:I44"/>
    <mergeCell ref="J44:K44"/>
    <mergeCell ref="L44:M44"/>
    <mergeCell ref="N44:O44"/>
    <mergeCell ref="P44:Q44"/>
    <mergeCell ref="R44:S44"/>
    <mergeCell ref="T44:U44"/>
    <mergeCell ref="V43:W43"/>
    <mergeCell ref="X43:Y43"/>
    <mergeCell ref="Z43:AA43"/>
    <mergeCell ref="AB43:AC43"/>
    <mergeCell ref="AD43:AE43"/>
    <mergeCell ref="AF43:AG43"/>
    <mergeCell ref="AH44:AI44"/>
    <mergeCell ref="AJ44:AK44"/>
    <mergeCell ref="X44:Y44"/>
    <mergeCell ref="Z44:AA44"/>
    <mergeCell ref="AB44:AC44"/>
    <mergeCell ref="AD44:AE44"/>
    <mergeCell ref="AF44:AG44"/>
    <mergeCell ref="J45:K45"/>
    <mergeCell ref="L45:M45"/>
    <mergeCell ref="N45:O45"/>
    <mergeCell ref="P45:Q45"/>
    <mergeCell ref="R45:S45"/>
    <mergeCell ref="T45:U45"/>
    <mergeCell ref="V44:W44"/>
    <mergeCell ref="AH43:AI43"/>
    <mergeCell ref="AH45:AI45"/>
    <mergeCell ref="AJ45:AK45"/>
    <mergeCell ref="F46:G46"/>
    <mergeCell ref="H46:I46"/>
    <mergeCell ref="J46:K46"/>
    <mergeCell ref="L46:M46"/>
    <mergeCell ref="N46:O46"/>
    <mergeCell ref="P46:Q46"/>
    <mergeCell ref="R46:S46"/>
    <mergeCell ref="T46:U46"/>
    <mergeCell ref="V45:W45"/>
    <mergeCell ref="X45:Y45"/>
    <mergeCell ref="Z45:AA45"/>
    <mergeCell ref="AB45:AC45"/>
    <mergeCell ref="AD45:AE45"/>
    <mergeCell ref="AF45:AG45"/>
    <mergeCell ref="AH46:AI46"/>
    <mergeCell ref="AJ46:AK46"/>
    <mergeCell ref="X46:Y46"/>
    <mergeCell ref="Z46:AA46"/>
    <mergeCell ref="AB46:AC46"/>
    <mergeCell ref="AD46:AE46"/>
    <mergeCell ref="AF46:AG46"/>
    <mergeCell ref="F45:G45"/>
    <mergeCell ref="H45:I45"/>
    <mergeCell ref="F47:G47"/>
    <mergeCell ref="H47:I47"/>
    <mergeCell ref="J47:K47"/>
    <mergeCell ref="L47:M47"/>
    <mergeCell ref="N47:O47"/>
    <mergeCell ref="P47:Q47"/>
    <mergeCell ref="R47:S47"/>
    <mergeCell ref="T47:U47"/>
    <mergeCell ref="V46:W46"/>
    <mergeCell ref="V48:W48"/>
    <mergeCell ref="AH47:AI47"/>
    <mergeCell ref="AJ47:AK47"/>
    <mergeCell ref="F48:G48"/>
    <mergeCell ref="H48:I48"/>
    <mergeCell ref="J48:K48"/>
    <mergeCell ref="L48:M48"/>
    <mergeCell ref="N48:O48"/>
    <mergeCell ref="P48:Q48"/>
    <mergeCell ref="R48:S48"/>
    <mergeCell ref="T48:U48"/>
    <mergeCell ref="V47:W47"/>
    <mergeCell ref="X47:Y47"/>
    <mergeCell ref="Z47:AA47"/>
    <mergeCell ref="AB47:AC47"/>
    <mergeCell ref="AD47:AE47"/>
    <mergeCell ref="AF47:AG47"/>
    <mergeCell ref="AH48:AI48"/>
    <mergeCell ref="AJ48:AK48"/>
    <mergeCell ref="X48:Y48"/>
    <mergeCell ref="Z48:AA48"/>
    <mergeCell ref="AB48:AC48"/>
    <mergeCell ref="AD48:AE48"/>
    <mergeCell ref="AF48:AG48"/>
    <mergeCell ref="AJ49:AK49"/>
    <mergeCell ref="F50:G50"/>
    <mergeCell ref="H50:I50"/>
    <mergeCell ref="J50:K50"/>
    <mergeCell ref="L50:M50"/>
    <mergeCell ref="N50:O50"/>
    <mergeCell ref="P50:Q50"/>
    <mergeCell ref="R50:S50"/>
    <mergeCell ref="T50:U50"/>
    <mergeCell ref="V49:W49"/>
    <mergeCell ref="X49:Y49"/>
    <mergeCell ref="Z49:AA49"/>
    <mergeCell ref="AB49:AC49"/>
    <mergeCell ref="AD49:AE49"/>
    <mergeCell ref="AF49:AG49"/>
    <mergeCell ref="AH50:AI50"/>
    <mergeCell ref="AJ50:AK50"/>
    <mergeCell ref="X50:Y50"/>
    <mergeCell ref="Z50:AA50"/>
    <mergeCell ref="AB50:AC50"/>
    <mergeCell ref="AD50:AE50"/>
    <mergeCell ref="AF50:AG50"/>
    <mergeCell ref="F49:G49"/>
    <mergeCell ref="H49:I49"/>
    <mergeCell ref="J51:K51"/>
    <mergeCell ref="L51:M51"/>
    <mergeCell ref="N51:O51"/>
    <mergeCell ref="P51:Q51"/>
    <mergeCell ref="R51:S51"/>
    <mergeCell ref="T51:U51"/>
    <mergeCell ref="V50:W50"/>
    <mergeCell ref="AH49:AI49"/>
    <mergeCell ref="J49:K49"/>
    <mergeCell ref="L49:M49"/>
    <mergeCell ref="N49:O49"/>
    <mergeCell ref="P49:Q49"/>
    <mergeCell ref="R49:S49"/>
    <mergeCell ref="T49:U49"/>
    <mergeCell ref="AH51:AI51"/>
    <mergeCell ref="AJ51:AK51"/>
    <mergeCell ref="F52:G52"/>
    <mergeCell ref="H52:I52"/>
    <mergeCell ref="J52:K52"/>
    <mergeCell ref="L52:M52"/>
    <mergeCell ref="N52:O52"/>
    <mergeCell ref="P52:Q52"/>
    <mergeCell ref="R52:S52"/>
    <mergeCell ref="T52:U52"/>
    <mergeCell ref="V51:W51"/>
    <mergeCell ref="X51:Y51"/>
    <mergeCell ref="Z51:AA51"/>
    <mergeCell ref="AB51:AC51"/>
    <mergeCell ref="AD51:AE51"/>
    <mergeCell ref="AF51:AG51"/>
    <mergeCell ref="AH52:AI52"/>
    <mergeCell ref="AJ52:AK52"/>
    <mergeCell ref="X52:Y52"/>
    <mergeCell ref="Z52:AA52"/>
    <mergeCell ref="AB52:AC52"/>
    <mergeCell ref="AD52:AE52"/>
    <mergeCell ref="AF52:AG52"/>
    <mergeCell ref="F51:G51"/>
    <mergeCell ref="H51:I51"/>
    <mergeCell ref="A53:E53"/>
    <mergeCell ref="F53:G53"/>
    <mergeCell ref="H53:I53"/>
    <mergeCell ref="J53:K53"/>
    <mergeCell ref="L53:M53"/>
    <mergeCell ref="N53:O53"/>
    <mergeCell ref="P53:Q53"/>
    <mergeCell ref="R53:S53"/>
    <mergeCell ref="V52:W52"/>
    <mergeCell ref="AF53:AG53"/>
    <mergeCell ref="AH53:AI53"/>
    <mergeCell ref="AJ53:AK53"/>
    <mergeCell ref="L54:M54"/>
    <mergeCell ref="L55:M55"/>
    <mergeCell ref="N55:O55"/>
    <mergeCell ref="R55:S55"/>
    <mergeCell ref="T55:U55"/>
    <mergeCell ref="Y55:Z55"/>
    <mergeCell ref="AC55:AD55"/>
    <mergeCell ref="T53:U53"/>
    <mergeCell ref="V53:W53"/>
    <mergeCell ref="X53:Y53"/>
    <mergeCell ref="Z53:AA53"/>
    <mergeCell ref="AB53:AC53"/>
    <mergeCell ref="AD53:AE53"/>
    <mergeCell ref="AE55:AF55"/>
    <mergeCell ref="L56:M56"/>
    <mergeCell ref="N56:O56"/>
    <mergeCell ref="R56:S56"/>
    <mergeCell ref="L57:M57"/>
    <mergeCell ref="N57:O57"/>
    <mergeCell ref="R57:S57"/>
    <mergeCell ref="T57:U57"/>
    <mergeCell ref="Y57:Z57"/>
    <mergeCell ref="AC57:AD57"/>
    <mergeCell ref="AE57:AF57"/>
    <mergeCell ref="L58:M58"/>
    <mergeCell ref="N58:O58"/>
    <mergeCell ref="R58:S58"/>
    <mergeCell ref="L59:M59"/>
    <mergeCell ref="N59:O59"/>
    <mergeCell ref="R59:S59"/>
    <mergeCell ref="T59:U59"/>
    <mergeCell ref="Y59:Z59"/>
    <mergeCell ref="AC59:AD59"/>
    <mergeCell ref="L62:M62"/>
    <mergeCell ref="R62:S62"/>
    <mergeCell ref="AE59:AF59"/>
    <mergeCell ref="L60:M60"/>
    <mergeCell ref="N60:O60"/>
    <mergeCell ref="R60:S60"/>
    <mergeCell ref="L61:M61"/>
    <mergeCell ref="N61:O61"/>
    <mergeCell ref="R61:S61"/>
  </mergeCells>
  <conditionalFormatting sqref="H31:U52">
    <cfRule type="expression" dxfId="84" priority="1">
      <formula>H31=0</formula>
    </cfRule>
  </conditionalFormatting>
  <conditionalFormatting sqref="V31:AK31 V32:Y32 AJ32:AK37 V33:X37 V38:AK52">
    <cfRule type="expression" dxfId="83" priority="3">
      <formula>V31=0</formula>
    </cfRule>
  </conditionalFormatting>
  <conditionalFormatting sqref="V53:AK53">
    <cfRule type="expression" dxfId="82" priority="4" stopIfTrue="1">
      <formula>V53=0</formula>
    </cfRule>
  </conditionalFormatting>
  <conditionalFormatting sqref="Y56:Y62 AC56:AD62 N57 N59">
    <cfRule type="expression" dxfId="81" priority="6" stopIfTrue="1">
      <formula>N56=0</formula>
    </cfRule>
  </conditionalFormatting>
  <pageMargins left="0.74803149606299213" right="0.19685039370078741" top="0.39370078740157483" bottom="0.39370078740157483" header="0.19685039370078741" footer="0.19685039370078741"/>
  <pageSetup paperSize="9" scale="64"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3C74B-2AB0-4BC7-91FE-A3C7B0A918BD}">
  <sheetPr>
    <tabColor theme="3"/>
    <pageSetUpPr fitToPage="1"/>
  </sheetPr>
  <dimension ref="A1:CL102"/>
  <sheetViews>
    <sheetView showGridLines="0" view="pageBreakPreview" zoomScaleNormal="100" zoomScaleSheetLayoutView="100" workbookViewId="0">
      <selection sqref="A1:AG4"/>
    </sheetView>
  </sheetViews>
  <sheetFormatPr defaultColWidth="9.28515625" defaultRowHeight="15"/>
  <cols>
    <col min="1" max="13" width="3.7109375" style="290" customWidth="1"/>
    <col min="14" max="14" width="4.7109375" style="290" customWidth="1"/>
    <col min="15" max="15" width="6.42578125" style="290" customWidth="1"/>
    <col min="16" max="19" width="3.7109375" style="290" customWidth="1"/>
    <col min="20" max="20" width="9" style="290" bestFit="1" customWidth="1"/>
    <col min="21" max="21" width="3.7109375" style="290" customWidth="1"/>
    <col min="22" max="22" width="5.28515625" style="290" customWidth="1"/>
    <col min="23" max="33" width="3.7109375" style="290" customWidth="1"/>
    <col min="34" max="34" width="9.28515625" style="247"/>
    <col min="35" max="46" width="8.7109375" style="247" customWidth="1"/>
    <col min="47" max="53" width="9.28515625" style="247"/>
    <col min="54" max="55" width="9.28515625" style="285"/>
    <col min="56" max="16384" width="9.28515625" style="247"/>
  </cols>
  <sheetData>
    <row r="1" spans="1:90"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8"/>
      <c r="AH1" s="238"/>
      <c r="AI1" s="238"/>
      <c r="AJ1" s="238"/>
      <c r="AK1" s="238"/>
      <c r="AL1" s="238"/>
      <c r="AM1" s="238"/>
      <c r="AN1" s="238"/>
      <c r="AO1" s="238"/>
      <c r="AP1" s="238"/>
      <c r="AQ1" s="238"/>
      <c r="AR1" s="238"/>
      <c r="AS1" s="238"/>
      <c r="AT1" s="238"/>
      <c r="AU1" s="238"/>
      <c r="AV1" s="238"/>
      <c r="AW1" s="238"/>
      <c r="AX1" s="238"/>
      <c r="AY1" s="238"/>
      <c r="AZ1" s="238"/>
      <c r="BA1" s="238"/>
      <c r="BB1" s="239"/>
      <c r="BC1" s="239"/>
      <c r="BD1" s="238"/>
      <c r="BE1" s="238"/>
      <c r="BF1" s="238"/>
      <c r="BG1" s="238"/>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row>
    <row r="2" spans="1:90"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1"/>
      <c r="AH2" s="238"/>
      <c r="AI2" s="238"/>
      <c r="AJ2" s="238"/>
      <c r="AK2" s="238"/>
      <c r="AL2" s="238"/>
      <c r="AM2" s="238"/>
      <c r="AN2" s="238"/>
      <c r="AO2" s="238"/>
      <c r="AP2" s="238"/>
      <c r="AQ2" s="238"/>
      <c r="AR2" s="238"/>
      <c r="AS2" s="238"/>
      <c r="AT2" s="238"/>
      <c r="AU2" s="238"/>
      <c r="AV2" s="238"/>
      <c r="AW2" s="238"/>
      <c r="AX2" s="238"/>
      <c r="AY2" s="238"/>
      <c r="AZ2" s="238"/>
      <c r="BA2" s="238"/>
      <c r="BB2" s="239"/>
      <c r="BC2" s="239"/>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row>
    <row r="3" spans="1:90"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1"/>
      <c r="AH3" s="238"/>
      <c r="AI3" s="238"/>
      <c r="AJ3" s="238"/>
      <c r="AK3" s="238"/>
      <c r="AL3" s="238"/>
      <c r="AM3" s="238"/>
      <c r="AN3" s="238"/>
      <c r="AO3" s="238"/>
      <c r="AP3" s="238"/>
      <c r="AQ3" s="238"/>
      <c r="AR3" s="238"/>
      <c r="AS3" s="238"/>
      <c r="AT3" s="238"/>
      <c r="AU3" s="238"/>
      <c r="AV3" s="238"/>
      <c r="AW3" s="238"/>
      <c r="AX3" s="238"/>
      <c r="AY3" s="238"/>
      <c r="AZ3" s="238"/>
      <c r="BA3" s="238"/>
      <c r="BB3" s="239"/>
      <c r="BC3" s="239"/>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row>
    <row r="4" spans="1:90"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4"/>
      <c r="AH4" s="238"/>
      <c r="AI4" s="241"/>
      <c r="AJ4" s="241"/>
      <c r="AK4" s="241"/>
      <c r="AL4" s="242" t="s">
        <v>576</v>
      </c>
      <c r="AM4" s="242" t="s">
        <v>577</v>
      </c>
      <c r="AN4" s="242" t="s">
        <v>578</v>
      </c>
      <c r="AO4" s="241"/>
      <c r="AP4" s="241"/>
      <c r="AQ4" s="241"/>
      <c r="AR4" s="241"/>
      <c r="AS4" s="241"/>
      <c r="AT4" s="238"/>
      <c r="AU4" s="238"/>
      <c r="AV4" s="238"/>
      <c r="AW4" s="238"/>
      <c r="AX4" s="238"/>
      <c r="AY4" s="238"/>
      <c r="AZ4" s="238"/>
      <c r="BA4" s="238"/>
      <c r="BB4" s="239"/>
      <c r="BC4" s="239"/>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row>
    <row r="5" spans="1:90" ht="15" customHeight="1">
      <c r="A5" s="875" t="s">
        <v>22</v>
      </c>
      <c r="B5" s="876"/>
      <c r="C5" s="876"/>
      <c r="D5" s="876"/>
      <c r="E5" s="876"/>
      <c r="F5" s="876"/>
      <c r="G5" s="876"/>
      <c r="H5" s="27" t="str">
        <f>'Emiss. Ops'!$C$2</f>
        <v>OMVP</v>
      </c>
      <c r="I5" s="27"/>
      <c r="J5" s="27"/>
      <c r="K5" s="27"/>
      <c r="L5" s="27"/>
      <c r="M5" s="27"/>
      <c r="N5" s="27"/>
      <c r="O5" s="27"/>
      <c r="P5" s="27"/>
      <c r="Q5" s="27"/>
      <c r="R5" s="27"/>
      <c r="S5" s="27"/>
      <c r="T5" s="27"/>
      <c r="U5" s="876" t="s">
        <v>23</v>
      </c>
      <c r="V5" s="876"/>
      <c r="W5" s="876"/>
      <c r="X5" s="876"/>
      <c r="Y5" s="877" t="str">
        <f>Effluents!$K$2</f>
        <v>PRJ-001030</v>
      </c>
      <c r="Z5" s="877"/>
      <c r="AA5" s="877"/>
      <c r="AB5" s="877"/>
      <c r="AC5" s="877"/>
      <c r="AD5" s="877"/>
      <c r="AE5" s="877"/>
      <c r="AF5" s="877"/>
      <c r="AG5" s="878"/>
      <c r="AH5" s="243"/>
      <c r="AI5" s="244"/>
      <c r="AJ5" s="244"/>
      <c r="AK5" s="244"/>
      <c r="AL5" s="245" t="s">
        <v>386</v>
      </c>
      <c r="AM5" s="245" t="s">
        <v>729</v>
      </c>
      <c r="AN5" s="242">
        <v>1020</v>
      </c>
      <c r="AO5" s="244"/>
      <c r="AP5" s="244"/>
      <c r="AQ5" s="244"/>
      <c r="AR5" s="244"/>
      <c r="AS5" s="244"/>
      <c r="AT5" s="238"/>
      <c r="AU5" s="238"/>
      <c r="AV5" s="238"/>
      <c r="AW5" s="243"/>
      <c r="AX5" s="243"/>
      <c r="AY5" s="243"/>
      <c r="AZ5" s="243"/>
      <c r="BA5" s="243"/>
      <c r="BB5" s="246"/>
      <c r="BC5" s="246"/>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row>
    <row r="6" spans="1:90" ht="15" customHeight="1">
      <c r="A6" s="862" t="s">
        <v>24</v>
      </c>
      <c r="B6" s="863"/>
      <c r="C6" s="863"/>
      <c r="D6" s="863"/>
      <c r="E6" s="863"/>
      <c r="F6" s="863"/>
      <c r="G6" s="863"/>
      <c r="H6" s="30" t="str">
        <f>'Emiss. Ops'!$C$3</f>
        <v>OMV Neptun BAT Study &amp; ESIA</v>
      </c>
      <c r="I6" s="30"/>
      <c r="J6" s="30"/>
      <c r="K6" s="30"/>
      <c r="L6" s="30"/>
      <c r="M6" s="30"/>
      <c r="N6" s="30"/>
      <c r="O6" s="30"/>
      <c r="P6" s="30"/>
      <c r="Q6" s="30"/>
      <c r="R6" s="30"/>
      <c r="S6" s="30"/>
      <c r="T6" s="30"/>
      <c r="U6" s="863" t="s">
        <v>25</v>
      </c>
      <c r="V6" s="863"/>
      <c r="W6" s="863"/>
      <c r="X6" s="863"/>
      <c r="Y6" s="860"/>
      <c r="Z6" s="860"/>
      <c r="AA6" s="860"/>
      <c r="AB6" s="860"/>
      <c r="AC6" s="860"/>
      <c r="AD6" s="860"/>
      <c r="AE6" s="860"/>
      <c r="AF6" s="860"/>
      <c r="AG6" s="861"/>
      <c r="AH6" s="243"/>
      <c r="AI6" s="244"/>
      <c r="AJ6" s="244"/>
      <c r="AK6" s="242"/>
      <c r="AL6" s="245" t="s">
        <v>406</v>
      </c>
      <c r="AM6" s="245" t="s">
        <v>339</v>
      </c>
      <c r="AN6" s="245">
        <v>0.45400000000000001</v>
      </c>
      <c r="AO6" s="242"/>
      <c r="AP6" s="244"/>
      <c r="AQ6" s="244"/>
      <c r="AR6" s="244"/>
      <c r="AS6" s="244"/>
      <c r="AT6" s="238"/>
      <c r="AU6" s="238"/>
      <c r="AV6" s="238"/>
      <c r="AW6" s="243"/>
      <c r="AX6" s="243"/>
      <c r="AY6" s="243"/>
      <c r="AZ6" s="243"/>
      <c r="BA6" s="243"/>
      <c r="BB6" s="246"/>
      <c r="BC6" s="246"/>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row>
    <row r="7" spans="1:90" ht="15" customHeight="1">
      <c r="A7" s="862" t="s">
        <v>26</v>
      </c>
      <c r="B7" s="863"/>
      <c r="C7" s="863"/>
      <c r="D7" s="863"/>
      <c r="E7" s="863"/>
      <c r="F7" s="863"/>
      <c r="G7" s="863"/>
      <c r="H7" s="30" t="str">
        <f>'Emiss. Ops'!$C$4</f>
        <v>Emissions Inventory</v>
      </c>
      <c r="I7" s="30"/>
      <c r="J7" s="30"/>
      <c r="K7" s="30"/>
      <c r="L7" s="30"/>
      <c r="M7" s="30"/>
      <c r="N7" s="30"/>
      <c r="O7" s="30"/>
      <c r="P7" s="30"/>
      <c r="Q7" s="30"/>
      <c r="R7" s="30"/>
      <c r="S7" s="30"/>
      <c r="T7" s="30"/>
      <c r="U7" s="863" t="s">
        <v>27</v>
      </c>
      <c r="V7" s="863"/>
      <c r="W7" s="863"/>
      <c r="X7" s="863"/>
      <c r="Y7" s="30" t="str">
        <f>'Emiss. Ops'!$I$4</f>
        <v>Normal Operations</v>
      </c>
      <c r="Z7" s="31"/>
      <c r="AA7" s="31"/>
      <c r="AB7" s="31"/>
      <c r="AC7" s="31"/>
      <c r="AD7" s="31"/>
      <c r="AE7" s="31"/>
      <c r="AF7" s="31"/>
      <c r="AG7" s="32"/>
      <c r="AH7" s="243"/>
      <c r="AI7" s="244"/>
      <c r="AJ7" s="244"/>
      <c r="AK7" s="242"/>
      <c r="AL7" s="245" t="s">
        <v>407</v>
      </c>
      <c r="AM7" s="245" t="s">
        <v>730</v>
      </c>
      <c r="AN7" s="248">
        <f>0.305^3</f>
        <v>2.8372624999999999E-2</v>
      </c>
      <c r="AO7" s="242"/>
      <c r="AP7" s="244"/>
      <c r="AQ7" s="244"/>
      <c r="AR7" s="244"/>
      <c r="AS7" s="244"/>
      <c r="AT7" s="238"/>
      <c r="AU7" s="238"/>
      <c r="AV7" s="238"/>
      <c r="AW7" s="243"/>
      <c r="AX7" s="243"/>
      <c r="AY7" s="243"/>
      <c r="AZ7" s="243"/>
      <c r="BA7" s="243"/>
      <c r="BB7" s="246"/>
      <c r="BC7" s="246"/>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row>
    <row r="8" spans="1:90"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9"/>
      <c r="AH8" s="243"/>
      <c r="AI8" s="244"/>
      <c r="AJ8" s="244"/>
      <c r="AK8" s="242"/>
      <c r="AL8" s="245" t="s">
        <v>729</v>
      </c>
      <c r="AM8" s="245" t="s">
        <v>731</v>
      </c>
      <c r="AN8" s="249" t="e">
        <f>AN6/AN7 * ((#REF!+273.15)/(#REF!+273.15))</f>
        <v>#REF!</v>
      </c>
      <c r="AO8" s="242"/>
      <c r="AP8" s="244"/>
      <c r="AQ8" s="244"/>
      <c r="AR8" s="244"/>
      <c r="AS8" s="244"/>
      <c r="AT8" s="238"/>
      <c r="AU8" s="238"/>
      <c r="AV8" s="238"/>
      <c r="AW8" s="243"/>
      <c r="AX8" s="243"/>
      <c r="AY8" s="243"/>
      <c r="AZ8" s="243"/>
      <c r="BA8" s="243"/>
      <c r="BB8" s="246"/>
      <c r="BC8" s="246"/>
      <c r="BD8" s="243"/>
      <c r="BE8" s="243"/>
      <c r="BF8" s="243"/>
      <c r="BG8" s="243"/>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row>
    <row r="9" spans="1:90"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9"/>
      <c r="AH9" s="243"/>
      <c r="AI9" s="244"/>
      <c r="AJ9" s="244"/>
      <c r="AK9" s="242"/>
      <c r="AL9" s="242" t="s">
        <v>409</v>
      </c>
      <c r="AM9" s="242" t="s">
        <v>410</v>
      </c>
      <c r="AN9" s="242">
        <v>947</v>
      </c>
      <c r="AO9" s="242"/>
      <c r="AP9" s="244"/>
      <c r="AQ9" s="244"/>
      <c r="AR9" s="244"/>
      <c r="AS9" s="244"/>
      <c r="AT9" s="238"/>
      <c r="AU9" s="238"/>
      <c r="AV9" s="238"/>
      <c r="AW9" s="243"/>
      <c r="AX9" s="243"/>
      <c r="AY9" s="243"/>
      <c r="AZ9" s="243"/>
      <c r="BA9" s="243"/>
      <c r="BB9" s="246"/>
      <c r="BC9" s="246"/>
      <c r="BD9" s="243"/>
      <c r="BE9" s="243"/>
      <c r="BF9" s="243"/>
      <c r="BG9" s="243"/>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row>
    <row r="10" spans="1:90"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859" t="s">
        <v>28</v>
      </c>
      <c r="V10" s="859"/>
      <c r="W10" s="859"/>
      <c r="X10" s="859"/>
      <c r="Y10" s="1284"/>
      <c r="Z10" s="1284"/>
      <c r="AA10" s="1284"/>
      <c r="AB10" s="1285"/>
      <c r="AC10" s="1285"/>
      <c r="AD10" s="1285"/>
      <c r="AE10" s="1286"/>
      <c r="AF10" s="1286"/>
      <c r="AG10" s="1287"/>
      <c r="AH10" s="238"/>
      <c r="AI10" s="241"/>
      <c r="AJ10" s="241"/>
      <c r="AK10" s="245"/>
      <c r="AL10" s="245" t="s">
        <v>710</v>
      </c>
      <c r="AM10" s="245" t="s">
        <v>709</v>
      </c>
      <c r="AN10" s="245">
        <v>1E-3</v>
      </c>
      <c r="AO10" s="245"/>
      <c r="AP10" s="241"/>
      <c r="AQ10" s="241"/>
      <c r="AR10" s="241"/>
      <c r="AS10" s="241"/>
      <c r="AT10" s="238"/>
      <c r="AU10" s="238"/>
      <c r="AV10" s="238"/>
      <c r="AW10" s="238"/>
      <c r="AX10" s="238"/>
      <c r="AY10" s="238"/>
      <c r="AZ10" s="238"/>
      <c r="BA10" s="238"/>
      <c r="BB10" s="239"/>
      <c r="BC10" s="239"/>
      <c r="BD10" s="238"/>
      <c r="BE10" s="238"/>
      <c r="BF10" s="238"/>
      <c r="BG10" s="238"/>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row>
    <row r="11" spans="1:90" s="240" customFormat="1" ht="14.25" customHeight="1">
      <c r="A11" s="1271" t="s">
        <v>183</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3"/>
      <c r="AH11" s="238"/>
      <c r="AI11" s="241"/>
      <c r="AJ11" s="241"/>
      <c r="AK11" s="245"/>
      <c r="AL11" s="245" t="s">
        <v>732</v>
      </c>
      <c r="AM11" s="245" t="s">
        <v>409</v>
      </c>
      <c r="AN11" s="245">
        <f>1/(AN9/1000000)</f>
        <v>1055.9662090813094</v>
      </c>
      <c r="AO11" s="245"/>
      <c r="AP11" s="241"/>
      <c r="AQ11" s="241"/>
      <c r="AR11" s="241"/>
      <c r="AS11" s="241"/>
      <c r="AT11" s="238"/>
      <c r="AU11" s="238"/>
      <c r="AV11" s="238"/>
      <c r="AW11" s="238"/>
      <c r="AX11" s="238"/>
      <c r="AY11" s="238"/>
      <c r="AZ11" s="238"/>
      <c r="BA11" s="238"/>
      <c r="BB11" s="239"/>
      <c r="BC11" s="239"/>
      <c r="BD11" s="238"/>
      <c r="BE11" s="238"/>
      <c r="BF11" s="238"/>
      <c r="BG11" s="238"/>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row>
    <row r="12" spans="1:90" s="240" customFormat="1" ht="14.25" customHeight="1">
      <c r="A12" s="1274"/>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6"/>
      <c r="AH12" s="238"/>
      <c r="AI12" s="241"/>
      <c r="AJ12" s="241"/>
      <c r="AK12" s="245"/>
      <c r="AL12" s="245"/>
      <c r="AM12" s="245"/>
      <c r="AN12" s="245"/>
      <c r="AO12" s="245"/>
      <c r="AP12" s="241"/>
      <c r="AQ12" s="241"/>
      <c r="AR12" s="241"/>
      <c r="AS12" s="241"/>
      <c r="AT12" s="238"/>
      <c r="AU12" s="238"/>
      <c r="AV12" s="238"/>
      <c r="AW12" s="238"/>
      <c r="AX12" s="238"/>
      <c r="AY12" s="238"/>
      <c r="AZ12" s="238"/>
      <c r="BA12" s="238"/>
      <c r="BB12" s="239"/>
      <c r="BC12" s="239"/>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row>
    <row r="13" spans="1:90" s="240" customFormat="1" ht="14.25" customHeight="1">
      <c r="A13" s="250"/>
      <c r="B13" s="251"/>
      <c r="C13" s="251"/>
      <c r="D13" s="251"/>
      <c r="E13" s="251"/>
      <c r="F13" s="251"/>
      <c r="G13" s="251"/>
      <c r="H13" s="252"/>
      <c r="I13" s="251"/>
      <c r="J13" s="251"/>
      <c r="K13" s="251"/>
      <c r="L13" s="251"/>
      <c r="M13" s="251"/>
      <c r="N13" s="251"/>
      <c r="O13" s="251"/>
      <c r="P13" s="251"/>
      <c r="Q13" s="251"/>
      <c r="R13" s="860"/>
      <c r="S13" s="860"/>
      <c r="T13" s="1293"/>
      <c r="U13" s="1293"/>
      <c r="V13" s="1293"/>
      <c r="W13" s="860"/>
      <c r="X13" s="860"/>
      <c r="Y13" s="1293"/>
      <c r="Z13" s="1293"/>
      <c r="AA13" s="860"/>
      <c r="AB13" s="860"/>
      <c r="AC13" s="860"/>
      <c r="AD13" s="1293"/>
      <c r="AE13" s="1293"/>
      <c r="AF13" s="30"/>
      <c r="AG13" s="253"/>
      <c r="AH13" s="238"/>
      <c r="AI13" s="254" t="e">
        <f>#REF!*SUM(N20:O29)</f>
        <v>#REF!</v>
      </c>
      <c r="AJ13" s="241"/>
      <c r="AK13" s="241"/>
      <c r="AL13" s="241"/>
      <c r="AM13" s="241"/>
      <c r="AN13" s="241"/>
      <c r="AO13" s="241"/>
      <c r="AP13" s="241"/>
      <c r="AQ13" s="241"/>
      <c r="AR13" s="241"/>
      <c r="AS13" s="241"/>
      <c r="AT13" s="238"/>
      <c r="AU13" s="238"/>
      <c r="AV13" s="238"/>
      <c r="AW13" s="238"/>
      <c r="AX13" s="238"/>
      <c r="AY13" s="238"/>
      <c r="AZ13" s="238"/>
      <c r="BA13" s="238"/>
      <c r="BB13" s="239"/>
      <c r="BC13" s="239"/>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row>
    <row r="14" spans="1:90" s="240" customFormat="1" ht="14.25" customHeight="1">
      <c r="A14" s="1370" t="s">
        <v>718</v>
      </c>
      <c r="B14" s="1370"/>
      <c r="C14" s="1370"/>
      <c r="D14" s="1370"/>
      <c r="E14" s="1370"/>
      <c r="F14" s="1371" t="s">
        <v>789</v>
      </c>
      <c r="G14" s="1372"/>
      <c r="H14" s="1372"/>
      <c r="I14" s="1372"/>
      <c r="J14" s="1372"/>
      <c r="K14" s="1372"/>
      <c r="L14" s="1372"/>
      <c r="M14" s="1372"/>
      <c r="N14" s="1372"/>
      <c r="O14" s="1372"/>
      <c r="P14" s="1372"/>
      <c r="Q14" s="1372"/>
      <c r="R14" s="30"/>
      <c r="S14" s="1402"/>
      <c r="T14" s="1184"/>
      <c r="U14" s="1184"/>
      <c r="V14" s="1184"/>
      <c r="W14" s="1184"/>
      <c r="X14" s="1184"/>
      <c r="Y14" s="1184"/>
      <c r="Z14" s="1184"/>
      <c r="AA14" s="1184"/>
      <c r="AB14" s="1184"/>
      <c r="AC14" s="1184"/>
      <c r="AD14" s="1184"/>
      <c r="AE14" s="1184"/>
      <c r="AF14" s="1184"/>
      <c r="AG14" s="253"/>
      <c r="AH14" s="255"/>
      <c r="AI14" s="241"/>
      <c r="AJ14" s="241"/>
      <c r="AK14" s="241"/>
      <c r="AL14" s="241"/>
      <c r="AM14" s="241"/>
      <c r="AN14" s="241"/>
      <c r="AO14" s="241"/>
      <c r="AP14" s="241"/>
      <c r="AQ14" s="241"/>
      <c r="AR14" s="241"/>
      <c r="AS14" s="241"/>
      <c r="AT14" s="241"/>
      <c r="AU14" s="241"/>
      <c r="AV14" s="238"/>
      <c r="AW14" s="238"/>
      <c r="AX14" s="238"/>
      <c r="AY14" s="238"/>
      <c r="AZ14" s="238"/>
      <c r="BA14" s="238"/>
      <c r="BB14" s="239"/>
      <c r="BC14" s="239"/>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row>
    <row r="15" spans="1:90" s="240" customFormat="1" ht="14.25" customHeight="1">
      <c r="A15" s="256" t="s">
        <v>620</v>
      </c>
      <c r="B15" s="30"/>
      <c r="C15" s="30"/>
      <c r="D15" s="30"/>
      <c r="E15" s="30"/>
      <c r="F15" s="1529" t="s">
        <v>791</v>
      </c>
      <c r="G15" s="1530"/>
      <c r="H15" s="1530"/>
      <c r="I15" s="1531"/>
      <c r="J15" s="1529" t="s">
        <v>792</v>
      </c>
      <c r="K15" s="1530"/>
      <c r="L15" s="1530"/>
      <c r="M15" s="1531"/>
      <c r="N15" s="1535" t="s">
        <v>793</v>
      </c>
      <c r="O15" s="1536"/>
      <c r="P15" s="1537"/>
      <c r="Q15" s="1538"/>
      <c r="R15" s="257"/>
      <c r="S15" s="1184"/>
      <c r="T15" s="1184"/>
      <c r="U15" s="1184"/>
      <c r="V15" s="1184"/>
      <c r="W15" s="1184"/>
      <c r="X15" s="1184"/>
      <c r="Y15" s="1184"/>
      <c r="Z15" s="1184"/>
      <c r="AA15" s="1184"/>
      <c r="AB15" s="1184"/>
      <c r="AC15" s="1184"/>
      <c r="AD15" s="1184"/>
      <c r="AE15" s="1184"/>
      <c r="AF15" s="1184"/>
      <c r="AG15" s="253"/>
      <c r="AH15" s="255"/>
      <c r="AI15" s="241"/>
      <c r="AJ15" s="241"/>
      <c r="AK15" s="241"/>
      <c r="AL15" s="241"/>
      <c r="AM15" s="241"/>
      <c r="AN15" s="241"/>
      <c r="AO15" s="241"/>
      <c r="AP15" s="241"/>
      <c r="AQ15" s="241"/>
      <c r="AR15" s="241"/>
      <c r="AS15" s="241"/>
      <c r="AT15" s="241"/>
      <c r="AU15" s="241"/>
      <c r="AV15" s="238"/>
      <c r="AW15" s="238"/>
      <c r="AX15" s="238"/>
      <c r="AY15" s="238"/>
      <c r="AZ15" s="238"/>
      <c r="BA15" s="238"/>
      <c r="BB15" s="239"/>
      <c r="BC15" s="239"/>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row>
    <row r="16" spans="1:90" s="240" customFormat="1" ht="14.25" customHeight="1">
      <c r="A16" s="133"/>
      <c r="B16" s="30"/>
      <c r="C16" s="30"/>
      <c r="D16" s="30"/>
      <c r="E16" s="30"/>
      <c r="F16" s="1532"/>
      <c r="G16" s="1533"/>
      <c r="H16" s="1533"/>
      <c r="I16" s="1534"/>
      <c r="J16" s="1532"/>
      <c r="K16" s="1533"/>
      <c r="L16" s="1533"/>
      <c r="M16" s="1534"/>
      <c r="N16" s="1539"/>
      <c r="O16" s="1540"/>
      <c r="P16" s="1533"/>
      <c r="Q16" s="1534"/>
      <c r="R16" s="257"/>
      <c r="S16" s="1184"/>
      <c r="T16" s="1184"/>
      <c r="U16" s="1184"/>
      <c r="V16" s="1184"/>
      <c r="W16" s="1184"/>
      <c r="X16" s="1184"/>
      <c r="Y16" s="1184"/>
      <c r="Z16" s="1184"/>
      <c r="AA16" s="1184"/>
      <c r="AB16" s="1184"/>
      <c r="AC16" s="1184"/>
      <c r="AD16" s="1184"/>
      <c r="AE16" s="1184"/>
      <c r="AF16" s="1184"/>
      <c r="AG16" s="253"/>
      <c r="AH16" s="258"/>
      <c r="AI16" s="259" t="s">
        <v>740</v>
      </c>
      <c r="AJ16" s="259"/>
      <c r="AK16" s="259"/>
      <c r="AL16" s="259"/>
      <c r="AM16" s="259"/>
      <c r="AN16" s="259"/>
      <c r="AO16" s="259" t="s">
        <v>741</v>
      </c>
      <c r="AP16" s="259"/>
      <c r="AQ16" s="259" t="s">
        <v>742</v>
      </c>
      <c r="AR16" s="259"/>
      <c r="AS16" s="259"/>
      <c r="AT16" s="259"/>
      <c r="AU16" s="258"/>
      <c r="AV16" s="238"/>
      <c r="AW16" s="238"/>
      <c r="AX16" s="238"/>
      <c r="AY16" s="238"/>
      <c r="AZ16" s="238"/>
      <c r="BA16" s="238"/>
      <c r="BB16" s="239"/>
      <c r="BC16" s="239"/>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row>
    <row r="17" spans="1:90" s="240" customFormat="1" ht="14.25" customHeight="1">
      <c r="A17" s="1376" t="s">
        <v>630</v>
      </c>
      <c r="B17" s="1376"/>
      <c r="C17" s="1376"/>
      <c r="D17" s="1376"/>
      <c r="E17" s="1376"/>
      <c r="F17" s="1375" t="s">
        <v>794</v>
      </c>
      <c r="G17" s="1375"/>
      <c r="H17" s="1375" t="s">
        <v>590</v>
      </c>
      <c r="I17" s="1375"/>
      <c r="J17" s="1371" t="s">
        <v>795</v>
      </c>
      <c r="K17" s="1372"/>
      <c r="L17" s="1541"/>
      <c r="M17" s="1542"/>
      <c r="N17" s="1375" t="s">
        <v>617</v>
      </c>
      <c r="O17" s="1375"/>
      <c r="P17" s="1375" t="s">
        <v>332</v>
      </c>
      <c r="Q17" s="1375"/>
      <c r="R17" s="30"/>
      <c r="S17" s="1184"/>
      <c r="T17" s="1184"/>
      <c r="U17" s="1184"/>
      <c r="V17" s="1184"/>
      <c r="W17" s="1184"/>
      <c r="X17" s="1184"/>
      <c r="Y17" s="1184"/>
      <c r="Z17" s="1184"/>
      <c r="AA17" s="1184"/>
      <c r="AB17" s="1184"/>
      <c r="AC17" s="1184"/>
      <c r="AD17" s="1184"/>
      <c r="AE17" s="1184"/>
      <c r="AF17" s="1184"/>
      <c r="AG17" s="253"/>
      <c r="AH17" s="258"/>
      <c r="AI17" s="259" t="s">
        <v>633</v>
      </c>
      <c r="AJ17" s="259" t="s">
        <v>634</v>
      </c>
      <c r="AK17" s="259" t="s">
        <v>635</v>
      </c>
      <c r="AL17" s="259" t="s">
        <v>636</v>
      </c>
      <c r="AM17" s="259" t="s">
        <v>637</v>
      </c>
      <c r="AN17" s="259" t="s">
        <v>590</v>
      </c>
      <c r="AO17" s="259" t="s">
        <v>428</v>
      </c>
      <c r="AP17" s="259" t="s">
        <v>429</v>
      </c>
      <c r="AQ17" s="259" t="s">
        <v>126</v>
      </c>
      <c r="AR17" s="259" t="s">
        <v>431</v>
      </c>
      <c r="AS17" s="259" t="s">
        <v>429</v>
      </c>
      <c r="AT17" s="259" t="s">
        <v>124</v>
      </c>
      <c r="AU17" s="258"/>
      <c r="AV17" s="238"/>
      <c r="AW17" s="238"/>
      <c r="AX17" s="238"/>
      <c r="AY17" s="238"/>
      <c r="AZ17" s="238"/>
      <c r="BA17" s="238"/>
      <c r="BB17" s="239" t="s">
        <v>128</v>
      </c>
      <c r="BC17" s="239" t="s">
        <v>743</v>
      </c>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row>
    <row r="18" spans="1:90" s="240" customFormat="1" ht="14.25" customHeight="1">
      <c r="A18" s="260" t="s">
        <v>638</v>
      </c>
      <c r="B18" s="261"/>
      <c r="C18" s="261"/>
      <c r="D18" s="261"/>
      <c r="E18" s="262"/>
      <c r="F18" s="1377">
        <v>0</v>
      </c>
      <c r="G18" s="1378"/>
      <c r="H18" s="1379"/>
      <c r="I18" s="1381"/>
      <c r="J18" s="1380"/>
      <c r="K18" s="1380"/>
      <c r="L18" s="1379"/>
      <c r="M18" s="1380"/>
      <c r="N18" s="1379">
        <f>SUM(H18,J18,L18)*AN18</f>
        <v>0</v>
      </c>
      <c r="O18" s="1380"/>
      <c r="P18" s="1379"/>
      <c r="Q18" s="1381"/>
      <c r="R18" s="263"/>
      <c r="S18" s="1184"/>
      <c r="T18" s="1184"/>
      <c r="U18" s="1184"/>
      <c r="V18" s="1184"/>
      <c r="W18" s="1184"/>
      <c r="X18" s="1184"/>
      <c r="Y18" s="1184"/>
      <c r="Z18" s="1184"/>
      <c r="AA18" s="1184"/>
      <c r="AB18" s="1184"/>
      <c r="AC18" s="1184"/>
      <c r="AD18" s="1184"/>
      <c r="AE18" s="1184"/>
      <c r="AF18" s="1184"/>
      <c r="AG18" s="264"/>
      <c r="AH18" s="258"/>
      <c r="AI18" s="259"/>
      <c r="AJ18" s="259">
        <v>2</v>
      </c>
      <c r="AK18" s="259"/>
      <c r="AL18" s="259"/>
      <c r="AM18" s="259"/>
      <c r="AN18" s="265">
        <f>AI18*12.01+AJ18*1.008+AK18*16+AL18*14+AM18*32</f>
        <v>2.016</v>
      </c>
      <c r="AO18" s="259">
        <f>AI18*1+AJ18*0.25+AM18*1</f>
        <v>0.5</v>
      </c>
      <c r="AP18" s="266">
        <f>0.79/0.21*AO18</f>
        <v>1.8809523809523812</v>
      </c>
      <c r="AQ18" s="259">
        <f>1*AI18</f>
        <v>0</v>
      </c>
      <c r="AR18" s="259">
        <f>AJ18/2</f>
        <v>1</v>
      </c>
      <c r="AS18" s="266">
        <f>AL18*0.5+AP18</f>
        <v>1.8809523809523812</v>
      </c>
      <c r="AT18" s="259">
        <f>AM18*1</f>
        <v>0</v>
      </c>
      <c r="AU18" s="258"/>
      <c r="AV18" s="238"/>
      <c r="AW18" s="238"/>
      <c r="AX18" s="238"/>
      <c r="AY18" s="238"/>
      <c r="AZ18" s="238"/>
      <c r="BA18" s="239" t="s">
        <v>639</v>
      </c>
      <c r="BB18" s="239">
        <v>1.4200000000000001E-2</v>
      </c>
      <c r="BC18" s="239">
        <v>2.9999999999999997E-4</v>
      </c>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row>
    <row r="19" spans="1:90" s="240" customFormat="1" ht="14.25" customHeight="1">
      <c r="A19" s="267" t="s">
        <v>122</v>
      </c>
      <c r="B19" s="268"/>
      <c r="C19" s="268"/>
      <c r="D19" s="268"/>
      <c r="E19" s="269"/>
      <c r="F19" s="1377">
        <f>CO2eEF!P26</f>
        <v>0.99629999999999996</v>
      </c>
      <c r="G19" s="1378"/>
      <c r="H19" s="1546">
        <v>16.042999999999999</v>
      </c>
      <c r="I19" s="1549"/>
      <c r="J19" s="1550">
        <f>F19*H19</f>
        <v>15.983640899999999</v>
      </c>
      <c r="K19" s="1550"/>
      <c r="L19" s="1546">
        <f>J19/$J$39</f>
        <v>0.99103593622983144</v>
      </c>
      <c r="M19" s="1545"/>
      <c r="N19" s="1547">
        <f>L19*$V$20</f>
        <v>7.4615984247283675</v>
      </c>
      <c r="O19" s="1548"/>
      <c r="P19" s="1547">
        <f>N19*365.25*24/1000</f>
        <v>65.408371791168875</v>
      </c>
      <c r="Q19" s="1548"/>
      <c r="R19" s="1382"/>
      <c r="S19" s="1384"/>
      <c r="T19" s="263"/>
      <c r="U19" s="263"/>
      <c r="V19" s="263"/>
      <c r="W19" s="263"/>
      <c r="X19" s="263"/>
      <c r="Y19" s="263"/>
      <c r="Z19" s="263"/>
      <c r="AA19" s="263"/>
      <c r="AB19" s="263"/>
      <c r="AC19" s="263"/>
      <c r="AD19" s="263"/>
      <c r="AE19" s="263"/>
      <c r="AF19" s="263"/>
      <c r="AG19" s="264"/>
      <c r="AH19" s="258"/>
      <c r="AI19" s="259">
        <v>1</v>
      </c>
      <c r="AJ19" s="259">
        <v>4</v>
      </c>
      <c r="AK19" s="259"/>
      <c r="AL19" s="259"/>
      <c r="AM19" s="259"/>
      <c r="AN19" s="265">
        <f t="shared" ref="AN19:AN34" si="0">AI19*12.01+AJ19*1.008+AK19*16+AL19*14+AM19*32</f>
        <v>16.042000000000002</v>
      </c>
      <c r="AO19" s="259">
        <f t="shared" ref="AO19:AO33" si="1">AI19*1+AJ19*0.25+AM19*1</f>
        <v>2</v>
      </c>
      <c r="AP19" s="266">
        <f t="shared" ref="AP19:AP33" si="2">0.79/0.21*AO19</f>
        <v>7.5238095238095246</v>
      </c>
      <c r="AQ19" s="259">
        <f t="shared" ref="AQ19:AQ33" si="3">1*AI19</f>
        <v>1</v>
      </c>
      <c r="AR19" s="259">
        <f t="shared" ref="AR19:AR33" si="4">AJ19/2</f>
        <v>2</v>
      </c>
      <c r="AS19" s="266">
        <f t="shared" ref="AS19:AS33" si="5">AL19*0.5+AP19</f>
        <v>7.5238095238095246</v>
      </c>
      <c r="AT19" s="259">
        <f t="shared" ref="AT19:AT33" si="6">AM19*1</f>
        <v>0</v>
      </c>
      <c r="AU19" s="258"/>
      <c r="AV19" s="238"/>
      <c r="AW19" s="238"/>
      <c r="AX19" s="238"/>
      <c r="AY19" s="238"/>
      <c r="AZ19" s="238"/>
      <c r="BA19" s="239" t="s">
        <v>126</v>
      </c>
      <c r="BB19" s="239">
        <v>9.5999999999999992E-3</v>
      </c>
      <c r="BC19" s="239">
        <v>0.77539999999999998</v>
      </c>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row>
    <row r="20" spans="1:90" s="240" customFormat="1" ht="14.25" customHeight="1">
      <c r="A20" s="267" t="s">
        <v>641</v>
      </c>
      <c r="B20" s="268"/>
      <c r="C20" s="268"/>
      <c r="D20" s="268"/>
      <c r="E20" s="269"/>
      <c r="F20" s="1377">
        <v>0</v>
      </c>
      <c r="G20" s="1378"/>
      <c r="H20" s="1299"/>
      <c r="I20" s="1301"/>
      <c r="J20" s="1300"/>
      <c r="K20" s="1300"/>
      <c r="L20" s="1299"/>
      <c r="M20" s="1300"/>
      <c r="N20" s="1299">
        <f>SUM(H20,J20,L20)*AN20</f>
        <v>0</v>
      </c>
      <c r="O20" s="1301"/>
      <c r="P20" s="1299"/>
      <c r="Q20" s="1301"/>
      <c r="R20" s="263"/>
      <c r="S20" s="263"/>
      <c r="T20" s="270"/>
      <c r="U20" s="31"/>
      <c r="V20" s="271">
        <f>66*1000/365.25/24</f>
        <v>7.5290896646132781</v>
      </c>
      <c r="W20" s="263" t="s">
        <v>617</v>
      </c>
      <c r="X20" s="263"/>
      <c r="Y20" s="263"/>
      <c r="Z20" s="263"/>
      <c r="AA20" s="263"/>
      <c r="AB20" s="263"/>
      <c r="AC20" s="263"/>
      <c r="AD20" s="263"/>
      <c r="AE20" s="263"/>
      <c r="AF20" s="263"/>
      <c r="AG20" s="264"/>
      <c r="AH20" s="258"/>
      <c r="AI20" s="259">
        <v>2</v>
      </c>
      <c r="AJ20" s="259">
        <v>4</v>
      </c>
      <c r="AK20" s="259"/>
      <c r="AL20" s="259"/>
      <c r="AM20" s="259"/>
      <c r="AN20" s="265">
        <f t="shared" si="0"/>
        <v>28.052</v>
      </c>
      <c r="AO20" s="259">
        <f t="shared" si="1"/>
        <v>3</v>
      </c>
      <c r="AP20" s="266">
        <f t="shared" si="2"/>
        <v>11.285714285714286</v>
      </c>
      <c r="AQ20" s="259">
        <f t="shared" si="3"/>
        <v>2</v>
      </c>
      <c r="AR20" s="259">
        <f t="shared" si="4"/>
        <v>2</v>
      </c>
      <c r="AS20" s="266">
        <f t="shared" si="5"/>
        <v>11.285714285714286</v>
      </c>
      <c r="AT20" s="259">
        <f t="shared" si="6"/>
        <v>0</v>
      </c>
      <c r="AU20" s="258"/>
      <c r="AV20" s="238"/>
      <c r="AW20" s="238"/>
      <c r="AX20" s="238"/>
      <c r="AY20" s="238"/>
      <c r="AZ20" s="238"/>
      <c r="BA20" s="239" t="s">
        <v>642</v>
      </c>
      <c r="BB20" s="239">
        <v>0.60499999999999998</v>
      </c>
      <c r="BC20" s="239">
        <v>1.43E-2</v>
      </c>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row>
    <row r="21" spans="1:90" s="240" customFormat="1" ht="14.25" customHeight="1">
      <c r="A21" s="267" t="s">
        <v>643</v>
      </c>
      <c r="B21" s="268"/>
      <c r="C21" s="268"/>
      <c r="D21" s="268"/>
      <c r="E21" s="269"/>
      <c r="F21" s="1377">
        <f>CO2eEF!P27</f>
        <v>7.000000000000001E-4</v>
      </c>
      <c r="G21" s="1378"/>
      <c r="H21" s="1543">
        <v>30.07</v>
      </c>
      <c r="I21" s="1544"/>
      <c r="J21" s="1545">
        <f>F21*H21</f>
        <v>2.1049000000000002E-2</v>
      </c>
      <c r="K21" s="1545"/>
      <c r="L21" s="1546">
        <f>J21/$J$39</f>
        <v>1.3051041093961092E-3</v>
      </c>
      <c r="M21" s="1545"/>
      <c r="N21" s="1547">
        <f>L21*$V$20</f>
        <v>9.8262458612985628E-3</v>
      </c>
      <c r="O21" s="1548"/>
      <c r="P21" s="1547">
        <f>N21*365.25*24/1000</f>
        <v>8.6136871220143213E-2</v>
      </c>
      <c r="Q21" s="1548"/>
      <c r="R21" s="263"/>
      <c r="S21" s="263"/>
      <c r="T21" s="31"/>
      <c r="U21" s="31"/>
      <c r="V21" s="270"/>
      <c r="W21" s="263"/>
      <c r="X21" s="263"/>
      <c r="Y21" s="263"/>
      <c r="Z21" s="263"/>
      <c r="AA21" s="263"/>
      <c r="AB21" s="263"/>
      <c r="AC21" s="263"/>
      <c r="AD21" s="263"/>
      <c r="AE21" s="263"/>
      <c r="AF21" s="263"/>
      <c r="AG21" s="264"/>
      <c r="AH21" s="258"/>
      <c r="AI21" s="259">
        <v>2</v>
      </c>
      <c r="AJ21" s="259">
        <v>6</v>
      </c>
      <c r="AK21" s="259"/>
      <c r="AL21" s="259"/>
      <c r="AM21" s="259"/>
      <c r="AN21" s="265">
        <f t="shared" si="0"/>
        <v>30.067999999999998</v>
      </c>
      <c r="AO21" s="259">
        <f t="shared" si="1"/>
        <v>3.5</v>
      </c>
      <c r="AP21" s="266">
        <f t="shared" si="2"/>
        <v>13.166666666666668</v>
      </c>
      <c r="AQ21" s="259">
        <f t="shared" si="3"/>
        <v>2</v>
      </c>
      <c r="AR21" s="259">
        <f t="shared" si="4"/>
        <v>3</v>
      </c>
      <c r="AS21" s="266">
        <f t="shared" si="5"/>
        <v>13.166666666666668</v>
      </c>
      <c r="AT21" s="259">
        <f t="shared" si="6"/>
        <v>0</v>
      </c>
      <c r="AU21" s="258"/>
      <c r="AV21" s="238"/>
      <c r="AW21" s="238"/>
      <c r="AX21" s="238"/>
      <c r="AY21" s="238"/>
      <c r="AZ21" s="238"/>
      <c r="BA21" s="239" t="s">
        <v>644</v>
      </c>
      <c r="BB21" s="239">
        <v>0.17519999999999999</v>
      </c>
      <c r="BC21" s="239">
        <v>1.9E-3</v>
      </c>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row>
    <row r="22" spans="1:90" s="240" customFormat="1" ht="14.25" customHeight="1">
      <c r="A22" s="267" t="s">
        <v>418</v>
      </c>
      <c r="B22" s="268"/>
      <c r="C22" s="268"/>
      <c r="D22" s="268"/>
      <c r="E22" s="269"/>
      <c r="F22" s="1377">
        <v>0</v>
      </c>
      <c r="G22" s="1378"/>
      <c r="H22" s="1299"/>
      <c r="I22" s="1301"/>
      <c r="J22" s="1300"/>
      <c r="K22" s="1300"/>
      <c r="L22" s="1299"/>
      <c r="M22" s="1300"/>
      <c r="N22" s="1299">
        <f>SUM(H22,J22,L22)*AN22</f>
        <v>0</v>
      </c>
      <c r="O22" s="1301"/>
      <c r="P22" s="1299"/>
      <c r="Q22" s="1301"/>
      <c r="R22" s="263"/>
      <c r="S22" s="263"/>
      <c r="T22" s="1670" t="s">
        <v>850</v>
      </c>
      <c r="U22" s="1671"/>
      <c r="V22" s="1671"/>
      <c r="W22" s="1671"/>
      <c r="X22" s="1671"/>
      <c r="Y22" s="1671"/>
      <c r="Z22" s="1671"/>
      <c r="AA22" s="1671"/>
      <c r="AB22" s="1671"/>
      <c r="AC22" s="1671"/>
      <c r="AD22" s="1671"/>
      <c r="AE22" s="1671"/>
      <c r="AF22" s="1671"/>
      <c r="AG22" s="264"/>
      <c r="AH22" s="258"/>
      <c r="AI22" s="259">
        <v>3</v>
      </c>
      <c r="AJ22" s="259">
        <v>6</v>
      </c>
      <c r="AK22" s="259"/>
      <c r="AL22" s="259"/>
      <c r="AM22" s="259"/>
      <c r="AN22" s="265">
        <f t="shared" si="0"/>
        <v>42.078000000000003</v>
      </c>
      <c r="AO22" s="259">
        <f t="shared" si="1"/>
        <v>4.5</v>
      </c>
      <c r="AP22" s="266">
        <f t="shared" si="2"/>
        <v>16.928571428571431</v>
      </c>
      <c r="AQ22" s="259">
        <f t="shared" si="3"/>
        <v>3</v>
      </c>
      <c r="AR22" s="259">
        <f t="shared" si="4"/>
        <v>3</v>
      </c>
      <c r="AS22" s="266">
        <f t="shared" si="5"/>
        <v>16.928571428571431</v>
      </c>
      <c r="AT22" s="259">
        <f t="shared" si="6"/>
        <v>0</v>
      </c>
      <c r="AU22" s="258"/>
      <c r="AV22" s="238"/>
      <c r="AW22" s="238"/>
      <c r="AX22" s="238"/>
      <c r="AY22" s="238"/>
      <c r="AZ22" s="238"/>
      <c r="BA22" s="239" t="s">
        <v>645</v>
      </c>
      <c r="BB22" s="239">
        <v>0.1139</v>
      </c>
      <c r="BC22" s="239">
        <v>3.5999999999999999E-3</v>
      </c>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row>
    <row r="23" spans="1:90" s="240" customFormat="1" ht="14.25" customHeight="1">
      <c r="A23" s="267" t="s">
        <v>419</v>
      </c>
      <c r="B23" s="268"/>
      <c r="C23" s="268"/>
      <c r="D23" s="268"/>
      <c r="E23" s="269"/>
      <c r="F23" s="1377">
        <f>CO2eEF!P28</f>
        <v>2.0000000000000001E-4</v>
      </c>
      <c r="G23" s="1378"/>
      <c r="H23" s="1546">
        <v>44.097000000000001</v>
      </c>
      <c r="I23" s="1549"/>
      <c r="J23" s="1545">
        <f>F23*H23</f>
        <v>8.8194000000000015E-3</v>
      </c>
      <c r="K23" s="1545"/>
      <c r="L23" s="1546">
        <f>J23/$J$39</f>
        <v>5.4683049942553315E-4</v>
      </c>
      <c r="M23" s="1545"/>
      <c r="N23" s="1547">
        <f>L23*$V$20</f>
        <v>4.1171358615200984E-3</v>
      </c>
      <c r="O23" s="1548"/>
      <c r="P23" s="1547">
        <f>N23*365.25*24/1000</f>
        <v>3.6090812962085182E-2</v>
      </c>
      <c r="Q23" s="1548"/>
      <c r="R23" s="263"/>
      <c r="S23" s="263"/>
      <c r="T23" s="1671"/>
      <c r="U23" s="1671"/>
      <c r="V23" s="1671"/>
      <c r="W23" s="1671"/>
      <c r="X23" s="1671"/>
      <c r="Y23" s="1671"/>
      <c r="Z23" s="1671"/>
      <c r="AA23" s="1671"/>
      <c r="AB23" s="1671"/>
      <c r="AC23" s="1671"/>
      <c r="AD23" s="1671"/>
      <c r="AE23" s="1671"/>
      <c r="AF23" s="1671"/>
      <c r="AG23" s="264"/>
      <c r="AH23" s="258"/>
      <c r="AI23" s="259">
        <v>3</v>
      </c>
      <c r="AJ23" s="259">
        <v>8</v>
      </c>
      <c r="AK23" s="259"/>
      <c r="AL23" s="259"/>
      <c r="AM23" s="259"/>
      <c r="AN23" s="265">
        <f t="shared" si="0"/>
        <v>44.094000000000001</v>
      </c>
      <c r="AO23" s="259">
        <f t="shared" si="1"/>
        <v>5</v>
      </c>
      <c r="AP23" s="266">
        <f t="shared" si="2"/>
        <v>18.80952380952381</v>
      </c>
      <c r="AQ23" s="259">
        <f t="shared" si="3"/>
        <v>3</v>
      </c>
      <c r="AR23" s="259">
        <f t="shared" si="4"/>
        <v>4</v>
      </c>
      <c r="AS23" s="266">
        <f t="shared" si="5"/>
        <v>18.80952380952381</v>
      </c>
      <c r="AT23" s="259">
        <f t="shared" si="6"/>
        <v>0</v>
      </c>
      <c r="AU23" s="258"/>
      <c r="AV23" s="238"/>
      <c r="AW23" s="238"/>
      <c r="AX23" s="238"/>
      <c r="AY23" s="238"/>
      <c r="AZ23" s="238"/>
      <c r="BA23" s="239" t="s">
        <v>646</v>
      </c>
      <c r="BB23" s="239">
        <v>1.7100000000000001E-2</v>
      </c>
      <c r="BC23" s="239">
        <v>1E-3</v>
      </c>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row>
    <row r="24" spans="1:90" s="240" customFormat="1" ht="14.25" customHeight="1">
      <c r="A24" s="267" t="s">
        <v>420</v>
      </c>
      <c r="B24" s="268"/>
      <c r="C24" s="268"/>
      <c r="D24" s="268"/>
      <c r="E24" s="269"/>
      <c r="F24" s="1377">
        <v>0</v>
      </c>
      <c r="G24" s="1378"/>
      <c r="H24" s="1299"/>
      <c r="I24" s="1301"/>
      <c r="J24" s="1300"/>
      <c r="K24" s="1300"/>
      <c r="L24" s="1299"/>
      <c r="M24" s="1300"/>
      <c r="N24" s="1299">
        <f>SUM(H24,J24,L24)*AN24</f>
        <v>0</v>
      </c>
      <c r="O24" s="1301"/>
      <c r="P24" s="1299"/>
      <c r="Q24" s="1301"/>
      <c r="R24" s="263"/>
      <c r="S24" s="263"/>
      <c r="T24" s="263"/>
      <c r="U24" s="263"/>
      <c r="V24" s="263"/>
      <c r="W24" s="263"/>
      <c r="X24" s="263"/>
      <c r="Y24" s="263"/>
      <c r="Z24" s="263"/>
      <c r="AA24" s="263"/>
      <c r="AB24" s="263"/>
      <c r="AC24" s="263"/>
      <c r="AD24" s="263"/>
      <c r="AE24" s="263"/>
      <c r="AF24" s="263"/>
      <c r="AG24" s="264"/>
      <c r="AH24" s="258"/>
      <c r="AI24" s="259">
        <v>4</v>
      </c>
      <c r="AJ24" s="259">
        <v>8</v>
      </c>
      <c r="AK24" s="259"/>
      <c r="AL24" s="259"/>
      <c r="AM24" s="259"/>
      <c r="AN24" s="265">
        <f t="shared" si="0"/>
        <v>56.103999999999999</v>
      </c>
      <c r="AO24" s="259">
        <f t="shared" si="1"/>
        <v>6</v>
      </c>
      <c r="AP24" s="266">
        <f t="shared" si="2"/>
        <v>22.571428571428573</v>
      </c>
      <c r="AQ24" s="259">
        <f t="shared" si="3"/>
        <v>4</v>
      </c>
      <c r="AR24" s="259">
        <f t="shared" si="4"/>
        <v>4</v>
      </c>
      <c r="AS24" s="266">
        <f t="shared" si="5"/>
        <v>22.571428571428573</v>
      </c>
      <c r="AT24" s="259">
        <f t="shared" si="6"/>
        <v>0</v>
      </c>
      <c r="AU24" s="258"/>
      <c r="AV24" s="238"/>
      <c r="AW24" s="238"/>
      <c r="AX24" s="238"/>
      <c r="AY24" s="238"/>
      <c r="AZ24" s="238"/>
      <c r="BA24" s="239" t="s">
        <v>647</v>
      </c>
      <c r="BB24" s="239">
        <v>4.5900000000000003E-2</v>
      </c>
      <c r="BC24" s="239">
        <v>2.3999999999999998E-3</v>
      </c>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row>
    <row r="25" spans="1:90" s="240" customFormat="1" ht="14.25" customHeight="1">
      <c r="A25" s="267" t="s">
        <v>421</v>
      </c>
      <c r="B25" s="268"/>
      <c r="C25" s="268"/>
      <c r="D25" s="268"/>
      <c r="E25" s="269"/>
      <c r="F25" s="1377">
        <f>CO2eEF!P29</f>
        <v>1E-4</v>
      </c>
      <c r="G25" s="1378"/>
      <c r="H25" s="1546">
        <v>58.122999999999998</v>
      </c>
      <c r="I25" s="1549"/>
      <c r="J25" s="1545">
        <f>F25*H25</f>
        <v>5.8123000000000003E-3</v>
      </c>
      <c r="K25" s="1545"/>
      <c r="L25" s="1546">
        <f>J25/$J$39</f>
        <v>3.6038085491201508E-4</v>
      </c>
      <c r="M25" s="1545"/>
      <c r="N25" s="1547">
        <f>L25*$V$20</f>
        <v>2.7133397700425501E-3</v>
      </c>
      <c r="O25" s="1548"/>
      <c r="P25" s="1547">
        <f>N25*365.25*24/1000</f>
        <v>2.3785136424192995E-2</v>
      </c>
      <c r="Q25" s="1548"/>
      <c r="R25" s="263"/>
      <c r="S25" s="263"/>
      <c r="T25" s="263"/>
      <c r="U25" s="263"/>
      <c r="V25" s="263"/>
      <c r="W25" s="263"/>
      <c r="X25" s="263"/>
      <c r="Y25" s="263"/>
      <c r="Z25" s="263"/>
      <c r="AA25" s="263"/>
      <c r="AB25" s="263"/>
      <c r="AC25" s="263"/>
      <c r="AD25" s="263"/>
      <c r="AE25" s="263"/>
      <c r="AF25" s="263"/>
      <c r="AG25" s="264"/>
      <c r="AH25" s="258"/>
      <c r="AI25" s="259">
        <v>4</v>
      </c>
      <c r="AJ25" s="259">
        <v>10</v>
      </c>
      <c r="AK25" s="259"/>
      <c r="AL25" s="259"/>
      <c r="AM25" s="259"/>
      <c r="AN25" s="265">
        <f>AI25*12.01+AJ25*1.008+AK25*16+AL25*14+AM25*32</f>
        <v>58.12</v>
      </c>
      <c r="AO25" s="259">
        <f t="shared" si="1"/>
        <v>6.5</v>
      </c>
      <c r="AP25" s="266">
        <f t="shared" si="2"/>
        <v>24.452380952380956</v>
      </c>
      <c r="AQ25" s="259">
        <f t="shared" si="3"/>
        <v>4</v>
      </c>
      <c r="AR25" s="259">
        <f t="shared" si="4"/>
        <v>5</v>
      </c>
      <c r="AS25" s="266">
        <f t="shared" si="5"/>
        <v>24.452380952380956</v>
      </c>
      <c r="AT25" s="259">
        <f t="shared" si="6"/>
        <v>0</v>
      </c>
      <c r="AU25" s="258"/>
      <c r="AV25" s="238"/>
      <c r="AW25" s="238"/>
      <c r="AX25" s="238"/>
      <c r="AY25" s="238"/>
      <c r="AZ25" s="238"/>
      <c r="BA25" s="239" t="s">
        <v>648</v>
      </c>
      <c r="BB25" s="239">
        <v>8.2000000000000007E-3</v>
      </c>
      <c r="BC25" s="239">
        <v>1.6000000000000001E-3</v>
      </c>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row>
    <row r="26" spans="1:90" s="240" customFormat="1" ht="14.25" customHeight="1">
      <c r="A26" s="267" t="s">
        <v>422</v>
      </c>
      <c r="B26" s="268"/>
      <c r="C26" s="268"/>
      <c r="D26" s="268"/>
      <c r="E26" s="269"/>
      <c r="F26" s="1377">
        <f>CO2eEF!P30</f>
        <v>0</v>
      </c>
      <c r="G26" s="1378"/>
      <c r="H26" s="1299"/>
      <c r="I26" s="1301"/>
      <c r="J26" s="1300"/>
      <c r="K26" s="1300"/>
      <c r="L26" s="1299"/>
      <c r="M26" s="1300"/>
      <c r="N26" s="1299">
        <f>SUM(H26,J26,L26)*AN26</f>
        <v>0</v>
      </c>
      <c r="O26" s="1301"/>
      <c r="P26" s="1299"/>
      <c r="Q26" s="1301"/>
      <c r="R26" s="263"/>
      <c r="S26" s="263"/>
      <c r="T26" s="263" t="s">
        <v>761</v>
      </c>
      <c r="U26" s="263"/>
      <c r="V26" s="263"/>
      <c r="W26" s="263"/>
      <c r="X26" s="263"/>
      <c r="Y26" s="263"/>
      <c r="Z26" s="263"/>
      <c r="AA26" s="263"/>
      <c r="AB26" s="263"/>
      <c r="AC26" s="263"/>
      <c r="AD26" s="263"/>
      <c r="AE26" s="263"/>
      <c r="AF26" s="263"/>
      <c r="AG26" s="264"/>
      <c r="AH26" s="258"/>
      <c r="AI26" s="259">
        <v>4</v>
      </c>
      <c r="AJ26" s="259">
        <v>10</v>
      </c>
      <c r="AK26" s="259"/>
      <c r="AL26" s="259"/>
      <c r="AM26" s="259"/>
      <c r="AN26" s="265">
        <f t="shared" si="0"/>
        <v>58.12</v>
      </c>
      <c r="AO26" s="259">
        <f t="shared" si="1"/>
        <v>6.5</v>
      </c>
      <c r="AP26" s="266">
        <f t="shared" si="2"/>
        <v>24.452380952380956</v>
      </c>
      <c r="AQ26" s="259">
        <f t="shared" si="3"/>
        <v>4</v>
      </c>
      <c r="AR26" s="259">
        <f t="shared" si="4"/>
        <v>5</v>
      </c>
      <c r="AS26" s="266">
        <f t="shared" si="5"/>
        <v>24.452380952380956</v>
      </c>
      <c r="AT26" s="259">
        <f t="shared" si="6"/>
        <v>0</v>
      </c>
      <c r="AU26" s="258"/>
      <c r="AV26" s="238"/>
      <c r="AW26" s="238"/>
      <c r="AX26" s="238"/>
      <c r="AY26" s="238"/>
      <c r="AZ26" s="238"/>
      <c r="BA26" s="239" t="s">
        <v>649</v>
      </c>
      <c r="BB26" s="239">
        <v>2.0000000000000001E-4</v>
      </c>
      <c r="BC26" s="239">
        <v>0</v>
      </c>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row>
    <row r="27" spans="1:90" s="240" customFormat="1" ht="14.25" customHeight="1">
      <c r="A27" s="267" t="s">
        <v>423</v>
      </c>
      <c r="B27" s="268"/>
      <c r="C27" s="268"/>
      <c r="D27" s="268"/>
      <c r="E27" s="269"/>
      <c r="F27" s="1377">
        <f>CO2eEF!P31</f>
        <v>1E-4</v>
      </c>
      <c r="G27" s="1378"/>
      <c r="H27" s="1543">
        <v>72.150000000000006</v>
      </c>
      <c r="I27" s="1544"/>
      <c r="J27" s="1545">
        <f t="shared" ref="J27:J29" si="7">F27*H27</f>
        <v>7.2150000000000009E-3</v>
      </c>
      <c r="K27" s="1545"/>
      <c r="L27" s="1546">
        <f t="shared" ref="L27:L29" si="8">J27/$J$39</f>
        <v>4.4735266042533745E-4</v>
      </c>
      <c r="M27" s="1545"/>
      <c r="N27" s="1547">
        <f t="shared" ref="N27:N29" si="9">L27*$V$20</f>
        <v>3.3681582920456615E-3</v>
      </c>
      <c r="O27" s="1548"/>
      <c r="P27" s="1547">
        <f t="shared" ref="P27:P29" si="10">N27*365.25*24/1000</f>
        <v>2.9525275588072268E-2</v>
      </c>
      <c r="Q27" s="1548"/>
      <c r="R27" s="263"/>
      <c r="S27" s="263"/>
      <c r="T27" s="263"/>
      <c r="U27" s="263"/>
      <c r="V27" s="263"/>
      <c r="W27" s="263"/>
      <c r="X27" s="263"/>
      <c r="Y27" s="263"/>
      <c r="Z27" s="263"/>
      <c r="AA27" s="263"/>
      <c r="AB27" s="263"/>
      <c r="AC27" s="263"/>
      <c r="AD27" s="263"/>
      <c r="AE27" s="263"/>
      <c r="AF27" s="263"/>
      <c r="AG27" s="264"/>
      <c r="AH27" s="258"/>
      <c r="AI27" s="259">
        <v>5</v>
      </c>
      <c r="AJ27" s="259">
        <v>12</v>
      </c>
      <c r="AK27" s="259"/>
      <c r="AL27" s="259"/>
      <c r="AM27" s="259"/>
      <c r="AN27" s="265">
        <f t="shared" si="0"/>
        <v>72.146000000000001</v>
      </c>
      <c r="AO27" s="259">
        <f t="shared" si="1"/>
        <v>8</v>
      </c>
      <c r="AP27" s="266">
        <f t="shared" si="2"/>
        <v>30.095238095238098</v>
      </c>
      <c r="AQ27" s="259">
        <f t="shared" si="3"/>
        <v>5</v>
      </c>
      <c r="AR27" s="259">
        <f t="shared" si="4"/>
        <v>6</v>
      </c>
      <c r="AS27" s="266">
        <f t="shared" si="5"/>
        <v>30.095238095238098</v>
      </c>
      <c r="AT27" s="259">
        <f t="shared" si="6"/>
        <v>0</v>
      </c>
      <c r="AU27" s="258"/>
      <c r="AV27" s="238"/>
      <c r="AW27" s="238"/>
      <c r="AX27" s="238"/>
      <c r="AY27" s="238"/>
      <c r="AZ27" s="238"/>
      <c r="BA27" s="239" t="s">
        <v>650</v>
      </c>
      <c r="BB27" s="239">
        <v>8.8999999999999999E-3</v>
      </c>
      <c r="BC27" s="239">
        <v>1.9E-3</v>
      </c>
      <c r="BD27" s="238"/>
      <c r="BE27" s="238"/>
      <c r="BF27" s="238"/>
      <c r="BG27" s="238"/>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row>
    <row r="28" spans="1:90" s="240" customFormat="1" ht="14.25" customHeight="1">
      <c r="A28" s="267" t="s">
        <v>424</v>
      </c>
      <c r="B28" s="268"/>
      <c r="C28" s="268"/>
      <c r="D28" s="268"/>
      <c r="E28" s="269"/>
      <c r="F28" s="1377">
        <f>CO2eEF!P33</f>
        <v>1E-4</v>
      </c>
      <c r="G28" s="1378"/>
      <c r="H28" s="1543">
        <v>72.150000000000006</v>
      </c>
      <c r="I28" s="1544"/>
      <c r="J28" s="1545">
        <f t="shared" si="7"/>
        <v>7.2150000000000009E-3</v>
      </c>
      <c r="K28" s="1545"/>
      <c r="L28" s="1546">
        <f t="shared" si="8"/>
        <v>4.4735266042533745E-4</v>
      </c>
      <c r="M28" s="1545"/>
      <c r="N28" s="1547">
        <f t="shared" si="9"/>
        <v>3.3681582920456615E-3</v>
      </c>
      <c r="O28" s="1548"/>
      <c r="P28" s="1547">
        <f t="shared" si="10"/>
        <v>2.9525275588072268E-2</v>
      </c>
      <c r="Q28" s="1548"/>
      <c r="R28" s="263"/>
      <c r="S28" s="263"/>
      <c r="T28" s="1528" t="s">
        <v>851</v>
      </c>
      <c r="U28" s="1184"/>
      <c r="V28" s="1184"/>
      <c r="W28" s="1184"/>
      <c r="X28" s="1184"/>
      <c r="Y28" s="1184"/>
      <c r="Z28" s="1184"/>
      <c r="AA28" s="1184"/>
      <c r="AB28" s="1184"/>
      <c r="AC28" s="1184"/>
      <c r="AD28" s="1184"/>
      <c r="AE28" s="1184"/>
      <c r="AF28" s="263"/>
      <c r="AG28" s="264"/>
      <c r="AH28" s="258"/>
      <c r="AI28" s="259">
        <v>5</v>
      </c>
      <c r="AJ28" s="259">
        <v>12</v>
      </c>
      <c r="AK28" s="259"/>
      <c r="AL28" s="259"/>
      <c r="AM28" s="259"/>
      <c r="AN28" s="265">
        <f t="shared" si="0"/>
        <v>72.146000000000001</v>
      </c>
      <c r="AO28" s="259">
        <f t="shared" si="1"/>
        <v>8</v>
      </c>
      <c r="AP28" s="266">
        <f t="shared" si="2"/>
        <v>30.095238095238098</v>
      </c>
      <c r="AQ28" s="259">
        <f t="shared" si="3"/>
        <v>5</v>
      </c>
      <c r="AR28" s="259">
        <f t="shared" si="4"/>
        <v>6</v>
      </c>
      <c r="AS28" s="266">
        <f t="shared" si="5"/>
        <v>30.095238095238098</v>
      </c>
      <c r="AT28" s="259">
        <f t="shared" si="6"/>
        <v>0</v>
      </c>
      <c r="AU28" s="258"/>
      <c r="AV28" s="238"/>
      <c r="AW28" s="238"/>
      <c r="AX28" s="238"/>
      <c r="AY28" s="238"/>
      <c r="AZ28" s="238"/>
      <c r="BA28" s="239" t="s">
        <v>651</v>
      </c>
      <c r="BB28" s="239">
        <v>2.0000000000000001E-4</v>
      </c>
      <c r="BC28" s="239">
        <v>2.9999999999999997E-4</v>
      </c>
      <c r="BD28" s="238"/>
      <c r="BE28" s="238"/>
      <c r="BF28" s="238"/>
      <c r="BG28" s="238"/>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row>
    <row r="29" spans="1:90" s="240" customFormat="1" ht="14.25" customHeight="1">
      <c r="A29" s="267" t="s">
        <v>721</v>
      </c>
      <c r="B29" s="268"/>
      <c r="C29" s="268"/>
      <c r="D29" s="268"/>
      <c r="E29" s="269"/>
      <c r="F29" s="1377">
        <f>1-(SUM(F18:F28)+SUM(F30:G38))</f>
        <v>2.00000000000089E-4</v>
      </c>
      <c r="G29" s="1378"/>
      <c r="H29" s="1546">
        <v>86.177000000000007</v>
      </c>
      <c r="I29" s="1549"/>
      <c r="J29" s="1545">
        <f t="shared" si="7"/>
        <v>1.7235400000007672E-2</v>
      </c>
      <c r="K29" s="1545"/>
      <c r="L29" s="1546">
        <f t="shared" si="8"/>
        <v>1.0686489318777951E-3</v>
      </c>
      <c r="M29" s="1545"/>
      <c r="N29" s="1547">
        <f t="shared" si="9"/>
        <v>8.0459536281011265E-3</v>
      </c>
      <c r="O29" s="1548"/>
      <c r="P29" s="1547">
        <f t="shared" si="10"/>
        <v>7.0530829503934467E-2</v>
      </c>
      <c r="Q29" s="1548"/>
      <c r="R29" s="263"/>
      <c r="S29" s="263"/>
      <c r="T29" s="1184"/>
      <c r="U29" s="1184"/>
      <c r="V29" s="1184"/>
      <c r="W29" s="1184"/>
      <c r="X29" s="1184"/>
      <c r="Y29" s="1184"/>
      <c r="Z29" s="1184"/>
      <c r="AA29" s="1184"/>
      <c r="AB29" s="1184"/>
      <c r="AC29" s="1184"/>
      <c r="AD29" s="1184"/>
      <c r="AE29" s="1184"/>
      <c r="AF29" s="263"/>
      <c r="AG29" s="264"/>
      <c r="AH29" s="258"/>
      <c r="AI29" s="259">
        <v>6</v>
      </c>
      <c r="AJ29" s="259">
        <v>14</v>
      </c>
      <c r="AK29" s="259"/>
      <c r="AL29" s="259"/>
      <c r="AM29" s="259"/>
      <c r="AN29" s="265">
        <f t="shared" si="0"/>
        <v>86.171999999999997</v>
      </c>
      <c r="AO29" s="259">
        <f t="shared" si="1"/>
        <v>9.5</v>
      </c>
      <c r="AP29" s="266">
        <f t="shared" si="2"/>
        <v>35.738095238095241</v>
      </c>
      <c r="AQ29" s="259">
        <f t="shared" si="3"/>
        <v>6</v>
      </c>
      <c r="AR29" s="259">
        <f t="shared" si="4"/>
        <v>7</v>
      </c>
      <c r="AS29" s="266">
        <f t="shared" si="5"/>
        <v>35.738095238095241</v>
      </c>
      <c r="AT29" s="259">
        <f t="shared" si="6"/>
        <v>0</v>
      </c>
      <c r="AU29" s="258"/>
      <c r="AV29" s="238"/>
      <c r="AW29" s="238"/>
      <c r="AX29" s="238"/>
      <c r="AY29" s="238"/>
      <c r="AZ29" s="238"/>
      <c r="BA29" s="239" t="s">
        <v>652</v>
      </c>
      <c r="BB29" s="239">
        <v>0</v>
      </c>
      <c r="BC29" s="239">
        <v>5.0000000000000001E-4</v>
      </c>
      <c r="BD29" s="238"/>
      <c r="BE29" s="238"/>
      <c r="BF29" s="238"/>
      <c r="BG29" s="238"/>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row>
    <row r="30" spans="1:90" s="240" customFormat="1" ht="14.25" customHeight="1">
      <c r="A30" s="267" t="s">
        <v>426</v>
      </c>
      <c r="B30" s="268"/>
      <c r="C30" s="268"/>
      <c r="D30" s="268"/>
      <c r="E30" s="269"/>
      <c r="F30" s="1377">
        <v>0</v>
      </c>
      <c r="G30" s="1378"/>
      <c r="H30" s="1299"/>
      <c r="I30" s="1301"/>
      <c r="J30" s="1300"/>
      <c r="K30" s="1300"/>
      <c r="L30" s="1299"/>
      <c r="M30" s="1300"/>
      <c r="N30" s="1299">
        <f>SUM(H30,J30,L30)*AN30</f>
        <v>0</v>
      </c>
      <c r="O30" s="1301"/>
      <c r="P30" s="1299"/>
      <c r="Q30" s="1301"/>
      <c r="R30" s="263"/>
      <c r="S30" s="263"/>
      <c r="T30" s="1184"/>
      <c r="U30" s="1184"/>
      <c r="V30" s="1184"/>
      <c r="W30" s="1184"/>
      <c r="X30" s="1184"/>
      <c r="Y30" s="1184"/>
      <c r="Z30" s="1184"/>
      <c r="AA30" s="1184"/>
      <c r="AB30" s="1184"/>
      <c r="AC30" s="1184"/>
      <c r="AD30" s="1184"/>
      <c r="AE30" s="1184"/>
      <c r="AF30" s="263"/>
      <c r="AG30" s="264"/>
      <c r="AH30" s="258"/>
      <c r="AI30" s="259"/>
      <c r="AJ30" s="259"/>
      <c r="AK30" s="259"/>
      <c r="AL30" s="259"/>
      <c r="AM30" s="259"/>
      <c r="AN30" s="265">
        <v>4.0030000000000001</v>
      </c>
      <c r="AO30" s="259"/>
      <c r="AP30" s="266"/>
      <c r="AQ30" s="259"/>
      <c r="AR30" s="259"/>
      <c r="AS30" s="266"/>
      <c r="AT30" s="259"/>
      <c r="AU30" s="258"/>
      <c r="AV30" s="238"/>
      <c r="AW30" s="238"/>
      <c r="AX30" s="238"/>
      <c r="AY30" s="238"/>
      <c r="AZ30" s="238"/>
      <c r="BA30" s="239" t="s">
        <v>653</v>
      </c>
      <c r="BB30" s="239">
        <v>0</v>
      </c>
      <c r="BC30" s="239">
        <v>1E-4</v>
      </c>
      <c r="BD30" s="238"/>
      <c r="BE30" s="238"/>
      <c r="BF30" s="238"/>
      <c r="BG30" s="238"/>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row>
    <row r="31" spans="1:90" s="240" customFormat="1" ht="14.25" customHeight="1">
      <c r="A31" s="267" t="s">
        <v>427</v>
      </c>
      <c r="B31" s="268"/>
      <c r="C31" s="268"/>
      <c r="D31" s="268"/>
      <c r="E31" s="269"/>
      <c r="F31" s="1377">
        <v>0</v>
      </c>
      <c r="G31" s="1378"/>
      <c r="H31" s="1299"/>
      <c r="I31" s="1301"/>
      <c r="J31" s="1300"/>
      <c r="K31" s="1300"/>
      <c r="L31" s="1299"/>
      <c r="M31" s="1300"/>
      <c r="N31" s="1299">
        <f>SUM(H31,J31,L31)*AN31</f>
        <v>0</v>
      </c>
      <c r="O31" s="1301"/>
      <c r="P31" s="1299"/>
      <c r="Q31" s="1301"/>
      <c r="R31" s="263"/>
      <c r="S31" s="263"/>
      <c r="T31" s="1184"/>
      <c r="U31" s="1184"/>
      <c r="V31" s="1184"/>
      <c r="W31" s="1184"/>
      <c r="X31" s="1184"/>
      <c r="Y31" s="1184"/>
      <c r="Z31" s="1184"/>
      <c r="AA31" s="1184"/>
      <c r="AB31" s="1184"/>
      <c r="AC31" s="1184"/>
      <c r="AD31" s="1184"/>
      <c r="AE31" s="1184"/>
      <c r="AF31" s="263"/>
      <c r="AG31" s="264"/>
      <c r="AH31" s="258"/>
      <c r="AI31" s="259"/>
      <c r="AJ31" s="259">
        <v>2</v>
      </c>
      <c r="AK31" s="259"/>
      <c r="AL31" s="259"/>
      <c r="AM31" s="259">
        <v>1</v>
      </c>
      <c r="AN31" s="265">
        <f t="shared" si="0"/>
        <v>34.015999999999998</v>
      </c>
      <c r="AO31" s="259">
        <f t="shared" si="1"/>
        <v>1.5</v>
      </c>
      <c r="AP31" s="266">
        <f t="shared" si="2"/>
        <v>5.6428571428571432</v>
      </c>
      <c r="AQ31" s="259">
        <f t="shared" si="3"/>
        <v>0</v>
      </c>
      <c r="AR31" s="259">
        <f t="shared" si="4"/>
        <v>1</v>
      </c>
      <c r="AS31" s="266">
        <f t="shared" si="5"/>
        <v>5.6428571428571432</v>
      </c>
      <c r="AT31" s="259">
        <f t="shared" si="6"/>
        <v>1</v>
      </c>
      <c r="AU31" s="258"/>
      <c r="AV31" s="238"/>
      <c r="AW31" s="238"/>
      <c r="AX31" s="238"/>
      <c r="AY31" s="238"/>
      <c r="AZ31" s="238"/>
      <c r="BA31" s="239" t="s">
        <v>654</v>
      </c>
      <c r="BB31" s="239">
        <v>0</v>
      </c>
      <c r="BC31" s="239">
        <v>4.0000000000000002E-4</v>
      </c>
      <c r="BD31" s="238"/>
      <c r="BE31" s="238"/>
      <c r="BF31" s="238"/>
      <c r="BG31" s="238"/>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row>
    <row r="32" spans="1:90" s="240" customFormat="1" ht="14.25" customHeight="1">
      <c r="A32" s="267" t="s">
        <v>428</v>
      </c>
      <c r="B32" s="268"/>
      <c r="C32" s="268"/>
      <c r="D32" s="268"/>
      <c r="E32" s="269"/>
      <c r="F32" s="1377">
        <v>0</v>
      </c>
      <c r="G32" s="1378"/>
      <c r="H32" s="1299"/>
      <c r="I32" s="1301"/>
      <c r="J32" s="1300"/>
      <c r="K32" s="1300"/>
      <c r="L32" s="1299">
        <v>0</v>
      </c>
      <c r="M32" s="1300"/>
      <c r="N32" s="1299">
        <f>SUM(H32,J32,L32)*AN32</f>
        <v>0</v>
      </c>
      <c r="O32" s="1301"/>
      <c r="P32" s="1299"/>
      <c r="Q32" s="1301"/>
      <c r="R32" s="263"/>
      <c r="S32" s="263"/>
      <c r="T32" s="1184"/>
      <c r="U32" s="1184"/>
      <c r="V32" s="1184"/>
      <c r="W32" s="1184"/>
      <c r="X32" s="1184"/>
      <c r="Y32" s="1184"/>
      <c r="Z32" s="1184"/>
      <c r="AA32" s="1184"/>
      <c r="AB32" s="1184"/>
      <c r="AC32" s="1184"/>
      <c r="AD32" s="1184"/>
      <c r="AE32" s="1184"/>
      <c r="AF32" s="263"/>
      <c r="AG32" s="264"/>
      <c r="AH32" s="258"/>
      <c r="AI32" s="259"/>
      <c r="AJ32" s="259"/>
      <c r="AK32" s="259">
        <v>2</v>
      </c>
      <c r="AL32" s="259"/>
      <c r="AM32" s="259"/>
      <c r="AN32" s="265">
        <f t="shared" si="0"/>
        <v>32</v>
      </c>
      <c r="AO32" s="259">
        <f t="shared" si="1"/>
        <v>0</v>
      </c>
      <c r="AP32" s="266">
        <f t="shared" si="2"/>
        <v>0</v>
      </c>
      <c r="AQ32" s="259">
        <f t="shared" si="3"/>
        <v>0</v>
      </c>
      <c r="AR32" s="259">
        <f t="shared" si="4"/>
        <v>0</v>
      </c>
      <c r="AS32" s="266">
        <f t="shared" si="5"/>
        <v>0</v>
      </c>
      <c r="AT32" s="259">
        <f t="shared" si="6"/>
        <v>0</v>
      </c>
      <c r="AU32" s="258"/>
      <c r="AV32" s="238"/>
      <c r="AW32" s="238"/>
      <c r="AX32" s="238"/>
      <c r="AY32" s="238"/>
      <c r="AZ32" s="238"/>
      <c r="BA32" s="239" t="s">
        <v>655</v>
      </c>
      <c r="BB32" s="239">
        <v>0</v>
      </c>
      <c r="BC32" s="239">
        <v>2.0000000000000001E-4</v>
      </c>
      <c r="BD32" s="238"/>
      <c r="BE32" s="238"/>
      <c r="BF32" s="238"/>
      <c r="BG32" s="238"/>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row>
    <row r="33" spans="1:90" s="240" customFormat="1" ht="14.25" customHeight="1">
      <c r="A33" s="267" t="s">
        <v>429</v>
      </c>
      <c r="B33" s="268"/>
      <c r="C33" s="268"/>
      <c r="D33" s="268"/>
      <c r="E33" s="269"/>
      <c r="F33" s="1377">
        <f>CO2eEF!P24</f>
        <v>1.5E-3</v>
      </c>
      <c r="G33" s="1378"/>
      <c r="H33" s="1547">
        <v>28.013500000000001</v>
      </c>
      <c r="I33" s="1548"/>
      <c r="J33" s="1545">
        <f t="shared" ref="J33" si="11">F33*H33</f>
        <v>4.2020250000000002E-2</v>
      </c>
      <c r="K33" s="1545"/>
      <c r="L33" s="1546">
        <f t="shared" ref="L33" si="12">J33/$J$39</f>
        <v>2.6053874745998315E-3</v>
      </c>
      <c r="M33" s="1545"/>
      <c r="N33" s="1547">
        <f t="shared" ref="N33" si="13">L33*$V$20</f>
        <v>1.9616195907322481E-2</v>
      </c>
      <c r="O33" s="1548"/>
      <c r="P33" s="1547">
        <f t="shared" ref="P33" si="14">N33*365.25*24/1000</f>
        <v>0.17195557332358885</v>
      </c>
      <c r="Q33" s="1548"/>
      <c r="R33" s="263"/>
      <c r="S33" s="263"/>
      <c r="T33" s="1184"/>
      <c r="U33" s="1184"/>
      <c r="V33" s="1184"/>
      <c r="W33" s="1184"/>
      <c r="X33" s="1184"/>
      <c r="Y33" s="1184"/>
      <c r="Z33" s="1184"/>
      <c r="AA33" s="1184"/>
      <c r="AB33" s="1184"/>
      <c r="AC33" s="1184"/>
      <c r="AD33" s="1184"/>
      <c r="AE33" s="1184"/>
      <c r="AF33" s="263"/>
      <c r="AG33" s="264"/>
      <c r="AH33" s="258"/>
      <c r="AI33" s="259"/>
      <c r="AJ33" s="259"/>
      <c r="AK33" s="259"/>
      <c r="AL33" s="259">
        <v>2</v>
      </c>
      <c r="AM33" s="259"/>
      <c r="AN33" s="265">
        <f t="shared" si="0"/>
        <v>28</v>
      </c>
      <c r="AO33" s="259">
        <f t="shared" si="1"/>
        <v>0</v>
      </c>
      <c r="AP33" s="266">
        <f t="shared" si="2"/>
        <v>0</v>
      </c>
      <c r="AQ33" s="259">
        <f t="shared" si="3"/>
        <v>0</v>
      </c>
      <c r="AR33" s="259">
        <f t="shared" si="4"/>
        <v>0</v>
      </c>
      <c r="AS33" s="266">
        <f t="shared" si="5"/>
        <v>1</v>
      </c>
      <c r="AT33" s="259">
        <f t="shared" si="6"/>
        <v>0</v>
      </c>
      <c r="AU33" s="258"/>
      <c r="AV33" s="238"/>
      <c r="AW33" s="238"/>
      <c r="AX33" s="238"/>
      <c r="AY33" s="238"/>
      <c r="AZ33" s="238"/>
      <c r="BA33" s="239" t="s">
        <v>656</v>
      </c>
      <c r="BB33" s="239">
        <v>1.5E-3</v>
      </c>
      <c r="BC33" s="239">
        <v>0</v>
      </c>
      <c r="BD33" s="238"/>
      <c r="BE33" s="238"/>
      <c r="BF33" s="238"/>
      <c r="BG33" s="238"/>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row>
    <row r="34" spans="1:90" s="240" customFormat="1" ht="14.25" customHeight="1">
      <c r="A34" s="267" t="s">
        <v>115</v>
      </c>
      <c r="B34" s="268"/>
      <c r="C34" s="268"/>
      <c r="D34" s="268"/>
      <c r="E34" s="269"/>
      <c r="F34" s="1377">
        <v>0</v>
      </c>
      <c r="G34" s="1378"/>
      <c r="H34" s="1299"/>
      <c r="I34" s="1301"/>
      <c r="J34" s="1300"/>
      <c r="K34" s="1300"/>
      <c r="L34" s="1299"/>
      <c r="M34" s="1300"/>
      <c r="N34" s="1299">
        <f>SUM(H34,J34,L34)*AN34</f>
        <v>0</v>
      </c>
      <c r="O34" s="1301"/>
      <c r="P34" s="1299"/>
      <c r="Q34" s="1301"/>
      <c r="R34" s="263"/>
      <c r="S34" s="263"/>
      <c r="T34" s="1184"/>
      <c r="U34" s="1184"/>
      <c r="V34" s="1184"/>
      <c r="W34" s="1184"/>
      <c r="X34" s="1184"/>
      <c r="Y34" s="1184"/>
      <c r="Z34" s="1184"/>
      <c r="AA34" s="1184"/>
      <c r="AB34" s="1184"/>
      <c r="AC34" s="1184"/>
      <c r="AD34" s="1184"/>
      <c r="AE34" s="1184"/>
      <c r="AF34" s="263"/>
      <c r="AG34" s="264"/>
      <c r="AH34" s="258"/>
      <c r="AI34" s="258">
        <v>1</v>
      </c>
      <c r="AJ34" s="258"/>
      <c r="AK34" s="258">
        <v>1</v>
      </c>
      <c r="AL34" s="258"/>
      <c r="AM34" s="258"/>
      <c r="AN34" s="265">
        <f t="shared" si="0"/>
        <v>28.009999999999998</v>
      </c>
      <c r="AO34" s="259"/>
      <c r="AP34" s="258"/>
      <c r="AQ34" s="258"/>
      <c r="AR34" s="258"/>
      <c r="AS34" s="258"/>
      <c r="AT34" s="258"/>
      <c r="AU34" s="258"/>
      <c r="AV34" s="238"/>
      <c r="AW34" s="238"/>
      <c r="AX34" s="238"/>
      <c r="AY34" s="238"/>
      <c r="AZ34" s="238"/>
      <c r="BA34" s="239" t="s">
        <v>657</v>
      </c>
      <c r="BB34" s="239">
        <v>1E-4</v>
      </c>
      <c r="BC34" s="239">
        <v>0</v>
      </c>
      <c r="BD34" s="238"/>
      <c r="BE34" s="238"/>
      <c r="BF34" s="238"/>
      <c r="BG34" s="238"/>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row>
    <row r="35" spans="1:90" s="240" customFormat="1" ht="14.25" customHeight="1">
      <c r="A35" s="267" t="s">
        <v>126</v>
      </c>
      <c r="B35" s="268"/>
      <c r="C35" s="268"/>
      <c r="D35" s="268"/>
      <c r="E35" s="269"/>
      <c r="F35" s="1377">
        <f>CO2eEF!P25</f>
        <v>8.0000000000000004E-4</v>
      </c>
      <c r="G35" s="1378"/>
      <c r="H35" s="1543">
        <v>44.01</v>
      </c>
      <c r="I35" s="1544"/>
      <c r="J35" s="1545">
        <f t="shared" ref="J35" si="15">F35*H35</f>
        <v>3.5208000000000003E-2</v>
      </c>
      <c r="K35" s="1545"/>
      <c r="L35" s="1546">
        <f t="shared" ref="L35" si="16">J35/$J$39</f>
        <v>2.1830065791067612E-3</v>
      </c>
      <c r="M35" s="1545"/>
      <c r="N35" s="1547">
        <f t="shared" ref="N35" si="17">L35*$V$20</f>
        <v>1.6436052272535504E-2</v>
      </c>
      <c r="O35" s="1548"/>
      <c r="P35" s="1547">
        <f t="shared" ref="P35" si="18">N35*365.25*24/1000</f>
        <v>0.14407843422104621</v>
      </c>
      <c r="Q35" s="1548"/>
      <c r="R35" s="263"/>
      <c r="S35" s="263"/>
      <c r="T35" s="1184"/>
      <c r="U35" s="1184"/>
      <c r="V35" s="1184"/>
      <c r="W35" s="1184"/>
      <c r="X35" s="1184"/>
      <c r="Y35" s="1184"/>
      <c r="Z35" s="1184"/>
      <c r="AA35" s="1184"/>
      <c r="AB35" s="1184"/>
      <c r="AC35" s="1184"/>
      <c r="AD35" s="1184"/>
      <c r="AE35" s="1184"/>
      <c r="AF35" s="263"/>
      <c r="AG35" s="264"/>
      <c r="AH35" s="258"/>
      <c r="AI35" s="259">
        <v>1</v>
      </c>
      <c r="AJ35" s="259"/>
      <c r="AK35" s="259">
        <v>2</v>
      </c>
      <c r="AL35" s="259"/>
      <c r="AM35" s="259"/>
      <c r="AN35" s="265">
        <f>AI35*12.01+AJ35*1.008+AK35*16+AL35*14+AM35*32</f>
        <v>44.01</v>
      </c>
      <c r="AO35" s="259"/>
      <c r="AP35" s="259"/>
      <c r="AQ35" s="259"/>
      <c r="AR35" s="259"/>
      <c r="AS35" s="259"/>
      <c r="AT35" s="259"/>
      <c r="AU35" s="258"/>
      <c r="AV35" s="238"/>
      <c r="AW35" s="238"/>
      <c r="AX35" s="238"/>
      <c r="AY35" s="238"/>
      <c r="AZ35" s="238"/>
      <c r="BA35" s="239" t="s">
        <v>658</v>
      </c>
      <c r="BB35" s="239">
        <v>0</v>
      </c>
      <c r="BC35" s="239">
        <v>0</v>
      </c>
      <c r="BD35" s="238"/>
      <c r="BE35" s="238"/>
      <c r="BF35" s="238"/>
      <c r="BG35" s="238"/>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row>
    <row r="36" spans="1:90" s="240" customFormat="1" ht="14.25" customHeight="1">
      <c r="A36" s="267" t="s">
        <v>430</v>
      </c>
      <c r="B36" s="268"/>
      <c r="C36" s="268"/>
      <c r="D36" s="268"/>
      <c r="E36" s="269"/>
      <c r="F36" s="1377">
        <v>0</v>
      </c>
      <c r="G36" s="1378"/>
      <c r="H36" s="1299"/>
      <c r="I36" s="1301"/>
      <c r="J36" s="1300"/>
      <c r="K36" s="1300"/>
      <c r="L36" s="1299"/>
      <c r="M36" s="1300"/>
      <c r="N36" s="1299">
        <f>SUM(H36,J36,L36)*AN36</f>
        <v>0</v>
      </c>
      <c r="O36" s="1301"/>
      <c r="P36" s="1299"/>
      <c r="Q36" s="1301"/>
      <c r="R36" s="263"/>
      <c r="S36" s="263"/>
      <c r="T36" s="1184"/>
      <c r="U36" s="1184"/>
      <c r="V36" s="1184"/>
      <c r="W36" s="1184"/>
      <c r="X36" s="1184"/>
      <c r="Y36" s="1184"/>
      <c r="Z36" s="1184"/>
      <c r="AA36" s="1184"/>
      <c r="AB36" s="1184"/>
      <c r="AC36" s="1184"/>
      <c r="AD36" s="1184"/>
      <c r="AE36" s="1184"/>
      <c r="AF36" s="263"/>
      <c r="AG36" s="264"/>
      <c r="AH36" s="258"/>
      <c r="AI36" s="258"/>
      <c r="AJ36" s="258"/>
      <c r="AK36" s="258">
        <v>2</v>
      </c>
      <c r="AL36" s="258">
        <v>1</v>
      </c>
      <c r="AM36" s="258"/>
      <c r="AN36" s="265">
        <f>AI36*12.01+AJ36*1.008+AK36*16+AL36*14+AM36*32</f>
        <v>46</v>
      </c>
      <c r="AO36" s="259"/>
      <c r="AP36" s="258"/>
      <c r="AQ36" s="258"/>
      <c r="AR36" s="258"/>
      <c r="AS36" s="258"/>
      <c r="AT36" s="258"/>
      <c r="AU36" s="258"/>
      <c r="AV36" s="238"/>
      <c r="AW36" s="238"/>
      <c r="AX36" s="238"/>
      <c r="AY36" s="238"/>
      <c r="AZ36" s="238"/>
      <c r="BA36" s="239" t="s">
        <v>659</v>
      </c>
      <c r="BB36" s="239">
        <v>0</v>
      </c>
      <c r="BC36" s="239">
        <v>0</v>
      </c>
      <c r="BD36" s="238"/>
      <c r="BE36" s="238"/>
      <c r="BF36" s="238"/>
      <c r="BG36" s="238"/>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row>
    <row r="37" spans="1:90" s="240" customFormat="1" ht="14.25" customHeight="1">
      <c r="A37" s="267" t="s">
        <v>124</v>
      </c>
      <c r="B37" s="268"/>
      <c r="C37" s="268"/>
      <c r="D37" s="268"/>
      <c r="E37" s="269"/>
      <c r="F37" s="1377">
        <v>0</v>
      </c>
      <c r="G37" s="1378"/>
      <c r="H37" s="1299"/>
      <c r="I37" s="1301"/>
      <c r="J37" s="1300"/>
      <c r="K37" s="1300"/>
      <c r="L37" s="1299"/>
      <c r="M37" s="1300"/>
      <c r="N37" s="1299">
        <f>SUM(H37,J37,L37)*AN37</f>
        <v>0</v>
      </c>
      <c r="O37" s="1301"/>
      <c r="P37" s="1299"/>
      <c r="Q37" s="1301"/>
      <c r="R37" s="263"/>
      <c r="S37" s="263"/>
      <c r="T37" s="1188"/>
      <c r="U37" s="1188"/>
      <c r="V37" s="1188"/>
      <c r="W37" s="1188"/>
      <c r="X37" s="1188"/>
      <c r="Y37" s="1188"/>
      <c r="Z37" s="1188"/>
      <c r="AA37" s="1188"/>
      <c r="AB37" s="1188"/>
      <c r="AC37" s="1188"/>
      <c r="AD37" s="1188"/>
      <c r="AE37" s="1188"/>
      <c r="AF37" s="263"/>
      <c r="AG37" s="264"/>
      <c r="AH37" s="258"/>
      <c r="AI37" s="258"/>
      <c r="AJ37" s="258"/>
      <c r="AK37" s="258">
        <v>2</v>
      </c>
      <c r="AL37" s="258"/>
      <c r="AM37" s="258">
        <v>1</v>
      </c>
      <c r="AN37" s="265">
        <f>AI37*12.01+AJ37*1.008+AK37*16+AL37*14+AM37*32</f>
        <v>64</v>
      </c>
      <c r="AO37" s="259"/>
      <c r="AP37" s="258"/>
      <c r="AQ37" s="258"/>
      <c r="AR37" s="258"/>
      <c r="AS37" s="258"/>
      <c r="AT37" s="258"/>
      <c r="AU37" s="258"/>
      <c r="AV37" s="238"/>
      <c r="AW37" s="238"/>
      <c r="AX37" s="238"/>
      <c r="AY37" s="238"/>
      <c r="AZ37" s="238"/>
      <c r="BA37" s="239" t="s">
        <v>660</v>
      </c>
      <c r="BB37" s="239">
        <v>0</v>
      </c>
      <c r="BC37" s="239">
        <v>0</v>
      </c>
      <c r="BD37" s="238"/>
      <c r="BE37" s="238"/>
      <c r="BF37" s="238"/>
      <c r="BG37" s="238"/>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row>
    <row r="38" spans="1:90" s="240" customFormat="1" ht="14.25" customHeight="1">
      <c r="A38" s="273" t="s">
        <v>431</v>
      </c>
      <c r="B38" s="274"/>
      <c r="C38" s="274"/>
      <c r="D38" s="274"/>
      <c r="E38" s="274"/>
      <c r="F38" s="1377">
        <f>CO2eEF!P47</f>
        <v>0</v>
      </c>
      <c r="G38" s="1378"/>
      <c r="H38" s="1299"/>
      <c r="I38" s="1301"/>
      <c r="J38" s="1384"/>
      <c r="K38" s="1384"/>
      <c r="L38" s="1382"/>
      <c r="M38" s="1384"/>
      <c r="N38" s="1299">
        <f>SUM(H38,J38,L38)*AN38</f>
        <v>0</v>
      </c>
      <c r="O38" s="1301"/>
      <c r="P38" s="1299"/>
      <c r="Q38" s="1301"/>
      <c r="R38" s="263"/>
      <c r="S38" s="263"/>
      <c r="T38" s="1188"/>
      <c r="U38" s="1188"/>
      <c r="V38" s="1188"/>
      <c r="W38" s="1188"/>
      <c r="X38" s="1188"/>
      <c r="Y38" s="1188"/>
      <c r="Z38" s="1188"/>
      <c r="AA38" s="1188"/>
      <c r="AB38" s="1188"/>
      <c r="AC38" s="1188"/>
      <c r="AD38" s="1188"/>
      <c r="AE38" s="1188"/>
      <c r="AF38" s="263"/>
      <c r="AG38" s="264"/>
      <c r="AH38" s="258"/>
      <c r="AI38" s="258"/>
      <c r="AJ38" s="258">
        <v>2</v>
      </c>
      <c r="AK38" s="258">
        <v>1</v>
      </c>
      <c r="AL38" s="258"/>
      <c r="AM38" s="258"/>
      <c r="AN38" s="265">
        <f>AI38*12.01+AJ38*1.008+AK38*16+AL38*14+AM38*32</f>
        <v>18.015999999999998</v>
      </c>
      <c r="AO38" s="259"/>
      <c r="AP38" s="258"/>
      <c r="AQ38" s="258"/>
      <c r="AR38" s="258"/>
      <c r="AS38" s="258"/>
      <c r="AT38" s="258"/>
      <c r="AU38" s="258"/>
      <c r="AV38" s="238"/>
      <c r="AW38" s="238"/>
      <c r="AX38" s="238"/>
      <c r="AY38" s="238"/>
      <c r="AZ38" s="238"/>
      <c r="BA38" s="239" t="s">
        <v>661</v>
      </c>
      <c r="BB38" s="239">
        <v>0</v>
      </c>
      <c r="BC38" s="239">
        <v>0</v>
      </c>
      <c r="BD38" s="238"/>
      <c r="BE38" s="238"/>
      <c r="BF38" s="238"/>
      <c r="BG38" s="238"/>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row>
    <row r="39" spans="1:90" s="240" customFormat="1" ht="14.25" customHeight="1">
      <c r="A39" s="1391" t="s">
        <v>663</v>
      </c>
      <c r="B39" s="1392"/>
      <c r="C39" s="1392"/>
      <c r="D39" s="1392"/>
      <c r="E39" s="1393"/>
      <c r="F39" s="1394">
        <f>SUM(F18:F38)</f>
        <v>1</v>
      </c>
      <c r="G39" s="1395"/>
      <c r="H39" s="1371">
        <v>6106.1389961389959</v>
      </c>
      <c r="I39" s="1373"/>
      <c r="J39" s="1395">
        <f>SUM(J18:K38)</f>
        <v>16.128215250000004</v>
      </c>
      <c r="K39" s="1395"/>
      <c r="L39" s="1371">
        <v>0</v>
      </c>
      <c r="M39" s="1372"/>
      <c r="N39" s="1394">
        <f>SUM(N18:O38)</f>
        <v>7.5290896646132781</v>
      </c>
      <c r="O39" s="1551"/>
      <c r="P39" s="1552">
        <f>SUM(P19:Q38)</f>
        <v>66.000000000000014</v>
      </c>
      <c r="Q39" s="1553"/>
      <c r="R39" s="275"/>
      <c r="S39" s="275"/>
      <c r="T39" s="30"/>
      <c r="U39" s="30"/>
      <c r="V39" s="276"/>
      <c r="W39" s="276"/>
      <c r="X39" s="30"/>
      <c r="Y39" s="30"/>
      <c r="Z39" s="277"/>
      <c r="AA39" s="277"/>
      <c r="AB39" s="263"/>
      <c r="AC39" s="263"/>
      <c r="AD39" s="30"/>
      <c r="AE39" s="30"/>
      <c r="AF39" s="277"/>
      <c r="AG39" s="278"/>
      <c r="AH39" s="238"/>
      <c r="AI39" s="238"/>
      <c r="AJ39" s="238"/>
      <c r="AK39" s="238"/>
      <c r="AL39" s="238"/>
      <c r="AM39" s="238"/>
      <c r="AN39" s="238"/>
      <c r="AO39" s="238"/>
      <c r="AP39" s="238"/>
      <c r="AQ39" s="238"/>
      <c r="AR39" s="238"/>
      <c r="AS39" s="238"/>
      <c r="AT39" s="238"/>
      <c r="AU39" s="238"/>
      <c r="AV39" s="238"/>
      <c r="AW39" s="238"/>
      <c r="AX39" s="238"/>
      <c r="AY39" s="238"/>
      <c r="AZ39" s="238"/>
      <c r="BA39" s="239" t="s">
        <v>662</v>
      </c>
      <c r="BB39" s="239">
        <v>0</v>
      </c>
      <c r="BC39" s="239">
        <v>0</v>
      </c>
      <c r="BD39" s="238"/>
      <c r="BE39" s="238"/>
      <c r="BF39" s="238"/>
      <c r="BG39" s="238"/>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row>
    <row r="40" spans="1:90" s="240" customFormat="1" ht="14.25" customHeight="1">
      <c r="A40" s="279" t="s">
        <v>749</v>
      </c>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280"/>
      <c r="AH40" s="238"/>
      <c r="AI40" s="238"/>
      <c r="AJ40" s="238"/>
      <c r="AK40" s="281"/>
      <c r="AL40" s="238"/>
      <c r="AM40" s="238"/>
      <c r="AN40" s="238"/>
      <c r="AO40" s="238"/>
      <c r="AP40" s="238"/>
      <c r="AQ40" s="238"/>
      <c r="AR40" s="238"/>
      <c r="AS40" s="238"/>
      <c r="AT40" s="238"/>
      <c r="AU40" s="238"/>
      <c r="AV40" s="238"/>
      <c r="AW40" s="238"/>
      <c r="AX40" s="238"/>
      <c r="AY40" s="238"/>
      <c r="AZ40" s="238"/>
      <c r="BA40" s="239"/>
      <c r="BB40" s="239"/>
      <c r="BC40" s="239"/>
      <c r="BD40" s="238"/>
      <c r="BE40" s="238"/>
      <c r="BF40" s="238"/>
      <c r="BG40" s="238"/>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row>
    <row r="41" spans="1:90" s="240" customFormat="1" ht="14.25" customHeight="1">
      <c r="A41" s="282" t="s">
        <v>31</v>
      </c>
      <c r="B41" s="31" t="s">
        <v>751</v>
      </c>
      <c r="C41" s="30"/>
      <c r="D41" s="30"/>
      <c r="E41" s="30"/>
      <c r="F41" s="30"/>
      <c r="G41" s="30"/>
      <c r="H41" s="30"/>
      <c r="I41" s="30"/>
      <c r="J41" s="30"/>
      <c r="K41" s="30"/>
      <c r="L41" s="30"/>
      <c r="M41" s="30"/>
      <c r="N41" s="283"/>
      <c r="O41" s="283"/>
      <c r="P41" s="283"/>
      <c r="Q41" s="30"/>
      <c r="R41" s="30"/>
      <c r="S41" s="30"/>
      <c r="T41" s="30"/>
      <c r="U41" s="30"/>
      <c r="V41" s="30"/>
      <c r="W41" s="30"/>
      <c r="X41" s="30"/>
      <c r="Y41" s="30"/>
      <c r="Z41" s="30"/>
      <c r="AA41" s="30"/>
      <c r="AB41" s="30"/>
      <c r="AC41" s="30"/>
      <c r="AD41" s="30"/>
      <c r="AE41" s="30"/>
      <c r="AF41" s="30"/>
      <c r="AG41" s="253"/>
      <c r="AH41" s="238"/>
      <c r="AI41" s="238"/>
      <c r="AJ41" s="238"/>
      <c r="AK41" s="238"/>
      <c r="AL41" s="238"/>
      <c r="AM41" s="238"/>
      <c r="AN41" s="238"/>
      <c r="AO41" s="238"/>
      <c r="AP41" s="238"/>
      <c r="AQ41" s="238"/>
      <c r="AR41" s="238"/>
      <c r="AS41" s="238"/>
      <c r="AT41" s="238"/>
      <c r="AU41" s="238"/>
      <c r="AV41" s="238"/>
      <c r="AW41" s="238"/>
      <c r="AX41" s="238"/>
      <c r="AY41" s="238"/>
      <c r="AZ41" s="238"/>
      <c r="BA41" s="239" t="s">
        <v>679</v>
      </c>
      <c r="BB41" s="239">
        <v>0</v>
      </c>
      <c r="BC41" s="239">
        <v>0</v>
      </c>
      <c r="BD41" s="238"/>
      <c r="BE41" s="238"/>
      <c r="BF41" s="238"/>
      <c r="BG41" s="238"/>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row>
    <row r="42" spans="1:90" ht="14.25" customHeight="1">
      <c r="A42" s="282" t="s">
        <v>33</v>
      </c>
      <c r="B42" s="284" t="s">
        <v>726</v>
      </c>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6"/>
      <c r="AH42" s="243"/>
      <c r="AI42" s="243"/>
      <c r="AJ42" s="243"/>
      <c r="AK42" s="243"/>
      <c r="AL42" s="243"/>
      <c r="AM42" s="243"/>
      <c r="AN42" s="243"/>
      <c r="AO42" s="243"/>
      <c r="AP42" s="243"/>
      <c r="AQ42" s="243"/>
      <c r="AR42" s="243"/>
      <c r="AS42" s="243"/>
      <c r="AT42" s="243"/>
      <c r="AU42" s="243"/>
      <c r="AV42" s="243"/>
      <c r="AW42" s="243"/>
      <c r="AX42" s="243"/>
      <c r="AY42" s="243"/>
      <c r="AZ42" s="243"/>
      <c r="BA42" s="246" t="s">
        <v>681</v>
      </c>
      <c r="BB42" s="246">
        <v>0</v>
      </c>
      <c r="BC42" s="246">
        <v>0</v>
      </c>
      <c r="BD42" s="243"/>
      <c r="BE42" s="243"/>
      <c r="BF42" s="243"/>
      <c r="BG42" s="243"/>
      <c r="BH42" s="243"/>
      <c r="BI42" s="243"/>
      <c r="BJ42" s="243"/>
      <c r="BK42" s="243"/>
      <c r="BL42" s="243"/>
      <c r="BM42" s="243"/>
      <c r="BN42" s="243"/>
      <c r="BO42" s="243"/>
      <c r="BP42" s="243"/>
      <c r="BQ42" s="243"/>
      <c r="BR42" s="243"/>
      <c r="BS42" s="243"/>
      <c r="BT42" s="243"/>
      <c r="BU42" s="243"/>
      <c r="BV42" s="243"/>
      <c r="BW42" s="243"/>
      <c r="BX42" s="243"/>
      <c r="BY42" s="243"/>
      <c r="BZ42" s="243"/>
      <c r="CA42" s="243"/>
      <c r="CB42" s="243"/>
      <c r="CC42" s="243"/>
      <c r="CD42" s="243"/>
      <c r="CE42" s="243"/>
      <c r="CF42" s="243"/>
      <c r="CG42" s="243"/>
      <c r="CH42" s="243"/>
      <c r="CI42" s="243"/>
      <c r="CJ42" s="243"/>
      <c r="CK42" s="243"/>
      <c r="CL42" s="243"/>
    </row>
    <row r="43" spans="1:90" ht="14.25" customHeight="1">
      <c r="A43" s="282" t="s">
        <v>752</v>
      </c>
      <c r="B43" s="284"/>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5"/>
      <c r="AA43" s="285"/>
      <c r="AB43" s="285"/>
      <c r="AC43" s="285"/>
      <c r="AD43" s="285"/>
      <c r="AE43" s="285"/>
      <c r="AF43" s="285"/>
      <c r="AG43" s="286"/>
      <c r="AH43" s="243"/>
      <c r="AI43" s="243"/>
      <c r="AJ43" s="243"/>
      <c r="AK43" s="243"/>
      <c r="AL43" s="243"/>
      <c r="AM43" s="243"/>
      <c r="AN43" s="243"/>
      <c r="AO43" s="243"/>
      <c r="AP43" s="243"/>
      <c r="AQ43" s="243"/>
      <c r="AR43" s="243"/>
      <c r="AS43" s="243"/>
      <c r="AT43" s="243"/>
      <c r="AU43" s="243"/>
      <c r="AV43" s="243"/>
      <c r="AW43" s="243"/>
      <c r="AX43" s="243"/>
      <c r="AY43" s="243"/>
      <c r="AZ43" s="243"/>
      <c r="BA43" s="246" t="s">
        <v>684</v>
      </c>
      <c r="BB43" s="246">
        <v>0</v>
      </c>
      <c r="BC43" s="246">
        <v>0</v>
      </c>
      <c r="BD43" s="243"/>
      <c r="BE43" s="243"/>
      <c r="BF43" s="243"/>
      <c r="BG43" s="243"/>
      <c r="BH43" s="243"/>
      <c r="BI43" s="243"/>
      <c r="BJ43" s="243"/>
      <c r="BK43" s="243"/>
      <c r="BL43" s="243"/>
      <c r="BM43" s="243"/>
      <c r="BN43" s="243"/>
      <c r="BO43" s="243"/>
      <c r="BP43" s="243"/>
      <c r="BQ43" s="243"/>
      <c r="BR43" s="243"/>
      <c r="BS43" s="243"/>
      <c r="BT43" s="243"/>
      <c r="BU43" s="243"/>
      <c r="BV43" s="243"/>
      <c r="BW43" s="243"/>
      <c r="BX43" s="243"/>
      <c r="BY43" s="243"/>
      <c r="BZ43" s="243"/>
      <c r="CA43" s="243"/>
      <c r="CB43" s="243"/>
      <c r="CC43" s="243"/>
      <c r="CD43" s="243"/>
      <c r="CE43" s="243"/>
      <c r="CF43" s="243"/>
      <c r="CG43" s="243"/>
      <c r="CH43" s="243"/>
      <c r="CI43" s="243"/>
      <c r="CJ43" s="243"/>
      <c r="CK43" s="243"/>
      <c r="CL43" s="243"/>
    </row>
    <row r="44" spans="1:90" ht="14.25">
      <c r="A44" s="282" t="s">
        <v>38</v>
      </c>
      <c r="B44" s="284"/>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6"/>
      <c r="AH44" s="243"/>
      <c r="AI44" s="243"/>
      <c r="AJ44" s="243"/>
      <c r="AK44" s="243"/>
      <c r="AL44" s="243"/>
      <c r="AM44" s="243"/>
      <c r="AN44" s="243"/>
      <c r="AO44" s="243"/>
      <c r="AP44" s="243"/>
      <c r="AQ44" s="243"/>
      <c r="AR44" s="243"/>
      <c r="AS44" s="243"/>
      <c r="AT44" s="243"/>
      <c r="AU44" s="243"/>
      <c r="AV44" s="243"/>
      <c r="AW44" s="243"/>
      <c r="AX44" s="243"/>
      <c r="AY44" s="243"/>
      <c r="AZ44" s="243"/>
      <c r="BA44" s="246"/>
      <c r="BB44" s="246"/>
      <c r="BC44" s="246"/>
      <c r="BD44" s="243"/>
      <c r="BE44" s="243"/>
      <c r="BF44" s="243"/>
      <c r="BG44" s="243"/>
      <c r="BH44" s="243"/>
      <c r="BI44" s="243"/>
      <c r="BJ44" s="243"/>
      <c r="BK44" s="243"/>
      <c r="BL44" s="243"/>
      <c r="BM44" s="243"/>
      <c r="BN44" s="243"/>
      <c r="BO44" s="243"/>
      <c r="BP44" s="243"/>
      <c r="BQ44" s="243"/>
      <c r="BR44" s="243"/>
      <c r="BS44" s="243"/>
      <c r="BT44" s="243"/>
      <c r="BU44" s="243"/>
      <c r="BV44" s="243"/>
      <c r="BW44" s="243"/>
      <c r="BX44" s="243"/>
      <c r="BY44" s="243"/>
      <c r="BZ44" s="243"/>
      <c r="CA44" s="243"/>
      <c r="CB44" s="243"/>
      <c r="CC44" s="243"/>
      <c r="CD44" s="243"/>
      <c r="CE44" s="243"/>
      <c r="CF44" s="243"/>
      <c r="CG44" s="243"/>
      <c r="CH44" s="243"/>
      <c r="CI44" s="243"/>
      <c r="CJ44" s="243"/>
      <c r="CK44" s="243"/>
      <c r="CL44" s="243"/>
    </row>
    <row r="45" spans="1:90" ht="14.25">
      <c r="A45" s="282" t="s">
        <v>41</v>
      </c>
      <c r="B45" s="284"/>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43"/>
      <c r="AI45" s="243"/>
      <c r="AJ45" s="243"/>
      <c r="AK45" s="243"/>
      <c r="AL45" s="243"/>
      <c r="AM45" s="243"/>
      <c r="AN45" s="243"/>
      <c r="AO45" s="243"/>
      <c r="AP45" s="243"/>
      <c r="AQ45" s="243"/>
      <c r="AR45" s="243"/>
      <c r="AS45" s="243"/>
      <c r="AT45" s="243"/>
      <c r="AU45" s="243"/>
      <c r="AV45" s="243"/>
      <c r="AW45" s="243"/>
      <c r="AX45" s="243"/>
      <c r="AY45" s="243"/>
      <c r="AZ45" s="243"/>
      <c r="BA45" s="246" t="s">
        <v>688</v>
      </c>
      <c r="BB45" s="246">
        <v>0</v>
      </c>
      <c r="BC45" s="246">
        <v>0</v>
      </c>
      <c r="BD45" s="243"/>
      <c r="BE45" s="243"/>
      <c r="BF45" s="243"/>
      <c r="BG45" s="243"/>
      <c r="BH45" s="243"/>
      <c r="BI45" s="243"/>
      <c r="BJ45" s="243"/>
      <c r="BK45" s="243"/>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row>
    <row r="46" spans="1:90">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288"/>
      <c r="AF46" s="288"/>
      <c r="AG46" s="289"/>
      <c r="AH46" s="289"/>
      <c r="AI46" s="289"/>
      <c r="AJ46" s="289"/>
      <c r="AK46" s="289"/>
      <c r="AL46" s="289"/>
      <c r="AM46" s="289"/>
      <c r="AN46" s="243"/>
      <c r="AO46" s="243"/>
      <c r="AP46" s="243"/>
      <c r="AQ46" s="243"/>
      <c r="AR46" s="243"/>
      <c r="AS46" s="243"/>
      <c r="AT46" s="243"/>
      <c r="AU46" s="243"/>
      <c r="AV46" s="243"/>
      <c r="AW46" s="243"/>
      <c r="AX46" s="243"/>
      <c r="AY46" s="243"/>
      <c r="AZ46" s="243"/>
      <c r="BA46" s="246" t="s">
        <v>690</v>
      </c>
      <c r="BB46" s="246">
        <v>2.9999999999999997E-4</v>
      </c>
      <c r="BC46" s="246">
        <v>0</v>
      </c>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row>
    <row r="47" spans="1:90">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9"/>
      <c r="AH47" s="289"/>
      <c r="AI47" s="289"/>
      <c r="AJ47" s="289"/>
      <c r="AK47" s="289"/>
      <c r="AL47" s="289"/>
      <c r="AM47" s="289"/>
      <c r="AN47" s="243"/>
      <c r="AO47" s="243"/>
      <c r="AP47" s="243"/>
      <c r="AQ47" s="243"/>
      <c r="AR47" s="243"/>
      <c r="AS47" s="243"/>
      <c r="AT47" s="243"/>
      <c r="AU47" s="243"/>
      <c r="AV47" s="243"/>
      <c r="AW47" s="243"/>
      <c r="AX47" s="243"/>
      <c r="AY47" s="243"/>
      <c r="AZ47" s="243"/>
      <c r="BA47" s="246" t="s">
        <v>691</v>
      </c>
      <c r="BB47" s="246">
        <v>0</v>
      </c>
      <c r="BC47" s="246">
        <v>0</v>
      </c>
      <c r="BD47" s="243"/>
      <c r="BE47" s="243"/>
      <c r="BF47" s="243"/>
      <c r="BG47" s="243"/>
      <c r="BH47" s="243"/>
      <c r="BI47" s="243"/>
      <c r="BJ47" s="243"/>
      <c r="BK47" s="243"/>
      <c r="BL47" s="243"/>
      <c r="BM47" s="243"/>
      <c r="BN47" s="243"/>
      <c r="BO47" s="243"/>
      <c r="BP47" s="243"/>
      <c r="BQ47" s="243"/>
      <c r="BR47" s="243"/>
      <c r="BS47" s="243"/>
      <c r="BT47" s="243"/>
      <c r="BU47" s="243"/>
      <c r="BV47" s="243"/>
      <c r="BW47" s="243"/>
      <c r="BX47" s="243"/>
      <c r="BY47" s="243"/>
      <c r="BZ47" s="243"/>
      <c r="CA47" s="243"/>
      <c r="CB47" s="243"/>
      <c r="CC47" s="243"/>
      <c r="CD47" s="243"/>
      <c r="CE47" s="243"/>
      <c r="CF47" s="243"/>
      <c r="CG47" s="243"/>
      <c r="CH47" s="243"/>
      <c r="CI47" s="243"/>
      <c r="CJ47" s="243"/>
      <c r="CK47" s="243"/>
      <c r="CL47" s="243"/>
    </row>
    <row r="48" spans="1:90">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9"/>
      <c r="AH48" s="289"/>
      <c r="AI48" s="289"/>
      <c r="AJ48" s="289"/>
      <c r="AK48" s="289"/>
      <c r="AL48" s="289"/>
      <c r="AM48" s="289"/>
      <c r="AN48" s="243"/>
      <c r="AO48" s="243"/>
      <c r="AP48" s="243"/>
      <c r="AQ48" s="243"/>
      <c r="AR48" s="243"/>
      <c r="AS48" s="243"/>
      <c r="AT48" s="243"/>
      <c r="AU48" s="243"/>
      <c r="AV48" s="243"/>
      <c r="AW48" s="243"/>
      <c r="AX48" s="243"/>
      <c r="AY48" s="243"/>
      <c r="AZ48" s="243"/>
      <c r="BA48" s="246" t="s">
        <v>692</v>
      </c>
      <c r="BB48" s="246">
        <v>0</v>
      </c>
      <c r="BC48" s="246">
        <v>0</v>
      </c>
      <c r="BD48" s="243"/>
      <c r="BE48" s="243"/>
      <c r="BF48" s="243"/>
      <c r="BG48" s="243"/>
      <c r="BH48" s="243"/>
      <c r="BI48" s="243"/>
      <c r="BJ48" s="243"/>
      <c r="BK48" s="243"/>
      <c r="BL48" s="243"/>
      <c r="BM48" s="243"/>
      <c r="BN48" s="243"/>
      <c r="BO48" s="243"/>
      <c r="BP48" s="243"/>
      <c r="BQ48" s="243"/>
      <c r="BR48" s="243"/>
      <c r="BS48" s="243"/>
      <c r="BT48" s="243"/>
      <c r="BU48" s="243"/>
      <c r="BV48" s="243"/>
      <c r="BW48" s="243"/>
      <c r="BX48" s="243"/>
      <c r="BY48" s="243"/>
      <c r="BZ48" s="243"/>
      <c r="CA48" s="243"/>
      <c r="CB48" s="243"/>
      <c r="CC48" s="243"/>
      <c r="CD48" s="243"/>
      <c r="CE48" s="243"/>
      <c r="CF48" s="243"/>
      <c r="CG48" s="243"/>
      <c r="CH48" s="243"/>
      <c r="CI48" s="243"/>
      <c r="CJ48" s="243"/>
      <c r="CK48" s="243"/>
      <c r="CL48" s="243"/>
    </row>
    <row r="49" spans="1:90">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9"/>
      <c r="AH49" s="289"/>
      <c r="AI49" s="289"/>
      <c r="AJ49" s="289"/>
      <c r="AK49" s="289"/>
      <c r="AL49" s="289"/>
      <c r="AM49" s="289"/>
      <c r="AN49" s="243"/>
      <c r="AO49" s="243"/>
      <c r="AP49" s="243"/>
      <c r="AQ49" s="243"/>
      <c r="AR49" s="243"/>
      <c r="AS49" s="243"/>
      <c r="AT49" s="243"/>
      <c r="AU49" s="243"/>
      <c r="AV49" s="243"/>
      <c r="AW49" s="243"/>
      <c r="AX49" s="243"/>
      <c r="AY49" s="243"/>
      <c r="AZ49" s="243"/>
      <c r="BA49" s="246" t="s">
        <v>693</v>
      </c>
      <c r="BB49" s="246">
        <v>0</v>
      </c>
      <c r="BC49" s="246">
        <v>0</v>
      </c>
      <c r="BD49" s="243"/>
      <c r="BE49" s="243"/>
      <c r="BF49" s="243"/>
      <c r="BG49" s="243"/>
      <c r="BH49" s="243"/>
      <c r="BI49" s="243"/>
      <c r="BJ49" s="243"/>
      <c r="BK49" s="243"/>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row>
    <row r="50" spans="1:90">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9"/>
      <c r="AH50" s="289"/>
      <c r="AI50" s="289"/>
      <c r="AJ50" s="289"/>
      <c r="AK50" s="289"/>
      <c r="AL50" s="289"/>
      <c r="AM50" s="289"/>
      <c r="AN50" s="243"/>
      <c r="AO50" s="243"/>
      <c r="AP50" s="243"/>
      <c r="AQ50" s="243"/>
      <c r="AR50" s="243"/>
      <c r="AS50" s="243"/>
      <c r="AT50" s="243"/>
      <c r="AU50" s="243"/>
      <c r="AV50" s="243"/>
      <c r="AW50" s="243"/>
      <c r="AX50" s="243"/>
      <c r="AY50" s="243"/>
      <c r="AZ50" s="243"/>
      <c r="BA50" s="246" t="s">
        <v>694</v>
      </c>
      <c r="BB50" s="246">
        <v>0</v>
      </c>
      <c r="BC50" s="246">
        <v>0</v>
      </c>
      <c r="BD50" s="243"/>
      <c r="BE50" s="243"/>
      <c r="BF50" s="243"/>
      <c r="BG50" s="243"/>
      <c r="BH50" s="243"/>
      <c r="BI50" s="243"/>
      <c r="BJ50" s="243"/>
      <c r="BK50" s="243"/>
      <c r="BL50" s="243"/>
      <c r="BM50" s="243"/>
      <c r="BN50" s="243"/>
      <c r="BO50" s="243"/>
      <c r="BP50" s="243"/>
      <c r="BQ50" s="243"/>
      <c r="BR50" s="243"/>
      <c r="BS50" s="243"/>
      <c r="BT50" s="243"/>
      <c r="BU50" s="243"/>
      <c r="BV50" s="243"/>
      <c r="BW50" s="243"/>
      <c r="BX50" s="243"/>
      <c r="BY50" s="243"/>
      <c r="BZ50" s="243"/>
      <c r="CA50" s="243"/>
      <c r="CB50" s="243"/>
      <c r="CC50" s="243"/>
      <c r="CD50" s="243"/>
      <c r="CE50" s="243"/>
      <c r="CF50" s="243"/>
      <c r="CG50" s="243"/>
      <c r="CH50" s="243"/>
      <c r="CI50" s="243"/>
      <c r="CJ50" s="243"/>
      <c r="CK50" s="243"/>
      <c r="CL50" s="243"/>
    </row>
    <row r="51" spans="1:90">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9"/>
      <c r="AH51" s="289"/>
      <c r="AI51" s="289"/>
      <c r="AJ51" s="289"/>
      <c r="AK51" s="289"/>
      <c r="AL51" s="289"/>
      <c r="AM51" s="289"/>
      <c r="AN51" s="243"/>
      <c r="AO51" s="243"/>
      <c r="AP51" s="243"/>
      <c r="AQ51" s="243"/>
      <c r="AR51" s="243"/>
      <c r="AS51" s="243"/>
      <c r="AT51" s="243"/>
      <c r="AU51" s="243"/>
      <c r="AV51" s="243"/>
      <c r="AW51" s="243"/>
      <c r="AX51" s="243"/>
      <c r="AY51" s="243"/>
      <c r="AZ51" s="243"/>
      <c r="BA51" s="246" t="s">
        <v>695</v>
      </c>
      <c r="BB51" s="246">
        <v>0</v>
      </c>
      <c r="BC51" s="246">
        <v>0</v>
      </c>
      <c r="BD51" s="243"/>
      <c r="BE51" s="243"/>
      <c r="BF51" s="243"/>
      <c r="BG51" s="243"/>
      <c r="BH51" s="243"/>
      <c r="BI51" s="243"/>
      <c r="BJ51" s="243"/>
      <c r="BK51" s="243"/>
      <c r="BL51" s="243"/>
      <c r="BM51" s="243"/>
      <c r="BN51" s="243"/>
      <c r="BO51" s="243"/>
      <c r="BP51" s="243"/>
      <c r="BQ51" s="243"/>
      <c r="BR51" s="243"/>
      <c r="BS51" s="243"/>
      <c r="BT51" s="243"/>
      <c r="BU51" s="243"/>
      <c r="BV51" s="243"/>
      <c r="BW51" s="243"/>
      <c r="BX51" s="243"/>
      <c r="BY51" s="243"/>
      <c r="BZ51" s="243"/>
      <c r="CA51" s="243"/>
      <c r="CB51" s="243"/>
      <c r="CC51" s="243"/>
      <c r="CD51" s="243"/>
      <c r="CE51" s="243"/>
      <c r="CF51" s="243"/>
      <c r="CG51" s="243"/>
      <c r="CH51" s="243"/>
      <c r="CI51" s="243"/>
      <c r="CJ51" s="243"/>
      <c r="CK51" s="243"/>
      <c r="CL51" s="243"/>
    </row>
    <row r="52" spans="1:90">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9"/>
      <c r="AH52" s="289"/>
      <c r="AI52" s="289"/>
      <c r="AJ52" s="289"/>
      <c r="AK52" s="289"/>
      <c r="AL52" s="289"/>
      <c r="AM52" s="289"/>
      <c r="AN52" s="243"/>
      <c r="AO52" s="243"/>
      <c r="AP52" s="243"/>
      <c r="AQ52" s="243"/>
      <c r="AR52" s="243"/>
      <c r="AS52" s="243"/>
      <c r="AT52" s="243"/>
      <c r="AU52" s="243"/>
      <c r="AV52" s="243"/>
      <c r="AW52" s="243"/>
      <c r="AX52" s="243"/>
      <c r="AY52" s="243"/>
      <c r="AZ52" s="243"/>
      <c r="BA52" s="246" t="s">
        <v>696</v>
      </c>
      <c r="BB52" s="246">
        <v>0</v>
      </c>
      <c r="BC52" s="246">
        <v>0</v>
      </c>
      <c r="BD52" s="243"/>
      <c r="BE52" s="243"/>
      <c r="BF52" s="243"/>
      <c r="BG52" s="243"/>
      <c r="BH52" s="243"/>
      <c r="BI52" s="243"/>
      <c r="BJ52" s="243"/>
      <c r="BK52" s="243"/>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row>
    <row r="53" spans="1:90" s="290" customFormat="1">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9"/>
      <c r="AH53" s="289"/>
      <c r="AI53" s="289"/>
      <c r="AJ53" s="289"/>
      <c r="AK53" s="289"/>
      <c r="AL53" s="289"/>
      <c r="AM53" s="289"/>
      <c r="AN53" s="243"/>
      <c r="AO53" s="243"/>
      <c r="AP53" s="243"/>
      <c r="AQ53" s="243"/>
      <c r="AR53" s="243"/>
      <c r="AS53" s="243"/>
      <c r="AT53" s="243"/>
      <c r="AU53" s="243"/>
      <c r="AV53" s="243"/>
      <c r="AW53" s="243"/>
      <c r="AX53" s="243"/>
      <c r="AY53" s="243"/>
      <c r="AZ53" s="243"/>
      <c r="BA53" s="246" t="s">
        <v>697</v>
      </c>
      <c r="BB53" s="246">
        <v>0</v>
      </c>
      <c r="BC53" s="246">
        <v>0</v>
      </c>
      <c r="BD53" s="243"/>
      <c r="BE53" s="243"/>
      <c r="BF53" s="243"/>
      <c r="BG53" s="243"/>
      <c r="BH53" s="243"/>
      <c r="BI53" s="243"/>
      <c r="BJ53" s="243"/>
      <c r="BK53" s="243"/>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row>
    <row r="54" spans="1:90" s="290" customFormat="1">
      <c r="A54" s="288"/>
      <c r="B54" s="288"/>
      <c r="C54" s="288"/>
      <c r="D54" s="288"/>
      <c r="E54" s="288"/>
      <c r="F54" s="288"/>
      <c r="G54" s="288"/>
      <c r="H54" s="288"/>
      <c r="I54" s="288"/>
      <c r="J54" s="288"/>
      <c r="K54" s="288"/>
      <c r="L54" s="288"/>
      <c r="M54" s="288"/>
      <c r="N54" s="288"/>
      <c r="O54" s="263"/>
      <c r="P54" s="288"/>
      <c r="Q54" s="288"/>
      <c r="R54" s="288"/>
      <c r="S54" s="288"/>
      <c r="T54" s="288"/>
      <c r="U54" s="288"/>
      <c r="V54" s="288"/>
      <c r="W54" s="288"/>
      <c r="X54" s="288"/>
      <c r="Y54" s="288"/>
      <c r="Z54" s="288"/>
      <c r="AA54" s="288"/>
      <c r="AB54" s="288"/>
      <c r="AC54" s="288"/>
      <c r="AD54" s="288"/>
      <c r="AE54" s="288"/>
      <c r="AF54" s="288"/>
      <c r="AG54" s="289"/>
      <c r="AH54" s="289"/>
      <c r="AI54" s="289"/>
      <c r="AJ54" s="289"/>
      <c r="AK54" s="289"/>
      <c r="AL54" s="289"/>
      <c r="AM54" s="289"/>
      <c r="AN54" s="243"/>
      <c r="AO54" s="243"/>
      <c r="AP54" s="243"/>
      <c r="AQ54" s="243"/>
      <c r="AR54" s="243"/>
      <c r="AS54" s="243"/>
      <c r="AT54" s="243"/>
      <c r="AU54" s="243"/>
      <c r="AV54" s="243"/>
      <c r="AW54" s="243"/>
      <c r="AX54" s="243"/>
      <c r="AY54" s="243"/>
      <c r="AZ54" s="243"/>
      <c r="BA54" s="246" t="s">
        <v>431</v>
      </c>
      <c r="BB54" s="246">
        <v>1E-4</v>
      </c>
      <c r="BC54" s="246">
        <v>0.17530000000000001</v>
      </c>
      <c r="BD54" s="243"/>
      <c r="BE54" s="243"/>
      <c r="BF54" s="243"/>
      <c r="BG54" s="243"/>
      <c r="BH54" s="243"/>
      <c r="BI54" s="243"/>
      <c r="BJ54" s="243"/>
      <c r="BK54" s="243"/>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row>
    <row r="55" spans="1:90" s="290" customFormat="1">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9"/>
      <c r="AH55" s="289"/>
      <c r="AI55" s="289"/>
      <c r="AJ55" s="289"/>
      <c r="AK55" s="289"/>
      <c r="AL55" s="289"/>
      <c r="AM55" s="289"/>
      <c r="AN55" s="243"/>
      <c r="AO55" s="243"/>
      <c r="AP55" s="243"/>
      <c r="AQ55" s="243"/>
      <c r="AR55" s="243"/>
      <c r="AS55" s="243"/>
      <c r="AT55" s="243"/>
      <c r="AU55" s="243"/>
      <c r="AV55" s="243"/>
      <c r="AW55" s="243"/>
      <c r="AX55" s="243"/>
      <c r="AY55" s="243"/>
      <c r="AZ55" s="243"/>
      <c r="BA55" s="243"/>
      <c r="BB55" s="246"/>
      <c r="BC55" s="246"/>
      <c r="BD55" s="243"/>
      <c r="BE55" s="243"/>
      <c r="BF55" s="243"/>
      <c r="BG55" s="243"/>
      <c r="BH55" s="243"/>
      <c r="BI55" s="243"/>
      <c r="BJ55" s="243"/>
      <c r="BK55" s="243"/>
      <c r="BL55" s="243"/>
      <c r="BM55" s="243"/>
      <c r="BN55" s="243"/>
      <c r="BO55" s="243"/>
      <c r="BP55" s="243"/>
      <c r="BQ55" s="243"/>
      <c r="BR55" s="243"/>
      <c r="BS55" s="243"/>
      <c r="BT55" s="243"/>
      <c r="BU55" s="243"/>
      <c r="BV55" s="243"/>
      <c r="BW55" s="243"/>
      <c r="BX55" s="243"/>
      <c r="BY55" s="243"/>
      <c r="BZ55" s="243"/>
      <c r="CA55" s="243"/>
      <c r="CB55" s="243"/>
      <c r="CC55" s="243"/>
      <c r="CD55" s="243"/>
      <c r="CE55" s="243"/>
      <c r="CF55" s="243"/>
      <c r="CG55" s="243"/>
      <c r="CH55" s="243"/>
      <c r="CI55" s="243"/>
      <c r="CJ55" s="243"/>
      <c r="CK55" s="243"/>
      <c r="CL55" s="243"/>
    </row>
    <row r="56" spans="1:90" s="290" customFormat="1">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9"/>
      <c r="AH56" s="289"/>
      <c r="AI56" s="289"/>
      <c r="AJ56" s="289"/>
      <c r="AK56" s="289"/>
      <c r="AL56" s="289"/>
      <c r="AM56" s="289"/>
      <c r="AN56" s="243"/>
      <c r="AO56" s="243"/>
      <c r="AP56" s="243"/>
      <c r="AQ56" s="243"/>
      <c r="AR56" s="243"/>
      <c r="AS56" s="243"/>
      <c r="AT56" s="243"/>
      <c r="AU56" s="243"/>
      <c r="AV56" s="243"/>
      <c r="AW56" s="243"/>
      <c r="AX56" s="243"/>
      <c r="AY56" s="243"/>
      <c r="AZ56" s="243"/>
      <c r="BA56" s="243"/>
      <c r="BB56" s="246"/>
      <c r="BC56" s="246"/>
      <c r="BD56" s="243"/>
      <c r="BE56" s="243"/>
      <c r="BF56" s="243"/>
      <c r="BG56" s="243"/>
      <c r="BH56" s="243"/>
      <c r="BI56" s="243"/>
      <c r="BJ56" s="243"/>
      <c r="BK56" s="243"/>
      <c r="BL56" s="243"/>
      <c r="BM56" s="243"/>
      <c r="BN56" s="243"/>
      <c r="BO56" s="243"/>
      <c r="BP56" s="243"/>
      <c r="BQ56" s="243"/>
      <c r="BR56" s="243"/>
      <c r="BS56" s="243"/>
      <c r="BT56" s="243"/>
      <c r="BU56" s="243"/>
      <c r="BV56" s="243"/>
      <c r="BW56" s="243"/>
      <c r="BX56" s="243"/>
      <c r="BY56" s="243"/>
      <c r="BZ56" s="243"/>
      <c r="CA56" s="243"/>
      <c r="CB56" s="243"/>
      <c r="CC56" s="243"/>
      <c r="CD56" s="243"/>
      <c r="CE56" s="243"/>
      <c r="CF56" s="243"/>
      <c r="CG56" s="243"/>
      <c r="CH56" s="243"/>
      <c r="CI56" s="243"/>
      <c r="CJ56" s="243"/>
      <c r="CK56" s="243"/>
      <c r="CL56" s="243"/>
    </row>
    <row r="57" spans="1:90" s="290" customFormat="1">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88"/>
      <c r="AE57" s="288"/>
      <c r="AF57" s="288"/>
      <c r="AG57" s="289"/>
      <c r="AH57" s="289"/>
      <c r="AI57" s="289"/>
      <c r="AJ57" s="289"/>
      <c r="AK57" s="289"/>
      <c r="AL57" s="289"/>
      <c r="AM57" s="289"/>
      <c r="AN57" s="243"/>
      <c r="AO57" s="243"/>
      <c r="AP57" s="243"/>
      <c r="AQ57" s="243"/>
      <c r="AR57" s="243"/>
      <c r="AS57" s="243"/>
      <c r="AT57" s="243"/>
      <c r="AU57" s="243"/>
      <c r="AV57" s="243"/>
      <c r="AW57" s="243"/>
      <c r="AX57" s="243"/>
      <c r="AY57" s="243"/>
      <c r="AZ57" s="243"/>
      <c r="BA57" s="243"/>
      <c r="BB57" s="246"/>
      <c r="BC57" s="246"/>
      <c r="BD57" s="243"/>
      <c r="BE57" s="243"/>
      <c r="BF57" s="243"/>
      <c r="BG57" s="243"/>
      <c r="BH57" s="243"/>
      <c r="BI57" s="243"/>
      <c r="BJ57" s="243"/>
      <c r="BK57" s="243"/>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row>
    <row r="58" spans="1:90" s="290" customFormat="1">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9"/>
      <c r="AH58" s="289"/>
      <c r="AI58" s="289"/>
      <c r="AJ58" s="289"/>
      <c r="AK58" s="289"/>
      <c r="AL58" s="289"/>
      <c r="AM58" s="289"/>
      <c r="AN58" s="243"/>
      <c r="AO58" s="243"/>
      <c r="AP58" s="243"/>
      <c r="AQ58" s="243"/>
      <c r="AR58" s="243"/>
      <c r="AS58" s="243"/>
      <c r="AT58" s="243"/>
      <c r="AU58" s="243"/>
      <c r="AV58" s="243"/>
      <c r="AW58" s="243"/>
      <c r="AX58" s="243"/>
      <c r="AY58" s="243"/>
      <c r="AZ58" s="243"/>
      <c r="BA58" s="243"/>
      <c r="BB58" s="246"/>
      <c r="BC58" s="246"/>
      <c r="BD58" s="243"/>
      <c r="BE58" s="243"/>
      <c r="BF58" s="243"/>
      <c r="BG58" s="243"/>
      <c r="BH58" s="243"/>
      <c r="BI58" s="243"/>
      <c r="BJ58" s="243"/>
      <c r="BK58" s="243"/>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row>
    <row r="59" spans="1:90" s="290" customFormat="1">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9"/>
      <c r="AH59" s="289"/>
      <c r="AI59" s="289"/>
      <c r="AJ59" s="289"/>
      <c r="AK59" s="289"/>
      <c r="AL59" s="289"/>
      <c r="AM59" s="289"/>
      <c r="AN59" s="243"/>
      <c r="AO59" s="243"/>
      <c r="AP59" s="243"/>
      <c r="AQ59" s="243"/>
      <c r="AR59" s="243"/>
      <c r="AS59" s="243"/>
      <c r="AT59" s="243"/>
      <c r="AU59" s="243"/>
      <c r="AV59" s="243"/>
      <c r="AW59" s="243"/>
      <c r="AX59" s="243"/>
      <c r="AY59" s="243"/>
      <c r="AZ59" s="243"/>
      <c r="BA59" s="243"/>
      <c r="BB59" s="246"/>
      <c r="BC59" s="246"/>
      <c r="BD59" s="243"/>
      <c r="BE59" s="243"/>
      <c r="BF59" s="243"/>
      <c r="BG59" s="243"/>
      <c r="BH59" s="243"/>
      <c r="BI59" s="243"/>
      <c r="BJ59" s="243"/>
      <c r="BK59" s="243"/>
      <c r="BL59" s="243"/>
      <c r="BM59" s="243"/>
      <c r="BN59" s="243"/>
      <c r="BO59" s="243"/>
      <c r="BP59" s="243"/>
      <c r="BQ59" s="243"/>
      <c r="BR59" s="243"/>
      <c r="BS59" s="243"/>
      <c r="BT59" s="243"/>
      <c r="BU59" s="243"/>
      <c r="BV59" s="243"/>
      <c r="BW59" s="243"/>
      <c r="BX59" s="243"/>
      <c r="BY59" s="243"/>
      <c r="BZ59" s="243"/>
      <c r="CA59" s="243"/>
      <c r="CB59" s="243"/>
      <c r="CC59" s="243"/>
      <c r="CD59" s="243"/>
      <c r="CE59" s="243"/>
      <c r="CF59" s="243"/>
      <c r="CG59" s="243"/>
      <c r="CH59" s="243"/>
      <c r="CI59" s="243"/>
      <c r="CJ59" s="243"/>
      <c r="CK59" s="243"/>
      <c r="CL59" s="243"/>
    </row>
    <row r="60" spans="1:90" s="290" customFormat="1">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9"/>
      <c r="AH60" s="289"/>
      <c r="AI60" s="289"/>
      <c r="AJ60" s="289"/>
      <c r="AK60" s="289"/>
      <c r="AL60" s="289"/>
      <c r="AM60" s="289"/>
      <c r="AN60" s="243"/>
      <c r="AO60" s="243"/>
      <c r="AP60" s="243"/>
      <c r="AQ60" s="243"/>
      <c r="AR60" s="243"/>
      <c r="AS60" s="243"/>
      <c r="AT60" s="243"/>
      <c r="AU60" s="243"/>
      <c r="AV60" s="243"/>
      <c r="AW60" s="243"/>
      <c r="AX60" s="243"/>
      <c r="AY60" s="243"/>
      <c r="AZ60" s="243"/>
      <c r="BA60" s="243"/>
      <c r="BB60" s="246"/>
      <c r="BC60" s="246"/>
      <c r="BD60" s="243"/>
      <c r="BE60" s="243"/>
      <c r="BF60" s="243"/>
      <c r="BG60" s="243"/>
      <c r="BH60" s="243"/>
      <c r="BI60" s="243"/>
      <c r="BJ60" s="243"/>
      <c r="BK60" s="243"/>
      <c r="BL60" s="243"/>
      <c r="BM60" s="243"/>
      <c r="BN60" s="243"/>
      <c r="BO60" s="243"/>
      <c r="BP60" s="243"/>
      <c r="BQ60" s="243"/>
      <c r="BR60" s="243"/>
      <c r="BS60" s="243"/>
      <c r="BT60" s="243"/>
      <c r="BU60" s="243"/>
      <c r="BV60" s="243"/>
      <c r="BW60" s="243"/>
      <c r="BX60" s="243"/>
      <c r="BY60" s="243"/>
      <c r="BZ60" s="243"/>
      <c r="CA60" s="243"/>
      <c r="CB60" s="243"/>
      <c r="CC60" s="243"/>
      <c r="CD60" s="243"/>
      <c r="CE60" s="243"/>
      <c r="CF60" s="243"/>
      <c r="CG60" s="243"/>
      <c r="CH60" s="243"/>
      <c r="CI60" s="243"/>
      <c r="CJ60" s="243"/>
      <c r="CK60" s="243"/>
      <c r="CL60" s="243"/>
    </row>
    <row r="61" spans="1:90" s="290" customFormat="1">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8"/>
      <c r="AG61" s="289"/>
      <c r="AH61" s="289"/>
      <c r="AI61" s="289"/>
      <c r="AJ61" s="289"/>
      <c r="AK61" s="289"/>
      <c r="AL61" s="289"/>
      <c r="AM61" s="289"/>
      <c r="AN61" s="243"/>
      <c r="AO61" s="243"/>
      <c r="AP61" s="243"/>
      <c r="AQ61" s="243"/>
      <c r="AR61" s="243"/>
      <c r="AS61" s="243"/>
      <c r="AT61" s="243"/>
      <c r="AU61" s="243"/>
      <c r="AV61" s="243"/>
      <c r="AW61" s="243"/>
      <c r="AX61" s="243"/>
      <c r="AY61" s="243"/>
      <c r="AZ61" s="243"/>
      <c r="BA61" s="243"/>
      <c r="BB61" s="246"/>
      <c r="BC61" s="246"/>
      <c r="BD61" s="243"/>
      <c r="BE61" s="243"/>
      <c r="BF61" s="243"/>
      <c r="BG61" s="243"/>
      <c r="BH61" s="243"/>
      <c r="BI61" s="243"/>
      <c r="BJ61" s="243"/>
      <c r="BK61" s="243"/>
      <c r="BL61" s="243"/>
      <c r="BM61" s="243"/>
      <c r="BN61" s="243"/>
      <c r="BO61" s="243"/>
      <c r="BP61" s="243"/>
      <c r="BQ61" s="243"/>
      <c r="BR61" s="243"/>
      <c r="BS61" s="243"/>
      <c r="BT61" s="243"/>
      <c r="BU61" s="243"/>
      <c r="BV61" s="243"/>
      <c r="BW61" s="243"/>
      <c r="BX61" s="243"/>
      <c r="BY61" s="243"/>
      <c r="BZ61" s="243"/>
      <c r="CA61" s="243"/>
      <c r="CB61" s="243"/>
      <c r="CC61" s="243"/>
      <c r="CD61" s="243"/>
      <c r="CE61" s="243"/>
      <c r="CF61" s="243"/>
      <c r="CG61" s="243"/>
      <c r="CH61" s="243"/>
      <c r="CI61" s="243"/>
      <c r="CJ61" s="243"/>
      <c r="CK61" s="243"/>
      <c r="CL61" s="243"/>
    </row>
    <row r="62" spans="1:90" s="290" customFormat="1">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8"/>
      <c r="AG62" s="289"/>
      <c r="AH62" s="289"/>
      <c r="AI62" s="289"/>
      <c r="AJ62" s="289"/>
      <c r="AK62" s="289"/>
      <c r="AL62" s="289"/>
      <c r="AM62" s="289"/>
      <c r="AN62" s="243"/>
      <c r="AO62" s="243"/>
      <c r="AP62" s="243"/>
      <c r="AQ62" s="243"/>
      <c r="AR62" s="243"/>
      <c r="AS62" s="243"/>
      <c r="AT62" s="243"/>
      <c r="AU62" s="243"/>
      <c r="AV62" s="243"/>
      <c r="AW62" s="243"/>
      <c r="AX62" s="243"/>
      <c r="AY62" s="243"/>
      <c r="AZ62" s="243"/>
      <c r="BA62" s="243"/>
      <c r="BB62" s="246"/>
      <c r="BC62" s="246"/>
      <c r="BD62" s="243"/>
      <c r="BE62" s="243"/>
      <c r="BF62" s="243"/>
      <c r="BG62" s="243"/>
      <c r="BH62" s="243"/>
      <c r="BI62" s="243"/>
      <c r="BJ62" s="243"/>
      <c r="BK62" s="243"/>
      <c r="BL62" s="243"/>
      <c r="BM62" s="243"/>
      <c r="BN62" s="243"/>
      <c r="BO62" s="243"/>
      <c r="BP62" s="243"/>
      <c r="BQ62" s="243"/>
      <c r="BR62" s="243"/>
      <c r="BS62" s="243"/>
      <c r="BT62" s="243"/>
      <c r="BU62" s="243"/>
      <c r="BV62" s="243"/>
      <c r="BW62" s="243"/>
      <c r="BX62" s="243"/>
      <c r="BY62" s="243"/>
      <c r="BZ62" s="243"/>
      <c r="CA62" s="243"/>
      <c r="CB62" s="243"/>
      <c r="CC62" s="243"/>
      <c r="CD62" s="243"/>
      <c r="CE62" s="243"/>
      <c r="CF62" s="243"/>
      <c r="CG62" s="243"/>
      <c r="CH62" s="243"/>
      <c r="CI62" s="243"/>
      <c r="CJ62" s="243"/>
      <c r="CK62" s="243"/>
      <c r="CL62" s="243"/>
    </row>
    <row r="63" spans="1:90" s="290" customFormat="1">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9"/>
      <c r="AH63" s="289"/>
      <c r="AI63" s="289"/>
      <c r="AJ63" s="289"/>
      <c r="AK63" s="289"/>
      <c r="AL63" s="289"/>
      <c r="AM63" s="289"/>
      <c r="AN63" s="243"/>
      <c r="AO63" s="243"/>
      <c r="AP63" s="243"/>
      <c r="AQ63" s="243"/>
      <c r="AR63" s="243"/>
      <c r="AS63" s="243"/>
      <c r="AT63" s="243"/>
      <c r="AU63" s="243"/>
      <c r="AV63" s="243"/>
      <c r="AW63" s="243"/>
      <c r="AX63" s="243"/>
      <c r="AY63" s="243"/>
      <c r="AZ63" s="243"/>
      <c r="BA63" s="243"/>
      <c r="BB63" s="246"/>
      <c r="BC63" s="246"/>
      <c r="BD63" s="243"/>
      <c r="BE63" s="243"/>
      <c r="BF63" s="243"/>
      <c r="BG63" s="243"/>
      <c r="BH63" s="243"/>
      <c r="BI63" s="243"/>
      <c r="BJ63" s="243"/>
      <c r="BK63" s="243"/>
      <c r="BL63" s="243"/>
      <c r="BM63" s="243"/>
      <c r="BN63" s="243"/>
      <c r="BO63" s="243"/>
      <c r="BP63" s="243"/>
      <c r="BQ63" s="243"/>
      <c r="BR63" s="243"/>
      <c r="BS63" s="243"/>
      <c r="BT63" s="243"/>
      <c r="BU63" s="243"/>
      <c r="BV63" s="243"/>
      <c r="BW63" s="243"/>
      <c r="BX63" s="243"/>
      <c r="BY63" s="243"/>
      <c r="BZ63" s="243"/>
      <c r="CA63" s="243"/>
      <c r="CB63" s="243"/>
      <c r="CC63" s="243"/>
      <c r="CD63" s="243"/>
      <c r="CE63" s="243"/>
      <c r="CF63" s="243"/>
      <c r="CG63" s="243"/>
      <c r="CH63" s="243"/>
      <c r="CI63" s="243"/>
      <c r="CJ63" s="243"/>
      <c r="CK63" s="243"/>
      <c r="CL63" s="243"/>
    </row>
    <row r="64" spans="1:90" s="290" customFormat="1">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8"/>
      <c r="AG64" s="289"/>
      <c r="AH64" s="289"/>
      <c r="AI64" s="289"/>
      <c r="AJ64" s="289"/>
      <c r="AK64" s="289"/>
      <c r="AL64" s="289"/>
      <c r="AM64" s="289"/>
      <c r="AN64" s="243"/>
      <c r="AO64" s="243"/>
      <c r="AP64" s="243"/>
      <c r="AQ64" s="243"/>
      <c r="AR64" s="243"/>
      <c r="AS64" s="243"/>
      <c r="AT64" s="243"/>
      <c r="AU64" s="243"/>
      <c r="AV64" s="243"/>
      <c r="AW64" s="243"/>
      <c r="AX64" s="243"/>
      <c r="AY64" s="243"/>
      <c r="AZ64" s="243"/>
      <c r="BA64" s="243"/>
      <c r="BB64" s="246"/>
      <c r="BC64" s="246"/>
      <c r="BD64" s="243"/>
      <c r="BE64" s="243"/>
      <c r="BF64" s="243"/>
      <c r="BG64" s="243"/>
      <c r="BH64" s="243"/>
      <c r="BI64" s="243"/>
      <c r="BJ64" s="243"/>
      <c r="BK64" s="243"/>
      <c r="BL64" s="243"/>
      <c r="BM64" s="243"/>
      <c r="BN64" s="243"/>
      <c r="BO64" s="243"/>
      <c r="BP64" s="243"/>
      <c r="BQ64" s="243"/>
      <c r="BR64" s="243"/>
      <c r="BS64" s="243"/>
      <c r="BT64" s="243"/>
      <c r="BU64" s="243"/>
      <c r="BV64" s="243"/>
      <c r="BW64" s="243"/>
      <c r="BX64" s="243"/>
      <c r="BY64" s="243"/>
      <c r="BZ64" s="243"/>
      <c r="CA64" s="243"/>
      <c r="CB64" s="243"/>
      <c r="CC64" s="243"/>
      <c r="CD64" s="243"/>
      <c r="CE64" s="243"/>
      <c r="CF64" s="243"/>
      <c r="CG64" s="243"/>
      <c r="CH64" s="243"/>
      <c r="CI64" s="243"/>
      <c r="CJ64" s="243"/>
      <c r="CK64" s="243"/>
      <c r="CL64" s="243"/>
    </row>
    <row r="65" spans="1:90" s="290" customFormat="1">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9"/>
      <c r="AH65" s="289"/>
      <c r="AI65" s="289"/>
      <c r="AJ65" s="289"/>
      <c r="AK65" s="289"/>
      <c r="AL65" s="289"/>
      <c r="AM65" s="289"/>
      <c r="AN65" s="243"/>
      <c r="AO65" s="243"/>
      <c r="AP65" s="243"/>
      <c r="AQ65" s="243"/>
      <c r="AR65" s="243"/>
      <c r="AS65" s="243"/>
      <c r="AT65" s="243"/>
      <c r="AU65" s="243"/>
      <c r="AV65" s="243"/>
      <c r="AW65" s="243"/>
      <c r="AX65" s="243"/>
      <c r="AY65" s="243"/>
      <c r="AZ65" s="243"/>
      <c r="BA65" s="243"/>
      <c r="BB65" s="246"/>
      <c r="BC65" s="246"/>
      <c r="BD65" s="243"/>
      <c r="BE65" s="243"/>
      <c r="BF65" s="243"/>
      <c r="BG65" s="243"/>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row>
    <row r="66" spans="1:90" s="290" customFormat="1">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9"/>
      <c r="AH66" s="289"/>
      <c r="AI66" s="289"/>
      <c r="AJ66" s="289"/>
      <c r="AK66" s="289"/>
      <c r="AL66" s="289"/>
      <c r="AM66" s="289"/>
      <c r="AN66" s="243"/>
      <c r="AO66" s="243"/>
      <c r="AP66" s="243"/>
      <c r="AQ66" s="243"/>
      <c r="AR66" s="243"/>
      <c r="AS66" s="243"/>
      <c r="AT66" s="243"/>
      <c r="AU66" s="243"/>
      <c r="AV66" s="243"/>
      <c r="AW66" s="243"/>
      <c r="AX66" s="243"/>
      <c r="AY66" s="243"/>
      <c r="AZ66" s="243"/>
      <c r="BA66" s="243"/>
      <c r="BB66" s="246"/>
      <c r="BC66" s="246"/>
      <c r="BD66" s="243"/>
      <c r="BE66" s="243"/>
      <c r="BF66" s="243"/>
      <c r="BG66" s="243"/>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row>
    <row r="67" spans="1:90" s="290" customFormat="1">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9"/>
      <c r="AH67" s="289"/>
      <c r="AI67" s="289"/>
      <c r="AJ67" s="289"/>
      <c r="AK67" s="289"/>
      <c r="AL67" s="289"/>
      <c r="AM67" s="289"/>
      <c r="AN67" s="243"/>
      <c r="AO67" s="243"/>
      <c r="AP67" s="243"/>
      <c r="AQ67" s="243"/>
      <c r="AR67" s="243"/>
      <c r="AS67" s="243"/>
      <c r="AT67" s="243"/>
      <c r="AU67" s="243"/>
      <c r="AV67" s="243"/>
      <c r="AW67" s="243"/>
      <c r="AX67" s="243"/>
      <c r="AY67" s="243"/>
      <c r="AZ67" s="243"/>
      <c r="BA67" s="243"/>
      <c r="BB67" s="246"/>
      <c r="BC67" s="246"/>
      <c r="BD67" s="243"/>
      <c r="BE67" s="243"/>
      <c r="BF67" s="243"/>
      <c r="BG67" s="243"/>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row>
    <row r="68" spans="1:90" s="290" customFormat="1">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9"/>
      <c r="AH68" s="289"/>
      <c r="AI68" s="289"/>
      <c r="AJ68" s="289"/>
      <c r="AK68" s="289"/>
      <c r="AL68" s="289"/>
      <c r="AM68" s="289"/>
      <c r="AN68" s="243"/>
      <c r="AO68" s="243"/>
      <c r="AP68" s="243"/>
      <c r="AQ68" s="243"/>
      <c r="AR68" s="243"/>
      <c r="AS68" s="243"/>
      <c r="AT68" s="243"/>
      <c r="AU68" s="243"/>
      <c r="AV68" s="243"/>
      <c r="AW68" s="243"/>
      <c r="AX68" s="243"/>
      <c r="AY68" s="243"/>
      <c r="AZ68" s="243"/>
      <c r="BA68" s="243"/>
      <c r="BB68" s="246"/>
      <c r="BC68" s="246"/>
      <c r="BD68" s="243"/>
      <c r="BE68" s="243"/>
      <c r="BF68" s="243"/>
      <c r="BG68" s="243"/>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row>
    <row r="69" spans="1:90">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9"/>
      <c r="AH69" s="289"/>
      <c r="AI69" s="289"/>
      <c r="AJ69" s="289"/>
      <c r="AK69" s="289"/>
      <c r="AL69" s="289"/>
      <c r="AM69" s="289"/>
      <c r="AN69" s="243"/>
      <c r="AO69" s="243"/>
      <c r="AP69" s="243"/>
      <c r="AQ69" s="243"/>
      <c r="AR69" s="243"/>
      <c r="AS69" s="243"/>
      <c r="AT69" s="243"/>
      <c r="AU69" s="243"/>
      <c r="AV69" s="243"/>
      <c r="AW69" s="243"/>
      <c r="AX69" s="243"/>
      <c r="AY69" s="243"/>
      <c r="AZ69" s="243"/>
      <c r="BA69" s="243"/>
      <c r="BB69" s="246"/>
      <c r="BC69" s="246"/>
      <c r="BD69" s="243"/>
      <c r="BE69" s="243"/>
      <c r="BF69" s="243"/>
      <c r="BG69" s="243"/>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row>
    <row r="70" spans="1:90">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9"/>
      <c r="AH70" s="289"/>
      <c r="AI70" s="289"/>
      <c r="AJ70" s="289"/>
      <c r="AK70" s="289"/>
      <c r="AL70" s="289"/>
      <c r="AM70" s="289"/>
      <c r="AN70" s="243"/>
      <c r="AO70" s="243"/>
      <c r="AP70" s="243"/>
      <c r="AQ70" s="243"/>
      <c r="AR70" s="243"/>
      <c r="AS70" s="243"/>
      <c r="AT70" s="243"/>
      <c r="AU70" s="243"/>
      <c r="AV70" s="243"/>
      <c r="AW70" s="243"/>
      <c r="AX70" s="243"/>
      <c r="AY70" s="243"/>
      <c r="AZ70" s="243"/>
      <c r="BA70" s="243"/>
      <c r="BB70" s="246"/>
      <c r="BC70" s="246"/>
      <c r="BD70" s="243"/>
      <c r="BE70" s="243"/>
      <c r="BF70" s="243"/>
      <c r="BG70" s="243"/>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row>
    <row r="71" spans="1:90">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9"/>
      <c r="AH71" s="289"/>
      <c r="AI71" s="289"/>
      <c r="AJ71" s="289"/>
      <c r="AK71" s="289"/>
      <c r="AL71" s="289"/>
      <c r="AM71" s="289"/>
      <c r="AN71" s="243"/>
      <c r="AO71" s="243"/>
      <c r="AP71" s="243"/>
      <c r="AQ71" s="243"/>
      <c r="AR71" s="243"/>
      <c r="AS71" s="243"/>
      <c r="AT71" s="243"/>
      <c r="AU71" s="243"/>
      <c r="AV71" s="243"/>
      <c r="AW71" s="243"/>
      <c r="AX71" s="243"/>
      <c r="AY71" s="243"/>
      <c r="AZ71" s="243"/>
      <c r="BA71" s="243"/>
      <c r="BB71" s="246"/>
      <c r="BC71" s="246"/>
      <c r="BD71" s="243"/>
      <c r="BE71" s="243"/>
      <c r="BF71" s="243"/>
      <c r="BG71" s="243"/>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row>
    <row r="72" spans="1:90">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9"/>
      <c r="AH72" s="289"/>
      <c r="AI72" s="289"/>
      <c r="AJ72" s="289"/>
      <c r="AK72" s="289"/>
      <c r="AL72" s="289"/>
      <c r="AM72" s="289"/>
      <c r="AN72" s="243"/>
      <c r="AO72" s="243"/>
      <c r="AP72" s="243"/>
      <c r="AQ72" s="243"/>
      <c r="AR72" s="243"/>
      <c r="AS72" s="243"/>
      <c r="AT72" s="243"/>
      <c r="AU72" s="243"/>
      <c r="AV72" s="243"/>
      <c r="AW72" s="243"/>
      <c r="AX72" s="243"/>
      <c r="AY72" s="243"/>
      <c r="AZ72" s="243"/>
      <c r="BA72" s="243"/>
      <c r="BB72" s="246"/>
      <c r="BC72" s="246"/>
      <c r="BD72" s="243"/>
      <c r="BE72" s="243"/>
      <c r="BF72" s="243"/>
      <c r="BG72" s="243"/>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row>
    <row r="73" spans="1:90">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9"/>
      <c r="AH73" s="289"/>
      <c r="AI73" s="289"/>
      <c r="AJ73" s="289"/>
      <c r="AK73" s="289"/>
      <c r="AL73" s="289"/>
      <c r="AM73" s="289"/>
      <c r="AN73" s="243"/>
      <c r="AO73" s="243"/>
      <c r="AP73" s="243"/>
      <c r="AQ73" s="243"/>
      <c r="AR73" s="243"/>
      <c r="AS73" s="243"/>
      <c r="AT73" s="243"/>
      <c r="AU73" s="243"/>
      <c r="AV73" s="243"/>
      <c r="AW73" s="243"/>
      <c r="AX73" s="243"/>
      <c r="AY73" s="243"/>
      <c r="AZ73" s="243"/>
      <c r="BA73" s="243"/>
      <c r="BB73" s="246"/>
      <c r="BC73" s="246"/>
      <c r="BD73" s="243"/>
      <c r="BE73" s="243"/>
      <c r="BF73" s="243"/>
      <c r="BG73" s="243"/>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row>
    <row r="74" spans="1:90">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9"/>
      <c r="AH74" s="289"/>
      <c r="AI74" s="289"/>
      <c r="AJ74" s="289"/>
      <c r="AK74" s="289"/>
      <c r="AL74" s="289"/>
      <c r="AM74" s="289"/>
      <c r="AN74" s="243"/>
      <c r="AO74" s="243"/>
      <c r="AP74" s="243"/>
      <c r="AQ74" s="243"/>
      <c r="AR74" s="243"/>
      <c r="AS74" s="243"/>
      <c r="AT74" s="243"/>
      <c r="AU74" s="243"/>
      <c r="AV74" s="243"/>
      <c r="AW74" s="243"/>
      <c r="AX74" s="243"/>
      <c r="AY74" s="243"/>
      <c r="AZ74" s="243"/>
      <c r="BA74" s="243"/>
      <c r="BB74" s="246"/>
      <c r="BC74" s="246"/>
      <c r="BD74" s="243"/>
      <c r="BE74" s="243"/>
      <c r="BF74" s="243"/>
      <c r="BG74" s="243"/>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row>
    <row r="75" spans="1:90">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9"/>
      <c r="AH75" s="289"/>
      <c r="AI75" s="289"/>
      <c r="AJ75" s="289"/>
      <c r="AK75" s="289"/>
      <c r="AL75" s="289"/>
      <c r="AM75" s="289"/>
      <c r="AN75" s="243"/>
      <c r="AO75" s="243"/>
      <c r="AP75" s="243"/>
      <c r="AQ75" s="243"/>
      <c r="AR75" s="243"/>
      <c r="AS75" s="243"/>
      <c r="AT75" s="243"/>
      <c r="AU75" s="243"/>
      <c r="AV75" s="243"/>
      <c r="AW75" s="243"/>
      <c r="AX75" s="243"/>
      <c r="AY75" s="243"/>
      <c r="AZ75" s="243"/>
      <c r="BA75" s="243"/>
      <c r="BB75" s="246"/>
      <c r="BC75" s="246"/>
      <c r="BD75" s="243"/>
      <c r="BE75" s="243"/>
      <c r="BF75" s="243"/>
      <c r="BG75" s="243"/>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row>
    <row r="76" spans="1:90">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9"/>
      <c r="AH76" s="289"/>
      <c r="AI76" s="289"/>
      <c r="AJ76" s="289"/>
      <c r="AK76" s="289"/>
      <c r="AL76" s="289"/>
      <c r="AM76" s="289"/>
      <c r="AN76" s="243"/>
      <c r="AO76" s="243"/>
      <c r="AP76" s="243"/>
      <c r="AQ76" s="243"/>
      <c r="AR76" s="243"/>
      <c r="AS76" s="243"/>
      <c r="AT76" s="243"/>
      <c r="AU76" s="243"/>
      <c r="AV76" s="243"/>
      <c r="AW76" s="243"/>
      <c r="AX76" s="243"/>
      <c r="AY76" s="243"/>
      <c r="AZ76" s="243"/>
      <c r="BA76" s="243"/>
      <c r="BB76" s="246"/>
      <c r="BC76" s="246"/>
      <c r="BD76" s="243"/>
      <c r="BE76" s="243"/>
      <c r="BF76" s="243"/>
      <c r="BG76" s="243"/>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row>
    <row r="77" spans="1:90">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9"/>
      <c r="AH77" s="289"/>
      <c r="AI77" s="289"/>
      <c r="AJ77" s="289"/>
      <c r="AK77" s="289"/>
      <c r="AL77" s="289"/>
      <c r="AM77" s="289"/>
      <c r="AN77" s="243"/>
      <c r="AO77" s="243"/>
      <c r="AP77" s="243"/>
      <c r="AQ77" s="243"/>
      <c r="AR77" s="243"/>
      <c r="AS77" s="243"/>
      <c r="AT77" s="243"/>
      <c r="AU77" s="243"/>
      <c r="AV77" s="243"/>
      <c r="AW77" s="243"/>
      <c r="AX77" s="243"/>
      <c r="AY77" s="243"/>
      <c r="AZ77" s="243"/>
      <c r="BA77" s="243"/>
      <c r="BB77" s="246"/>
      <c r="BC77" s="246"/>
      <c r="BD77" s="243"/>
      <c r="BE77" s="243"/>
      <c r="BF77" s="243"/>
      <c r="BG77" s="243"/>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row>
    <row r="78" spans="1:90">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9"/>
      <c r="AH78" s="289"/>
      <c r="AI78" s="289"/>
      <c r="AJ78" s="289"/>
      <c r="AK78" s="289"/>
      <c r="AL78" s="289"/>
      <c r="AM78" s="289"/>
      <c r="AN78" s="243"/>
      <c r="AO78" s="243"/>
      <c r="AP78" s="243"/>
      <c r="AQ78" s="243"/>
      <c r="AR78" s="243"/>
      <c r="AS78" s="243"/>
      <c r="AT78" s="243"/>
      <c r="AU78" s="243"/>
      <c r="AV78" s="243"/>
      <c r="AW78" s="243"/>
      <c r="AX78" s="243"/>
      <c r="AY78" s="243"/>
      <c r="AZ78" s="243"/>
      <c r="BA78" s="243"/>
      <c r="BB78" s="246"/>
      <c r="BC78" s="246"/>
      <c r="BD78" s="243"/>
      <c r="BE78" s="243"/>
      <c r="BF78" s="243"/>
      <c r="BG78" s="243"/>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row>
    <row r="79" spans="1:90">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9"/>
      <c r="AH79" s="289"/>
      <c r="AI79" s="289"/>
      <c r="AJ79" s="289"/>
      <c r="AK79" s="289"/>
      <c r="AL79" s="289"/>
      <c r="AM79" s="289"/>
      <c r="AN79" s="243"/>
      <c r="AO79" s="243"/>
      <c r="AP79" s="243"/>
      <c r="AQ79" s="243"/>
      <c r="AR79" s="243"/>
      <c r="AS79" s="243"/>
      <c r="AT79" s="243"/>
      <c r="AU79" s="243"/>
      <c r="AV79" s="243"/>
      <c r="AW79" s="243"/>
      <c r="AX79" s="243"/>
      <c r="AY79" s="243"/>
      <c r="AZ79" s="243"/>
      <c r="BA79" s="243"/>
      <c r="BB79" s="246"/>
      <c r="BC79" s="246"/>
      <c r="BD79" s="243"/>
      <c r="BE79" s="243"/>
      <c r="BF79" s="243"/>
      <c r="BG79" s="243"/>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row>
    <row r="80" spans="1:90">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9"/>
      <c r="AH80" s="289"/>
      <c r="AI80" s="289"/>
      <c r="AJ80" s="289"/>
      <c r="AK80" s="289"/>
      <c r="AL80" s="289"/>
      <c r="AM80" s="289"/>
      <c r="AN80" s="243"/>
      <c r="AO80" s="243"/>
      <c r="AP80" s="243"/>
      <c r="AQ80" s="243"/>
      <c r="AR80" s="243"/>
      <c r="AS80" s="243"/>
      <c r="AT80" s="243"/>
      <c r="AU80" s="243"/>
      <c r="AV80" s="243"/>
      <c r="AW80" s="243"/>
      <c r="AX80" s="243"/>
      <c r="AY80" s="243"/>
      <c r="AZ80" s="243"/>
      <c r="BA80" s="243"/>
      <c r="BB80" s="246"/>
      <c r="BC80" s="246"/>
      <c r="BD80" s="243"/>
      <c r="BE80" s="243"/>
      <c r="BF80" s="243"/>
      <c r="BG80" s="243"/>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row>
    <row r="81" spans="1:90">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9"/>
      <c r="AH81" s="289"/>
      <c r="AI81" s="289"/>
      <c r="AJ81" s="289"/>
      <c r="AK81" s="289"/>
      <c r="AL81" s="289"/>
      <c r="AM81" s="289"/>
      <c r="AN81" s="243"/>
      <c r="AO81" s="243"/>
      <c r="AP81" s="243"/>
      <c r="AQ81" s="243"/>
      <c r="AR81" s="243"/>
      <c r="AS81" s="243"/>
      <c r="AT81" s="243"/>
      <c r="AU81" s="243"/>
      <c r="AV81" s="243"/>
      <c r="AW81" s="243"/>
      <c r="AX81" s="243"/>
      <c r="AY81" s="243"/>
      <c r="AZ81" s="243"/>
      <c r="BA81" s="243"/>
      <c r="BB81" s="246"/>
      <c r="BC81" s="246"/>
      <c r="BD81" s="243"/>
      <c r="BE81" s="243"/>
      <c r="BF81" s="243"/>
      <c r="BG81" s="243"/>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row>
    <row r="82" spans="1:90">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9"/>
      <c r="AH82" s="289"/>
      <c r="AI82" s="289"/>
      <c r="AJ82" s="289"/>
      <c r="AK82" s="289"/>
      <c r="AL82" s="289"/>
      <c r="AM82" s="289"/>
      <c r="AN82" s="243"/>
      <c r="AO82" s="243"/>
      <c r="AP82" s="243"/>
      <c r="AQ82" s="243"/>
      <c r="AR82" s="243"/>
      <c r="AS82" s="243"/>
      <c r="AT82" s="243"/>
      <c r="AU82" s="243"/>
      <c r="AV82" s="243"/>
      <c r="AW82" s="243"/>
      <c r="AX82" s="243"/>
      <c r="AY82" s="243"/>
      <c r="AZ82" s="243"/>
      <c r="BA82" s="243"/>
      <c r="BB82" s="246"/>
      <c r="BC82" s="246"/>
      <c r="BD82" s="243"/>
      <c r="BE82" s="243"/>
      <c r="BF82" s="243"/>
      <c r="BG82" s="243"/>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row>
    <row r="83" spans="1:90">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9"/>
      <c r="AH83" s="289"/>
      <c r="AI83" s="289"/>
      <c r="AJ83" s="289"/>
      <c r="AK83" s="289"/>
      <c r="AL83" s="289"/>
      <c r="AM83" s="289"/>
      <c r="AN83" s="243"/>
      <c r="AO83" s="243"/>
      <c r="AP83" s="243"/>
      <c r="AQ83" s="243"/>
      <c r="AR83" s="243"/>
      <c r="AS83" s="243"/>
      <c r="AT83" s="243"/>
      <c r="AU83" s="243"/>
      <c r="AV83" s="243"/>
      <c r="AW83" s="243"/>
      <c r="AX83" s="243"/>
      <c r="AY83" s="243"/>
      <c r="AZ83" s="243"/>
      <c r="BA83" s="243"/>
      <c r="BB83" s="246"/>
      <c r="BC83" s="246"/>
      <c r="BD83" s="243"/>
      <c r="BE83" s="243"/>
      <c r="BF83" s="243"/>
      <c r="BG83" s="243"/>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row>
    <row r="84" spans="1:90">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9"/>
      <c r="AH84" s="289"/>
      <c r="AI84" s="289"/>
      <c r="AJ84" s="289"/>
      <c r="AK84" s="289"/>
      <c r="AL84" s="289"/>
      <c r="AM84" s="289"/>
      <c r="AN84" s="243"/>
      <c r="AO84" s="243"/>
      <c r="AP84" s="243"/>
      <c r="AQ84" s="243"/>
      <c r="AR84" s="243"/>
      <c r="AS84" s="243"/>
      <c r="AT84" s="243"/>
      <c r="AU84" s="243"/>
      <c r="AV84" s="243"/>
      <c r="AW84" s="243"/>
      <c r="AX84" s="243"/>
      <c r="AY84" s="243"/>
      <c r="AZ84" s="243"/>
      <c r="BA84" s="243"/>
      <c r="BB84" s="246"/>
      <c r="BC84" s="246"/>
      <c r="BD84" s="243"/>
      <c r="BE84" s="243"/>
      <c r="BF84" s="243"/>
      <c r="BG84" s="243"/>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row>
    <row r="85" spans="1:90">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9"/>
      <c r="AH85" s="289"/>
      <c r="AI85" s="289"/>
      <c r="AJ85" s="289"/>
      <c r="AK85" s="289"/>
      <c r="AL85" s="289"/>
      <c r="AM85" s="289"/>
      <c r="AN85" s="243"/>
      <c r="AO85" s="243"/>
      <c r="AP85" s="243"/>
      <c r="AQ85" s="243"/>
      <c r="AR85" s="243"/>
      <c r="AS85" s="243"/>
      <c r="AT85" s="243"/>
      <c r="AU85" s="243"/>
      <c r="AV85" s="243"/>
      <c r="AW85" s="243"/>
      <c r="AX85" s="243"/>
      <c r="AY85" s="243"/>
      <c r="AZ85" s="243"/>
      <c r="BA85" s="243"/>
      <c r="BB85" s="246"/>
      <c r="BC85" s="246"/>
      <c r="BD85" s="243"/>
      <c r="BE85" s="243"/>
      <c r="BF85" s="243"/>
      <c r="BG85" s="243"/>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row>
    <row r="86" spans="1:90">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9"/>
      <c r="AH86" s="289"/>
      <c r="AI86" s="289"/>
      <c r="AJ86" s="289"/>
      <c r="AK86" s="289"/>
      <c r="AL86" s="289"/>
      <c r="AM86" s="289"/>
      <c r="AN86" s="243"/>
      <c r="AO86" s="243"/>
      <c r="AP86" s="243"/>
      <c r="AQ86" s="243"/>
      <c r="AR86" s="243"/>
      <c r="AS86" s="243"/>
      <c r="AT86" s="243"/>
      <c r="AU86" s="243"/>
      <c r="AV86" s="243"/>
      <c r="AW86" s="243"/>
      <c r="AX86" s="243"/>
      <c r="AY86" s="243"/>
      <c r="AZ86" s="243"/>
      <c r="BA86" s="243"/>
      <c r="BB86" s="246"/>
      <c r="BC86" s="246"/>
      <c r="BD86" s="243"/>
      <c r="BE86" s="243"/>
      <c r="BF86" s="243"/>
      <c r="BG86" s="243"/>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row>
    <row r="87" spans="1:90">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9"/>
      <c r="AH87" s="289"/>
      <c r="AI87" s="289"/>
      <c r="AJ87" s="289"/>
      <c r="AK87" s="289"/>
      <c r="AL87" s="289"/>
      <c r="AM87" s="289"/>
      <c r="AN87" s="243"/>
      <c r="AO87" s="243"/>
      <c r="AP87" s="243"/>
      <c r="AQ87" s="243"/>
      <c r="AR87" s="243"/>
      <c r="AS87" s="243"/>
      <c r="AT87" s="243"/>
      <c r="AU87" s="243"/>
      <c r="AV87" s="243"/>
      <c r="AW87" s="243"/>
      <c r="AX87" s="243"/>
      <c r="AY87" s="243"/>
      <c r="AZ87" s="243"/>
      <c r="BA87" s="243"/>
      <c r="BB87" s="246"/>
      <c r="BC87" s="246"/>
      <c r="BD87" s="243"/>
      <c r="BE87" s="243"/>
      <c r="BF87" s="243"/>
      <c r="BG87" s="243"/>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row>
    <row r="88" spans="1:90">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9"/>
      <c r="AH88" s="289"/>
      <c r="AI88" s="289"/>
      <c r="AJ88" s="289"/>
      <c r="AK88" s="289"/>
      <c r="AL88" s="289"/>
      <c r="AM88" s="289"/>
      <c r="AN88" s="243"/>
      <c r="AO88" s="243"/>
      <c r="AP88" s="243"/>
      <c r="AQ88" s="243"/>
      <c r="AR88" s="243"/>
      <c r="AS88" s="243"/>
      <c r="AT88" s="243"/>
      <c r="AU88" s="243"/>
      <c r="AV88" s="243"/>
      <c r="AW88" s="243"/>
      <c r="AX88" s="243"/>
      <c r="AY88" s="243"/>
      <c r="AZ88" s="243"/>
      <c r="BA88" s="243"/>
      <c r="BB88" s="246"/>
      <c r="BC88" s="246"/>
      <c r="BD88" s="243"/>
      <c r="BE88" s="243"/>
      <c r="BF88" s="243"/>
      <c r="BG88" s="243"/>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row>
    <row r="89" spans="1:90">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9"/>
      <c r="AH89" s="289"/>
      <c r="AI89" s="289"/>
      <c r="AJ89" s="289"/>
      <c r="AK89" s="289"/>
      <c r="AL89" s="289"/>
      <c r="AM89" s="289"/>
      <c r="AN89" s="243"/>
      <c r="AO89" s="243"/>
      <c r="AP89" s="243"/>
      <c r="AQ89" s="243"/>
      <c r="AR89" s="243"/>
      <c r="AS89" s="243"/>
      <c r="AT89" s="243"/>
      <c r="AU89" s="243"/>
      <c r="AV89" s="243"/>
      <c r="AW89" s="243"/>
      <c r="AX89" s="243"/>
      <c r="AY89" s="243"/>
      <c r="AZ89" s="243"/>
      <c r="BA89" s="243"/>
      <c r="BB89" s="246"/>
      <c r="BC89" s="246"/>
      <c r="BD89" s="243"/>
      <c r="BE89" s="243"/>
      <c r="BF89" s="243"/>
      <c r="BG89" s="243"/>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row>
    <row r="90" spans="1:90">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9"/>
      <c r="AH90" s="289"/>
      <c r="AI90" s="289"/>
      <c r="AJ90" s="289"/>
      <c r="AK90" s="289"/>
      <c r="AL90" s="289"/>
      <c r="AM90" s="289"/>
      <c r="AN90" s="243"/>
      <c r="AO90" s="243"/>
      <c r="AP90" s="243"/>
      <c r="AQ90" s="243"/>
      <c r="AR90" s="243"/>
      <c r="AS90" s="243"/>
      <c r="AT90" s="243"/>
      <c r="AU90" s="243"/>
      <c r="AV90" s="243"/>
      <c r="AW90" s="243"/>
      <c r="AX90" s="243"/>
      <c r="AY90" s="243"/>
      <c r="AZ90" s="243"/>
      <c r="BA90" s="243"/>
      <c r="BB90" s="246"/>
      <c r="BC90" s="246"/>
      <c r="BD90" s="243"/>
      <c r="BE90" s="243"/>
      <c r="BF90" s="243"/>
      <c r="BG90" s="243"/>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row>
    <row r="91" spans="1:90">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9"/>
      <c r="AH91" s="289"/>
      <c r="AI91" s="289"/>
      <c r="AJ91" s="289"/>
      <c r="AK91" s="289"/>
      <c r="AL91" s="289"/>
      <c r="AM91" s="289"/>
      <c r="AN91" s="243"/>
      <c r="AO91" s="243"/>
      <c r="AP91" s="243"/>
      <c r="AQ91" s="243"/>
      <c r="AR91" s="243"/>
      <c r="AS91" s="243"/>
      <c r="AT91" s="243"/>
      <c r="AU91" s="243"/>
      <c r="AV91" s="243"/>
      <c r="AW91" s="243"/>
      <c r="AX91" s="243"/>
      <c r="AY91" s="243"/>
      <c r="AZ91" s="243"/>
      <c r="BA91" s="243"/>
      <c r="BB91" s="246"/>
      <c r="BC91" s="246"/>
      <c r="BD91" s="243"/>
      <c r="BE91" s="243"/>
      <c r="BF91" s="243"/>
      <c r="BG91" s="243"/>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row>
    <row r="92" spans="1:90">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9"/>
      <c r="AH92" s="289"/>
      <c r="AI92" s="289"/>
      <c r="AJ92" s="289"/>
      <c r="AK92" s="289"/>
      <c r="AL92" s="289"/>
      <c r="AM92" s="289"/>
      <c r="AN92" s="243"/>
      <c r="AO92" s="243"/>
      <c r="AP92" s="243"/>
      <c r="AQ92" s="243"/>
      <c r="AR92" s="243"/>
      <c r="AS92" s="243"/>
      <c r="AT92" s="243"/>
      <c r="AU92" s="243"/>
      <c r="AV92" s="243"/>
      <c r="AW92" s="243"/>
      <c r="AX92" s="243"/>
      <c r="AY92" s="243"/>
      <c r="AZ92" s="243"/>
      <c r="BA92" s="243"/>
      <c r="BB92" s="246"/>
      <c r="BC92" s="246"/>
      <c r="BD92" s="243"/>
      <c r="BE92" s="243"/>
      <c r="BF92" s="243"/>
      <c r="BG92" s="243"/>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row>
    <row r="93" spans="1:90">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9"/>
      <c r="AH93" s="289"/>
      <c r="AI93" s="289"/>
      <c r="AJ93" s="289"/>
      <c r="AK93" s="289"/>
      <c r="AL93" s="289"/>
      <c r="AM93" s="289"/>
      <c r="AN93" s="243"/>
      <c r="AO93" s="243"/>
      <c r="AP93" s="243"/>
      <c r="AQ93" s="243"/>
      <c r="AR93" s="243"/>
      <c r="AS93" s="243"/>
      <c r="AT93" s="243"/>
      <c r="AU93" s="243"/>
      <c r="AV93" s="243"/>
      <c r="AW93" s="243"/>
      <c r="AX93" s="243"/>
      <c r="AY93" s="243"/>
      <c r="AZ93" s="243"/>
      <c r="BA93" s="243"/>
      <c r="BB93" s="246"/>
      <c r="BC93" s="246"/>
      <c r="BD93" s="243"/>
      <c r="BE93" s="243"/>
      <c r="BF93" s="243"/>
      <c r="BG93" s="243"/>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row>
    <row r="94" spans="1:90">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9"/>
      <c r="AH94" s="289"/>
      <c r="AI94" s="289"/>
      <c r="AJ94" s="289"/>
      <c r="AK94" s="289"/>
      <c r="AL94" s="289"/>
      <c r="AM94" s="289"/>
      <c r="AN94" s="243"/>
      <c r="AO94" s="243"/>
      <c r="AP94" s="243"/>
      <c r="AQ94" s="243"/>
      <c r="AR94" s="243"/>
      <c r="AS94" s="243"/>
      <c r="AT94" s="243"/>
      <c r="AU94" s="243"/>
      <c r="AV94" s="243"/>
      <c r="AW94" s="243"/>
      <c r="AX94" s="243"/>
      <c r="AY94" s="243"/>
      <c r="AZ94" s="243"/>
      <c r="BA94" s="243"/>
      <c r="BB94" s="246"/>
      <c r="BC94" s="246"/>
      <c r="BD94" s="243"/>
      <c r="BE94" s="243"/>
      <c r="BF94" s="243"/>
      <c r="BG94" s="243"/>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row>
    <row r="95" spans="1:90">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9"/>
      <c r="AH95" s="289"/>
      <c r="AI95" s="289"/>
      <c r="AJ95" s="289"/>
      <c r="AK95" s="289"/>
      <c r="AL95" s="289"/>
      <c r="AM95" s="289"/>
      <c r="AN95" s="243"/>
      <c r="AO95" s="243"/>
      <c r="AP95" s="243"/>
      <c r="AQ95" s="243"/>
      <c r="AR95" s="243"/>
      <c r="AS95" s="243"/>
      <c r="AT95" s="243"/>
      <c r="AU95" s="243"/>
      <c r="AV95" s="243"/>
      <c r="AW95" s="243"/>
      <c r="AX95" s="243"/>
      <c r="AY95" s="243"/>
      <c r="AZ95" s="243"/>
      <c r="BA95" s="243"/>
      <c r="BB95" s="246"/>
      <c r="BC95" s="246"/>
      <c r="BD95" s="243"/>
      <c r="BE95" s="243"/>
      <c r="BF95" s="243"/>
      <c r="BG95" s="243"/>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row>
    <row r="96" spans="1:90">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9"/>
      <c r="AH96" s="289"/>
      <c r="AI96" s="289"/>
      <c r="AJ96" s="289"/>
      <c r="AK96" s="289"/>
      <c r="AL96" s="289"/>
      <c r="AM96" s="289"/>
      <c r="AN96" s="243"/>
      <c r="AO96" s="243"/>
      <c r="AP96" s="243"/>
      <c r="AQ96" s="243"/>
      <c r="AR96" s="243"/>
      <c r="AS96" s="243"/>
      <c r="AT96" s="243"/>
      <c r="AU96" s="243"/>
      <c r="AV96" s="243"/>
      <c r="AW96" s="243"/>
      <c r="AX96" s="243"/>
      <c r="AY96" s="243"/>
      <c r="AZ96" s="243"/>
      <c r="BA96" s="243"/>
      <c r="BB96" s="246"/>
      <c r="BC96" s="246"/>
      <c r="BD96" s="243"/>
      <c r="BE96" s="243"/>
      <c r="BF96" s="243"/>
      <c r="BG96" s="243"/>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row>
    <row r="97" spans="1:90">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9"/>
      <c r="AH97" s="289"/>
      <c r="AI97" s="289"/>
      <c r="AJ97" s="289"/>
      <c r="AK97" s="289"/>
      <c r="AL97" s="289"/>
      <c r="AM97" s="289"/>
      <c r="AN97" s="243"/>
      <c r="AO97" s="243"/>
      <c r="AP97" s="243"/>
      <c r="AQ97" s="243"/>
      <c r="AR97" s="243"/>
      <c r="AS97" s="243"/>
      <c r="AT97" s="243"/>
      <c r="AU97" s="243"/>
      <c r="AV97" s="243"/>
      <c r="AW97" s="243"/>
      <c r="AX97" s="243"/>
      <c r="AY97" s="243"/>
      <c r="AZ97" s="243"/>
      <c r="BA97" s="243"/>
      <c r="BB97" s="246"/>
      <c r="BC97" s="246"/>
      <c r="BD97" s="243"/>
      <c r="BE97" s="243"/>
      <c r="BF97" s="243"/>
      <c r="BG97" s="243"/>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row>
    <row r="98" spans="1:90">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9"/>
      <c r="AH98" s="289"/>
      <c r="AI98" s="289"/>
      <c r="AJ98" s="289"/>
      <c r="AK98" s="289"/>
      <c r="AL98" s="289"/>
      <c r="AM98" s="289"/>
      <c r="AN98" s="243"/>
      <c r="AO98" s="243"/>
      <c r="AP98" s="243"/>
      <c r="AQ98" s="243"/>
      <c r="AR98" s="243"/>
      <c r="AS98" s="243"/>
      <c r="AT98" s="243"/>
      <c r="AU98" s="243"/>
      <c r="AV98" s="243"/>
      <c r="AW98" s="243"/>
      <c r="AX98" s="243"/>
      <c r="AY98" s="243"/>
      <c r="AZ98" s="243"/>
      <c r="BA98" s="243"/>
      <c r="BB98" s="246"/>
      <c r="BC98" s="246"/>
      <c r="BD98" s="243"/>
      <c r="BE98" s="243"/>
      <c r="BF98" s="243"/>
      <c r="BG98" s="243"/>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row>
    <row r="99" spans="1:90">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9"/>
      <c r="AH99" s="289"/>
      <c r="AI99" s="289"/>
      <c r="AJ99" s="289"/>
      <c r="AK99" s="289"/>
      <c r="AL99" s="289"/>
      <c r="AM99" s="289"/>
      <c r="AN99" s="243"/>
      <c r="AO99" s="243"/>
      <c r="AP99" s="243"/>
      <c r="AQ99" s="243"/>
      <c r="AR99" s="243"/>
      <c r="AS99" s="243"/>
      <c r="AT99" s="243"/>
      <c r="AU99" s="243"/>
      <c r="AV99" s="243"/>
      <c r="AW99" s="243"/>
      <c r="AX99" s="243"/>
      <c r="AY99" s="243"/>
      <c r="AZ99" s="243"/>
      <c r="BA99" s="243"/>
      <c r="BB99" s="246"/>
      <c r="BC99" s="246"/>
      <c r="BD99" s="243"/>
      <c r="BE99" s="243"/>
      <c r="BF99" s="243"/>
      <c r="BG99" s="243"/>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row>
    <row r="100" spans="1:90">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9"/>
      <c r="AH100" s="289"/>
      <c r="AI100" s="289"/>
      <c r="AJ100" s="289"/>
      <c r="AK100" s="289"/>
      <c r="AL100" s="289"/>
      <c r="AM100" s="289"/>
      <c r="AN100" s="243"/>
      <c r="AO100" s="243"/>
      <c r="AP100" s="243"/>
      <c r="AQ100" s="243"/>
      <c r="AR100" s="243"/>
      <c r="AS100" s="243"/>
      <c r="AT100" s="243"/>
      <c r="AU100" s="243"/>
      <c r="AV100" s="243"/>
      <c r="AW100" s="243"/>
      <c r="AX100" s="243"/>
      <c r="AY100" s="243"/>
      <c r="AZ100" s="243"/>
      <c r="BA100" s="243"/>
      <c r="BB100" s="246"/>
      <c r="BC100" s="246"/>
      <c r="BD100" s="243"/>
      <c r="BE100" s="243"/>
      <c r="BF100" s="243"/>
      <c r="BG100" s="243"/>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row>
    <row r="101" spans="1:90">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9"/>
      <c r="AH101" s="289"/>
      <c r="AI101" s="289"/>
      <c r="AJ101" s="289"/>
      <c r="AK101" s="289"/>
      <c r="AL101" s="289"/>
      <c r="AM101" s="289"/>
      <c r="AN101" s="243"/>
      <c r="AO101" s="243"/>
      <c r="AP101" s="243"/>
      <c r="AQ101" s="243"/>
      <c r="AR101" s="243"/>
      <c r="AS101" s="243"/>
      <c r="AT101" s="243"/>
      <c r="AU101" s="243"/>
      <c r="AV101" s="243"/>
      <c r="AW101" s="243"/>
      <c r="AX101" s="243"/>
      <c r="AY101" s="243"/>
      <c r="AZ101" s="243"/>
      <c r="BA101" s="243"/>
      <c r="BB101" s="246"/>
      <c r="BC101" s="246"/>
      <c r="BD101" s="243"/>
      <c r="BE101" s="243"/>
      <c r="BF101" s="243"/>
      <c r="BG101" s="243"/>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row>
    <row r="102" spans="1:90">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9"/>
      <c r="AH102" s="289"/>
      <c r="AI102" s="289"/>
      <c r="AJ102" s="289"/>
      <c r="AK102" s="289"/>
      <c r="AL102" s="289"/>
      <c r="AM102" s="289"/>
      <c r="AN102" s="243"/>
      <c r="AO102" s="243"/>
      <c r="AP102" s="243"/>
      <c r="AQ102" s="243"/>
      <c r="AR102" s="243"/>
      <c r="AS102" s="243"/>
      <c r="AT102" s="243"/>
      <c r="AU102" s="243"/>
      <c r="AV102" s="243"/>
      <c r="AW102" s="243"/>
      <c r="AX102" s="243"/>
      <c r="AY102" s="243"/>
      <c r="AZ102" s="243"/>
      <c r="BA102" s="243"/>
      <c r="BB102" s="246"/>
      <c r="BC102" s="246"/>
      <c r="BD102" s="243"/>
      <c r="BE102" s="243"/>
      <c r="BF102" s="243"/>
      <c r="BG102" s="243"/>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row>
  </sheetData>
  <sheetProtection algorithmName="SHA-512" hashValue="nUQGvvrVNKiVZ8qVyMHbe9eSJEW7L5QlB84detuPCj/zquP68ocTiTZL/HDuQj+q/a4dr57b+o/B7haW+ozTHQ==" saltValue="XquGz0By2ZBoijFC6USnjw==" spinCount="100000" sheet="1" objects="1" scenarios="1" selectLockedCells="1" selectUnlockedCells="1"/>
  <mergeCells count="172">
    <mergeCell ref="A1:AG4"/>
    <mergeCell ref="A5:G5"/>
    <mergeCell ref="U5:X5"/>
    <mergeCell ref="Y5:AG5"/>
    <mergeCell ref="A6:G6"/>
    <mergeCell ref="U6:X6"/>
    <mergeCell ref="Y6:AG6"/>
    <mergeCell ref="T22:AF23"/>
    <mergeCell ref="A7:G7"/>
    <mergeCell ref="U7:X7"/>
    <mergeCell ref="A8:G9"/>
    <mergeCell ref="H8:AG9"/>
    <mergeCell ref="A10:H10"/>
    <mergeCell ref="I10:T10"/>
    <mergeCell ref="U10:X10"/>
    <mergeCell ref="Y10:AA10"/>
    <mergeCell ref="AB10:AD10"/>
    <mergeCell ref="AE10:AG10"/>
    <mergeCell ref="S14:AF18"/>
    <mergeCell ref="F15:I16"/>
    <mergeCell ref="J15:M16"/>
    <mergeCell ref="N15:Q16"/>
    <mergeCell ref="A17:E17"/>
    <mergeCell ref="F17:G17"/>
    <mergeCell ref="A11:AG12"/>
    <mergeCell ref="R13:S13"/>
    <mergeCell ref="T13:V13"/>
    <mergeCell ref="W13:X13"/>
    <mergeCell ref="Y13:Z13"/>
    <mergeCell ref="AA13:AC13"/>
    <mergeCell ref="AD13:AE13"/>
    <mergeCell ref="N17:O17"/>
    <mergeCell ref="P17:Q17"/>
    <mergeCell ref="F18:G18"/>
    <mergeCell ref="H18:I18"/>
    <mergeCell ref="J18:K18"/>
    <mergeCell ref="L18:M18"/>
    <mergeCell ref="N18:O18"/>
    <mergeCell ref="P18:Q18"/>
    <mergeCell ref="A14:E14"/>
    <mergeCell ref="F14:Q14"/>
    <mergeCell ref="R19:S19"/>
    <mergeCell ref="H17:I17"/>
    <mergeCell ref="J17:M17"/>
    <mergeCell ref="F20:G20"/>
    <mergeCell ref="H20:I20"/>
    <mergeCell ref="J20:K20"/>
    <mergeCell ref="L20:M20"/>
    <mergeCell ref="N20:O20"/>
    <mergeCell ref="P20:Q20"/>
    <mergeCell ref="F19:G19"/>
    <mergeCell ref="H19:I19"/>
    <mergeCell ref="J19:K19"/>
    <mergeCell ref="L19:M19"/>
    <mergeCell ref="N19:O19"/>
    <mergeCell ref="P19:Q19"/>
    <mergeCell ref="F22:G22"/>
    <mergeCell ref="H22:I22"/>
    <mergeCell ref="J22:K22"/>
    <mergeCell ref="L22:M22"/>
    <mergeCell ref="N22:O22"/>
    <mergeCell ref="P22:Q22"/>
    <mergeCell ref="F21:G21"/>
    <mergeCell ref="H21:I21"/>
    <mergeCell ref="J21:K21"/>
    <mergeCell ref="L21:M21"/>
    <mergeCell ref="N21:O21"/>
    <mergeCell ref="P21:Q21"/>
    <mergeCell ref="F24:G24"/>
    <mergeCell ref="H24:I24"/>
    <mergeCell ref="J24:K24"/>
    <mergeCell ref="L24:M24"/>
    <mergeCell ref="N24:O24"/>
    <mergeCell ref="P24:Q24"/>
    <mergeCell ref="F23:G23"/>
    <mergeCell ref="H23:I23"/>
    <mergeCell ref="J23:K23"/>
    <mergeCell ref="L23:M23"/>
    <mergeCell ref="N23:O23"/>
    <mergeCell ref="P23:Q23"/>
    <mergeCell ref="F26:G26"/>
    <mergeCell ref="H26:I26"/>
    <mergeCell ref="J26:K26"/>
    <mergeCell ref="L26:M26"/>
    <mergeCell ref="N26:O26"/>
    <mergeCell ref="P26:Q26"/>
    <mergeCell ref="F25:G25"/>
    <mergeCell ref="H25:I25"/>
    <mergeCell ref="J25:K25"/>
    <mergeCell ref="L25:M25"/>
    <mergeCell ref="N25:O25"/>
    <mergeCell ref="P25:Q25"/>
    <mergeCell ref="F28:G28"/>
    <mergeCell ref="H28:I28"/>
    <mergeCell ref="J28:K28"/>
    <mergeCell ref="L28:M28"/>
    <mergeCell ref="N28:O28"/>
    <mergeCell ref="P28:Q28"/>
    <mergeCell ref="F27:G27"/>
    <mergeCell ref="H27:I27"/>
    <mergeCell ref="J27:K27"/>
    <mergeCell ref="L27:M27"/>
    <mergeCell ref="N27:O27"/>
    <mergeCell ref="P27:Q27"/>
    <mergeCell ref="F29:G29"/>
    <mergeCell ref="H29:I29"/>
    <mergeCell ref="J29:K29"/>
    <mergeCell ref="L29:M29"/>
    <mergeCell ref="N29:O29"/>
    <mergeCell ref="P29:Q29"/>
    <mergeCell ref="F30:G30"/>
    <mergeCell ref="H30:I30"/>
    <mergeCell ref="J30:K30"/>
    <mergeCell ref="L30:M30"/>
    <mergeCell ref="N30:O30"/>
    <mergeCell ref="P30:Q30"/>
    <mergeCell ref="F31:G31"/>
    <mergeCell ref="H31:I31"/>
    <mergeCell ref="J31:K31"/>
    <mergeCell ref="L31:M31"/>
    <mergeCell ref="N31:O31"/>
    <mergeCell ref="P31:Q31"/>
    <mergeCell ref="F33:G33"/>
    <mergeCell ref="H33:I33"/>
    <mergeCell ref="J33:K33"/>
    <mergeCell ref="L33:M33"/>
    <mergeCell ref="N33:O33"/>
    <mergeCell ref="P33:Q33"/>
    <mergeCell ref="F32:G32"/>
    <mergeCell ref="H32:I32"/>
    <mergeCell ref="J32:K32"/>
    <mergeCell ref="L32:M32"/>
    <mergeCell ref="N32:O32"/>
    <mergeCell ref="P32:Q32"/>
    <mergeCell ref="N36:O36"/>
    <mergeCell ref="P36:Q36"/>
    <mergeCell ref="F35:G35"/>
    <mergeCell ref="H35:I35"/>
    <mergeCell ref="J35:K35"/>
    <mergeCell ref="L35:M35"/>
    <mergeCell ref="N35:O35"/>
    <mergeCell ref="P35:Q35"/>
    <mergeCell ref="F34:G34"/>
    <mergeCell ref="H34:I34"/>
    <mergeCell ref="J34:K34"/>
    <mergeCell ref="L34:M34"/>
    <mergeCell ref="N34:O34"/>
    <mergeCell ref="P34:Q34"/>
    <mergeCell ref="P39:Q39"/>
    <mergeCell ref="T28:AE38"/>
    <mergeCell ref="A39:E39"/>
    <mergeCell ref="F39:G39"/>
    <mergeCell ref="H39:I39"/>
    <mergeCell ref="J39:K39"/>
    <mergeCell ref="L39:M39"/>
    <mergeCell ref="N39:O39"/>
    <mergeCell ref="F38:G38"/>
    <mergeCell ref="H38:I38"/>
    <mergeCell ref="J38:K38"/>
    <mergeCell ref="L38:M38"/>
    <mergeCell ref="N38:O38"/>
    <mergeCell ref="P38:Q38"/>
    <mergeCell ref="F37:G37"/>
    <mergeCell ref="H37:I37"/>
    <mergeCell ref="J37:K37"/>
    <mergeCell ref="L37:M37"/>
    <mergeCell ref="N37:O37"/>
    <mergeCell ref="P37:Q37"/>
    <mergeCell ref="F36:G36"/>
    <mergeCell ref="H36:I36"/>
    <mergeCell ref="J36:K36"/>
    <mergeCell ref="L36:M36"/>
  </mergeCells>
  <conditionalFormatting sqref="F39:M39 P39:Y39">
    <cfRule type="expression" dxfId="80" priority="7" stopIfTrue="1">
      <formula>F39=0</formula>
    </cfRule>
  </conditionalFormatting>
  <conditionalFormatting sqref="O54">
    <cfRule type="expression" dxfId="79" priority="4">
      <formula>O54=0</formula>
    </cfRule>
  </conditionalFormatting>
  <conditionalFormatting sqref="R18:R19 H18:Q38">
    <cfRule type="expression" dxfId="78" priority="5">
      <formula>H18=0</formula>
    </cfRule>
  </conditionalFormatting>
  <conditionalFormatting sqref="R24:AG27 R28:T28 AF28:AG38 R29:S38">
    <cfRule type="expression" dxfId="77" priority="1">
      <formula>R24=0</formula>
    </cfRule>
  </conditionalFormatting>
  <conditionalFormatting sqref="V20:V21">
    <cfRule type="expression" dxfId="76" priority="2">
      <formula>(V20&lt;&gt;0)</formula>
    </cfRule>
    <cfRule type="expression" dxfId="75" priority="3">
      <formula>(V20=0)</formula>
    </cfRule>
  </conditionalFormatting>
  <conditionalFormatting sqref="AB39:AE39">
    <cfRule type="expression" dxfId="74" priority="8" stopIfTrue="1">
      <formula>AB39=0</formula>
    </cfRule>
  </conditionalFormatting>
  <conditionalFormatting sqref="AG18 T19:AG19 W20:AG21 R20:S23 AG22:AG23">
    <cfRule type="expression" dxfId="73" priority="6">
      <formula>R18=0</formula>
    </cfRule>
  </conditionalFormatting>
  <pageMargins left="0.7" right="0.7" top="0.75" bottom="0.75" header="0.3" footer="0.3"/>
  <pageSetup paperSize="9" scale="65" orientation="portrait" r:id="rId1"/>
  <headerFooter>
    <oddFooter>&amp;C_x000D_&amp;1#&amp;"Calibri"&amp;10&amp;K000000 Internal</oddFooter>
  </headerFooter>
  <colBreaks count="1" manualBreakCount="1">
    <brk id="33"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D77F0-9640-4FA0-9421-EE1A883A899C}">
  <sheetPr>
    <tabColor rgb="FFFFC000"/>
    <pageSetUpPr fitToPage="1"/>
  </sheetPr>
  <dimension ref="A1:AS102"/>
  <sheetViews>
    <sheetView showGridLines="0" view="pageBreakPreview" zoomScaleNormal="100" zoomScaleSheetLayoutView="100" workbookViewId="0">
      <selection activeCell="A6" sqref="A6:E6"/>
    </sheetView>
  </sheetViews>
  <sheetFormatPr defaultColWidth="9.28515625" defaultRowHeight="11.25"/>
  <cols>
    <col min="1" max="7" width="3.5703125" style="137" customWidth="1"/>
    <col min="8" max="8" width="10" style="137" customWidth="1"/>
    <col min="9" max="9" width="9" style="137" customWidth="1"/>
    <col min="10" max="16" width="8.28515625" style="137" customWidth="1"/>
    <col min="17" max="17" width="1.42578125" style="137" customWidth="1"/>
    <col min="18" max="18" width="6.7109375" style="137" customWidth="1"/>
    <col min="19" max="23" width="8" style="137" customWidth="1"/>
    <col min="24" max="24" width="8" style="134" customWidth="1"/>
    <col min="25" max="30" width="8" style="137" customWidth="1"/>
    <col min="31" max="36" width="8" style="136" customWidth="1"/>
    <col min="37" max="16384" width="9.28515625" style="136"/>
  </cols>
  <sheetData>
    <row r="1" spans="1:44" s="129" customFormat="1" ht="14.25" customHeight="1">
      <c r="A1" s="1517" t="s">
        <v>21</v>
      </c>
      <c r="B1" s="1518"/>
      <c r="C1" s="1518"/>
      <c r="D1" s="1518"/>
      <c r="E1" s="1518"/>
      <c r="F1" s="1518"/>
      <c r="G1" s="1518"/>
      <c r="H1" s="1518"/>
      <c r="I1" s="1518"/>
      <c r="J1" s="1518"/>
      <c r="K1" s="1518"/>
      <c r="L1" s="1518"/>
      <c r="M1" s="1518"/>
      <c r="N1" s="1518"/>
      <c r="O1" s="1518"/>
      <c r="P1" s="1518"/>
      <c r="Q1" s="1519"/>
      <c r="R1" s="422"/>
      <c r="S1" s="127"/>
      <c r="T1" s="127"/>
      <c r="U1" s="127"/>
      <c r="V1" s="127"/>
      <c r="W1" s="127"/>
      <c r="X1" s="128"/>
      <c r="Y1" s="127"/>
      <c r="Z1" s="127"/>
      <c r="AA1" s="127"/>
      <c r="AB1" s="127"/>
      <c r="AC1" s="127"/>
      <c r="AD1" s="127"/>
      <c r="AE1" s="127"/>
      <c r="AF1" s="127"/>
      <c r="AG1" s="127"/>
      <c r="AH1" s="127"/>
      <c r="AI1" s="127"/>
      <c r="AJ1" s="127"/>
      <c r="AK1" s="56"/>
      <c r="AL1" s="56"/>
      <c r="AM1" s="56"/>
      <c r="AN1" s="56"/>
      <c r="AO1" s="56"/>
      <c r="AP1" s="56"/>
      <c r="AQ1" s="56"/>
      <c r="AR1" s="56"/>
    </row>
    <row r="2" spans="1:44" s="129" customFormat="1" ht="14.25" customHeight="1">
      <c r="A2" s="1520"/>
      <c r="B2" s="1521"/>
      <c r="C2" s="1521"/>
      <c r="D2" s="1521"/>
      <c r="E2" s="1521"/>
      <c r="F2" s="1521"/>
      <c r="G2" s="1521"/>
      <c r="H2" s="1521"/>
      <c r="I2" s="1521"/>
      <c r="J2" s="1521"/>
      <c r="K2" s="1521"/>
      <c r="L2" s="1521"/>
      <c r="M2" s="1521"/>
      <c r="N2" s="1521"/>
      <c r="O2" s="1521"/>
      <c r="P2" s="1521"/>
      <c r="Q2" s="1522"/>
      <c r="R2" s="422"/>
      <c r="S2" s="127"/>
      <c r="T2" s="127"/>
      <c r="U2" s="127"/>
      <c r="V2" s="127"/>
      <c r="W2" s="127"/>
      <c r="X2" s="128"/>
      <c r="Y2" s="127"/>
      <c r="Z2" s="127"/>
      <c r="AA2" s="127"/>
      <c r="AB2" s="127"/>
      <c r="AC2" s="127"/>
      <c r="AD2" s="127"/>
      <c r="AE2" s="127"/>
      <c r="AF2" s="127"/>
      <c r="AG2" s="127"/>
      <c r="AH2" s="127"/>
      <c r="AI2" s="127"/>
      <c r="AJ2" s="127"/>
      <c r="AK2" s="56"/>
      <c r="AL2" s="56"/>
      <c r="AM2" s="56"/>
      <c r="AN2" s="56"/>
      <c r="AO2" s="56"/>
      <c r="AP2" s="56"/>
      <c r="AQ2" s="56"/>
      <c r="AR2" s="56"/>
    </row>
    <row r="3" spans="1:44" s="129" customFormat="1" ht="14.25" customHeight="1">
      <c r="A3" s="1520"/>
      <c r="B3" s="1521"/>
      <c r="C3" s="1521"/>
      <c r="D3" s="1521"/>
      <c r="E3" s="1521"/>
      <c r="F3" s="1521"/>
      <c r="G3" s="1521"/>
      <c r="H3" s="1521"/>
      <c r="I3" s="1521"/>
      <c r="J3" s="1521"/>
      <c r="K3" s="1521"/>
      <c r="L3" s="1521"/>
      <c r="M3" s="1521"/>
      <c r="N3" s="1521"/>
      <c r="O3" s="1521"/>
      <c r="P3" s="1521"/>
      <c r="Q3" s="1522"/>
      <c r="R3" s="422"/>
      <c r="S3" s="127"/>
      <c r="T3" s="127"/>
      <c r="U3" s="127"/>
      <c r="V3" s="127"/>
      <c r="W3" s="127"/>
      <c r="X3" s="128"/>
      <c r="Y3" s="127"/>
      <c r="Z3" s="127"/>
      <c r="AA3" s="127"/>
      <c r="AB3" s="127"/>
      <c r="AC3" s="127"/>
      <c r="AD3" s="127"/>
      <c r="AE3" s="127"/>
      <c r="AF3" s="127"/>
      <c r="AG3" s="127"/>
      <c r="AH3" s="127"/>
      <c r="AI3" s="127"/>
      <c r="AJ3" s="127"/>
      <c r="AK3" s="56"/>
      <c r="AL3" s="56"/>
      <c r="AM3" s="56"/>
      <c r="AN3" s="56"/>
      <c r="AO3" s="56"/>
      <c r="AP3" s="56"/>
      <c r="AQ3" s="56"/>
      <c r="AR3" s="56"/>
    </row>
    <row r="4" spans="1:44" s="129" customFormat="1" ht="14.25" customHeight="1">
      <c r="A4" s="1523"/>
      <c r="B4" s="1524"/>
      <c r="C4" s="1524"/>
      <c r="D4" s="1524"/>
      <c r="E4" s="1524"/>
      <c r="F4" s="1524"/>
      <c r="G4" s="1524"/>
      <c r="H4" s="1524"/>
      <c r="I4" s="1524"/>
      <c r="J4" s="1524"/>
      <c r="K4" s="1524"/>
      <c r="L4" s="1524"/>
      <c r="M4" s="1524"/>
      <c r="N4" s="1524"/>
      <c r="O4" s="1524"/>
      <c r="P4" s="1524"/>
      <c r="Q4" s="1525"/>
      <c r="R4" s="422"/>
      <c r="S4" s="127"/>
      <c r="T4" s="127"/>
      <c r="U4" s="127"/>
      <c r="V4" s="127"/>
      <c r="W4" s="127"/>
      <c r="X4" s="128"/>
      <c r="Y4" s="127"/>
      <c r="Z4" s="127"/>
      <c r="AA4" s="127"/>
      <c r="AB4" s="127"/>
      <c r="AC4" s="127"/>
      <c r="AD4" s="127"/>
      <c r="AE4" s="127"/>
      <c r="AF4" s="127"/>
      <c r="AG4" s="127"/>
      <c r="AH4" s="127"/>
      <c r="AI4" s="127"/>
      <c r="AJ4" s="127"/>
      <c r="AK4" s="56"/>
      <c r="AL4" s="56"/>
      <c r="AM4" s="56"/>
      <c r="AN4" s="56"/>
      <c r="AO4" s="56"/>
      <c r="AP4" s="56"/>
      <c r="AQ4" s="56"/>
      <c r="AR4" s="56"/>
    </row>
    <row r="5" spans="1:44" ht="15" customHeight="1">
      <c r="A5" s="1167" t="s">
        <v>22</v>
      </c>
      <c r="B5" s="1168"/>
      <c r="C5" s="1168"/>
      <c r="D5" s="1168"/>
      <c r="E5" s="1168"/>
      <c r="F5" s="27" t="str">
        <f>'Emiss. Ops'!$C$2</f>
        <v>OMVP</v>
      </c>
      <c r="G5" s="27"/>
      <c r="H5" s="27"/>
      <c r="I5" s="27"/>
      <c r="J5" s="27"/>
      <c r="K5" s="130"/>
      <c r="L5" s="130"/>
      <c r="M5" s="131" t="s">
        <v>23</v>
      </c>
      <c r="N5" s="27"/>
      <c r="O5" s="1169" t="str">
        <f>'Precom F P'!$AC$5</f>
        <v>PRJ-001030</v>
      </c>
      <c r="P5" s="1169"/>
      <c r="Q5" s="1169"/>
      <c r="R5" s="1169"/>
      <c r="S5" s="1169"/>
      <c r="T5" s="1169"/>
      <c r="U5" s="1169"/>
      <c r="V5" s="1169"/>
      <c r="W5" s="1170"/>
      <c r="Y5" s="135"/>
      <c r="Z5" s="135"/>
      <c r="AA5" s="135"/>
      <c r="AB5" s="1494"/>
      <c r="AC5" s="1494"/>
      <c r="AD5" s="1494"/>
      <c r="AE5" s="1494"/>
      <c r="AF5" s="1494"/>
      <c r="AG5" s="1494"/>
      <c r="AH5" s="1494"/>
      <c r="AI5" s="1494"/>
      <c r="AJ5" s="1494"/>
      <c r="AK5" s="105"/>
    </row>
    <row r="6" spans="1:44" ht="15" customHeight="1">
      <c r="A6" s="1171" t="s">
        <v>24</v>
      </c>
      <c r="B6" s="1172"/>
      <c r="C6" s="1172"/>
      <c r="D6" s="1172"/>
      <c r="E6" s="1172"/>
      <c r="F6" s="30" t="str">
        <f>'Emiss. Ops'!$C$3</f>
        <v>OMV Neptun BAT Study &amp; ESIA</v>
      </c>
      <c r="G6" s="31"/>
      <c r="H6" s="31"/>
      <c r="I6" s="31"/>
      <c r="J6" s="31"/>
      <c r="M6" s="138" t="s">
        <v>25</v>
      </c>
      <c r="N6" s="31"/>
      <c r="O6" s="31"/>
      <c r="P6" s="31"/>
      <c r="Q6" s="32"/>
      <c r="R6" s="31"/>
      <c r="S6" s="31"/>
      <c r="T6" s="31"/>
      <c r="U6" s="31"/>
      <c r="V6" s="31"/>
      <c r="W6" s="31"/>
      <c r="Y6" s="135"/>
      <c r="Z6" s="135"/>
      <c r="AA6" s="135"/>
      <c r="AB6" s="1494"/>
      <c r="AC6" s="1494"/>
      <c r="AD6" s="1494"/>
      <c r="AE6" s="1494"/>
      <c r="AF6" s="1494"/>
      <c r="AG6" s="1494"/>
      <c r="AH6" s="1494"/>
      <c r="AI6" s="1494"/>
      <c r="AJ6" s="1494"/>
      <c r="AK6" s="105"/>
    </row>
    <row r="7" spans="1:44" ht="15" customHeight="1">
      <c r="A7" s="1171" t="s">
        <v>26</v>
      </c>
      <c r="B7" s="1172"/>
      <c r="C7" s="1172"/>
      <c r="D7" s="1172"/>
      <c r="E7" s="1172"/>
      <c r="F7" s="30" t="str">
        <f>'Emiss. Ops'!$C$4</f>
        <v>Emissions Inventory</v>
      </c>
      <c r="G7" s="31"/>
      <c r="H7" s="31"/>
      <c r="I7" s="31"/>
      <c r="J7" s="31"/>
      <c r="M7" s="139" t="s">
        <v>27</v>
      </c>
      <c r="N7" s="31"/>
      <c r="O7" s="30" t="s">
        <v>97</v>
      </c>
      <c r="P7" s="31"/>
      <c r="Q7" s="31"/>
      <c r="R7" s="31"/>
      <c r="S7" s="31"/>
      <c r="T7" s="31"/>
      <c r="U7" s="31"/>
      <c r="V7" s="31"/>
      <c r="W7" s="31"/>
      <c r="Y7" s="135"/>
      <c r="Z7" s="135"/>
      <c r="AA7" s="135"/>
      <c r="AB7" s="1494"/>
      <c r="AC7" s="1494"/>
      <c r="AD7" s="1494"/>
      <c r="AE7" s="1494"/>
      <c r="AF7" s="1494"/>
      <c r="AG7" s="1494"/>
      <c r="AH7" s="1494"/>
      <c r="AI7" s="1494"/>
      <c r="AJ7" s="1494"/>
      <c r="AK7" s="105"/>
    </row>
    <row r="8" spans="1:44" ht="14.25" customHeight="1">
      <c r="A8" s="1171" t="s">
        <v>98</v>
      </c>
      <c r="B8" s="1172"/>
      <c r="C8" s="1172"/>
      <c r="D8" s="1172"/>
      <c r="E8" s="1172"/>
      <c r="F8" s="140"/>
      <c r="G8" s="140"/>
      <c r="H8" s="140"/>
      <c r="I8" s="140"/>
      <c r="J8" s="140"/>
      <c r="K8" s="140"/>
      <c r="L8" s="140"/>
      <c r="M8" s="138" t="s">
        <v>28</v>
      </c>
      <c r="N8" s="140"/>
      <c r="O8" s="140"/>
      <c r="P8" s="140"/>
      <c r="Q8" s="141"/>
      <c r="R8" s="140"/>
      <c r="Y8" s="142"/>
      <c r="Z8" s="142"/>
      <c r="AA8" s="142"/>
      <c r="AB8" s="142"/>
      <c r="AC8" s="142"/>
      <c r="AD8" s="142"/>
      <c r="AE8" s="142"/>
      <c r="AF8" s="142"/>
      <c r="AG8" s="142"/>
      <c r="AH8" s="142"/>
      <c r="AI8" s="142"/>
      <c r="AJ8" s="142"/>
      <c r="AK8" s="105"/>
    </row>
    <row r="9" spans="1:44" ht="12" customHeight="1">
      <c r="A9" s="143"/>
      <c r="B9" s="144"/>
      <c r="C9" s="144"/>
      <c r="D9" s="144"/>
      <c r="E9" s="144"/>
      <c r="F9" s="140"/>
      <c r="G9" s="140"/>
      <c r="H9" s="140"/>
      <c r="I9" s="140"/>
      <c r="J9" s="140"/>
      <c r="K9" s="140"/>
      <c r="L9" s="140"/>
      <c r="M9" s="140"/>
      <c r="N9" s="140"/>
      <c r="O9" s="140"/>
      <c r="P9" s="140"/>
      <c r="Q9" s="141"/>
      <c r="R9" s="140"/>
      <c r="Y9" s="142"/>
      <c r="Z9" s="142"/>
      <c r="AA9" s="142"/>
      <c r="AB9" s="142"/>
      <c r="AC9" s="142"/>
      <c r="AD9" s="142"/>
      <c r="AE9" s="142"/>
      <c r="AF9" s="142"/>
      <c r="AG9" s="142"/>
      <c r="AH9" s="142"/>
      <c r="AI9" s="142"/>
      <c r="AJ9" s="142"/>
      <c r="AK9" s="105"/>
    </row>
    <row r="10" spans="1:44" s="129" customFormat="1" ht="15" customHeight="1">
      <c r="A10" s="145" t="s">
        <v>99</v>
      </c>
      <c r="B10" s="146"/>
      <c r="C10" s="146"/>
      <c r="D10" s="146"/>
      <c r="E10" s="146"/>
      <c r="F10" s="146"/>
      <c r="G10" s="146"/>
      <c r="H10" s="146"/>
      <c r="I10" s="147"/>
      <c r="J10" s="147"/>
      <c r="K10" s="148"/>
      <c r="L10" s="147"/>
      <c r="M10" s="147"/>
      <c r="N10" s="147"/>
      <c r="O10" s="147"/>
      <c r="P10" s="147"/>
      <c r="Q10" s="149"/>
      <c r="R10" s="31"/>
      <c r="X10" s="150"/>
      <c r="Y10" s="135"/>
      <c r="Z10" s="135"/>
      <c r="AA10" s="135"/>
      <c r="AB10" s="1526"/>
      <c r="AC10" s="1526"/>
      <c r="AD10" s="1526"/>
      <c r="AE10" s="1527"/>
      <c r="AF10" s="1527"/>
      <c r="AG10" s="1527"/>
      <c r="AH10" s="1494"/>
      <c r="AI10" s="1494"/>
      <c r="AJ10" s="1494"/>
      <c r="AK10" s="56"/>
    </row>
    <row r="11" spans="1:44" s="129" customFormat="1" ht="14.25" customHeight="1">
      <c r="A11" s="1117" t="s">
        <v>185</v>
      </c>
      <c r="B11" s="1118"/>
      <c r="C11" s="1118"/>
      <c r="D11" s="1118"/>
      <c r="E11" s="1118"/>
      <c r="F11" s="1118"/>
      <c r="G11" s="1118"/>
      <c r="H11" s="1118"/>
      <c r="I11" s="1118"/>
      <c r="J11" s="1118"/>
      <c r="K11" s="1118"/>
      <c r="L11" s="1118"/>
      <c r="M11" s="1118"/>
      <c r="N11" s="1118"/>
      <c r="O11" s="1118"/>
      <c r="P11" s="151"/>
      <c r="Q11" s="152"/>
      <c r="R11" s="139"/>
      <c r="S11" s="127"/>
      <c r="T11" s="127"/>
      <c r="U11" s="127"/>
      <c r="V11" s="127"/>
      <c r="W11" s="127"/>
      <c r="X11" s="128"/>
      <c r="Y11" s="127"/>
      <c r="Z11" s="127"/>
      <c r="AA11" s="127"/>
      <c r="AB11" s="127"/>
      <c r="AC11" s="127"/>
      <c r="AD11" s="127"/>
      <c r="AE11" s="127"/>
      <c r="AF11" s="127"/>
      <c r="AG11" s="127"/>
      <c r="AH11" s="127"/>
      <c r="AI11" s="127"/>
      <c r="AJ11" s="127"/>
      <c r="AK11" s="56"/>
      <c r="AL11" s="56"/>
      <c r="AM11" s="56"/>
      <c r="AN11" s="56"/>
      <c r="AO11" s="56"/>
      <c r="AP11" s="56"/>
      <c r="AQ11" s="56"/>
      <c r="AR11" s="56"/>
    </row>
    <row r="12" spans="1:44" s="129" customFormat="1" ht="14.25" customHeight="1">
      <c r="A12" s="1149"/>
      <c r="B12" s="1150"/>
      <c r="C12" s="1150"/>
      <c r="D12" s="1150"/>
      <c r="E12" s="1150"/>
      <c r="F12" s="1150"/>
      <c r="G12" s="1150"/>
      <c r="H12" s="1150"/>
      <c r="I12" s="1150"/>
      <c r="J12" s="1150"/>
      <c r="K12" s="1150"/>
      <c r="L12" s="1150"/>
      <c r="M12" s="1150"/>
      <c r="N12" s="1150"/>
      <c r="O12" s="1150"/>
      <c r="P12" s="153"/>
      <c r="Q12" s="154"/>
      <c r="R12" s="139"/>
      <c r="S12" s="127"/>
      <c r="T12" s="127"/>
      <c r="U12" s="127"/>
      <c r="V12" s="127"/>
      <c r="W12" s="127"/>
      <c r="X12" s="128"/>
      <c r="Y12" s="127"/>
      <c r="Z12" s="127"/>
      <c r="AA12" s="127"/>
      <c r="AB12" s="127"/>
      <c r="AC12" s="127"/>
      <c r="AD12" s="127"/>
      <c r="AE12" s="127"/>
      <c r="AF12" s="127"/>
      <c r="AG12" s="127"/>
      <c r="AH12" s="127"/>
      <c r="AI12" s="127"/>
      <c r="AJ12" s="127"/>
      <c r="AK12" s="56"/>
      <c r="AL12" s="56"/>
      <c r="AM12" s="56"/>
      <c r="AN12" s="56"/>
      <c r="AO12" s="56"/>
      <c r="AP12" s="56"/>
      <c r="AQ12" s="56"/>
      <c r="AR12" s="56"/>
    </row>
    <row r="13" spans="1:44" s="129" customFormat="1" ht="14.25" customHeight="1">
      <c r="A13" s="155"/>
      <c r="B13" s="156"/>
      <c r="C13" s="156"/>
      <c r="D13" s="156"/>
      <c r="E13" s="156"/>
      <c r="F13" s="156"/>
      <c r="G13" s="156"/>
      <c r="H13" s="156"/>
      <c r="I13" s="156"/>
      <c r="J13" s="156"/>
      <c r="K13" s="156"/>
      <c r="L13" s="156"/>
      <c r="M13" s="156"/>
      <c r="N13" s="156"/>
      <c r="O13" s="156"/>
      <c r="P13" s="156"/>
      <c r="Q13" s="157"/>
      <c r="R13" s="139"/>
      <c r="S13" s="127"/>
      <c r="T13" s="127"/>
      <c r="U13" s="127"/>
      <c r="V13" s="127"/>
      <c r="W13" s="127"/>
      <c r="X13" s="128"/>
      <c r="Y13" s="127"/>
      <c r="Z13" s="127"/>
      <c r="AA13" s="127"/>
      <c r="AB13" s="127"/>
      <c r="AC13" s="127"/>
      <c r="AD13" s="127"/>
      <c r="AE13" s="127"/>
      <c r="AF13" s="127"/>
      <c r="AG13" s="127"/>
      <c r="AH13" s="127"/>
      <c r="AI13" s="127"/>
      <c r="AJ13" s="127"/>
      <c r="AK13" s="56"/>
      <c r="AL13" s="56"/>
      <c r="AM13" s="56"/>
      <c r="AN13" s="56"/>
      <c r="AO13" s="56"/>
      <c r="AP13" s="56"/>
      <c r="AQ13" s="56"/>
      <c r="AR13" s="56"/>
    </row>
    <row r="14" spans="1:44" s="129" customFormat="1" ht="33.75" customHeight="1">
      <c r="A14" s="1117" t="s">
        <v>589</v>
      </c>
      <c r="B14" s="1118"/>
      <c r="C14" s="1118"/>
      <c r="D14" s="1118"/>
      <c r="E14" s="1118"/>
      <c r="F14" s="1118"/>
      <c r="G14" s="1119"/>
      <c r="H14" s="1515" t="s">
        <v>810</v>
      </c>
      <c r="I14" s="1516"/>
      <c r="J14" s="1516"/>
      <c r="K14" s="1516"/>
      <c r="L14" s="1516"/>
      <c r="M14" s="1516"/>
      <c r="N14" s="1516"/>
      <c r="O14" s="1516"/>
      <c r="P14" s="155"/>
      <c r="Q14" s="141"/>
      <c r="R14" s="140"/>
      <c r="X14" s="150"/>
      <c r="AC14" s="142"/>
      <c r="AD14" s="142"/>
      <c r="AK14" s="56"/>
      <c r="AL14" s="56"/>
      <c r="AM14" s="56"/>
      <c r="AN14" s="56"/>
      <c r="AO14" s="56"/>
      <c r="AP14" s="56"/>
      <c r="AQ14" s="56"/>
      <c r="AR14" s="56"/>
    </row>
    <row r="15" spans="1:44" s="129" customFormat="1" ht="34.5" customHeight="1">
      <c r="A15" s="1149"/>
      <c r="B15" s="1150"/>
      <c r="C15" s="1150"/>
      <c r="D15" s="1150"/>
      <c r="E15" s="1150"/>
      <c r="F15" s="1150"/>
      <c r="G15" s="1151"/>
      <c r="H15" s="158"/>
      <c r="I15" s="158" t="s">
        <v>811</v>
      </c>
      <c r="J15" s="405"/>
      <c r="K15" s="159"/>
      <c r="L15" s="159"/>
      <c r="M15" s="159"/>
      <c r="N15" s="159"/>
      <c r="O15" s="159"/>
      <c r="P15" s="160"/>
      <c r="Q15" s="141"/>
      <c r="R15" s="140"/>
      <c r="X15" s="150"/>
      <c r="AC15" s="142"/>
      <c r="AD15" s="142"/>
      <c r="AK15" s="56"/>
      <c r="AL15" s="56"/>
      <c r="AM15" s="56"/>
      <c r="AN15" s="56"/>
      <c r="AO15" s="56"/>
      <c r="AP15" s="56"/>
      <c r="AQ15" s="56"/>
      <c r="AR15" s="56"/>
    </row>
    <row r="16" spans="1:44" s="129" customFormat="1" ht="14.25" customHeight="1">
      <c r="A16" s="1499" t="s">
        <v>393</v>
      </c>
      <c r="B16" s="1500"/>
      <c r="C16" s="1500"/>
      <c r="D16" s="1500"/>
      <c r="E16" s="1500"/>
      <c r="F16" s="1510" t="s">
        <v>775</v>
      </c>
      <c r="G16" s="1511"/>
      <c r="H16" s="161"/>
      <c r="I16" s="161">
        <v>4.0000000000000001E-3</v>
      </c>
      <c r="J16" s="162"/>
      <c r="K16" s="162"/>
      <c r="L16" s="162"/>
      <c r="M16" s="162"/>
      <c r="N16" s="162"/>
      <c r="O16" s="162"/>
      <c r="P16" s="163"/>
      <c r="Q16" s="141"/>
      <c r="R16" s="140"/>
      <c r="X16" s="150"/>
      <c r="AC16" s="142"/>
      <c r="AD16" s="142"/>
      <c r="AK16" s="56"/>
      <c r="AL16" s="56"/>
      <c r="AM16" s="56"/>
      <c r="AN16" s="56"/>
      <c r="AO16" s="56"/>
      <c r="AP16" s="56"/>
      <c r="AQ16" s="56"/>
      <c r="AR16" s="56"/>
    </row>
    <row r="17" spans="1:45" s="129" customFormat="1" ht="14.25" customHeight="1">
      <c r="A17" s="168" t="s">
        <v>115</v>
      </c>
      <c r="B17" s="169"/>
      <c r="C17" s="169"/>
      <c r="D17" s="169"/>
      <c r="E17" s="169"/>
      <c r="F17" s="1510" t="s">
        <v>775</v>
      </c>
      <c r="G17" s="1511"/>
      <c r="H17" s="161"/>
      <c r="I17" s="161">
        <v>1.2</v>
      </c>
      <c r="J17" s="162"/>
      <c r="K17" s="162"/>
      <c r="L17" s="162"/>
      <c r="M17" s="162"/>
      <c r="N17" s="162"/>
      <c r="O17" s="162"/>
      <c r="P17" s="163"/>
      <c r="Q17" s="141"/>
      <c r="R17" s="140"/>
      <c r="S17" s="142"/>
      <c r="T17" s="142"/>
      <c r="U17" s="142"/>
      <c r="V17" s="142"/>
      <c r="W17" s="142"/>
      <c r="X17" s="304"/>
      <c r="Y17" s="142"/>
      <c r="Z17" s="142"/>
      <c r="AA17" s="142"/>
      <c r="AB17" s="142"/>
      <c r="AC17" s="142"/>
      <c r="AD17" s="142"/>
      <c r="AK17" s="56"/>
      <c r="AL17" s="56"/>
      <c r="AM17" s="56"/>
      <c r="AN17" s="56"/>
      <c r="AO17" s="56"/>
      <c r="AP17" s="56"/>
      <c r="AQ17" s="56"/>
      <c r="AR17" s="56"/>
    </row>
    <row r="18" spans="1:45" s="129" customFormat="1" ht="14.25" customHeight="1">
      <c r="A18" s="1499" t="s">
        <v>123</v>
      </c>
      <c r="B18" s="1500"/>
      <c r="C18" s="1500"/>
      <c r="D18" s="1500"/>
      <c r="E18" s="1500"/>
      <c r="F18" s="1510" t="s">
        <v>775</v>
      </c>
      <c r="G18" s="1511"/>
      <c r="H18" s="161"/>
      <c r="I18" s="161">
        <v>1.9E-2</v>
      </c>
      <c r="J18" s="162"/>
      <c r="K18" s="162"/>
      <c r="L18" s="162"/>
      <c r="M18" s="162"/>
      <c r="N18" s="162"/>
      <c r="O18" s="162"/>
      <c r="P18" s="163"/>
      <c r="Q18" s="141"/>
      <c r="R18" s="140"/>
      <c r="S18" s="142"/>
      <c r="T18" s="142"/>
      <c r="U18" s="142"/>
      <c r="V18" s="142"/>
      <c r="W18" s="142"/>
      <c r="X18" s="304"/>
      <c r="Y18" s="142"/>
      <c r="Z18" s="142"/>
      <c r="AA18" s="142"/>
      <c r="AB18" s="142"/>
      <c r="AC18" s="142"/>
      <c r="AD18" s="142"/>
      <c r="AK18" s="56"/>
      <c r="AL18" s="56"/>
      <c r="AM18" s="56"/>
      <c r="AN18" s="56"/>
      <c r="AO18" s="56"/>
      <c r="AP18" s="56"/>
      <c r="AQ18" s="56"/>
      <c r="AR18" s="56"/>
    </row>
    <row r="19" spans="1:45" s="129" customFormat="1" ht="14.25" customHeight="1">
      <c r="A19" s="1499" t="s">
        <v>124</v>
      </c>
      <c r="B19" s="1500"/>
      <c r="C19" s="1500"/>
      <c r="D19" s="1500"/>
      <c r="E19" s="1500"/>
      <c r="F19" s="1510" t="s">
        <v>775</v>
      </c>
      <c r="G19" s="1511"/>
      <c r="H19" s="161"/>
      <c r="I19" s="161">
        <v>1E-3</v>
      </c>
      <c r="J19" s="162"/>
      <c r="K19" s="162"/>
      <c r="L19" s="162"/>
      <c r="M19" s="162"/>
      <c r="N19" s="162"/>
      <c r="O19" s="162"/>
      <c r="P19" s="163"/>
      <c r="Q19" s="141"/>
      <c r="R19" s="140"/>
      <c r="S19" s="142"/>
      <c r="T19" s="142"/>
      <c r="U19" s="142"/>
      <c r="V19" s="142"/>
      <c r="W19" s="142"/>
      <c r="X19" s="304"/>
      <c r="Y19" s="142"/>
      <c r="Z19" s="142"/>
      <c r="AA19" s="142"/>
      <c r="AB19" s="142"/>
      <c r="AC19" s="142"/>
      <c r="AD19" s="142"/>
      <c r="AK19" s="56"/>
      <c r="AL19" s="56"/>
      <c r="AM19" s="56"/>
      <c r="AN19" s="56"/>
      <c r="AO19" s="56"/>
      <c r="AP19" s="56"/>
      <c r="AQ19" s="56"/>
      <c r="AR19" s="56"/>
    </row>
    <row r="20" spans="1:45" s="129" customFormat="1" ht="14.25" customHeight="1">
      <c r="A20" s="1499" t="s">
        <v>126</v>
      </c>
      <c r="B20" s="1500"/>
      <c r="C20" s="1500"/>
      <c r="D20" s="1500"/>
      <c r="E20" s="1500"/>
      <c r="F20" s="1510" t="s">
        <v>775</v>
      </c>
      <c r="G20" s="1511"/>
      <c r="H20" s="173"/>
      <c r="I20" s="161">
        <v>3.1</v>
      </c>
      <c r="J20" s="172"/>
      <c r="K20" s="162"/>
      <c r="L20" s="162"/>
      <c r="M20" s="162"/>
      <c r="N20" s="162"/>
      <c r="O20" s="162"/>
      <c r="P20" s="163"/>
      <c r="Q20" s="141"/>
      <c r="R20" s="140"/>
      <c r="T20" s="142"/>
      <c r="U20" s="142"/>
      <c r="V20" s="142"/>
      <c r="W20" s="142"/>
      <c r="X20" s="304"/>
      <c r="Y20" s="142"/>
      <c r="Z20" s="142"/>
      <c r="AA20" s="142"/>
      <c r="AB20" s="142"/>
      <c r="AC20" s="142"/>
      <c r="AD20" s="142"/>
      <c r="AK20" s="56"/>
      <c r="AL20" s="56"/>
      <c r="AM20" s="56"/>
      <c r="AN20" s="56"/>
      <c r="AO20" s="56"/>
      <c r="AP20" s="56"/>
      <c r="AQ20" s="56"/>
      <c r="AR20" s="56"/>
    </row>
    <row r="21" spans="1:45" s="129" customFormat="1" ht="14.25" customHeight="1">
      <c r="A21" s="175"/>
      <c r="B21" s="176"/>
      <c r="C21" s="176"/>
      <c r="D21" s="176"/>
      <c r="E21" s="176"/>
      <c r="F21" s="177"/>
      <c r="G21" s="177"/>
      <c r="H21" s="178"/>
      <c r="I21" s="179"/>
      <c r="J21" s="180"/>
      <c r="K21" s="179"/>
      <c r="L21" s="179"/>
      <c r="M21" s="179"/>
      <c r="N21" s="179"/>
      <c r="O21" s="179"/>
      <c r="P21" s="179"/>
      <c r="Q21" s="141"/>
      <c r="R21" s="140"/>
      <c r="T21" s="142"/>
      <c r="U21" s="142"/>
      <c r="V21" s="142"/>
      <c r="W21" s="142"/>
      <c r="X21" s="304"/>
      <c r="Y21" s="142"/>
      <c r="Z21" s="142"/>
      <c r="AA21" s="142"/>
      <c r="AB21" s="142"/>
      <c r="AC21" s="142"/>
      <c r="AD21" s="142"/>
      <c r="AK21" s="56"/>
      <c r="AL21" s="56"/>
      <c r="AM21" s="56"/>
      <c r="AN21" s="56"/>
      <c r="AO21" s="56"/>
      <c r="AP21" s="56"/>
      <c r="AQ21" s="56"/>
      <c r="AR21" s="56"/>
    </row>
    <row r="22" spans="1:45" s="129" customFormat="1" ht="29.25" customHeight="1">
      <c r="A22" s="1512" t="s">
        <v>776</v>
      </c>
      <c r="B22" s="1513"/>
      <c r="C22" s="1513"/>
      <c r="D22" s="1513"/>
      <c r="E22" s="1513"/>
      <c r="F22" s="1513"/>
      <c r="G22" s="1514"/>
      <c r="H22" s="181"/>
      <c r="I22" s="182" t="s">
        <v>811</v>
      </c>
      <c r="J22" s="183"/>
      <c r="K22" s="173"/>
      <c r="L22" s="173"/>
      <c r="M22" s="183"/>
      <c r="N22" s="184"/>
      <c r="O22" s="182"/>
      <c r="P22" s="182"/>
      <c r="Q22" s="185"/>
      <c r="R22" s="423"/>
      <c r="S22" s="186"/>
      <c r="T22" s="186"/>
      <c r="U22" s="186"/>
      <c r="V22" s="186"/>
      <c r="W22" s="186"/>
      <c r="X22" s="306"/>
      <c r="Y22" s="186"/>
      <c r="Z22" s="186"/>
      <c r="AA22" s="186"/>
      <c r="AB22" s="186"/>
      <c r="AC22" s="186"/>
      <c r="AD22" s="186"/>
      <c r="AE22" s="186"/>
      <c r="AF22" s="186"/>
      <c r="AG22" s="186"/>
      <c r="AH22" s="186"/>
      <c r="AI22" s="186"/>
      <c r="AJ22" s="186"/>
    </row>
    <row r="23" spans="1:45" s="129" customFormat="1" ht="14.25" customHeight="1">
      <c r="A23" s="1499" t="s">
        <v>393</v>
      </c>
      <c r="B23" s="1500"/>
      <c r="C23" s="1500"/>
      <c r="D23" s="1500"/>
      <c r="E23" s="1500"/>
      <c r="F23" s="1502" t="s">
        <v>332</v>
      </c>
      <c r="G23" s="1503"/>
      <c r="H23" s="201"/>
      <c r="I23" s="202">
        <f>H29/H30*I16</f>
        <v>6.3841745454545448E-2</v>
      </c>
      <c r="J23" s="202"/>
      <c r="K23" s="173"/>
      <c r="L23" s="173"/>
      <c r="M23" s="202"/>
      <c r="N23" s="203"/>
      <c r="O23" s="202"/>
      <c r="P23" s="202"/>
      <c r="Q23" s="204"/>
      <c r="R23" s="424"/>
      <c r="S23" s="216"/>
      <c r="T23" s="216"/>
      <c r="U23" s="216"/>
      <c r="V23" s="216"/>
      <c r="W23" s="216"/>
      <c r="X23" s="216"/>
      <c r="Y23" s="216"/>
      <c r="Z23" s="216"/>
      <c r="AA23" s="216"/>
      <c r="AB23" s="216"/>
      <c r="AC23" s="216"/>
      <c r="AD23" s="216"/>
      <c r="AE23" s="216"/>
      <c r="AF23" s="205"/>
      <c r="AG23" s="205"/>
      <c r="AH23" s="205"/>
      <c r="AI23" s="205"/>
      <c r="AJ23" s="205"/>
      <c r="AK23" s="142"/>
      <c r="AL23" s="56"/>
      <c r="AM23" s="56"/>
      <c r="AN23" s="56"/>
      <c r="AO23" s="56"/>
      <c r="AP23" s="56"/>
      <c r="AQ23" s="56"/>
      <c r="AR23" s="56"/>
      <c r="AS23" s="56"/>
    </row>
    <row r="24" spans="1:45" s="129" customFormat="1" ht="14.25" customHeight="1">
      <c r="A24" s="168" t="s">
        <v>115</v>
      </c>
      <c r="B24" s="169"/>
      <c r="C24" s="169"/>
      <c r="D24" s="169"/>
      <c r="E24" s="169"/>
      <c r="F24" s="1502" t="s">
        <v>332</v>
      </c>
      <c r="G24" s="1503"/>
      <c r="H24" s="201"/>
      <c r="I24" s="206">
        <f>H29/H30*I17</f>
        <v>19.152523636363636</v>
      </c>
      <c r="J24" s="206"/>
      <c r="K24" s="173"/>
      <c r="L24" s="173"/>
      <c r="M24" s="206"/>
      <c r="N24" s="207"/>
      <c r="O24" s="206"/>
      <c r="P24" s="202"/>
      <c r="Q24" s="208"/>
      <c r="R24" s="425"/>
      <c r="S24" s="216"/>
      <c r="T24" s="216"/>
      <c r="U24" s="216"/>
      <c r="V24" s="216"/>
      <c r="W24" s="216"/>
      <c r="X24" s="216"/>
      <c r="Y24" s="216"/>
      <c r="Z24" s="216"/>
      <c r="AA24" s="216"/>
      <c r="AB24" s="216"/>
      <c r="AC24" s="216"/>
      <c r="AD24" s="216"/>
      <c r="AE24" s="216"/>
      <c r="AF24" s="209"/>
      <c r="AG24" s="209"/>
      <c r="AH24" s="209"/>
      <c r="AI24" s="209"/>
      <c r="AJ24" s="209"/>
      <c r="AK24" s="142"/>
      <c r="AL24" s="56"/>
      <c r="AM24" s="56"/>
      <c r="AN24" s="56"/>
      <c r="AO24" s="56"/>
      <c r="AP24" s="56"/>
      <c r="AQ24" s="56"/>
      <c r="AR24" s="56"/>
      <c r="AS24" s="56"/>
    </row>
    <row r="25" spans="1:45" s="129" customFormat="1" ht="14.25" customHeight="1">
      <c r="A25" s="1499" t="s">
        <v>123</v>
      </c>
      <c r="B25" s="1500"/>
      <c r="C25" s="1500"/>
      <c r="D25" s="1500"/>
      <c r="E25" s="1500"/>
      <c r="F25" s="1502" t="s">
        <v>332</v>
      </c>
      <c r="G25" s="1503"/>
      <c r="H25" s="201"/>
      <c r="I25" s="206">
        <f>H29/H30*I18</f>
        <v>0.30324829090909089</v>
      </c>
      <c r="J25" s="206"/>
      <c r="K25" s="173"/>
      <c r="L25" s="173"/>
      <c r="M25" s="206"/>
      <c r="N25" s="207"/>
      <c r="O25" s="206"/>
      <c r="P25" s="202"/>
      <c r="Q25" s="208"/>
      <c r="R25" s="425"/>
      <c r="S25" s="216"/>
      <c r="T25" s="216"/>
      <c r="U25" s="216"/>
      <c r="V25" s="216"/>
      <c r="W25" s="216"/>
      <c r="X25" s="216"/>
      <c r="Y25" s="216"/>
      <c r="Z25" s="216"/>
      <c r="AA25" s="216"/>
      <c r="AB25" s="216"/>
      <c r="AC25" s="216"/>
      <c r="AD25" s="216"/>
      <c r="AE25" s="216"/>
      <c r="AF25" s="209"/>
      <c r="AG25" s="209"/>
      <c r="AH25" s="209"/>
      <c r="AI25" s="209"/>
      <c r="AJ25" s="209"/>
      <c r="AK25" s="142"/>
      <c r="AL25" s="56"/>
      <c r="AM25" s="56"/>
      <c r="AN25" s="56"/>
      <c r="AO25" s="56"/>
      <c r="AP25" s="56"/>
      <c r="AQ25" s="56"/>
      <c r="AR25" s="56"/>
      <c r="AS25" s="56"/>
    </row>
    <row r="26" spans="1:45" s="129" customFormat="1" ht="14.25" customHeight="1">
      <c r="A26" s="1499" t="s">
        <v>124</v>
      </c>
      <c r="B26" s="1500"/>
      <c r="C26" s="1500"/>
      <c r="D26" s="1500"/>
      <c r="E26" s="1500"/>
      <c r="F26" s="1502" t="s">
        <v>332</v>
      </c>
      <c r="G26" s="1503"/>
      <c r="H26" s="201"/>
      <c r="I26" s="206">
        <f>H29/H30*I19</f>
        <v>1.5960436363636362E-2</v>
      </c>
      <c r="J26" s="206"/>
      <c r="K26" s="173"/>
      <c r="L26" s="173"/>
      <c r="M26" s="206"/>
      <c r="N26" s="207"/>
      <c r="O26" s="206"/>
      <c r="P26" s="202"/>
      <c r="Q26" s="208"/>
      <c r="R26" s="425"/>
      <c r="S26" s="216"/>
      <c r="T26" s="216"/>
      <c r="U26" s="216"/>
      <c r="V26" s="216"/>
      <c r="W26" s="216"/>
      <c r="X26" s="216"/>
      <c r="Y26" s="216"/>
      <c r="Z26" s="216"/>
      <c r="AA26" s="216"/>
      <c r="AB26" s="216"/>
      <c r="AC26" s="216"/>
      <c r="AD26" s="216"/>
      <c r="AE26" s="216"/>
      <c r="AF26" s="209"/>
      <c r="AG26" s="209"/>
      <c r="AH26" s="209"/>
      <c r="AI26" s="209"/>
      <c r="AJ26" s="209"/>
      <c r="AK26" s="142"/>
      <c r="AL26" s="56"/>
      <c r="AM26" s="56"/>
      <c r="AN26" s="56"/>
      <c r="AO26" s="56"/>
      <c r="AP26" s="56"/>
      <c r="AQ26" s="56"/>
      <c r="AR26" s="56"/>
      <c r="AS26" s="56"/>
    </row>
    <row r="27" spans="1:45" s="129" customFormat="1" ht="14.25" customHeight="1">
      <c r="A27" s="1499" t="s">
        <v>126</v>
      </c>
      <c r="B27" s="1500"/>
      <c r="C27" s="1500"/>
      <c r="D27" s="1500"/>
      <c r="E27" s="1500"/>
      <c r="F27" s="1502" t="s">
        <v>332</v>
      </c>
      <c r="G27" s="1503"/>
      <c r="H27" s="201"/>
      <c r="I27" s="212">
        <f>H29/H30*I20</f>
        <v>49.477352727272731</v>
      </c>
      <c r="J27" s="212"/>
      <c r="K27" s="173"/>
      <c r="L27" s="173"/>
      <c r="M27" s="212"/>
      <c r="N27" s="207"/>
      <c r="O27" s="212"/>
      <c r="P27" s="212"/>
      <c r="Q27" s="208"/>
      <c r="R27" s="425"/>
      <c r="S27" s="209"/>
      <c r="T27" s="209"/>
      <c r="U27" s="209"/>
      <c r="V27" s="209"/>
      <c r="W27" s="209"/>
      <c r="X27" s="413"/>
      <c r="Y27" s="209"/>
      <c r="Z27" s="209"/>
      <c r="AA27" s="209"/>
      <c r="AB27" s="209"/>
      <c r="AC27" s="209"/>
      <c r="AD27" s="209"/>
      <c r="AE27" s="209"/>
      <c r="AF27" s="209"/>
      <c r="AG27" s="209"/>
      <c r="AH27" s="209"/>
      <c r="AI27" s="209"/>
      <c r="AJ27" s="209"/>
      <c r="AK27" s="142"/>
      <c r="AL27" s="56"/>
      <c r="AM27" s="56"/>
      <c r="AN27" s="56"/>
      <c r="AO27" s="56"/>
      <c r="AP27" s="56"/>
      <c r="AQ27" s="56"/>
      <c r="AR27" s="56"/>
      <c r="AS27" s="56"/>
    </row>
    <row r="28" spans="1:45" s="129" customFormat="1" ht="14.25" customHeight="1">
      <c r="A28" s="1508"/>
      <c r="B28" s="1509"/>
      <c r="C28" s="1509"/>
      <c r="D28" s="1509"/>
      <c r="E28" s="1509"/>
      <c r="F28" s="1495"/>
      <c r="G28" s="1495"/>
      <c r="H28" s="213"/>
      <c r="I28" s="214"/>
      <c r="J28" s="214"/>
      <c r="K28" s="214"/>
      <c r="L28" s="214"/>
      <c r="M28" s="214"/>
      <c r="N28" s="214"/>
      <c r="O28" s="214"/>
      <c r="P28" s="214"/>
      <c r="Q28" s="215"/>
      <c r="R28" s="214"/>
      <c r="S28" s="216"/>
      <c r="T28" s="216"/>
      <c r="U28" s="216"/>
      <c r="V28" s="216"/>
      <c r="W28" s="216"/>
      <c r="X28" s="412"/>
      <c r="Y28" s="216"/>
      <c r="Z28" s="216"/>
      <c r="AA28" s="216"/>
      <c r="AB28" s="216"/>
      <c r="AC28" s="216"/>
      <c r="AD28" s="216"/>
      <c r="AE28" s="216"/>
      <c r="AF28" s="216"/>
      <c r="AG28" s="216"/>
      <c r="AH28" s="216"/>
      <c r="AI28" s="216"/>
      <c r="AJ28" s="216"/>
      <c r="AK28" s="142"/>
      <c r="AL28" s="56"/>
      <c r="AM28" s="56"/>
      <c r="AN28" s="56"/>
      <c r="AO28" s="56"/>
      <c r="AP28" s="56"/>
      <c r="AQ28" s="56"/>
      <c r="AR28" s="56"/>
      <c r="AS28" s="56"/>
    </row>
    <row r="29" spans="1:45" s="129" customFormat="1" ht="14.25" customHeight="1">
      <c r="A29" s="217"/>
      <c r="B29" s="218"/>
      <c r="C29" s="31" t="s">
        <v>812</v>
      </c>
      <c r="D29" s="218"/>
      <c r="E29" s="218"/>
      <c r="F29" s="334"/>
      <c r="G29" s="334"/>
      <c r="H29" s="31">
        <f>320*4*90</f>
        <v>115200</v>
      </c>
      <c r="I29" s="31" t="s">
        <v>813</v>
      </c>
      <c r="J29" s="214"/>
      <c r="K29" s="214"/>
      <c r="L29" s="214"/>
      <c r="M29" s="214"/>
      <c r="N29" s="214"/>
      <c r="O29" s="214"/>
      <c r="P29" s="214"/>
      <c r="Q29" s="215"/>
      <c r="R29" s="214"/>
      <c r="S29" s="216"/>
      <c r="T29" s="216"/>
      <c r="U29" s="216"/>
      <c r="V29" s="216"/>
      <c r="W29" s="216"/>
      <c r="X29" s="412"/>
      <c r="Y29" s="216"/>
      <c r="Z29" s="216"/>
      <c r="AA29" s="216"/>
      <c r="AB29" s="216"/>
      <c r="AC29" s="216"/>
      <c r="AD29" s="216"/>
      <c r="AE29" s="216"/>
      <c r="AF29" s="216"/>
      <c r="AG29" s="216"/>
      <c r="AH29" s="216"/>
      <c r="AI29" s="216"/>
      <c r="AJ29" s="216"/>
      <c r="AK29" s="142"/>
      <c r="AL29" s="56"/>
      <c r="AM29" s="56"/>
      <c r="AN29" s="56"/>
      <c r="AO29" s="56"/>
      <c r="AP29" s="56"/>
      <c r="AQ29" s="56"/>
      <c r="AR29" s="56"/>
      <c r="AS29" s="56"/>
    </row>
    <row r="30" spans="1:45" s="129" customFormat="1" ht="14.25" customHeight="1">
      <c r="A30" s="219"/>
      <c r="B30" s="139"/>
      <c r="C30" s="31" t="s">
        <v>814</v>
      </c>
      <c r="D30" s="218"/>
      <c r="E30" s="218"/>
      <c r="F30" s="334"/>
      <c r="G30" s="334"/>
      <c r="H30" s="31">
        <f>((5.5*1000)/H31)*1000</f>
        <v>7217.8477690288719</v>
      </c>
      <c r="I30" s="31" t="s">
        <v>815</v>
      </c>
      <c r="J30" s="156"/>
      <c r="K30" s="156"/>
      <c r="L30" s="156"/>
      <c r="M30" s="156"/>
      <c r="N30" s="156"/>
      <c r="O30" s="156"/>
      <c r="P30" s="156"/>
      <c r="Q30" s="32"/>
      <c r="R30" s="31"/>
      <c r="S30" s="220"/>
      <c r="V30" s="220"/>
      <c r="W30" s="220"/>
      <c r="X30" s="150"/>
      <c r="Y30" s="150"/>
      <c r="AJ30" s="142"/>
      <c r="AK30" s="56"/>
      <c r="AL30" s="56"/>
      <c r="AM30" s="56"/>
      <c r="AN30" s="56"/>
      <c r="AO30" s="56"/>
      <c r="AP30" s="56"/>
      <c r="AQ30" s="56"/>
      <c r="AR30" s="56"/>
    </row>
    <row r="31" spans="1:45" s="129" customFormat="1" ht="14.25" customHeight="1">
      <c r="A31" s="221"/>
      <c r="B31" s="140"/>
      <c r="C31" s="1496" t="s">
        <v>782</v>
      </c>
      <c r="D31" s="1497"/>
      <c r="E31" s="1497"/>
      <c r="F31" s="1497"/>
      <c r="G31" s="1497"/>
      <c r="H31" s="140">
        <v>762</v>
      </c>
      <c r="I31" s="140" t="s">
        <v>783</v>
      </c>
      <c r="J31" s="140"/>
      <c r="K31" s="31"/>
      <c r="L31" s="31"/>
      <c r="M31" s="31"/>
      <c r="N31" s="222"/>
      <c r="O31" s="222"/>
      <c r="P31" s="222"/>
      <c r="Q31" s="32"/>
      <c r="R31" s="31"/>
      <c r="S31" s="220"/>
      <c r="V31" s="220"/>
      <c r="W31" s="220"/>
      <c r="X31" s="150"/>
      <c r="Y31" s="150"/>
      <c r="AJ31" s="142"/>
      <c r="AK31" s="56"/>
      <c r="AL31" s="56"/>
      <c r="AM31" s="56"/>
      <c r="AN31" s="56"/>
      <c r="AO31" s="56"/>
      <c r="AP31" s="56"/>
      <c r="AQ31" s="56"/>
      <c r="AR31" s="56"/>
    </row>
    <row r="32" spans="1:45" s="129" customFormat="1" ht="14.25" customHeight="1">
      <c r="A32" s="1501"/>
      <c r="B32" s="1181"/>
      <c r="C32" s="1181"/>
      <c r="D32" s="1181"/>
      <c r="E32" s="1181"/>
      <c r="F32" s="1181"/>
      <c r="G32" s="1181"/>
      <c r="H32" s="1181"/>
      <c r="I32" s="1181"/>
      <c r="J32" s="1181"/>
      <c r="K32" s="31"/>
      <c r="L32" s="31"/>
      <c r="M32" s="31"/>
      <c r="N32" s="222"/>
      <c r="O32" s="222"/>
      <c r="P32" s="222"/>
      <c r="Q32" s="32"/>
      <c r="R32" s="31"/>
      <c r="S32" s="220"/>
      <c r="V32" s="1493"/>
      <c r="W32" s="1493"/>
      <c r="X32" s="1494"/>
      <c r="Y32" s="1494"/>
      <c r="AJ32" s="142"/>
      <c r="AK32" s="56"/>
      <c r="AL32" s="56"/>
      <c r="AM32" s="56"/>
      <c r="AN32" s="56"/>
      <c r="AO32" s="56"/>
      <c r="AP32" s="56"/>
      <c r="AQ32" s="56"/>
      <c r="AR32" s="56"/>
    </row>
    <row r="33" spans="1:44" s="129" customFormat="1" ht="14.25" customHeight="1">
      <c r="A33" s="223"/>
      <c r="B33" s="147"/>
      <c r="C33" s="31"/>
      <c r="D33" s="31"/>
      <c r="E33" s="31"/>
      <c r="F33" s="31"/>
      <c r="G33" s="31"/>
      <c r="H33" s="31"/>
      <c r="I33" s="31"/>
      <c r="J33" s="31"/>
      <c r="K33" s="31"/>
      <c r="L33" s="31"/>
      <c r="M33" s="31"/>
      <c r="N33" s="222"/>
      <c r="O33" s="222"/>
      <c r="P33" s="222"/>
      <c r="Q33" s="32"/>
      <c r="R33" s="31"/>
      <c r="S33" s="220"/>
      <c r="V33" s="220"/>
      <c r="W33" s="220"/>
      <c r="X33" s="150"/>
      <c r="Y33" s="150"/>
      <c r="AJ33" s="142"/>
      <c r="AK33" s="56"/>
      <c r="AL33" s="56"/>
      <c r="AM33" s="56"/>
      <c r="AN33" s="56"/>
      <c r="AO33" s="56"/>
      <c r="AP33" s="56"/>
      <c r="AQ33" s="56"/>
      <c r="AR33" s="56"/>
    </row>
    <row r="34" spans="1:44" s="129" customFormat="1" ht="14.25" customHeight="1">
      <c r="A34" s="224" t="s">
        <v>678</v>
      </c>
      <c r="B34" s="31"/>
      <c r="C34" s="27"/>
      <c r="D34" s="27"/>
      <c r="E34" s="27"/>
      <c r="F34" s="27"/>
      <c r="G34" s="27"/>
      <c r="H34" s="27"/>
      <c r="I34" s="27"/>
      <c r="J34" s="27"/>
      <c r="K34" s="27"/>
      <c r="L34" s="27"/>
      <c r="M34" s="27"/>
      <c r="N34" s="1491"/>
      <c r="O34" s="1491"/>
      <c r="P34" s="225"/>
      <c r="Q34" s="226"/>
      <c r="R34" s="31"/>
      <c r="S34" s="220"/>
      <c r="V34" s="220"/>
      <c r="W34" s="220"/>
      <c r="X34" s="150"/>
      <c r="Y34" s="150"/>
      <c r="AK34" s="56"/>
      <c r="AL34" s="56"/>
      <c r="AM34" s="56"/>
      <c r="AN34" s="56"/>
      <c r="AO34" s="56"/>
      <c r="AP34" s="56"/>
      <c r="AQ34" s="56"/>
      <c r="AR34" s="56"/>
    </row>
    <row r="35" spans="1:44" s="129" customFormat="1" ht="14.25" customHeight="1">
      <c r="A35" s="227" t="s">
        <v>31</v>
      </c>
      <c r="B35" s="31" t="s">
        <v>816</v>
      </c>
      <c r="C35" s="31"/>
      <c r="D35" s="31"/>
      <c r="E35" s="31"/>
      <c r="F35" s="31"/>
      <c r="G35" s="31"/>
      <c r="H35" s="31"/>
      <c r="I35" s="31"/>
      <c r="J35" s="31"/>
      <c r="K35" s="31"/>
      <c r="L35" s="31"/>
      <c r="M35" s="31"/>
      <c r="N35" s="222"/>
      <c r="O35" s="222"/>
      <c r="P35" s="222"/>
      <c r="Q35" s="32"/>
      <c r="R35" s="31"/>
      <c r="S35" s="228"/>
      <c r="V35" s="1493"/>
      <c r="W35" s="1493"/>
      <c r="X35" s="1494"/>
      <c r="Y35" s="1494"/>
      <c r="AK35" s="56"/>
      <c r="AL35" s="56"/>
      <c r="AM35" s="56"/>
      <c r="AN35" s="56"/>
      <c r="AO35" s="56"/>
      <c r="AP35" s="56"/>
      <c r="AQ35" s="56"/>
      <c r="AR35" s="56"/>
    </row>
    <row r="36" spans="1:44" s="129" customFormat="1" ht="14.25" customHeight="1">
      <c r="A36" s="227" t="s">
        <v>33</v>
      </c>
      <c r="B36" s="31" t="s">
        <v>852</v>
      </c>
      <c r="C36" s="31"/>
      <c r="D36" s="31"/>
      <c r="E36" s="31"/>
      <c r="F36" s="31"/>
      <c r="G36" s="31"/>
      <c r="H36" s="31"/>
      <c r="I36" s="31"/>
      <c r="J36" s="31"/>
      <c r="K36" s="31"/>
      <c r="L36" s="31"/>
      <c r="M36" s="31"/>
      <c r="N36" s="222"/>
      <c r="O36" s="222"/>
      <c r="P36" s="222"/>
      <c r="Q36" s="32"/>
      <c r="R36" s="31"/>
      <c r="S36" s="228"/>
      <c r="V36" s="220"/>
      <c r="W36" s="220"/>
      <c r="X36" s="150"/>
      <c r="Y36" s="150"/>
      <c r="AK36" s="56"/>
      <c r="AL36" s="56"/>
      <c r="AM36" s="56"/>
      <c r="AN36" s="56"/>
      <c r="AO36" s="56"/>
      <c r="AP36" s="56"/>
      <c r="AQ36" s="56"/>
      <c r="AR36" s="56"/>
    </row>
    <row r="37" spans="1:44" s="129" customFormat="1" ht="14.25" customHeight="1">
      <c r="A37" s="227" t="s">
        <v>752</v>
      </c>
      <c r="B37" s="1489" t="s">
        <v>853</v>
      </c>
      <c r="C37" s="1490"/>
      <c r="D37" s="1490"/>
      <c r="E37" s="1490"/>
      <c r="F37" s="1490"/>
      <c r="G37" s="1490"/>
      <c r="H37" s="1490"/>
      <c r="I37" s="1490"/>
      <c r="J37" s="1490"/>
      <c r="K37" s="1490"/>
      <c r="L37" s="1490"/>
      <c r="M37" s="1490"/>
      <c r="N37" s="1490"/>
      <c r="O37" s="1490"/>
      <c r="P37" s="1490"/>
      <c r="Q37" s="231"/>
      <c r="R37" s="230"/>
      <c r="S37" s="228"/>
      <c r="V37" s="220"/>
      <c r="W37" s="220"/>
      <c r="X37" s="150"/>
      <c r="Y37" s="150"/>
      <c r="AK37" s="56"/>
      <c r="AL37" s="56"/>
      <c r="AM37" s="56"/>
      <c r="AN37" s="56"/>
      <c r="AO37" s="56"/>
      <c r="AP37" s="56"/>
      <c r="AQ37" s="56"/>
      <c r="AR37" s="56"/>
    </row>
    <row r="38" spans="1:44" s="129" customFormat="1" ht="14.25" customHeight="1">
      <c r="A38" s="227" t="s">
        <v>787</v>
      </c>
      <c r="B38" s="1489" t="s">
        <v>854</v>
      </c>
      <c r="C38" s="1489"/>
      <c r="D38" s="1489"/>
      <c r="E38" s="1489"/>
      <c r="F38" s="1489"/>
      <c r="G38" s="1489"/>
      <c r="H38" s="1489"/>
      <c r="I38" s="1489"/>
      <c r="J38" s="1489"/>
      <c r="K38" s="1489"/>
      <c r="L38" s="1489"/>
      <c r="M38" s="1489"/>
      <c r="N38" s="1489"/>
      <c r="O38" s="1489"/>
      <c r="P38" s="1489"/>
      <c r="Q38" s="1672"/>
      <c r="R38" s="230"/>
      <c r="S38" s="228"/>
      <c r="V38" s="220"/>
      <c r="W38" s="220"/>
      <c r="X38" s="150"/>
      <c r="Y38" s="150"/>
      <c r="AK38" s="56"/>
      <c r="AL38" s="56"/>
      <c r="AM38" s="56"/>
      <c r="AN38" s="56"/>
      <c r="AO38" s="56"/>
      <c r="AP38" s="56"/>
      <c r="AQ38" s="56"/>
      <c r="AR38" s="56"/>
    </row>
    <row r="39" spans="1:44" s="129" customFormat="1" ht="14.25" customHeight="1">
      <c r="A39" s="227"/>
      <c r="B39" s="1489"/>
      <c r="C39" s="1489"/>
      <c r="D39" s="1489"/>
      <c r="E39" s="1489"/>
      <c r="F39" s="1489"/>
      <c r="G39" s="1489"/>
      <c r="H39" s="1489"/>
      <c r="I39" s="1489"/>
      <c r="J39" s="1489"/>
      <c r="K39" s="1489"/>
      <c r="L39" s="1489"/>
      <c r="M39" s="1489"/>
      <c r="N39" s="1489"/>
      <c r="O39" s="1489"/>
      <c r="P39" s="1489"/>
      <c r="Q39" s="1672"/>
      <c r="R39" s="230"/>
      <c r="S39" s="228"/>
      <c r="V39" s="220"/>
      <c r="W39" s="220"/>
      <c r="X39" s="150"/>
      <c r="Y39" s="150"/>
      <c r="AK39" s="56"/>
      <c r="AL39" s="56"/>
      <c r="AM39" s="56"/>
      <c r="AN39" s="56"/>
      <c r="AO39" s="56"/>
      <c r="AP39" s="56"/>
      <c r="AQ39" s="56"/>
      <c r="AR39" s="56"/>
    </row>
    <row r="40" spans="1:44" s="129" customFormat="1" ht="14.25" customHeight="1">
      <c r="A40" s="227" t="s">
        <v>819</v>
      </c>
      <c r="B40" s="1489" t="s">
        <v>820</v>
      </c>
      <c r="C40" s="1490"/>
      <c r="D40" s="1490"/>
      <c r="E40" s="1490"/>
      <c r="F40" s="1490"/>
      <c r="G40" s="1490"/>
      <c r="H40" s="1490"/>
      <c r="I40" s="1490"/>
      <c r="J40" s="1490"/>
      <c r="K40" s="1490"/>
      <c r="L40" s="1490"/>
      <c r="M40" s="1490"/>
      <c r="N40" s="1490"/>
      <c r="O40" s="1490"/>
      <c r="P40" s="1490"/>
      <c r="Q40" s="231"/>
      <c r="R40" s="230"/>
      <c r="S40" s="228"/>
      <c r="V40" s="220"/>
      <c r="W40" s="220"/>
      <c r="X40" s="150"/>
      <c r="Y40" s="150"/>
      <c r="AK40" s="56"/>
      <c r="AL40" s="56"/>
      <c r="AM40" s="56"/>
      <c r="AN40" s="56"/>
      <c r="AO40" s="56"/>
      <c r="AP40" s="56"/>
      <c r="AQ40" s="56"/>
      <c r="AR40" s="56"/>
    </row>
    <row r="41" spans="1:44" s="129" customFormat="1" ht="14.25" customHeight="1">
      <c r="A41" s="227"/>
      <c r="B41" s="230"/>
      <c r="C41" s="230"/>
      <c r="D41" s="230"/>
      <c r="E41" s="230"/>
      <c r="F41" s="230"/>
      <c r="G41" s="230"/>
      <c r="H41" s="230"/>
      <c r="I41" s="230"/>
      <c r="J41" s="230"/>
      <c r="K41" s="230"/>
      <c r="L41" s="230"/>
      <c r="M41" s="230"/>
      <c r="N41" s="230"/>
      <c r="O41" s="230"/>
      <c r="P41" s="230"/>
      <c r="Q41" s="231"/>
      <c r="R41" s="230"/>
      <c r="S41" s="228"/>
      <c r="V41" s="220"/>
      <c r="W41" s="220"/>
      <c r="X41" s="150"/>
      <c r="Y41" s="150"/>
      <c r="AK41" s="56"/>
      <c r="AL41" s="56"/>
      <c r="AM41" s="56"/>
      <c r="AN41" s="56"/>
      <c r="AO41" s="56"/>
      <c r="AP41" s="56"/>
      <c r="AQ41" s="56"/>
      <c r="AR41" s="56"/>
    </row>
    <row r="42" spans="1:44" s="129" customFormat="1" ht="14.25" customHeight="1">
      <c r="A42" s="227"/>
      <c r="B42" s="31"/>
      <c r="C42" s="31"/>
      <c r="D42" s="31"/>
      <c r="E42" s="31"/>
      <c r="F42" s="31"/>
      <c r="G42" s="31"/>
      <c r="H42" s="31"/>
      <c r="I42" s="31"/>
      <c r="J42" s="31"/>
      <c r="K42" s="31"/>
      <c r="L42" s="31"/>
      <c r="M42" s="31"/>
      <c r="N42" s="222"/>
      <c r="O42" s="222"/>
      <c r="P42" s="222"/>
      <c r="Q42" s="32"/>
      <c r="R42" s="31"/>
      <c r="S42" s="228"/>
      <c r="V42" s="220"/>
      <c r="W42" s="220"/>
      <c r="X42" s="150"/>
      <c r="Y42" s="150"/>
      <c r="AK42" s="56"/>
      <c r="AL42" s="56"/>
      <c r="AM42" s="56"/>
      <c r="AN42" s="56"/>
      <c r="AO42" s="56"/>
      <c r="AP42" s="56"/>
      <c r="AQ42" s="56"/>
      <c r="AR42" s="56"/>
    </row>
    <row r="43" spans="1:44" ht="14.25" customHeight="1">
      <c r="A43" s="232"/>
      <c r="B43" s="233"/>
      <c r="C43" s="233"/>
      <c r="D43" s="233"/>
      <c r="E43" s="233"/>
      <c r="F43" s="233"/>
      <c r="G43" s="233"/>
      <c r="H43" s="233"/>
      <c r="I43" s="233"/>
      <c r="J43" s="233"/>
      <c r="K43" s="233"/>
      <c r="L43" s="233"/>
      <c r="M43" s="233"/>
      <c r="N43" s="233"/>
      <c r="O43" s="233"/>
      <c r="P43" s="233"/>
      <c r="Q43" s="234"/>
      <c r="R43" s="398"/>
      <c r="S43" s="136"/>
      <c r="T43" s="136"/>
      <c r="U43" s="136"/>
      <c r="V43" s="136"/>
      <c r="W43" s="136"/>
      <c r="X43" s="235"/>
      <c r="Y43" s="136"/>
      <c r="Z43" s="136"/>
      <c r="AA43" s="136"/>
      <c r="AB43" s="136"/>
      <c r="AC43" s="136"/>
      <c r="AD43" s="136"/>
      <c r="AK43" s="105"/>
      <c r="AL43" s="105"/>
      <c r="AM43" s="105"/>
      <c r="AN43" s="105"/>
      <c r="AO43" s="105"/>
      <c r="AP43" s="105"/>
      <c r="AQ43" s="105"/>
      <c r="AR43" s="105"/>
    </row>
    <row r="44" spans="1:44">
      <c r="A44" s="236"/>
      <c r="B44" s="236"/>
      <c r="C44" s="236"/>
      <c r="D44" s="236"/>
      <c r="E44" s="236"/>
      <c r="F44" s="236"/>
      <c r="G44" s="236"/>
      <c r="H44" s="236"/>
      <c r="I44" s="236"/>
      <c r="J44" s="236"/>
      <c r="K44" s="236"/>
      <c r="L44" s="236"/>
      <c r="M44" s="236"/>
      <c r="N44" s="236"/>
      <c r="O44" s="236"/>
      <c r="P44" s="236"/>
      <c r="Q44" s="236"/>
      <c r="R44" s="236"/>
      <c r="S44" s="236"/>
      <c r="T44" s="236"/>
      <c r="U44" s="236"/>
      <c r="V44" s="236"/>
      <c r="W44" s="236"/>
      <c r="X44" s="237"/>
      <c r="Y44" s="236"/>
      <c r="Z44" s="236"/>
      <c r="AA44" s="236"/>
      <c r="AB44" s="236"/>
      <c r="AC44" s="136"/>
      <c r="AD44" s="136"/>
      <c r="AK44" s="105"/>
      <c r="AL44" s="105"/>
      <c r="AM44" s="105"/>
      <c r="AN44" s="105"/>
      <c r="AO44" s="105"/>
      <c r="AP44" s="105"/>
      <c r="AQ44" s="105"/>
      <c r="AR44" s="105"/>
    </row>
    <row r="45" spans="1:44">
      <c r="A45" s="236"/>
      <c r="B45" s="236"/>
      <c r="C45" s="236"/>
      <c r="D45" s="236"/>
      <c r="E45" s="236"/>
      <c r="F45" s="236"/>
      <c r="G45" s="236"/>
      <c r="H45" s="236"/>
      <c r="I45" s="236"/>
      <c r="J45" s="236"/>
      <c r="K45" s="236"/>
      <c r="L45" s="236"/>
      <c r="M45" s="236"/>
      <c r="N45" s="236"/>
      <c r="O45" s="236"/>
      <c r="P45" s="236"/>
      <c r="Q45" s="236"/>
      <c r="R45" s="236"/>
      <c r="S45" s="236"/>
      <c r="T45" s="236"/>
      <c r="U45" s="236"/>
      <c r="V45" s="236"/>
      <c r="W45" s="236"/>
      <c r="X45" s="237"/>
      <c r="Y45" s="236"/>
      <c r="Z45" s="236"/>
      <c r="AA45" s="236"/>
      <c r="AB45" s="236"/>
      <c r="AC45" s="236"/>
      <c r="AD45" s="236"/>
      <c r="AE45" s="105"/>
      <c r="AF45" s="105"/>
      <c r="AG45" s="105"/>
      <c r="AH45" s="105"/>
      <c r="AI45" s="105"/>
      <c r="AJ45" s="105"/>
      <c r="AK45" s="105"/>
      <c r="AL45" s="105"/>
      <c r="AM45" s="105"/>
      <c r="AN45" s="105"/>
      <c r="AO45" s="105"/>
      <c r="AP45" s="105"/>
      <c r="AQ45" s="105"/>
      <c r="AR45" s="105"/>
    </row>
    <row r="46" spans="1:44">
      <c r="A46" s="236"/>
      <c r="B46" s="236"/>
      <c r="C46" s="236"/>
      <c r="D46" s="236"/>
      <c r="E46" s="236"/>
      <c r="F46" s="236"/>
      <c r="G46" s="236"/>
      <c r="H46" s="236"/>
      <c r="I46" s="236"/>
      <c r="J46" s="236"/>
      <c r="K46" s="236"/>
      <c r="L46" s="236"/>
      <c r="M46" s="236"/>
      <c r="N46" s="236"/>
      <c r="O46" s="236"/>
      <c r="P46" s="236"/>
      <c r="Q46" s="236"/>
      <c r="R46" s="236"/>
      <c r="S46" s="236"/>
      <c r="T46" s="236"/>
      <c r="U46" s="236"/>
      <c r="V46" s="236"/>
      <c r="W46" s="236"/>
      <c r="X46" s="237"/>
      <c r="Y46" s="236"/>
      <c r="Z46" s="236"/>
      <c r="AA46" s="236"/>
      <c r="AB46" s="236"/>
      <c r="AC46" s="236"/>
      <c r="AD46" s="105"/>
      <c r="AE46" s="105"/>
      <c r="AF46" s="105"/>
      <c r="AG46" s="105"/>
      <c r="AH46" s="105"/>
      <c r="AI46" s="105"/>
      <c r="AJ46" s="105"/>
      <c r="AK46" s="105"/>
      <c r="AL46" s="105"/>
      <c r="AM46" s="105"/>
      <c r="AN46" s="105"/>
      <c r="AO46" s="105"/>
      <c r="AP46" s="105"/>
      <c r="AQ46" s="105"/>
      <c r="AR46" s="105"/>
    </row>
    <row r="47" spans="1:44">
      <c r="A47" s="236"/>
      <c r="B47" s="236"/>
      <c r="C47" s="236"/>
      <c r="D47" s="236"/>
      <c r="E47" s="236"/>
      <c r="F47" s="236"/>
      <c r="G47" s="236"/>
      <c r="H47" s="236"/>
      <c r="I47" s="236"/>
      <c r="J47" s="236"/>
      <c r="K47" s="236"/>
      <c r="L47" s="236"/>
      <c r="M47" s="236"/>
      <c r="N47" s="236"/>
      <c r="O47" s="236"/>
      <c r="P47" s="236"/>
      <c r="Q47" s="236"/>
      <c r="R47" s="236"/>
      <c r="S47" s="236"/>
      <c r="T47" s="236"/>
      <c r="U47" s="236"/>
      <c r="V47" s="236"/>
      <c r="W47" s="236"/>
      <c r="X47" s="237"/>
      <c r="Y47" s="236"/>
      <c r="Z47" s="236"/>
      <c r="AA47" s="236"/>
      <c r="AB47" s="236"/>
      <c r="AC47" s="236"/>
      <c r="AD47" s="105"/>
      <c r="AE47" s="105"/>
      <c r="AF47" s="105"/>
      <c r="AG47" s="105"/>
      <c r="AH47" s="105"/>
      <c r="AI47" s="105"/>
      <c r="AJ47" s="105"/>
      <c r="AK47" s="105"/>
      <c r="AL47" s="105"/>
      <c r="AM47" s="105"/>
      <c r="AN47" s="105"/>
      <c r="AO47" s="105"/>
      <c r="AP47" s="105"/>
      <c r="AQ47" s="105"/>
      <c r="AR47" s="105"/>
    </row>
    <row r="48" spans="1:44">
      <c r="A48" s="236"/>
      <c r="B48" s="236"/>
      <c r="C48" s="236"/>
      <c r="D48" s="236"/>
      <c r="E48" s="236"/>
      <c r="F48" s="236"/>
      <c r="G48" s="236"/>
      <c r="H48" s="236"/>
      <c r="I48" s="236"/>
      <c r="J48" s="236"/>
      <c r="K48" s="236"/>
      <c r="L48" s="236"/>
      <c r="M48" s="236"/>
      <c r="N48" s="236"/>
      <c r="O48" s="236"/>
      <c r="P48" s="236"/>
      <c r="Q48" s="236"/>
      <c r="R48" s="236"/>
      <c r="S48" s="236"/>
      <c r="T48" s="236"/>
      <c r="U48" s="236"/>
      <c r="V48" s="236"/>
      <c r="W48" s="236"/>
      <c r="X48" s="237"/>
      <c r="Y48" s="236"/>
      <c r="Z48" s="236"/>
      <c r="AA48" s="236"/>
      <c r="AB48" s="236"/>
      <c r="AC48" s="236"/>
      <c r="AD48" s="105"/>
      <c r="AE48" s="105"/>
      <c r="AF48" s="105"/>
      <c r="AG48" s="105"/>
      <c r="AH48" s="105"/>
      <c r="AI48" s="105"/>
      <c r="AJ48" s="105"/>
      <c r="AK48" s="105"/>
      <c r="AL48" s="105"/>
      <c r="AM48" s="105"/>
      <c r="AN48" s="105"/>
      <c r="AO48" s="105"/>
      <c r="AP48" s="105"/>
      <c r="AQ48" s="105"/>
      <c r="AR48" s="105"/>
    </row>
    <row r="49" spans="1:44">
      <c r="A49" s="236"/>
      <c r="B49" s="236"/>
      <c r="C49" s="236"/>
      <c r="D49" s="236"/>
      <c r="E49" s="236"/>
      <c r="F49" s="236"/>
      <c r="G49" s="236"/>
      <c r="H49" s="236"/>
      <c r="I49" s="236"/>
      <c r="J49" s="236"/>
      <c r="K49" s="236"/>
      <c r="L49" s="236"/>
      <c r="M49" s="236"/>
      <c r="N49" s="236"/>
      <c r="O49" s="236"/>
      <c r="P49" s="236"/>
      <c r="Q49" s="236"/>
      <c r="R49" s="236"/>
      <c r="S49" s="236"/>
      <c r="T49" s="236"/>
      <c r="U49" s="236"/>
      <c r="V49" s="236"/>
      <c r="W49" s="236"/>
      <c r="X49" s="237"/>
      <c r="Y49" s="236"/>
      <c r="Z49" s="236"/>
      <c r="AA49" s="236"/>
      <c r="AB49" s="236"/>
      <c r="AC49" s="236"/>
      <c r="AD49" s="105"/>
      <c r="AE49" s="105"/>
      <c r="AF49" s="105"/>
      <c r="AG49" s="105"/>
      <c r="AH49" s="105"/>
      <c r="AI49" s="105"/>
      <c r="AJ49" s="105"/>
      <c r="AK49" s="105"/>
      <c r="AL49" s="105"/>
      <c r="AM49" s="105"/>
      <c r="AN49" s="105"/>
      <c r="AO49" s="105"/>
      <c r="AP49" s="105"/>
      <c r="AQ49" s="105"/>
      <c r="AR49" s="105"/>
    </row>
    <row r="50" spans="1:44">
      <c r="A50" s="236"/>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36"/>
      <c r="Z50" s="236"/>
      <c r="AA50" s="236"/>
      <c r="AB50" s="236"/>
      <c r="AC50" s="236"/>
      <c r="AD50" s="105"/>
      <c r="AE50" s="105"/>
      <c r="AF50" s="105"/>
      <c r="AG50" s="105"/>
      <c r="AH50" s="105"/>
      <c r="AI50" s="105"/>
      <c r="AJ50" s="105"/>
      <c r="AK50" s="105"/>
      <c r="AL50" s="105"/>
      <c r="AM50" s="105"/>
      <c r="AN50" s="105"/>
      <c r="AO50" s="105"/>
      <c r="AP50" s="105"/>
      <c r="AQ50" s="105"/>
      <c r="AR50" s="105"/>
    </row>
    <row r="51" spans="1:44">
      <c r="A51" s="236"/>
      <c r="B51" s="236"/>
      <c r="C51" s="236"/>
      <c r="D51" s="236"/>
      <c r="E51" s="236"/>
      <c r="F51" s="236"/>
      <c r="G51" s="236"/>
      <c r="H51" s="236"/>
      <c r="I51" s="236"/>
      <c r="J51" s="236"/>
      <c r="K51" s="236"/>
      <c r="L51" s="236"/>
      <c r="M51" s="236"/>
      <c r="N51" s="236"/>
      <c r="O51" s="236"/>
      <c r="P51" s="236"/>
      <c r="Q51" s="236"/>
      <c r="R51" s="236"/>
      <c r="S51" s="236"/>
      <c r="T51" s="236"/>
      <c r="U51" s="236"/>
      <c r="V51" s="236"/>
      <c r="W51" s="236"/>
      <c r="X51" s="237"/>
      <c r="Y51" s="236"/>
      <c r="Z51" s="236"/>
      <c r="AA51" s="236"/>
      <c r="AB51" s="236"/>
      <c r="AC51" s="236"/>
      <c r="AD51" s="105"/>
      <c r="AE51" s="105"/>
      <c r="AF51" s="105"/>
      <c r="AG51" s="105"/>
      <c r="AH51" s="105"/>
      <c r="AI51" s="105"/>
      <c r="AJ51" s="105"/>
      <c r="AK51" s="105"/>
      <c r="AL51" s="105"/>
      <c r="AM51" s="105"/>
      <c r="AN51" s="105"/>
      <c r="AO51" s="105"/>
      <c r="AP51" s="105"/>
      <c r="AQ51" s="105"/>
      <c r="AR51" s="105"/>
    </row>
    <row r="52" spans="1:44">
      <c r="A52" s="236"/>
      <c r="B52" s="236"/>
      <c r="C52" s="236"/>
      <c r="D52" s="236"/>
      <c r="E52" s="236"/>
      <c r="F52" s="236"/>
      <c r="G52" s="236"/>
      <c r="H52" s="236"/>
      <c r="I52" s="236"/>
      <c r="J52" s="236"/>
      <c r="K52" s="236"/>
      <c r="L52" s="236"/>
      <c r="M52" s="236"/>
      <c r="N52" s="236"/>
      <c r="O52" s="236"/>
      <c r="P52" s="236"/>
      <c r="Q52" s="236"/>
      <c r="R52" s="236"/>
      <c r="S52" s="236"/>
      <c r="T52" s="236"/>
      <c r="U52" s="236"/>
      <c r="V52" s="236"/>
      <c r="W52" s="236"/>
      <c r="X52" s="237"/>
      <c r="Y52" s="236"/>
      <c r="Z52" s="236"/>
      <c r="AA52" s="236"/>
      <c r="AB52" s="236"/>
      <c r="AC52" s="236"/>
      <c r="AD52" s="105"/>
      <c r="AE52" s="105"/>
      <c r="AF52" s="105"/>
      <c r="AG52" s="105"/>
      <c r="AH52" s="105"/>
      <c r="AI52" s="105"/>
      <c r="AJ52" s="105"/>
      <c r="AK52" s="105"/>
      <c r="AL52" s="105"/>
      <c r="AM52" s="105"/>
      <c r="AN52" s="105"/>
      <c r="AO52" s="105"/>
      <c r="AP52" s="105"/>
      <c r="AQ52" s="105"/>
      <c r="AR52" s="105"/>
    </row>
    <row r="53" spans="1:44">
      <c r="A53" s="236"/>
      <c r="B53" s="236"/>
      <c r="C53" s="236"/>
      <c r="D53" s="236"/>
      <c r="E53" s="236"/>
      <c r="F53" s="236"/>
      <c r="G53" s="236"/>
      <c r="H53" s="236"/>
      <c r="I53" s="236"/>
      <c r="J53" s="236"/>
      <c r="K53" s="236"/>
      <c r="L53" s="236"/>
      <c r="M53" s="236"/>
      <c r="N53" s="236"/>
      <c r="O53" s="236"/>
      <c r="P53" s="236"/>
      <c r="Q53" s="236"/>
      <c r="R53" s="236"/>
      <c r="S53" s="236"/>
      <c r="T53" s="236"/>
      <c r="U53" s="236"/>
      <c r="V53" s="236"/>
      <c r="W53" s="236"/>
      <c r="X53" s="237"/>
      <c r="Y53" s="236"/>
      <c r="Z53" s="236"/>
      <c r="AA53" s="236"/>
      <c r="AB53" s="236"/>
      <c r="AC53" s="236"/>
      <c r="AD53" s="105"/>
      <c r="AE53" s="105"/>
      <c r="AF53" s="105"/>
      <c r="AG53" s="105"/>
      <c r="AH53" s="105"/>
      <c r="AI53" s="105"/>
      <c r="AJ53" s="105"/>
      <c r="AK53" s="105"/>
      <c r="AL53" s="105"/>
      <c r="AM53" s="105"/>
      <c r="AN53" s="105"/>
      <c r="AO53" s="105"/>
      <c r="AP53" s="105"/>
      <c r="AQ53" s="105"/>
      <c r="AR53" s="105"/>
    </row>
    <row r="54" spans="1:44" s="137" customFormat="1">
      <c r="A54" s="236"/>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36"/>
      <c r="Z54" s="236"/>
      <c r="AA54" s="236"/>
      <c r="AB54" s="236"/>
      <c r="AC54" s="236"/>
      <c r="AD54" s="105"/>
      <c r="AE54" s="105"/>
      <c r="AF54" s="105"/>
      <c r="AG54" s="105"/>
      <c r="AH54" s="105"/>
      <c r="AI54" s="105"/>
      <c r="AJ54" s="105"/>
      <c r="AK54" s="105"/>
      <c r="AL54" s="105"/>
      <c r="AM54" s="105"/>
      <c r="AN54" s="105"/>
      <c r="AO54" s="105"/>
      <c r="AP54" s="105"/>
      <c r="AQ54" s="105"/>
      <c r="AR54" s="105"/>
    </row>
    <row r="55" spans="1:44" s="137" customFormat="1">
      <c r="A55" s="236"/>
      <c r="B55" s="236"/>
      <c r="C55" s="236"/>
      <c r="D55" s="236"/>
      <c r="E55" s="236"/>
      <c r="F55" s="236"/>
      <c r="G55" s="236"/>
      <c r="H55" s="236"/>
      <c r="I55" s="236"/>
      <c r="J55" s="236"/>
      <c r="K55" s="236"/>
      <c r="L55" s="236"/>
      <c r="M55" s="236"/>
      <c r="N55" s="236"/>
      <c r="O55" s="236"/>
      <c r="P55" s="236"/>
      <c r="Q55" s="236"/>
      <c r="R55" s="236"/>
      <c r="S55" s="236"/>
      <c r="T55" s="236"/>
      <c r="U55" s="236"/>
      <c r="V55" s="236"/>
      <c r="W55" s="236"/>
      <c r="X55" s="237"/>
      <c r="Y55" s="236"/>
      <c r="Z55" s="236"/>
      <c r="AA55" s="236"/>
      <c r="AB55" s="236"/>
      <c r="AC55" s="236"/>
      <c r="AD55" s="105"/>
      <c r="AE55" s="105"/>
      <c r="AF55" s="105"/>
      <c r="AG55" s="105"/>
      <c r="AH55" s="105"/>
      <c r="AI55" s="105"/>
      <c r="AJ55" s="105"/>
      <c r="AK55" s="105"/>
      <c r="AL55" s="105"/>
      <c r="AM55" s="105"/>
      <c r="AN55" s="105"/>
      <c r="AO55" s="105"/>
      <c r="AP55" s="105"/>
      <c r="AQ55" s="105"/>
      <c r="AR55" s="105"/>
    </row>
    <row r="56" spans="1:44" s="137" customFormat="1">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7"/>
      <c r="Y56" s="236"/>
      <c r="Z56" s="236"/>
      <c r="AA56" s="236"/>
      <c r="AB56" s="236"/>
      <c r="AC56" s="236"/>
      <c r="AD56" s="105"/>
      <c r="AE56" s="105"/>
      <c r="AF56" s="105"/>
      <c r="AG56" s="105"/>
      <c r="AH56" s="105"/>
      <c r="AI56" s="105"/>
      <c r="AJ56" s="105"/>
      <c r="AK56" s="105"/>
      <c r="AL56" s="105"/>
      <c r="AM56" s="105"/>
      <c r="AN56" s="105"/>
      <c r="AO56" s="105"/>
      <c r="AP56" s="105"/>
      <c r="AQ56" s="105"/>
      <c r="AR56" s="105"/>
    </row>
    <row r="57" spans="1:44" s="137" customFormat="1">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7"/>
      <c r="Y57" s="236"/>
      <c r="Z57" s="236"/>
      <c r="AA57" s="236"/>
      <c r="AB57" s="236"/>
      <c r="AC57" s="236"/>
      <c r="AD57" s="105"/>
      <c r="AE57" s="105"/>
      <c r="AF57" s="105"/>
      <c r="AG57" s="105"/>
      <c r="AH57" s="105"/>
      <c r="AI57" s="105"/>
      <c r="AJ57" s="105"/>
      <c r="AK57" s="105"/>
      <c r="AL57" s="105"/>
      <c r="AM57" s="105"/>
      <c r="AN57" s="105"/>
      <c r="AO57" s="105"/>
      <c r="AP57" s="105"/>
      <c r="AQ57" s="105"/>
      <c r="AR57" s="105"/>
    </row>
    <row r="58" spans="1:44" s="137" customFormat="1">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7"/>
      <c r="Y58" s="236"/>
      <c r="Z58" s="236"/>
      <c r="AA58" s="236"/>
      <c r="AB58" s="236"/>
      <c r="AC58" s="236"/>
      <c r="AD58" s="105"/>
      <c r="AE58" s="105"/>
      <c r="AF58" s="105"/>
      <c r="AG58" s="105"/>
      <c r="AH58" s="105"/>
      <c r="AI58" s="105"/>
      <c r="AJ58" s="105"/>
      <c r="AK58" s="105"/>
      <c r="AL58" s="105"/>
      <c r="AM58" s="105"/>
      <c r="AN58" s="105"/>
      <c r="AO58" s="105"/>
      <c r="AP58" s="105"/>
      <c r="AQ58" s="105"/>
      <c r="AR58" s="105"/>
    </row>
    <row r="59" spans="1:44" s="137" customFormat="1">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7"/>
      <c r="Y59" s="236"/>
      <c r="Z59" s="236"/>
      <c r="AA59" s="236"/>
      <c r="AB59" s="236"/>
      <c r="AC59" s="236"/>
      <c r="AD59" s="105"/>
      <c r="AE59" s="105"/>
      <c r="AF59" s="105"/>
      <c r="AG59" s="105"/>
      <c r="AH59" s="105"/>
      <c r="AI59" s="105"/>
      <c r="AJ59" s="105"/>
      <c r="AK59" s="105"/>
      <c r="AL59" s="105"/>
      <c r="AM59" s="105"/>
      <c r="AN59" s="105"/>
      <c r="AO59" s="105"/>
      <c r="AP59" s="105"/>
      <c r="AQ59" s="105"/>
      <c r="AR59" s="105"/>
    </row>
    <row r="60" spans="1:44" s="137" customFormat="1">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7"/>
      <c r="Y60" s="236"/>
      <c r="Z60" s="236"/>
      <c r="AA60" s="236"/>
      <c r="AB60" s="236"/>
      <c r="AC60" s="236"/>
      <c r="AD60" s="105"/>
      <c r="AE60" s="105"/>
      <c r="AF60" s="105"/>
      <c r="AG60" s="105"/>
      <c r="AH60" s="105"/>
      <c r="AI60" s="105"/>
      <c r="AJ60" s="105"/>
      <c r="AK60" s="105"/>
      <c r="AL60" s="105"/>
      <c r="AM60" s="105"/>
      <c r="AN60" s="105"/>
      <c r="AO60" s="105"/>
      <c r="AP60" s="105"/>
      <c r="AQ60" s="105"/>
      <c r="AR60" s="105"/>
    </row>
    <row r="61" spans="1:44" s="137" customFormat="1">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7"/>
      <c r="Y61" s="236"/>
      <c r="Z61" s="236"/>
      <c r="AA61" s="236"/>
      <c r="AB61" s="236"/>
      <c r="AC61" s="236"/>
      <c r="AD61" s="105"/>
      <c r="AE61" s="105"/>
      <c r="AF61" s="105"/>
      <c r="AG61" s="105"/>
      <c r="AH61" s="105"/>
      <c r="AI61" s="105"/>
      <c r="AJ61" s="105"/>
      <c r="AK61" s="105"/>
      <c r="AL61" s="105"/>
      <c r="AM61" s="105"/>
      <c r="AN61" s="105"/>
      <c r="AO61" s="105"/>
      <c r="AP61" s="105"/>
      <c r="AQ61" s="105"/>
      <c r="AR61" s="105"/>
    </row>
    <row r="62" spans="1:44" s="137" customFormat="1">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36"/>
      <c r="Z62" s="236"/>
      <c r="AA62" s="236"/>
      <c r="AB62" s="236"/>
      <c r="AC62" s="236"/>
      <c r="AD62" s="105"/>
      <c r="AE62" s="105"/>
      <c r="AF62" s="105"/>
      <c r="AG62" s="105"/>
      <c r="AH62" s="105"/>
      <c r="AI62" s="105"/>
      <c r="AJ62" s="105"/>
      <c r="AK62" s="105"/>
      <c r="AL62" s="105"/>
      <c r="AM62" s="105"/>
      <c r="AN62" s="105"/>
      <c r="AO62" s="105"/>
      <c r="AP62" s="105"/>
      <c r="AQ62" s="105"/>
      <c r="AR62" s="105"/>
    </row>
    <row r="63" spans="1:44" s="137" customFormat="1">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7"/>
      <c r="Y63" s="236"/>
      <c r="Z63" s="236"/>
      <c r="AA63" s="236"/>
      <c r="AB63" s="236"/>
      <c r="AC63" s="236"/>
      <c r="AD63" s="105"/>
      <c r="AE63" s="105"/>
      <c r="AF63" s="105"/>
      <c r="AG63" s="105"/>
      <c r="AH63" s="105"/>
      <c r="AI63" s="105"/>
      <c r="AJ63" s="105"/>
      <c r="AK63" s="105"/>
      <c r="AL63" s="105"/>
      <c r="AM63" s="105"/>
      <c r="AN63" s="105"/>
      <c r="AO63" s="105"/>
      <c r="AP63" s="105"/>
      <c r="AQ63" s="105"/>
      <c r="AR63" s="105"/>
    </row>
    <row r="64" spans="1:44" s="137" customFormat="1">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7"/>
      <c r="Y64" s="236"/>
      <c r="Z64" s="236"/>
      <c r="AA64" s="236"/>
      <c r="AB64" s="236"/>
      <c r="AC64" s="236"/>
      <c r="AD64" s="105"/>
      <c r="AE64" s="105"/>
      <c r="AF64" s="105"/>
      <c r="AG64" s="105"/>
      <c r="AH64" s="105"/>
      <c r="AI64" s="105"/>
      <c r="AJ64" s="105"/>
      <c r="AK64" s="105"/>
      <c r="AL64" s="105"/>
      <c r="AM64" s="105"/>
      <c r="AN64" s="105"/>
      <c r="AO64" s="105"/>
      <c r="AP64" s="105"/>
      <c r="AQ64" s="105"/>
      <c r="AR64" s="105"/>
    </row>
    <row r="65" spans="1:44" s="137" customFormat="1">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7"/>
      <c r="Y65" s="236"/>
      <c r="Z65" s="236"/>
      <c r="AA65" s="236"/>
      <c r="AB65" s="236"/>
      <c r="AC65" s="236"/>
      <c r="AD65" s="105"/>
      <c r="AE65" s="105"/>
      <c r="AF65" s="105"/>
      <c r="AG65" s="105"/>
      <c r="AH65" s="105"/>
      <c r="AI65" s="105"/>
      <c r="AJ65" s="105"/>
      <c r="AK65" s="105"/>
      <c r="AL65" s="105"/>
      <c r="AM65" s="105"/>
      <c r="AN65" s="105"/>
      <c r="AO65" s="105"/>
      <c r="AP65" s="105"/>
      <c r="AQ65" s="105"/>
      <c r="AR65" s="105"/>
    </row>
    <row r="66" spans="1:44" s="137" customFormat="1">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36"/>
      <c r="Z66" s="236"/>
      <c r="AA66" s="236"/>
      <c r="AB66" s="236"/>
      <c r="AC66" s="236"/>
      <c r="AD66" s="105"/>
      <c r="AE66" s="105"/>
      <c r="AF66" s="105"/>
      <c r="AG66" s="105"/>
      <c r="AH66" s="105"/>
      <c r="AI66" s="105"/>
      <c r="AJ66" s="105"/>
      <c r="AK66" s="105"/>
      <c r="AL66" s="105"/>
      <c r="AM66" s="105"/>
      <c r="AN66" s="105"/>
      <c r="AO66" s="105"/>
      <c r="AP66" s="105"/>
      <c r="AQ66" s="105"/>
      <c r="AR66" s="105"/>
    </row>
    <row r="67" spans="1:44" s="137" customFormat="1">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7"/>
      <c r="Y67" s="236"/>
      <c r="Z67" s="236"/>
      <c r="AA67" s="236"/>
      <c r="AB67" s="236"/>
      <c r="AC67" s="236"/>
      <c r="AD67" s="105"/>
      <c r="AE67" s="105"/>
      <c r="AF67" s="105"/>
      <c r="AG67" s="105"/>
      <c r="AH67" s="105"/>
      <c r="AI67" s="105"/>
      <c r="AJ67" s="105"/>
      <c r="AK67" s="105"/>
      <c r="AL67" s="105"/>
      <c r="AM67" s="105"/>
      <c r="AN67" s="105"/>
      <c r="AO67" s="105"/>
      <c r="AP67" s="105"/>
      <c r="AQ67" s="105"/>
      <c r="AR67" s="105"/>
    </row>
    <row r="68" spans="1:44" s="137" customFormat="1">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7"/>
      <c r="Y68" s="236"/>
      <c r="Z68" s="236"/>
      <c r="AA68" s="236"/>
      <c r="AB68" s="236"/>
      <c r="AC68" s="236"/>
      <c r="AD68" s="105"/>
      <c r="AE68" s="105"/>
      <c r="AF68" s="105"/>
      <c r="AG68" s="105"/>
      <c r="AH68" s="105"/>
      <c r="AI68" s="105"/>
      <c r="AJ68" s="105"/>
      <c r="AK68" s="105"/>
      <c r="AL68" s="105"/>
      <c r="AM68" s="105"/>
      <c r="AN68" s="105"/>
      <c r="AO68" s="105"/>
      <c r="AP68" s="105"/>
      <c r="AQ68" s="105"/>
      <c r="AR68" s="105"/>
    </row>
    <row r="69" spans="1:44" s="137" customFormat="1">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7"/>
      <c r="Y69" s="236"/>
      <c r="Z69" s="236"/>
      <c r="AA69" s="236"/>
      <c r="AB69" s="236"/>
      <c r="AC69" s="236"/>
      <c r="AD69" s="105"/>
      <c r="AE69" s="105"/>
      <c r="AF69" s="105"/>
      <c r="AG69" s="105"/>
      <c r="AH69" s="105"/>
      <c r="AI69" s="105"/>
      <c r="AJ69" s="105"/>
      <c r="AK69" s="105"/>
      <c r="AL69" s="105"/>
      <c r="AM69" s="105"/>
      <c r="AN69" s="105"/>
      <c r="AO69" s="105"/>
      <c r="AP69" s="105"/>
      <c r="AQ69" s="105"/>
      <c r="AR69" s="105"/>
    </row>
    <row r="70" spans="1:44">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36"/>
      <c r="Z70" s="236"/>
      <c r="AA70" s="236"/>
      <c r="AB70" s="236"/>
      <c r="AC70" s="236"/>
      <c r="AD70" s="105"/>
      <c r="AE70" s="105"/>
      <c r="AF70" s="105"/>
      <c r="AG70" s="105"/>
      <c r="AH70" s="105"/>
      <c r="AI70" s="105"/>
      <c r="AJ70" s="105"/>
      <c r="AK70" s="105"/>
      <c r="AL70" s="105"/>
      <c r="AM70" s="105"/>
      <c r="AN70" s="105"/>
      <c r="AO70" s="105"/>
      <c r="AP70" s="105"/>
      <c r="AQ70" s="105"/>
      <c r="AR70" s="105"/>
    </row>
    <row r="71" spans="1:44">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7"/>
      <c r="Y71" s="236"/>
      <c r="Z71" s="236"/>
      <c r="AA71" s="236"/>
      <c r="AB71" s="236"/>
      <c r="AC71" s="236"/>
      <c r="AD71" s="105"/>
      <c r="AE71" s="105"/>
      <c r="AF71" s="105"/>
      <c r="AG71" s="105"/>
      <c r="AH71" s="105"/>
      <c r="AI71" s="105"/>
      <c r="AJ71" s="105"/>
      <c r="AK71" s="105"/>
      <c r="AL71" s="105"/>
      <c r="AM71" s="105"/>
      <c r="AN71" s="105"/>
      <c r="AO71" s="105"/>
      <c r="AP71" s="105"/>
      <c r="AQ71" s="105"/>
      <c r="AR71" s="105"/>
    </row>
    <row r="72" spans="1:44">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7"/>
      <c r="Y72" s="236"/>
      <c r="Z72" s="236"/>
      <c r="AA72" s="236"/>
      <c r="AB72" s="236"/>
      <c r="AC72" s="236"/>
      <c r="AD72" s="105"/>
      <c r="AE72" s="105"/>
      <c r="AF72" s="105"/>
      <c r="AG72" s="105"/>
      <c r="AH72" s="105"/>
      <c r="AI72" s="105"/>
      <c r="AJ72" s="105"/>
      <c r="AK72" s="105"/>
      <c r="AL72" s="105"/>
      <c r="AM72" s="105"/>
      <c r="AN72" s="105"/>
      <c r="AO72" s="105"/>
      <c r="AP72" s="105"/>
      <c r="AQ72" s="105"/>
      <c r="AR72" s="105"/>
    </row>
    <row r="73" spans="1:44">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7"/>
      <c r="Y73" s="236"/>
      <c r="Z73" s="236"/>
      <c r="AA73" s="236"/>
      <c r="AB73" s="236"/>
      <c r="AC73" s="236"/>
      <c r="AD73" s="105"/>
      <c r="AE73" s="105"/>
      <c r="AF73" s="105"/>
      <c r="AG73" s="105"/>
      <c r="AH73" s="105"/>
      <c r="AI73" s="105"/>
      <c r="AJ73" s="105"/>
      <c r="AK73" s="105"/>
      <c r="AL73" s="105"/>
      <c r="AM73" s="105"/>
      <c r="AN73" s="105"/>
      <c r="AO73" s="105"/>
      <c r="AP73" s="105"/>
      <c r="AQ73" s="105"/>
      <c r="AR73" s="105"/>
    </row>
    <row r="74" spans="1:44">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36"/>
      <c r="Z74" s="236"/>
      <c r="AA74" s="236"/>
      <c r="AB74" s="236"/>
      <c r="AC74" s="236"/>
      <c r="AD74" s="105"/>
      <c r="AE74" s="105"/>
      <c r="AF74" s="105"/>
      <c r="AG74" s="105"/>
      <c r="AH74" s="105"/>
      <c r="AI74" s="105"/>
      <c r="AJ74" s="105"/>
      <c r="AK74" s="105"/>
      <c r="AL74" s="105"/>
      <c r="AM74" s="105"/>
      <c r="AN74" s="105"/>
      <c r="AO74" s="105"/>
      <c r="AP74" s="105"/>
      <c r="AQ74" s="105"/>
      <c r="AR74" s="105"/>
    </row>
    <row r="75" spans="1:44">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7"/>
      <c r="Y75" s="236"/>
      <c r="Z75" s="236"/>
      <c r="AA75" s="236"/>
      <c r="AB75" s="236"/>
      <c r="AC75" s="236"/>
      <c r="AD75" s="105"/>
      <c r="AE75" s="105"/>
      <c r="AF75" s="105"/>
      <c r="AG75" s="105"/>
      <c r="AH75" s="105"/>
      <c r="AI75" s="105"/>
      <c r="AJ75" s="105"/>
      <c r="AK75" s="105"/>
      <c r="AL75" s="105"/>
      <c r="AM75" s="105"/>
      <c r="AN75" s="105"/>
      <c r="AO75" s="105"/>
      <c r="AP75" s="105"/>
      <c r="AQ75" s="105"/>
      <c r="AR75" s="105"/>
    </row>
    <row r="76" spans="1:44">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7"/>
      <c r="Y76" s="236"/>
      <c r="Z76" s="236"/>
      <c r="AA76" s="236"/>
      <c r="AB76" s="236"/>
      <c r="AC76" s="236"/>
      <c r="AD76" s="105"/>
      <c r="AE76" s="105"/>
      <c r="AF76" s="105"/>
      <c r="AG76" s="105"/>
      <c r="AH76" s="105"/>
      <c r="AI76" s="105"/>
      <c r="AJ76" s="105"/>
      <c r="AK76" s="105"/>
      <c r="AL76" s="105"/>
      <c r="AM76" s="105"/>
      <c r="AN76" s="105"/>
      <c r="AO76" s="105"/>
      <c r="AP76" s="105"/>
      <c r="AQ76" s="105"/>
      <c r="AR76" s="105"/>
    </row>
    <row r="77" spans="1:44">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7"/>
      <c r="Y77" s="236"/>
      <c r="Z77" s="236"/>
      <c r="AA77" s="236"/>
      <c r="AB77" s="236"/>
      <c r="AC77" s="236"/>
      <c r="AD77" s="105"/>
      <c r="AE77" s="105"/>
      <c r="AF77" s="105"/>
      <c r="AG77" s="105"/>
      <c r="AH77" s="105"/>
      <c r="AI77" s="105"/>
      <c r="AJ77" s="105"/>
      <c r="AK77" s="105"/>
      <c r="AL77" s="105"/>
      <c r="AM77" s="105"/>
      <c r="AN77" s="105"/>
      <c r="AO77" s="105"/>
      <c r="AP77" s="105"/>
      <c r="AQ77" s="105"/>
      <c r="AR77" s="105"/>
    </row>
    <row r="78" spans="1:44">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36"/>
      <c r="Z78" s="236"/>
      <c r="AA78" s="236"/>
      <c r="AB78" s="236"/>
      <c r="AC78" s="236"/>
      <c r="AD78" s="105"/>
      <c r="AE78" s="105"/>
      <c r="AF78" s="105"/>
      <c r="AG78" s="105"/>
      <c r="AH78" s="105"/>
      <c r="AI78" s="105"/>
      <c r="AJ78" s="105"/>
      <c r="AK78" s="105"/>
      <c r="AL78" s="105"/>
      <c r="AM78" s="105"/>
      <c r="AN78" s="105"/>
      <c r="AO78" s="105"/>
      <c r="AP78" s="105"/>
      <c r="AQ78" s="105"/>
      <c r="AR78" s="105"/>
    </row>
    <row r="79" spans="1:44">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7"/>
      <c r="Y79" s="236"/>
      <c r="Z79" s="236"/>
      <c r="AA79" s="236"/>
      <c r="AB79" s="236"/>
      <c r="AC79" s="236"/>
      <c r="AD79" s="105"/>
      <c r="AE79" s="105"/>
      <c r="AF79" s="105"/>
      <c r="AG79" s="105"/>
      <c r="AH79" s="105"/>
      <c r="AI79" s="105"/>
      <c r="AJ79" s="105"/>
      <c r="AK79" s="105"/>
      <c r="AL79" s="105"/>
      <c r="AM79" s="105"/>
      <c r="AN79" s="105"/>
      <c r="AO79" s="105"/>
      <c r="AP79" s="105"/>
      <c r="AQ79" s="105"/>
      <c r="AR79" s="105"/>
    </row>
    <row r="80" spans="1:44">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7"/>
      <c r="Y80" s="236"/>
      <c r="Z80" s="236"/>
      <c r="AA80" s="236"/>
      <c r="AB80" s="236"/>
      <c r="AC80" s="236"/>
      <c r="AD80" s="105"/>
      <c r="AE80" s="105"/>
      <c r="AF80" s="105"/>
      <c r="AG80" s="105"/>
      <c r="AH80" s="105"/>
      <c r="AI80" s="105"/>
      <c r="AJ80" s="105"/>
      <c r="AK80" s="105"/>
      <c r="AL80" s="105"/>
      <c r="AM80" s="105"/>
      <c r="AN80" s="105"/>
      <c r="AO80" s="105"/>
      <c r="AP80" s="105"/>
      <c r="AQ80" s="105"/>
      <c r="AR80" s="105"/>
    </row>
    <row r="81" spans="1:44">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7"/>
      <c r="Y81" s="236"/>
      <c r="Z81" s="236"/>
      <c r="AA81" s="236"/>
      <c r="AB81" s="236"/>
      <c r="AC81" s="236"/>
      <c r="AD81" s="105"/>
      <c r="AE81" s="105"/>
      <c r="AF81" s="105"/>
      <c r="AG81" s="105"/>
      <c r="AH81" s="105"/>
      <c r="AI81" s="105"/>
      <c r="AJ81" s="105"/>
      <c r="AK81" s="105"/>
      <c r="AL81" s="105"/>
      <c r="AM81" s="105"/>
      <c r="AN81" s="105"/>
      <c r="AO81" s="105"/>
      <c r="AP81" s="105"/>
      <c r="AQ81" s="105"/>
      <c r="AR81" s="105"/>
    </row>
    <row r="82" spans="1:44">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7"/>
      <c r="Y82" s="236"/>
      <c r="Z82" s="236"/>
      <c r="AA82" s="236"/>
      <c r="AB82" s="236"/>
      <c r="AC82" s="236"/>
      <c r="AD82" s="105"/>
      <c r="AE82" s="105"/>
      <c r="AF82" s="105"/>
      <c r="AG82" s="105"/>
      <c r="AH82" s="105"/>
      <c r="AI82" s="105"/>
      <c r="AJ82" s="105"/>
      <c r="AK82" s="105"/>
      <c r="AL82" s="105"/>
      <c r="AM82" s="105"/>
      <c r="AN82" s="105"/>
      <c r="AO82" s="105"/>
      <c r="AP82" s="105"/>
      <c r="AQ82" s="105"/>
      <c r="AR82" s="105"/>
    </row>
    <row r="83" spans="1:44">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7"/>
      <c r="Y83" s="236"/>
      <c r="Z83" s="236"/>
      <c r="AA83" s="236"/>
      <c r="AB83" s="236"/>
      <c r="AC83" s="236"/>
      <c r="AD83" s="105"/>
      <c r="AE83" s="105"/>
      <c r="AF83" s="105"/>
      <c r="AG83" s="105"/>
      <c r="AH83" s="105"/>
      <c r="AI83" s="105"/>
      <c r="AJ83" s="105"/>
      <c r="AK83" s="105"/>
      <c r="AL83" s="105"/>
      <c r="AM83" s="105"/>
      <c r="AN83" s="105"/>
      <c r="AO83" s="105"/>
      <c r="AP83" s="105"/>
      <c r="AQ83" s="105"/>
      <c r="AR83" s="105"/>
    </row>
    <row r="84" spans="1:44">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7"/>
      <c r="Y84" s="236"/>
      <c r="Z84" s="236"/>
      <c r="AA84" s="236"/>
      <c r="AB84" s="236"/>
      <c r="AC84" s="236"/>
      <c r="AD84" s="105"/>
      <c r="AE84" s="105"/>
      <c r="AF84" s="105"/>
      <c r="AG84" s="105"/>
      <c r="AH84" s="105"/>
      <c r="AI84" s="105"/>
      <c r="AJ84" s="105"/>
      <c r="AK84" s="105"/>
      <c r="AL84" s="105"/>
      <c r="AM84" s="105"/>
      <c r="AN84" s="105"/>
      <c r="AO84" s="105"/>
      <c r="AP84" s="105"/>
      <c r="AQ84" s="105"/>
      <c r="AR84" s="105"/>
    </row>
    <row r="85" spans="1:44">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7"/>
      <c r="Y85" s="236"/>
      <c r="Z85" s="236"/>
      <c r="AA85" s="236"/>
      <c r="AB85" s="236"/>
      <c r="AC85" s="236"/>
      <c r="AD85" s="105"/>
      <c r="AE85" s="105"/>
      <c r="AF85" s="105"/>
      <c r="AG85" s="105"/>
      <c r="AH85" s="105"/>
      <c r="AI85" s="105"/>
      <c r="AJ85" s="105"/>
      <c r="AK85" s="105"/>
      <c r="AL85" s="105"/>
      <c r="AM85" s="105"/>
      <c r="AN85" s="105"/>
      <c r="AO85" s="105"/>
      <c r="AP85" s="105"/>
      <c r="AQ85" s="105"/>
      <c r="AR85" s="105"/>
    </row>
    <row r="86" spans="1:44">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36"/>
      <c r="Z86" s="236"/>
      <c r="AA86" s="236"/>
      <c r="AB86" s="236"/>
      <c r="AC86" s="236"/>
      <c r="AD86" s="105"/>
      <c r="AE86" s="105"/>
      <c r="AF86" s="105"/>
      <c r="AG86" s="105"/>
      <c r="AH86" s="105"/>
      <c r="AI86" s="105"/>
      <c r="AJ86" s="105"/>
      <c r="AK86" s="105"/>
      <c r="AL86" s="105"/>
      <c r="AM86" s="105"/>
      <c r="AN86" s="105"/>
      <c r="AO86" s="105"/>
      <c r="AP86" s="105"/>
      <c r="AQ86" s="105"/>
      <c r="AR86" s="105"/>
    </row>
    <row r="87" spans="1:44">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7"/>
      <c r="Y87" s="236"/>
      <c r="Z87" s="236"/>
      <c r="AA87" s="236"/>
      <c r="AB87" s="236"/>
      <c r="AC87" s="236"/>
      <c r="AD87" s="105"/>
      <c r="AE87" s="105"/>
      <c r="AF87" s="105"/>
      <c r="AG87" s="105"/>
      <c r="AH87" s="105"/>
      <c r="AI87" s="105"/>
      <c r="AJ87" s="105"/>
      <c r="AK87" s="105"/>
      <c r="AL87" s="105"/>
      <c r="AM87" s="105"/>
      <c r="AN87" s="105"/>
      <c r="AO87" s="105"/>
      <c r="AP87" s="105"/>
      <c r="AQ87" s="105"/>
      <c r="AR87" s="105"/>
    </row>
    <row r="88" spans="1:44">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7"/>
      <c r="Y88" s="236"/>
      <c r="Z88" s="236"/>
      <c r="AA88" s="236"/>
      <c r="AB88" s="236"/>
      <c r="AC88" s="236"/>
      <c r="AD88" s="105"/>
      <c r="AE88" s="105"/>
      <c r="AF88" s="105"/>
      <c r="AG88" s="105"/>
      <c r="AH88" s="105"/>
      <c r="AI88" s="105"/>
      <c r="AJ88" s="105"/>
      <c r="AK88" s="105"/>
      <c r="AL88" s="105"/>
      <c r="AM88" s="105"/>
      <c r="AN88" s="105"/>
      <c r="AO88" s="105"/>
      <c r="AP88" s="105"/>
      <c r="AQ88" s="105"/>
      <c r="AR88" s="105"/>
    </row>
    <row r="89" spans="1:44">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7"/>
      <c r="Y89" s="236"/>
      <c r="Z89" s="236"/>
      <c r="AA89" s="236"/>
      <c r="AB89" s="236"/>
      <c r="AC89" s="236"/>
      <c r="AD89" s="105"/>
      <c r="AE89" s="105"/>
      <c r="AF89" s="105"/>
      <c r="AG89" s="105"/>
      <c r="AH89" s="105"/>
      <c r="AI89" s="105"/>
      <c r="AJ89" s="105"/>
      <c r="AK89" s="105"/>
      <c r="AL89" s="105"/>
      <c r="AM89" s="105"/>
      <c r="AN89" s="105"/>
      <c r="AO89" s="105"/>
      <c r="AP89" s="105"/>
      <c r="AQ89" s="105"/>
      <c r="AR89" s="105"/>
    </row>
    <row r="90" spans="1:44">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7"/>
      <c r="Y90" s="236"/>
      <c r="Z90" s="236"/>
      <c r="AA90" s="236"/>
      <c r="AB90" s="236"/>
      <c r="AC90" s="236"/>
      <c r="AD90" s="105"/>
      <c r="AE90" s="105"/>
      <c r="AF90" s="105"/>
      <c r="AG90" s="105"/>
      <c r="AH90" s="105"/>
      <c r="AI90" s="105"/>
      <c r="AJ90" s="105"/>
      <c r="AK90" s="105"/>
      <c r="AL90" s="105"/>
      <c r="AM90" s="105"/>
      <c r="AN90" s="105"/>
      <c r="AO90" s="105"/>
      <c r="AP90" s="105"/>
      <c r="AQ90" s="105"/>
      <c r="AR90" s="105"/>
    </row>
    <row r="91" spans="1:44">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7"/>
      <c r="Y91" s="236"/>
      <c r="Z91" s="236"/>
      <c r="AA91" s="236"/>
      <c r="AB91" s="236"/>
      <c r="AC91" s="236"/>
      <c r="AD91" s="105"/>
      <c r="AE91" s="105"/>
      <c r="AF91" s="105"/>
      <c r="AG91" s="105"/>
      <c r="AH91" s="105"/>
      <c r="AI91" s="105"/>
      <c r="AJ91" s="105"/>
      <c r="AK91" s="105"/>
      <c r="AL91" s="105"/>
      <c r="AM91" s="105"/>
      <c r="AN91" s="105"/>
      <c r="AO91" s="105"/>
      <c r="AP91" s="105"/>
      <c r="AQ91" s="105"/>
      <c r="AR91" s="105"/>
    </row>
    <row r="92" spans="1:44">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7"/>
      <c r="Y92" s="236"/>
      <c r="Z92" s="236"/>
      <c r="AA92" s="236"/>
      <c r="AB92" s="236"/>
      <c r="AC92" s="236"/>
      <c r="AD92" s="105"/>
      <c r="AE92" s="105"/>
      <c r="AF92" s="105"/>
      <c r="AG92" s="105"/>
      <c r="AH92" s="105"/>
      <c r="AI92" s="105"/>
      <c r="AJ92" s="105"/>
      <c r="AK92" s="105"/>
      <c r="AL92" s="105"/>
      <c r="AM92" s="105"/>
      <c r="AN92" s="105"/>
      <c r="AO92" s="105"/>
      <c r="AP92" s="105"/>
      <c r="AQ92" s="105"/>
      <c r="AR92" s="105"/>
    </row>
    <row r="93" spans="1:44">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7"/>
      <c r="Y93" s="236"/>
      <c r="Z93" s="236"/>
      <c r="AA93" s="236"/>
      <c r="AB93" s="236"/>
      <c r="AC93" s="236"/>
      <c r="AD93" s="105"/>
      <c r="AE93" s="105"/>
      <c r="AF93" s="105"/>
      <c r="AG93" s="105"/>
      <c r="AH93" s="105"/>
      <c r="AI93" s="105"/>
      <c r="AJ93" s="105"/>
      <c r="AK93" s="105"/>
      <c r="AL93" s="105"/>
      <c r="AM93" s="105"/>
      <c r="AN93" s="105"/>
      <c r="AO93" s="105"/>
      <c r="AP93" s="105"/>
      <c r="AQ93" s="105"/>
      <c r="AR93" s="105"/>
    </row>
    <row r="94" spans="1:44">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7"/>
      <c r="Y94" s="236"/>
      <c r="Z94" s="236"/>
      <c r="AA94" s="236"/>
      <c r="AB94" s="236"/>
      <c r="AC94" s="236"/>
      <c r="AD94" s="105"/>
      <c r="AE94" s="105"/>
      <c r="AF94" s="105"/>
      <c r="AG94" s="105"/>
      <c r="AH94" s="105"/>
      <c r="AI94" s="105"/>
      <c r="AJ94" s="105"/>
      <c r="AK94" s="105"/>
      <c r="AL94" s="105"/>
      <c r="AM94" s="105"/>
      <c r="AN94" s="105"/>
      <c r="AO94" s="105"/>
      <c r="AP94" s="105"/>
      <c r="AQ94" s="105"/>
      <c r="AR94" s="105"/>
    </row>
    <row r="95" spans="1:44">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7"/>
      <c r="Y95" s="236"/>
      <c r="Z95" s="236"/>
      <c r="AA95" s="236"/>
      <c r="AB95" s="236"/>
      <c r="AC95" s="236"/>
      <c r="AD95" s="105"/>
      <c r="AE95" s="105"/>
      <c r="AF95" s="105"/>
      <c r="AG95" s="105"/>
      <c r="AH95" s="105"/>
      <c r="AI95" s="105"/>
      <c r="AJ95" s="105"/>
      <c r="AK95" s="105"/>
      <c r="AL95" s="105"/>
      <c r="AM95" s="105"/>
      <c r="AN95" s="105"/>
      <c r="AO95" s="105"/>
      <c r="AP95" s="105"/>
      <c r="AQ95" s="105"/>
      <c r="AR95" s="105"/>
    </row>
    <row r="96" spans="1:44">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7"/>
      <c r="Y96" s="236"/>
      <c r="Z96" s="236"/>
      <c r="AA96" s="236"/>
      <c r="AB96" s="236"/>
      <c r="AC96" s="236"/>
      <c r="AD96" s="105"/>
      <c r="AE96" s="105"/>
      <c r="AF96" s="105"/>
      <c r="AG96" s="105"/>
      <c r="AH96" s="105"/>
      <c r="AI96" s="105"/>
      <c r="AJ96" s="105"/>
      <c r="AK96" s="105"/>
      <c r="AL96" s="105"/>
      <c r="AM96" s="105"/>
      <c r="AN96" s="105"/>
      <c r="AO96" s="105"/>
      <c r="AP96" s="105"/>
      <c r="AQ96" s="105"/>
      <c r="AR96" s="105"/>
    </row>
    <row r="97" spans="1:44">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7"/>
      <c r="Y97" s="236"/>
      <c r="Z97" s="236"/>
      <c r="AA97" s="236"/>
      <c r="AB97" s="236"/>
      <c r="AC97" s="236"/>
      <c r="AD97" s="105"/>
      <c r="AE97" s="105"/>
      <c r="AF97" s="105"/>
      <c r="AG97" s="105"/>
      <c r="AH97" s="105"/>
      <c r="AI97" s="105"/>
      <c r="AJ97" s="105"/>
      <c r="AK97" s="105"/>
      <c r="AL97" s="105"/>
      <c r="AM97" s="105"/>
      <c r="AN97" s="105"/>
      <c r="AO97" s="105"/>
      <c r="AP97" s="105"/>
      <c r="AQ97" s="105"/>
      <c r="AR97" s="105"/>
    </row>
    <row r="98" spans="1:44">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7"/>
      <c r="Y98" s="236"/>
      <c r="Z98" s="236"/>
      <c r="AA98" s="236"/>
      <c r="AB98" s="236"/>
      <c r="AC98" s="236"/>
      <c r="AD98" s="105"/>
      <c r="AE98" s="105"/>
      <c r="AF98" s="105"/>
      <c r="AG98" s="105"/>
      <c r="AH98" s="105"/>
      <c r="AI98" s="105"/>
      <c r="AJ98" s="105"/>
      <c r="AK98" s="105"/>
      <c r="AL98" s="105"/>
      <c r="AM98" s="105"/>
      <c r="AN98" s="105"/>
      <c r="AO98" s="105"/>
      <c r="AP98" s="105"/>
      <c r="AQ98" s="105"/>
      <c r="AR98" s="105"/>
    </row>
    <row r="99" spans="1:44">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7"/>
      <c r="Y99" s="236"/>
      <c r="Z99" s="236"/>
      <c r="AA99" s="236"/>
      <c r="AB99" s="236"/>
      <c r="AC99" s="236"/>
      <c r="AD99" s="105"/>
      <c r="AE99" s="105"/>
      <c r="AF99" s="105"/>
      <c r="AG99" s="105"/>
      <c r="AH99" s="105"/>
      <c r="AI99" s="105"/>
      <c r="AJ99" s="105"/>
      <c r="AK99" s="105"/>
      <c r="AL99" s="105"/>
      <c r="AM99" s="105"/>
      <c r="AN99" s="105"/>
      <c r="AO99" s="105"/>
      <c r="AP99" s="105"/>
      <c r="AQ99" s="105"/>
      <c r="AR99" s="105"/>
    </row>
    <row r="100" spans="1:44">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7"/>
      <c r="Y100" s="236"/>
      <c r="Z100" s="236"/>
      <c r="AA100" s="236"/>
      <c r="AB100" s="236"/>
      <c r="AC100" s="236"/>
      <c r="AD100" s="105"/>
      <c r="AE100" s="105"/>
      <c r="AF100" s="105"/>
      <c r="AG100" s="105"/>
      <c r="AH100" s="105"/>
      <c r="AI100" s="105"/>
      <c r="AJ100" s="105"/>
      <c r="AK100" s="105"/>
      <c r="AL100" s="105"/>
      <c r="AM100" s="105"/>
      <c r="AN100" s="105"/>
      <c r="AO100" s="105"/>
      <c r="AP100" s="105"/>
      <c r="AQ100" s="105"/>
      <c r="AR100" s="105"/>
    </row>
    <row r="101" spans="1:44">
      <c r="A101" s="236"/>
      <c r="B101" s="236"/>
      <c r="C101" s="236"/>
      <c r="D101" s="236"/>
      <c r="E101" s="236"/>
      <c r="F101" s="236"/>
      <c r="G101" s="236"/>
      <c r="H101" s="236"/>
      <c r="I101" s="236"/>
      <c r="J101" s="236"/>
      <c r="K101" s="236"/>
      <c r="L101" s="236"/>
      <c r="M101" s="236"/>
      <c r="N101" s="236"/>
      <c r="O101" s="236"/>
      <c r="P101" s="236"/>
      <c r="S101" s="236"/>
      <c r="T101" s="236"/>
      <c r="U101" s="236"/>
      <c r="V101" s="236"/>
      <c r="W101" s="236"/>
      <c r="X101" s="237"/>
      <c r="Y101" s="236"/>
      <c r="Z101" s="236"/>
      <c r="AA101" s="236"/>
      <c r="AB101" s="236"/>
      <c r="AC101" s="236"/>
      <c r="AD101" s="105"/>
      <c r="AE101" s="105"/>
      <c r="AF101" s="105"/>
      <c r="AG101" s="105"/>
      <c r="AH101" s="105"/>
      <c r="AI101" s="105"/>
      <c r="AJ101" s="105"/>
      <c r="AK101" s="105"/>
      <c r="AL101" s="105"/>
      <c r="AM101" s="105"/>
      <c r="AN101" s="105"/>
      <c r="AO101" s="105"/>
      <c r="AP101" s="105"/>
      <c r="AQ101" s="105"/>
      <c r="AR101" s="105"/>
    </row>
    <row r="102" spans="1:44">
      <c r="A102" s="236"/>
      <c r="B102" s="236"/>
      <c r="C102" s="236"/>
      <c r="D102" s="236"/>
      <c r="E102" s="236"/>
      <c r="F102" s="236"/>
      <c r="G102" s="236"/>
      <c r="H102" s="236"/>
      <c r="I102" s="236"/>
      <c r="J102" s="236"/>
      <c r="K102" s="236"/>
      <c r="L102" s="236"/>
      <c r="M102" s="236"/>
      <c r="N102" s="236"/>
      <c r="O102" s="236"/>
      <c r="P102" s="236"/>
      <c r="S102" s="236"/>
      <c r="T102" s="236"/>
      <c r="U102" s="236"/>
      <c r="V102" s="236"/>
      <c r="W102" s="236"/>
      <c r="X102" s="237"/>
      <c r="Y102" s="236"/>
      <c r="Z102" s="236"/>
      <c r="AA102" s="236"/>
      <c r="AB102" s="236"/>
      <c r="AC102" s="236"/>
      <c r="AD102" s="105"/>
      <c r="AE102" s="105"/>
      <c r="AF102" s="105"/>
      <c r="AG102" s="105"/>
      <c r="AH102" s="105"/>
      <c r="AI102" s="105"/>
      <c r="AJ102" s="105"/>
      <c r="AK102" s="105"/>
      <c r="AL102" s="105"/>
      <c r="AM102" s="105"/>
      <c r="AN102" s="105"/>
      <c r="AO102" s="105"/>
      <c r="AP102" s="105"/>
      <c r="AQ102" s="105"/>
      <c r="AR102" s="105"/>
    </row>
  </sheetData>
  <sheetProtection algorithmName="SHA-512" hashValue="oLFrxdCw1hZQPduMSthc+Ll4KoTW4/z5K+A9vcmQHG8Nwk1PaDfV337wDGg/F8avb+WeXXLTnuXcxJ7VshWH+A==" saltValue="4BX7OfAt3I6z5MRwuaZWDg==" spinCount="100000" sheet="1" objects="1" scenarios="1" selectLockedCells="1" selectUnlockedCells="1"/>
  <mergeCells count="46">
    <mergeCell ref="A14:G15"/>
    <mergeCell ref="H14:O14"/>
    <mergeCell ref="A1:Q4"/>
    <mergeCell ref="A5:E5"/>
    <mergeCell ref="AB5:AJ5"/>
    <mergeCell ref="A6:E6"/>
    <mergeCell ref="AB6:AJ6"/>
    <mergeCell ref="A7:E7"/>
    <mergeCell ref="AB7:AJ7"/>
    <mergeCell ref="A8:E8"/>
    <mergeCell ref="AB10:AD10"/>
    <mergeCell ref="AE10:AG10"/>
    <mergeCell ref="AH10:AJ10"/>
    <mergeCell ref="A11:O12"/>
    <mergeCell ref="O5:W5"/>
    <mergeCell ref="F24:G24"/>
    <mergeCell ref="A16:E16"/>
    <mergeCell ref="F16:G16"/>
    <mergeCell ref="F17:G17"/>
    <mergeCell ref="A18:E18"/>
    <mergeCell ref="F18:G18"/>
    <mergeCell ref="A19:E19"/>
    <mergeCell ref="F19:G19"/>
    <mergeCell ref="A20:E20"/>
    <mergeCell ref="F20:G20"/>
    <mergeCell ref="A22:G22"/>
    <mergeCell ref="A23:E23"/>
    <mergeCell ref="F23:G23"/>
    <mergeCell ref="A25:E25"/>
    <mergeCell ref="F25:G25"/>
    <mergeCell ref="A26:E26"/>
    <mergeCell ref="F26:G26"/>
    <mergeCell ref="A27:E27"/>
    <mergeCell ref="F27:G27"/>
    <mergeCell ref="A28:E28"/>
    <mergeCell ref="F28:G28"/>
    <mergeCell ref="C31:G31"/>
    <mergeCell ref="A32:J32"/>
    <mergeCell ref="B38:Q39"/>
    <mergeCell ref="B40:P40"/>
    <mergeCell ref="X32:Y32"/>
    <mergeCell ref="N34:O34"/>
    <mergeCell ref="V35:W35"/>
    <mergeCell ref="X35:Y35"/>
    <mergeCell ref="B37:P37"/>
    <mergeCell ref="V32:W32"/>
  </mergeCells>
  <conditionalFormatting sqref="V30:W42 N34:N36 N42">
    <cfRule type="expression" dxfId="72" priority="1" stopIfTrue="1">
      <formula>N30=0</formula>
    </cfRule>
  </conditionalFormatting>
  <pageMargins left="0.74803149606299213" right="0.19685039370078741" top="0.39370078740157483" bottom="0.39370078740157483" header="0.19685039370078741" footer="0.19685039370078741"/>
  <pageSetup paperSize="9" scale="91"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41B3D-0CEF-4303-9959-1AEA42606A36}">
  <sheetPr>
    <tabColor rgb="FFFFC000"/>
    <pageSetUpPr fitToPage="1"/>
  </sheetPr>
  <dimension ref="A1:AY103"/>
  <sheetViews>
    <sheetView showGridLines="0" view="pageBreakPreview" zoomScaleNormal="100" zoomScaleSheetLayoutView="100" workbookViewId="0">
      <selection sqref="A1:W4"/>
    </sheetView>
  </sheetViews>
  <sheetFormatPr defaultColWidth="9.28515625" defaultRowHeight="11.25"/>
  <cols>
    <col min="1" max="4" width="3.5703125" style="137" customWidth="1"/>
    <col min="5" max="5" width="2.5703125" style="137" customWidth="1"/>
    <col min="6" max="7" width="3.5703125" style="137" customWidth="1"/>
    <col min="8" max="8" width="10" style="137" customWidth="1"/>
    <col min="9" max="9" width="9" style="137" customWidth="1"/>
    <col min="10" max="10" width="8.28515625" style="137" customWidth="1"/>
    <col min="11" max="11" width="11.7109375" style="137" customWidth="1"/>
    <col min="12" max="12" width="9.28515625" style="137" customWidth="1"/>
    <col min="13" max="13" width="11.28515625" style="137" customWidth="1"/>
    <col min="14" max="14" width="10.42578125" style="137" customWidth="1"/>
    <col min="15" max="15" width="7.28515625" style="137" customWidth="1"/>
    <col min="16" max="16" width="6.7109375" style="137" customWidth="1"/>
    <col min="17" max="17" width="6.42578125" style="137" customWidth="1"/>
    <col min="18" max="18" width="5.7109375" style="137" customWidth="1"/>
    <col min="19" max="19" width="7.28515625" style="137" customWidth="1"/>
    <col min="20" max="22" width="8.28515625" style="137" customWidth="1"/>
    <col min="23" max="23" width="1.42578125" style="137" customWidth="1"/>
    <col min="24" max="29" width="8" style="137" customWidth="1"/>
    <col min="30" max="30" width="8" style="134" customWidth="1"/>
    <col min="31" max="36" width="8" style="137" customWidth="1"/>
    <col min="37" max="42" width="8" style="136" customWidth="1"/>
    <col min="43" max="16384" width="9.28515625" style="136"/>
  </cols>
  <sheetData>
    <row r="1" spans="1:50" s="129" customFormat="1" ht="14.25" customHeight="1">
      <c r="A1" s="1517" t="s">
        <v>21</v>
      </c>
      <c r="B1" s="1518"/>
      <c r="C1" s="1518"/>
      <c r="D1" s="1518"/>
      <c r="E1" s="1518"/>
      <c r="F1" s="1518"/>
      <c r="G1" s="1518"/>
      <c r="H1" s="1518"/>
      <c r="I1" s="1518"/>
      <c r="J1" s="1518"/>
      <c r="K1" s="1518"/>
      <c r="L1" s="1518"/>
      <c r="M1" s="1518"/>
      <c r="N1" s="1518"/>
      <c r="O1" s="1518"/>
      <c r="P1" s="1518"/>
      <c r="Q1" s="1518"/>
      <c r="R1" s="1518"/>
      <c r="S1" s="1518"/>
      <c r="T1" s="1518"/>
      <c r="U1" s="1518"/>
      <c r="V1" s="1518"/>
      <c r="W1" s="1519"/>
      <c r="X1" s="127"/>
      <c r="Y1" s="127"/>
      <c r="Z1" s="127"/>
      <c r="AA1" s="127"/>
      <c r="AB1" s="127"/>
      <c r="AC1" s="127"/>
      <c r="AD1" s="128"/>
      <c r="AE1" s="127"/>
      <c r="AF1" s="127"/>
      <c r="AG1" s="127"/>
      <c r="AH1" s="127"/>
      <c r="AI1" s="127"/>
      <c r="AJ1" s="127"/>
      <c r="AK1" s="127"/>
      <c r="AL1" s="127"/>
      <c r="AM1" s="127"/>
      <c r="AN1" s="127"/>
      <c r="AO1" s="127"/>
      <c r="AP1" s="127"/>
      <c r="AQ1" s="56"/>
      <c r="AR1" s="56"/>
      <c r="AS1" s="56"/>
      <c r="AT1" s="56"/>
      <c r="AU1" s="56"/>
      <c r="AV1" s="56"/>
      <c r="AW1" s="56"/>
      <c r="AX1" s="56"/>
    </row>
    <row r="2" spans="1:50" s="129" customFormat="1" ht="14.25" customHeight="1">
      <c r="A2" s="1520"/>
      <c r="B2" s="1521"/>
      <c r="C2" s="1521"/>
      <c r="D2" s="1521"/>
      <c r="E2" s="1521"/>
      <c r="F2" s="1521"/>
      <c r="G2" s="1521"/>
      <c r="H2" s="1521"/>
      <c r="I2" s="1521"/>
      <c r="J2" s="1521"/>
      <c r="K2" s="1521"/>
      <c r="L2" s="1521"/>
      <c r="M2" s="1521"/>
      <c r="N2" s="1521"/>
      <c r="O2" s="1521"/>
      <c r="P2" s="1521"/>
      <c r="Q2" s="1521"/>
      <c r="R2" s="1521"/>
      <c r="S2" s="1521"/>
      <c r="T2" s="1521"/>
      <c r="U2" s="1521"/>
      <c r="V2" s="1521"/>
      <c r="W2" s="1522"/>
      <c r="X2" s="127"/>
      <c r="Y2" s="127"/>
      <c r="Z2" s="127"/>
      <c r="AA2" s="127"/>
      <c r="AB2" s="127"/>
      <c r="AC2" s="127"/>
      <c r="AD2" s="128"/>
      <c r="AE2" s="127"/>
      <c r="AF2" s="127"/>
      <c r="AG2" s="127"/>
      <c r="AH2" s="127"/>
      <c r="AI2" s="127"/>
      <c r="AJ2" s="127"/>
      <c r="AK2" s="127"/>
      <c r="AL2" s="127"/>
      <c r="AM2" s="127"/>
      <c r="AN2" s="127"/>
      <c r="AO2" s="127"/>
      <c r="AP2" s="127"/>
      <c r="AQ2" s="56"/>
      <c r="AR2" s="56"/>
      <c r="AS2" s="56"/>
      <c r="AT2" s="56"/>
      <c r="AU2" s="56"/>
      <c r="AV2" s="56"/>
      <c r="AW2" s="56"/>
      <c r="AX2" s="56"/>
    </row>
    <row r="3" spans="1:50" s="129" customFormat="1" ht="14.25" customHeight="1">
      <c r="A3" s="1520"/>
      <c r="B3" s="1521"/>
      <c r="C3" s="1521"/>
      <c r="D3" s="1521"/>
      <c r="E3" s="1521"/>
      <c r="F3" s="1521"/>
      <c r="G3" s="1521"/>
      <c r="H3" s="1521"/>
      <c r="I3" s="1521"/>
      <c r="J3" s="1521"/>
      <c r="K3" s="1521"/>
      <c r="L3" s="1521"/>
      <c r="M3" s="1521"/>
      <c r="N3" s="1521"/>
      <c r="O3" s="1521"/>
      <c r="P3" s="1521"/>
      <c r="Q3" s="1521"/>
      <c r="R3" s="1521"/>
      <c r="S3" s="1521"/>
      <c r="T3" s="1521"/>
      <c r="U3" s="1521"/>
      <c r="V3" s="1521"/>
      <c r="W3" s="1522"/>
      <c r="X3" s="127"/>
      <c r="Y3" s="127"/>
      <c r="Z3" s="127"/>
      <c r="AA3" s="127"/>
      <c r="AB3" s="127"/>
      <c r="AC3" s="127"/>
      <c r="AD3" s="128"/>
      <c r="AE3" s="127"/>
      <c r="AF3" s="127"/>
      <c r="AG3" s="127"/>
      <c r="AH3" s="127"/>
      <c r="AI3" s="127"/>
      <c r="AJ3" s="127"/>
      <c r="AK3" s="127"/>
      <c r="AL3" s="127"/>
      <c r="AM3" s="127"/>
      <c r="AN3" s="127"/>
      <c r="AO3" s="127"/>
      <c r="AP3" s="127"/>
      <c r="AQ3" s="56"/>
      <c r="AR3" s="56"/>
      <c r="AS3" s="56"/>
      <c r="AT3" s="56"/>
      <c r="AU3" s="56"/>
      <c r="AV3" s="56"/>
      <c r="AW3" s="56"/>
      <c r="AX3" s="56"/>
    </row>
    <row r="4" spans="1:50" s="129" customFormat="1" ht="14.25" customHeight="1">
      <c r="A4" s="1523"/>
      <c r="B4" s="1524"/>
      <c r="C4" s="1524"/>
      <c r="D4" s="1524"/>
      <c r="E4" s="1524"/>
      <c r="F4" s="1524"/>
      <c r="G4" s="1524"/>
      <c r="H4" s="1524"/>
      <c r="I4" s="1524"/>
      <c r="J4" s="1524"/>
      <c r="K4" s="1524"/>
      <c r="L4" s="1524"/>
      <c r="M4" s="1524"/>
      <c r="N4" s="1524"/>
      <c r="O4" s="1524"/>
      <c r="P4" s="1524"/>
      <c r="Q4" s="1524"/>
      <c r="R4" s="1524"/>
      <c r="S4" s="1524"/>
      <c r="T4" s="1524"/>
      <c r="U4" s="1524"/>
      <c r="V4" s="1524"/>
      <c r="W4" s="1525"/>
      <c r="X4" s="127"/>
      <c r="Y4" s="127"/>
      <c r="Z4" s="127"/>
      <c r="AA4" s="127"/>
      <c r="AB4" s="127"/>
      <c r="AC4" s="127"/>
      <c r="AD4" s="128"/>
      <c r="AE4" s="127"/>
      <c r="AF4" s="127"/>
      <c r="AG4" s="127"/>
      <c r="AH4" s="127"/>
      <c r="AI4" s="127"/>
      <c r="AJ4" s="127"/>
      <c r="AK4" s="127"/>
      <c r="AL4" s="127"/>
      <c r="AM4" s="127"/>
      <c r="AN4" s="127"/>
      <c r="AO4" s="127"/>
      <c r="AP4" s="127"/>
      <c r="AQ4" s="56"/>
      <c r="AR4" s="56"/>
      <c r="AS4" s="56"/>
      <c r="AT4" s="56"/>
      <c r="AU4" s="56"/>
      <c r="AV4" s="56"/>
      <c r="AW4" s="56"/>
      <c r="AX4" s="56"/>
    </row>
    <row r="5" spans="1:50" ht="15" customHeight="1">
      <c r="A5" s="1167" t="s">
        <v>22</v>
      </c>
      <c r="B5" s="1168"/>
      <c r="C5" s="1168"/>
      <c r="D5" s="1168"/>
      <c r="E5" s="1168"/>
      <c r="F5" s="27" t="str">
        <f>'Emiss. Ops'!$C$2</f>
        <v>OMVP</v>
      </c>
      <c r="G5" s="27"/>
      <c r="H5" s="27"/>
      <c r="I5" s="27"/>
      <c r="J5" s="27"/>
      <c r="K5" s="130"/>
      <c r="L5" s="130"/>
      <c r="M5" s="131" t="s">
        <v>23</v>
      </c>
      <c r="N5" s="27"/>
      <c r="O5" s="1169" t="str">
        <f>'Precom F P'!$AC$5</f>
        <v>PRJ-001030</v>
      </c>
      <c r="P5" s="1169"/>
      <c r="Q5" s="1169"/>
      <c r="R5" s="1169"/>
      <c r="S5" s="1169"/>
      <c r="T5" s="1169"/>
      <c r="U5" s="1169"/>
      <c r="V5" s="1169"/>
      <c r="W5" s="1170"/>
      <c r="X5" s="31"/>
      <c r="Y5" s="31"/>
      <c r="Z5" s="31"/>
      <c r="AA5" s="31"/>
      <c r="AB5" s="31"/>
      <c r="AC5" s="31"/>
      <c r="AE5" s="135"/>
      <c r="AF5" s="135"/>
      <c r="AG5" s="135"/>
      <c r="AH5" s="1494"/>
      <c r="AI5" s="1494"/>
      <c r="AJ5" s="1494"/>
      <c r="AK5" s="1494"/>
      <c r="AL5" s="1494"/>
      <c r="AM5" s="1494"/>
      <c r="AN5" s="1494"/>
      <c r="AO5" s="1494"/>
      <c r="AP5" s="1494"/>
      <c r="AQ5" s="105"/>
    </row>
    <row r="6" spans="1:50" ht="15" customHeight="1">
      <c r="A6" s="1171" t="s">
        <v>24</v>
      </c>
      <c r="B6" s="1172"/>
      <c r="C6" s="1172"/>
      <c r="D6" s="1172"/>
      <c r="E6" s="1172"/>
      <c r="F6" s="30" t="str">
        <f>'Emiss. Ops'!$C$3</f>
        <v>OMV Neptun BAT Study &amp; ESIA</v>
      </c>
      <c r="G6" s="31"/>
      <c r="H6" s="31"/>
      <c r="I6" s="31"/>
      <c r="J6" s="31"/>
      <c r="M6" s="138" t="s">
        <v>25</v>
      </c>
      <c r="N6" s="31"/>
      <c r="O6" s="31"/>
      <c r="P6" s="31"/>
      <c r="Q6" s="31"/>
      <c r="R6" s="31"/>
      <c r="S6" s="31"/>
      <c r="T6" s="31"/>
      <c r="U6" s="31"/>
      <c r="V6" s="31"/>
      <c r="W6" s="32"/>
      <c r="X6" s="31"/>
      <c r="Y6" s="31"/>
      <c r="Z6" s="31"/>
      <c r="AA6" s="31"/>
      <c r="AB6" s="31"/>
      <c r="AC6" s="31"/>
      <c r="AE6" s="135"/>
      <c r="AF6" s="135"/>
      <c r="AG6" s="135"/>
      <c r="AH6" s="1494"/>
      <c r="AI6" s="1494"/>
      <c r="AJ6" s="1494"/>
      <c r="AK6" s="1494"/>
      <c r="AL6" s="1494"/>
      <c r="AM6" s="1494"/>
      <c r="AN6" s="1494"/>
      <c r="AO6" s="1494"/>
      <c r="AP6" s="1494"/>
      <c r="AQ6" s="105"/>
    </row>
    <row r="7" spans="1:50" ht="15" customHeight="1">
      <c r="A7" s="1171" t="s">
        <v>26</v>
      </c>
      <c r="B7" s="1172"/>
      <c r="C7" s="1172"/>
      <c r="D7" s="1172"/>
      <c r="E7" s="1172"/>
      <c r="F7" s="30" t="str">
        <f>'Emiss. Ops'!$C$4</f>
        <v>Emissions Inventory</v>
      </c>
      <c r="G7" s="31"/>
      <c r="H7" s="31"/>
      <c r="I7" s="31"/>
      <c r="J7" s="31"/>
      <c r="M7" s="139" t="s">
        <v>27</v>
      </c>
      <c r="N7" s="31"/>
      <c r="O7" s="30" t="s">
        <v>97</v>
      </c>
      <c r="P7" s="30"/>
      <c r="Q7" s="30"/>
      <c r="R7" s="30"/>
      <c r="S7" s="30"/>
      <c r="T7" s="30"/>
      <c r="U7" s="30"/>
      <c r="V7" s="31"/>
      <c r="W7" s="31"/>
      <c r="X7" s="31"/>
      <c r="Y7" s="31"/>
      <c r="Z7" s="31"/>
      <c r="AA7" s="31"/>
      <c r="AB7" s="31"/>
      <c r="AC7" s="31"/>
      <c r="AE7" s="135"/>
      <c r="AF7" s="135"/>
      <c r="AG7" s="135"/>
      <c r="AH7" s="1494"/>
      <c r="AI7" s="1494"/>
      <c r="AJ7" s="1494"/>
      <c r="AK7" s="1494"/>
      <c r="AL7" s="1494"/>
      <c r="AM7" s="1494"/>
      <c r="AN7" s="1494"/>
      <c r="AO7" s="1494"/>
      <c r="AP7" s="1494"/>
      <c r="AQ7" s="105"/>
    </row>
    <row r="8" spans="1:50" ht="14.25" customHeight="1">
      <c r="A8" s="1171" t="s">
        <v>98</v>
      </c>
      <c r="B8" s="1172"/>
      <c r="C8" s="1172"/>
      <c r="D8" s="1172"/>
      <c r="E8" s="1172"/>
      <c r="F8" s="140"/>
      <c r="G8" s="140"/>
      <c r="H8" s="140"/>
      <c r="I8" s="140"/>
      <c r="J8" s="140"/>
      <c r="K8" s="140"/>
      <c r="L8" s="140"/>
      <c r="M8" s="138" t="s">
        <v>28</v>
      </c>
      <c r="N8" s="140"/>
      <c r="O8" s="140"/>
      <c r="P8" s="140"/>
      <c r="Q8" s="140"/>
      <c r="R8" s="140"/>
      <c r="S8" s="140"/>
      <c r="T8" s="140"/>
      <c r="U8" s="140"/>
      <c r="V8" s="140"/>
      <c r="W8" s="141"/>
      <c r="AE8" s="142"/>
      <c r="AF8" s="142"/>
      <c r="AG8" s="142"/>
      <c r="AH8" s="142"/>
      <c r="AI8" s="142"/>
      <c r="AJ8" s="142"/>
      <c r="AK8" s="142"/>
      <c r="AL8" s="142"/>
      <c r="AM8" s="142"/>
      <c r="AN8" s="142"/>
      <c r="AO8" s="142"/>
      <c r="AP8" s="142"/>
      <c r="AQ8" s="105"/>
    </row>
    <row r="9" spans="1:50" ht="12" customHeight="1">
      <c r="A9" s="143"/>
      <c r="B9" s="144"/>
      <c r="C9" s="144"/>
      <c r="D9" s="144"/>
      <c r="E9" s="144"/>
      <c r="F9" s="140"/>
      <c r="G9" s="140"/>
      <c r="H9" s="140"/>
      <c r="I9" s="140"/>
      <c r="J9" s="140"/>
      <c r="K9" s="140"/>
      <c r="L9" s="140"/>
      <c r="M9" s="140"/>
      <c r="N9" s="140"/>
      <c r="O9" s="140"/>
      <c r="P9" s="140"/>
      <c r="Q9" s="140"/>
      <c r="R9" s="140"/>
      <c r="S9" s="140"/>
      <c r="T9" s="140"/>
      <c r="U9" s="140"/>
      <c r="V9" s="140"/>
      <c r="W9" s="141"/>
      <c r="AE9" s="142"/>
      <c r="AF9" s="142"/>
      <c r="AG9" s="142"/>
      <c r="AH9" s="142"/>
      <c r="AI9" s="142"/>
      <c r="AJ9" s="142"/>
      <c r="AK9" s="142"/>
      <c r="AL9" s="142"/>
      <c r="AM9" s="142"/>
      <c r="AN9" s="142"/>
      <c r="AO9" s="142"/>
      <c r="AP9" s="142"/>
      <c r="AQ9" s="105"/>
    </row>
    <row r="10" spans="1:50" s="129" customFormat="1" ht="15" customHeight="1">
      <c r="A10" s="145" t="s">
        <v>99</v>
      </c>
      <c r="B10" s="146"/>
      <c r="C10" s="146"/>
      <c r="D10" s="146"/>
      <c r="E10" s="146"/>
      <c r="F10" s="146"/>
      <c r="G10" s="146"/>
      <c r="H10" s="146"/>
      <c r="I10" s="147"/>
      <c r="J10" s="147"/>
      <c r="K10" s="148"/>
      <c r="L10" s="147"/>
      <c r="M10" s="147"/>
      <c r="N10" s="147"/>
      <c r="O10" s="147"/>
      <c r="P10" s="147"/>
      <c r="Q10" s="147"/>
      <c r="R10" s="147"/>
      <c r="S10" s="147"/>
      <c r="T10" s="147"/>
      <c r="U10" s="147"/>
      <c r="V10" s="147"/>
      <c r="W10" s="149"/>
      <c r="AD10" s="150"/>
      <c r="AE10" s="135"/>
      <c r="AF10" s="135"/>
      <c r="AG10" s="135"/>
      <c r="AH10" s="1526"/>
      <c r="AI10" s="1526"/>
      <c r="AJ10" s="1526"/>
      <c r="AK10" s="1527"/>
      <c r="AL10" s="1527"/>
      <c r="AM10" s="1527"/>
      <c r="AN10" s="1494"/>
      <c r="AO10" s="1494"/>
      <c r="AP10" s="1494"/>
      <c r="AQ10" s="56"/>
    </row>
    <row r="11" spans="1:50" s="129" customFormat="1" ht="14.25" customHeight="1">
      <c r="A11" s="1117" t="s">
        <v>188</v>
      </c>
      <c r="B11" s="1118"/>
      <c r="C11" s="1118"/>
      <c r="D11" s="1118"/>
      <c r="E11" s="1118"/>
      <c r="F11" s="1118"/>
      <c r="G11" s="1118"/>
      <c r="H11" s="1118"/>
      <c r="I11" s="1118"/>
      <c r="J11" s="1118"/>
      <c r="K11" s="1118"/>
      <c r="L11" s="1118"/>
      <c r="M11" s="1118"/>
      <c r="N11" s="1118"/>
      <c r="O11" s="1118"/>
      <c r="P11" s="151"/>
      <c r="Q11" s="151"/>
      <c r="R11" s="151"/>
      <c r="S11" s="151"/>
      <c r="T11" s="151"/>
      <c r="U11" s="151"/>
      <c r="V11" s="151"/>
      <c r="W11" s="152"/>
      <c r="X11" s="127"/>
      <c r="Y11" s="127"/>
      <c r="Z11" s="127"/>
      <c r="AA11" s="127"/>
      <c r="AB11" s="127"/>
      <c r="AC11" s="127"/>
      <c r="AD11" s="128"/>
      <c r="AE11" s="127"/>
      <c r="AF11" s="127"/>
      <c r="AG11" s="127"/>
      <c r="AH11" s="127"/>
      <c r="AI11" s="127"/>
      <c r="AJ11" s="127"/>
      <c r="AK11" s="127"/>
      <c r="AL11" s="127"/>
      <c r="AM11" s="127"/>
      <c r="AN11" s="127"/>
      <c r="AO11" s="127"/>
      <c r="AP11" s="127"/>
      <c r="AQ11" s="56"/>
      <c r="AR11" s="56"/>
      <c r="AS11" s="56"/>
      <c r="AT11" s="56"/>
      <c r="AU11" s="56"/>
      <c r="AV11" s="56"/>
      <c r="AW11" s="56"/>
      <c r="AX11" s="56"/>
    </row>
    <row r="12" spans="1:50" s="129" customFormat="1" ht="14.25" customHeight="1">
      <c r="A12" s="1149"/>
      <c r="B12" s="1150"/>
      <c r="C12" s="1150"/>
      <c r="D12" s="1150"/>
      <c r="E12" s="1150"/>
      <c r="F12" s="1150"/>
      <c r="G12" s="1150"/>
      <c r="H12" s="1150"/>
      <c r="I12" s="1150"/>
      <c r="J12" s="1150"/>
      <c r="K12" s="1150"/>
      <c r="L12" s="1150"/>
      <c r="M12" s="1150"/>
      <c r="N12" s="1150"/>
      <c r="O12" s="1150"/>
      <c r="P12" s="153"/>
      <c r="Q12" s="153"/>
      <c r="R12" s="153"/>
      <c r="S12" s="153"/>
      <c r="T12" s="153"/>
      <c r="U12" s="153"/>
      <c r="V12" s="153"/>
      <c r="W12" s="154"/>
      <c r="X12" s="127"/>
      <c r="Y12" s="127"/>
      <c r="Z12" s="127"/>
      <c r="AA12" s="127"/>
      <c r="AB12" s="127"/>
      <c r="AC12" s="127"/>
      <c r="AD12" s="128"/>
      <c r="AE12" s="127"/>
      <c r="AF12" s="127"/>
      <c r="AG12" s="127"/>
      <c r="AH12" s="127"/>
      <c r="AI12" s="127"/>
      <c r="AJ12" s="127"/>
      <c r="AK12" s="127"/>
      <c r="AL12" s="127"/>
      <c r="AM12" s="127"/>
      <c r="AN12" s="127"/>
      <c r="AO12" s="127"/>
      <c r="AP12" s="127"/>
      <c r="AQ12" s="56"/>
      <c r="AR12" s="56"/>
      <c r="AS12" s="56"/>
      <c r="AT12" s="56"/>
      <c r="AU12" s="56"/>
      <c r="AV12" s="56"/>
      <c r="AW12" s="56"/>
      <c r="AX12" s="56"/>
    </row>
    <row r="13" spans="1:50" s="129" customFormat="1" ht="14.25" customHeight="1">
      <c r="A13" s="155"/>
      <c r="B13" s="156"/>
      <c r="C13" s="156"/>
      <c r="D13" s="156"/>
      <c r="E13" s="156"/>
      <c r="F13" s="156"/>
      <c r="G13" s="156"/>
      <c r="H13" s="156"/>
      <c r="I13" s="156"/>
      <c r="J13" s="156"/>
      <c r="K13" s="156"/>
      <c r="L13" s="156"/>
      <c r="M13" s="156"/>
      <c r="N13" s="156"/>
      <c r="O13" s="156"/>
      <c r="P13" s="156"/>
      <c r="Q13" s="156"/>
      <c r="R13" s="156"/>
      <c r="S13" s="156"/>
      <c r="T13" s="156"/>
      <c r="U13" s="156"/>
      <c r="V13" s="156"/>
      <c r="W13" s="157"/>
      <c r="X13" s="127"/>
      <c r="Y13" s="127"/>
      <c r="Z13" s="127"/>
      <c r="AA13" s="127"/>
      <c r="AB13" s="127"/>
      <c r="AC13" s="127"/>
      <c r="AD13" s="128"/>
      <c r="AE13" s="127"/>
      <c r="AF13" s="127"/>
      <c r="AG13" s="127"/>
      <c r="AH13" s="127"/>
      <c r="AI13" s="127"/>
      <c r="AJ13" s="127"/>
      <c r="AK13" s="127"/>
      <c r="AL13" s="127"/>
      <c r="AM13" s="127"/>
      <c r="AN13" s="127"/>
      <c r="AO13" s="127"/>
      <c r="AP13" s="127"/>
      <c r="AQ13" s="56"/>
      <c r="AR13" s="56"/>
      <c r="AS13" s="56"/>
      <c r="AT13" s="56"/>
      <c r="AU13" s="56"/>
      <c r="AV13" s="56"/>
      <c r="AW13" s="56"/>
      <c r="AX13" s="56"/>
    </row>
    <row r="14" spans="1:50" s="129" customFormat="1" ht="33.75" customHeight="1">
      <c r="A14" s="1117" t="s">
        <v>589</v>
      </c>
      <c r="B14" s="1118"/>
      <c r="C14" s="1118"/>
      <c r="D14" s="1118"/>
      <c r="E14" s="1118"/>
      <c r="F14" s="1118"/>
      <c r="G14" s="1119"/>
      <c r="H14" s="1515" t="s">
        <v>773</v>
      </c>
      <c r="I14" s="1516"/>
      <c r="J14" s="1516"/>
      <c r="K14" s="1516"/>
      <c r="L14" s="1516"/>
      <c r="M14" s="1516"/>
      <c r="N14" s="1516"/>
      <c r="O14" s="1516"/>
      <c r="P14" s="417"/>
      <c r="Q14" s="418"/>
      <c r="R14" s="418"/>
      <c r="S14" s="418"/>
      <c r="T14" s="418"/>
      <c r="U14" s="418"/>
      <c r="V14" s="156"/>
      <c r="W14" s="141"/>
      <c r="X14" s="142"/>
      <c r="AD14" s="150"/>
      <c r="AI14" s="142"/>
      <c r="AJ14" s="142"/>
      <c r="AQ14" s="56"/>
      <c r="AR14" s="56"/>
      <c r="AS14" s="56"/>
      <c r="AT14" s="56"/>
      <c r="AU14" s="56"/>
      <c r="AV14" s="56"/>
      <c r="AW14" s="56"/>
      <c r="AX14" s="56"/>
    </row>
    <row r="15" spans="1:50" s="129" customFormat="1" ht="34.5" customHeight="1">
      <c r="A15" s="1149"/>
      <c r="B15" s="1150"/>
      <c r="C15" s="1150"/>
      <c r="D15" s="1150"/>
      <c r="E15" s="1150"/>
      <c r="F15" s="1150"/>
      <c r="G15" s="1151"/>
      <c r="H15" s="158"/>
      <c r="I15" s="158" t="s">
        <v>774</v>
      </c>
      <c r="J15" s="405"/>
      <c r="K15" s="159"/>
      <c r="L15" s="159"/>
      <c r="M15" s="159"/>
      <c r="N15" s="159"/>
      <c r="O15" s="159"/>
      <c r="P15" s="160"/>
      <c r="Q15" s="419"/>
      <c r="R15" s="419"/>
      <c r="S15" s="419"/>
      <c r="T15" s="419"/>
      <c r="U15" s="419"/>
      <c r="V15" s="419"/>
      <c r="W15" s="141"/>
      <c r="X15" s="142"/>
      <c r="AD15" s="150"/>
      <c r="AI15" s="142"/>
      <c r="AJ15" s="142"/>
      <c r="AQ15" s="56"/>
      <c r="AR15" s="56"/>
      <c r="AS15" s="56"/>
      <c r="AT15" s="56"/>
      <c r="AU15" s="56"/>
      <c r="AV15" s="56"/>
      <c r="AW15" s="56"/>
      <c r="AX15" s="56"/>
    </row>
    <row r="16" spans="1:50" s="129" customFormat="1" ht="14.25" customHeight="1">
      <c r="A16" s="1499" t="s">
        <v>393</v>
      </c>
      <c r="B16" s="1500"/>
      <c r="C16" s="1500"/>
      <c r="D16" s="1500"/>
      <c r="E16" s="1500"/>
      <c r="F16" s="1510" t="s">
        <v>775</v>
      </c>
      <c r="G16" s="1511"/>
      <c r="H16" s="161"/>
      <c r="I16" s="406">
        <v>7.22E-2</v>
      </c>
      <c r="J16" s="162"/>
      <c r="K16" s="162"/>
      <c r="L16" s="162"/>
      <c r="M16" s="162"/>
      <c r="N16" s="162"/>
      <c r="O16" s="162"/>
      <c r="P16" s="163"/>
      <c r="Q16" s="420"/>
      <c r="R16" s="420"/>
      <c r="S16" s="420"/>
      <c r="T16" s="420"/>
      <c r="U16" s="420"/>
      <c r="V16" s="420"/>
      <c r="W16" s="141"/>
      <c r="X16" s="142"/>
      <c r="Y16" s="164"/>
      <c r="Z16" s="165"/>
      <c r="AA16" s="165"/>
      <c r="AB16" s="165"/>
      <c r="AC16" s="165"/>
      <c r="AD16" s="165"/>
      <c r="AE16" s="165"/>
      <c r="AF16" s="165"/>
      <c r="AG16" s="165"/>
      <c r="AI16" s="142"/>
      <c r="AJ16" s="142"/>
      <c r="AQ16" s="56"/>
      <c r="AR16" s="56"/>
      <c r="AS16" s="56"/>
      <c r="AT16" s="56"/>
      <c r="AU16" s="56"/>
      <c r="AV16" s="56"/>
      <c r="AW16" s="56"/>
      <c r="AX16" s="56"/>
    </row>
    <row r="17" spans="1:51" s="129" customFormat="1" ht="14.25" customHeight="1">
      <c r="A17" s="168" t="s">
        <v>115</v>
      </c>
      <c r="B17" s="169"/>
      <c r="C17" s="169"/>
      <c r="D17" s="169"/>
      <c r="E17" s="169"/>
      <c r="F17" s="1510" t="s">
        <v>775</v>
      </c>
      <c r="G17" s="1511"/>
      <c r="H17" s="161"/>
      <c r="I17" s="407">
        <v>3.8400000000000001E-3</v>
      </c>
      <c r="J17" s="162"/>
      <c r="K17" s="162"/>
      <c r="L17" s="162"/>
      <c r="M17" s="162"/>
      <c r="N17" s="162"/>
      <c r="O17" s="162"/>
      <c r="P17" s="163"/>
      <c r="Q17" s="420"/>
      <c r="R17" s="420"/>
      <c r="S17" s="420"/>
      <c r="T17" s="420"/>
      <c r="U17" s="420"/>
      <c r="V17" s="420"/>
      <c r="W17" s="141"/>
      <c r="X17" s="142"/>
      <c r="Y17" s="165"/>
      <c r="Z17" s="165"/>
      <c r="AA17" s="165"/>
      <c r="AB17" s="165"/>
      <c r="AC17" s="165"/>
      <c r="AD17" s="165"/>
      <c r="AE17" s="165"/>
      <c r="AF17" s="165"/>
      <c r="AG17" s="165"/>
      <c r="AH17" s="142"/>
      <c r="AI17" s="142"/>
      <c r="AJ17" s="142"/>
      <c r="AQ17" s="56"/>
      <c r="AR17" s="56"/>
      <c r="AS17" s="56"/>
      <c r="AT17" s="56"/>
      <c r="AU17" s="56"/>
      <c r="AV17" s="56"/>
      <c r="AW17" s="56"/>
      <c r="AX17" s="56"/>
    </row>
    <row r="18" spans="1:51" s="129" customFormat="1" ht="14.25" customHeight="1">
      <c r="A18" s="1499" t="s">
        <v>123</v>
      </c>
      <c r="B18" s="1500"/>
      <c r="C18" s="1500"/>
      <c r="D18" s="1500"/>
      <c r="E18" s="1500"/>
      <c r="F18" s="1510" t="s">
        <v>775</v>
      </c>
      <c r="G18" s="1511"/>
      <c r="H18" s="161"/>
      <c r="I18" s="407">
        <v>1.75E-3</v>
      </c>
      <c r="J18" s="162"/>
      <c r="K18" s="162"/>
      <c r="L18" s="162"/>
      <c r="M18" s="162"/>
      <c r="N18" s="162"/>
      <c r="O18" s="162"/>
      <c r="P18" s="163"/>
      <c r="Q18" s="420"/>
      <c r="R18" s="420"/>
      <c r="S18" s="420"/>
      <c r="T18" s="420"/>
      <c r="U18" s="420"/>
      <c r="V18" s="420"/>
      <c r="W18" s="141"/>
      <c r="X18" s="142"/>
      <c r="Y18" s="165"/>
      <c r="Z18" s="165"/>
      <c r="AA18" s="166"/>
      <c r="AB18" s="167"/>
      <c r="AC18" s="166"/>
      <c r="AD18" s="166"/>
      <c r="AE18" s="166"/>
      <c r="AF18" s="166"/>
      <c r="AG18" s="166"/>
      <c r="AH18" s="142"/>
      <c r="AI18" s="142"/>
      <c r="AJ18" s="142"/>
      <c r="AQ18" s="56"/>
      <c r="AR18" s="56"/>
      <c r="AS18" s="56"/>
      <c r="AT18" s="56"/>
      <c r="AU18" s="56"/>
      <c r="AV18" s="56"/>
      <c r="AW18" s="56"/>
      <c r="AX18" s="56"/>
    </row>
    <row r="19" spans="1:51" s="129" customFormat="1" ht="14.25" customHeight="1">
      <c r="A19" s="1499" t="s">
        <v>124</v>
      </c>
      <c r="B19" s="1500"/>
      <c r="C19" s="1500"/>
      <c r="D19" s="1500"/>
      <c r="E19" s="1500"/>
      <c r="F19" s="1510" t="s">
        <v>775</v>
      </c>
      <c r="G19" s="1511"/>
      <c r="H19" s="161"/>
      <c r="I19" s="407">
        <v>1.82E-3</v>
      </c>
      <c r="J19" s="162"/>
      <c r="K19" s="162"/>
      <c r="L19" s="162"/>
      <c r="M19" s="162"/>
      <c r="N19" s="162"/>
      <c r="O19" s="162"/>
      <c r="P19" s="163"/>
      <c r="Q19" s="420"/>
      <c r="R19" s="420"/>
      <c r="S19" s="420"/>
      <c r="T19" s="420"/>
      <c r="U19" s="420"/>
      <c r="V19" s="420"/>
      <c r="W19" s="141"/>
      <c r="X19" s="142"/>
      <c r="Y19" s="165"/>
      <c r="Z19" s="165"/>
      <c r="AA19" s="170"/>
      <c r="AB19" s="170"/>
      <c r="AC19" s="170"/>
      <c r="AD19" s="170"/>
      <c r="AE19" s="170"/>
      <c r="AF19" s="170"/>
      <c r="AG19" s="170"/>
      <c r="AH19" s="142"/>
      <c r="AI19" s="142"/>
      <c r="AJ19" s="142"/>
      <c r="AQ19" s="56"/>
      <c r="AR19" s="56"/>
      <c r="AS19" s="56"/>
      <c r="AT19" s="56"/>
      <c r="AU19" s="56"/>
      <c r="AV19" s="56"/>
      <c r="AW19" s="56"/>
      <c r="AX19" s="56"/>
    </row>
    <row r="20" spans="1:51" s="129" customFormat="1" ht="14.25" customHeight="1">
      <c r="A20" s="1499" t="s">
        <v>126</v>
      </c>
      <c r="B20" s="1500"/>
      <c r="C20" s="1500"/>
      <c r="D20" s="1500"/>
      <c r="E20" s="1500"/>
      <c r="F20" s="1510" t="s">
        <v>775</v>
      </c>
      <c r="G20" s="1511"/>
      <c r="H20" s="173"/>
      <c r="I20" s="161">
        <v>3.206</v>
      </c>
      <c r="J20" s="172"/>
      <c r="K20" s="162"/>
      <c r="L20" s="162"/>
      <c r="M20" s="162"/>
      <c r="N20" s="162"/>
      <c r="O20" s="162"/>
      <c r="P20" s="163"/>
      <c r="Q20" s="420"/>
      <c r="R20" s="420"/>
      <c r="S20" s="420"/>
      <c r="T20" s="420"/>
      <c r="U20" s="420"/>
      <c r="V20" s="420"/>
      <c r="W20" s="141"/>
      <c r="X20" s="142"/>
      <c r="Y20" s="165"/>
      <c r="Z20" s="165"/>
      <c r="AA20" s="170"/>
      <c r="AB20" s="170"/>
      <c r="AC20" s="170"/>
      <c r="AD20" s="170"/>
      <c r="AE20" s="170"/>
      <c r="AF20" s="170"/>
      <c r="AG20" s="170"/>
      <c r="AH20" s="142"/>
      <c r="AI20" s="142"/>
      <c r="AJ20" s="142"/>
      <c r="AQ20" s="56"/>
      <c r="AR20" s="56"/>
      <c r="AS20" s="56"/>
      <c r="AT20" s="56"/>
      <c r="AU20" s="56"/>
      <c r="AV20" s="56"/>
      <c r="AW20" s="56"/>
      <c r="AX20" s="56"/>
    </row>
    <row r="21" spans="1:51" s="129" customFormat="1" ht="14.25" customHeight="1">
      <c r="A21" s="175"/>
      <c r="B21" s="176"/>
      <c r="C21" s="176"/>
      <c r="D21" s="176"/>
      <c r="E21" s="176"/>
      <c r="F21" s="177"/>
      <c r="G21" s="177"/>
      <c r="H21" s="178"/>
      <c r="I21" s="179"/>
      <c r="J21" s="180"/>
      <c r="K21" s="179"/>
      <c r="L21" s="179"/>
      <c r="M21" s="179"/>
      <c r="N21" s="179"/>
      <c r="O21" s="179"/>
      <c r="P21" s="179"/>
      <c r="Q21" s="179"/>
      <c r="R21" s="179"/>
      <c r="S21" s="179"/>
      <c r="T21" s="179"/>
      <c r="U21" s="179"/>
      <c r="V21" s="179"/>
      <c r="W21" s="141"/>
      <c r="X21" s="142"/>
      <c r="Y21" s="165"/>
      <c r="Z21" s="165"/>
      <c r="AA21" s="170"/>
      <c r="AB21" s="170"/>
      <c r="AC21" s="170"/>
      <c r="AD21" s="170"/>
      <c r="AE21" s="170"/>
      <c r="AF21" s="170"/>
      <c r="AG21" s="170"/>
      <c r="AH21" s="142"/>
      <c r="AI21" s="142"/>
      <c r="AJ21" s="142"/>
      <c r="AQ21" s="56"/>
      <c r="AR21" s="56"/>
      <c r="AS21" s="56"/>
      <c r="AT21" s="56"/>
      <c r="AU21" s="56"/>
      <c r="AV21" s="56"/>
      <c r="AW21" s="56"/>
      <c r="AX21" s="56"/>
    </row>
    <row r="22" spans="1:51" s="129" customFormat="1" ht="50.25" customHeight="1">
      <c r="A22" s="1512" t="s">
        <v>776</v>
      </c>
      <c r="B22" s="1513"/>
      <c r="C22" s="1513"/>
      <c r="D22" s="1513"/>
      <c r="E22" s="1513"/>
      <c r="F22" s="1513"/>
      <c r="G22" s="1514"/>
      <c r="H22" s="408" t="s">
        <v>855</v>
      </c>
      <c r="I22" s="408" t="s">
        <v>856</v>
      </c>
      <c r="J22" s="183" t="s">
        <v>857</v>
      </c>
      <c r="K22" s="408" t="s">
        <v>858</v>
      </c>
      <c r="L22" s="408" t="s">
        <v>859</v>
      </c>
      <c r="M22" s="408" t="s">
        <v>860</v>
      </c>
      <c r="N22" s="408" t="s">
        <v>861</v>
      </c>
      <c r="O22" s="408" t="s">
        <v>862</v>
      </c>
      <c r="P22" s="408" t="s">
        <v>863</v>
      </c>
      <c r="Q22" s="408" t="s">
        <v>864</v>
      </c>
      <c r="R22" s="408" t="s">
        <v>865</v>
      </c>
      <c r="S22" s="408" t="s">
        <v>866</v>
      </c>
      <c r="T22" s="408" t="s">
        <v>867</v>
      </c>
      <c r="U22" s="408" t="s">
        <v>868</v>
      </c>
      <c r="V22" s="408" t="s">
        <v>663</v>
      </c>
      <c r="W22" s="185"/>
      <c r="X22" s="186"/>
      <c r="Y22" s="1498"/>
      <c r="Z22" s="1497"/>
      <c r="AA22" s="1497"/>
      <c r="AB22" s="1497"/>
      <c r="AC22" s="1497"/>
      <c r="AD22" s="1497"/>
      <c r="AE22" s="1497"/>
      <c r="AF22" s="1497"/>
      <c r="AG22" s="170"/>
      <c r="AH22" s="186"/>
      <c r="AI22" s="186"/>
      <c r="AJ22" s="186"/>
      <c r="AK22" s="186"/>
      <c r="AL22" s="186"/>
      <c r="AM22" s="186"/>
      <c r="AN22" s="186"/>
      <c r="AO22" s="186"/>
      <c r="AP22" s="186"/>
    </row>
    <row r="23" spans="1:51" s="129" customFormat="1" ht="14.25" customHeight="1">
      <c r="A23" s="1499" t="s">
        <v>779</v>
      </c>
      <c r="B23" s="1500"/>
      <c r="C23" s="1500"/>
      <c r="D23" s="1500"/>
      <c r="E23" s="1500"/>
      <c r="F23" s="409"/>
      <c r="G23" s="307"/>
      <c r="H23" s="181">
        <v>190</v>
      </c>
      <c r="I23" s="191">
        <v>802</v>
      </c>
      <c r="J23" s="191">
        <v>88</v>
      </c>
      <c r="K23" s="191">
        <v>10</v>
      </c>
      <c r="L23" s="191">
        <v>43</v>
      </c>
      <c r="M23" s="191">
        <v>101</v>
      </c>
      <c r="N23" s="191">
        <v>299</v>
      </c>
      <c r="O23" s="191">
        <v>146</v>
      </c>
      <c r="P23" s="191">
        <v>553</v>
      </c>
      <c r="Q23" s="191">
        <v>300</v>
      </c>
      <c r="R23" s="191">
        <v>540</v>
      </c>
      <c r="S23" s="191">
        <v>140</v>
      </c>
      <c r="T23" s="191">
        <v>45</v>
      </c>
      <c r="U23" s="191">
        <v>10</v>
      </c>
      <c r="V23" s="191"/>
      <c r="W23" s="185"/>
      <c r="X23" s="186"/>
      <c r="Y23" s="142"/>
      <c r="Z23" s="410"/>
      <c r="AA23" s="410"/>
      <c r="AB23" s="410"/>
      <c r="AC23" s="410"/>
      <c r="AD23" s="410"/>
      <c r="AE23" s="410"/>
      <c r="AF23" s="410"/>
      <c r="AG23" s="170"/>
      <c r="AH23" s="186"/>
      <c r="AI23" s="186"/>
      <c r="AJ23" s="186"/>
      <c r="AK23" s="186"/>
      <c r="AL23" s="186"/>
      <c r="AM23" s="186"/>
      <c r="AN23" s="186"/>
      <c r="AO23" s="186"/>
      <c r="AP23" s="186"/>
    </row>
    <row r="24" spans="1:51" s="129" customFormat="1" ht="14.25" customHeight="1">
      <c r="A24" s="1499" t="s">
        <v>780</v>
      </c>
      <c r="B24" s="1500"/>
      <c r="C24" s="1500"/>
      <c r="D24" s="1500"/>
      <c r="E24" s="1500"/>
      <c r="F24" s="1502" t="s">
        <v>781</v>
      </c>
      <c r="G24" s="1503"/>
      <c r="H24" s="181">
        <v>35</v>
      </c>
      <c r="I24" s="191">
        <v>10</v>
      </c>
      <c r="J24" s="191">
        <v>50</v>
      </c>
      <c r="K24" s="191">
        <v>20</v>
      </c>
      <c r="L24" s="191">
        <v>15</v>
      </c>
      <c r="M24" s="191">
        <v>15</v>
      </c>
      <c r="N24" s="191">
        <v>15</v>
      </c>
      <c r="O24" s="191">
        <v>8</v>
      </c>
      <c r="P24" s="191">
        <v>15</v>
      </c>
      <c r="Q24" s="191">
        <v>12</v>
      </c>
      <c r="R24" s="191">
        <v>3</v>
      </c>
      <c r="S24" s="191">
        <v>5</v>
      </c>
      <c r="T24" s="191">
        <v>10</v>
      </c>
      <c r="U24" s="191">
        <v>10</v>
      </c>
      <c r="V24" s="191"/>
      <c r="W24" s="185"/>
      <c r="X24" s="186"/>
      <c r="Y24" s="142"/>
      <c r="Z24" s="410"/>
      <c r="AA24" s="410"/>
      <c r="AB24" s="410"/>
      <c r="AC24" s="410"/>
      <c r="AD24" s="410"/>
      <c r="AE24" s="410"/>
      <c r="AF24" s="410"/>
      <c r="AG24" s="170"/>
      <c r="AH24" s="186"/>
      <c r="AI24" s="186"/>
      <c r="AJ24" s="186"/>
      <c r="AK24" s="186"/>
      <c r="AL24" s="186"/>
      <c r="AM24" s="186"/>
      <c r="AN24" s="186"/>
      <c r="AO24" s="186"/>
      <c r="AP24" s="186"/>
    </row>
    <row r="25" spans="1:51" s="129" customFormat="1" ht="14.25" customHeight="1">
      <c r="A25" s="168" t="s">
        <v>780</v>
      </c>
      <c r="B25" s="169"/>
      <c r="C25" s="169"/>
      <c r="D25" s="169"/>
      <c r="E25" s="169"/>
      <c r="F25" s="187"/>
      <c r="G25" s="411" t="s">
        <v>233</v>
      </c>
      <c r="H25" s="181">
        <f>H23*H24</f>
        <v>6650</v>
      </c>
      <c r="I25" s="191">
        <f t="shared" ref="I25:U25" si="0">I23*I24</f>
        <v>8020</v>
      </c>
      <c r="J25" s="191">
        <f t="shared" si="0"/>
        <v>4400</v>
      </c>
      <c r="K25" s="191">
        <f t="shared" si="0"/>
        <v>200</v>
      </c>
      <c r="L25" s="191">
        <f t="shared" si="0"/>
        <v>645</v>
      </c>
      <c r="M25" s="191">
        <f t="shared" si="0"/>
        <v>1515</v>
      </c>
      <c r="N25" s="191">
        <f t="shared" si="0"/>
        <v>4485</v>
      </c>
      <c r="O25" s="191">
        <f t="shared" si="0"/>
        <v>1168</v>
      </c>
      <c r="P25" s="191">
        <f t="shared" si="0"/>
        <v>8295</v>
      </c>
      <c r="Q25" s="191">
        <f t="shared" si="0"/>
        <v>3600</v>
      </c>
      <c r="R25" s="191">
        <f t="shared" si="0"/>
        <v>1620</v>
      </c>
      <c r="S25" s="191">
        <f t="shared" si="0"/>
        <v>700</v>
      </c>
      <c r="T25" s="191">
        <f t="shared" si="0"/>
        <v>450</v>
      </c>
      <c r="U25" s="191">
        <f t="shared" si="0"/>
        <v>100</v>
      </c>
      <c r="V25" s="191">
        <f t="shared" ref="V25:V30" si="1">SUM(H25:U25)</f>
        <v>41848</v>
      </c>
      <c r="W25" s="185"/>
      <c r="X25" s="186"/>
      <c r="Y25" s="142"/>
      <c r="Z25" s="410"/>
      <c r="AA25" s="410"/>
      <c r="AB25" s="410"/>
      <c r="AC25" s="410"/>
      <c r="AD25" s="410"/>
      <c r="AE25" s="410"/>
      <c r="AF25" s="410"/>
      <c r="AG25" s="170"/>
      <c r="AH25" s="186"/>
      <c r="AI25" s="186"/>
      <c r="AJ25" s="186"/>
      <c r="AK25" s="186"/>
      <c r="AL25" s="186"/>
      <c r="AM25" s="186"/>
      <c r="AN25" s="186"/>
      <c r="AO25" s="186"/>
      <c r="AP25" s="186"/>
    </row>
    <row r="26" spans="1:51" s="129" customFormat="1" ht="14.25" customHeight="1">
      <c r="A26" s="1499" t="s">
        <v>393</v>
      </c>
      <c r="B26" s="1500"/>
      <c r="C26" s="1500"/>
      <c r="D26" s="1500"/>
      <c r="E26" s="1500"/>
      <c r="F26" s="1502" t="s">
        <v>332</v>
      </c>
      <c r="G26" s="1503"/>
      <c r="H26" s="191">
        <f>H25*$I$16</f>
        <v>480.13</v>
      </c>
      <c r="I26" s="191">
        <f>I25*$I$16</f>
        <v>579.04399999999998</v>
      </c>
      <c r="J26" s="191">
        <f t="shared" ref="J26:U26" si="2">J25*$I$16</f>
        <v>317.68</v>
      </c>
      <c r="K26" s="191">
        <f t="shared" si="2"/>
        <v>14.44</v>
      </c>
      <c r="L26" s="191">
        <f t="shared" si="2"/>
        <v>46.569000000000003</v>
      </c>
      <c r="M26" s="191">
        <f t="shared" si="2"/>
        <v>109.383</v>
      </c>
      <c r="N26" s="191">
        <f t="shared" si="2"/>
        <v>323.81700000000001</v>
      </c>
      <c r="O26" s="191">
        <f t="shared" si="2"/>
        <v>84.329599999999999</v>
      </c>
      <c r="P26" s="191">
        <f t="shared" si="2"/>
        <v>598.899</v>
      </c>
      <c r="Q26" s="191">
        <f t="shared" si="2"/>
        <v>259.92</v>
      </c>
      <c r="R26" s="191">
        <f t="shared" si="2"/>
        <v>116.964</v>
      </c>
      <c r="S26" s="191">
        <f t="shared" si="2"/>
        <v>50.54</v>
      </c>
      <c r="T26" s="191">
        <f t="shared" si="2"/>
        <v>32.49</v>
      </c>
      <c r="U26" s="191">
        <f t="shared" si="2"/>
        <v>7.22</v>
      </c>
      <c r="V26" s="191">
        <f t="shared" si="1"/>
        <v>3021.4255999999996</v>
      </c>
      <c r="W26" s="204"/>
      <c r="X26" s="205"/>
      <c r="Y26" s="1504"/>
      <c r="Z26" s="1497"/>
      <c r="AA26" s="1497"/>
      <c r="AB26" s="1497"/>
      <c r="AC26" s="1497"/>
      <c r="AD26" s="1497"/>
      <c r="AE26" s="1497"/>
      <c r="AF26" s="1497"/>
      <c r="AG26" s="142"/>
      <c r="AH26" s="216"/>
      <c r="AI26" s="216"/>
      <c r="AJ26" s="216"/>
      <c r="AK26" s="216"/>
      <c r="AL26" s="205"/>
      <c r="AM26" s="205"/>
      <c r="AN26" s="205"/>
      <c r="AO26" s="205"/>
      <c r="AP26" s="205"/>
      <c r="AQ26" s="142"/>
      <c r="AR26" s="56"/>
      <c r="AS26" s="56"/>
      <c r="AT26" s="56"/>
      <c r="AU26" s="56"/>
      <c r="AV26" s="56"/>
      <c r="AW26" s="56"/>
      <c r="AX26" s="56"/>
      <c r="AY26" s="56"/>
    </row>
    <row r="27" spans="1:51" s="129" customFormat="1" ht="14.25" customHeight="1">
      <c r="A27" s="168" t="s">
        <v>115</v>
      </c>
      <c r="B27" s="169"/>
      <c r="C27" s="169"/>
      <c r="D27" s="169"/>
      <c r="E27" s="169"/>
      <c r="F27" s="1502" t="s">
        <v>332</v>
      </c>
      <c r="G27" s="1503"/>
      <c r="H27" s="191">
        <f>H25*$I$17</f>
        <v>25.536000000000001</v>
      </c>
      <c r="I27" s="191">
        <f t="shared" ref="I27:U27" si="3">I25*$I$17</f>
        <v>30.796800000000001</v>
      </c>
      <c r="J27" s="191">
        <f t="shared" si="3"/>
        <v>16.896000000000001</v>
      </c>
      <c r="K27" s="191">
        <f t="shared" si="3"/>
        <v>0.76800000000000002</v>
      </c>
      <c r="L27" s="191">
        <f t="shared" si="3"/>
        <v>2.4767999999999999</v>
      </c>
      <c r="M27" s="191">
        <f t="shared" si="3"/>
        <v>5.8176000000000005</v>
      </c>
      <c r="N27" s="191">
        <f t="shared" si="3"/>
        <v>17.2224</v>
      </c>
      <c r="O27" s="191">
        <f t="shared" si="3"/>
        <v>4.4851200000000002</v>
      </c>
      <c r="P27" s="191">
        <f t="shared" si="3"/>
        <v>31.852800000000002</v>
      </c>
      <c r="Q27" s="191">
        <f t="shared" si="3"/>
        <v>13.824</v>
      </c>
      <c r="R27" s="191">
        <f t="shared" si="3"/>
        <v>6.2208000000000006</v>
      </c>
      <c r="S27" s="191">
        <f t="shared" si="3"/>
        <v>2.6880000000000002</v>
      </c>
      <c r="T27" s="191">
        <f t="shared" si="3"/>
        <v>1.728</v>
      </c>
      <c r="U27" s="191">
        <f t="shared" si="3"/>
        <v>0.38400000000000001</v>
      </c>
      <c r="V27" s="191">
        <f t="shared" si="1"/>
        <v>160.69631999999999</v>
      </c>
      <c r="W27" s="208"/>
      <c r="X27" s="209"/>
      <c r="Y27" s="1504"/>
      <c r="Z27" s="1497"/>
      <c r="AA27" s="1497"/>
      <c r="AB27" s="1497"/>
      <c r="AC27" s="1497"/>
      <c r="AD27" s="1497"/>
      <c r="AE27" s="1497"/>
      <c r="AF27" s="1497"/>
      <c r="AG27" s="142"/>
      <c r="AH27" s="216"/>
      <c r="AI27" s="216"/>
      <c r="AJ27" s="216"/>
      <c r="AK27" s="216"/>
      <c r="AL27" s="209"/>
      <c r="AM27" s="209"/>
      <c r="AN27" s="209"/>
      <c r="AO27" s="209"/>
      <c r="AP27" s="209"/>
      <c r="AQ27" s="142"/>
      <c r="AR27" s="56"/>
      <c r="AS27" s="56"/>
      <c r="AT27" s="56"/>
      <c r="AU27" s="56"/>
      <c r="AV27" s="56"/>
      <c r="AW27" s="56"/>
      <c r="AX27" s="56"/>
      <c r="AY27" s="56"/>
    </row>
    <row r="28" spans="1:51" s="129" customFormat="1" ht="14.25" customHeight="1">
      <c r="A28" s="1499" t="s">
        <v>123</v>
      </c>
      <c r="B28" s="1500"/>
      <c r="C28" s="1500"/>
      <c r="D28" s="1500"/>
      <c r="E28" s="1500"/>
      <c r="F28" s="1502" t="s">
        <v>332</v>
      </c>
      <c r="G28" s="1503"/>
      <c r="H28" s="191">
        <f>H25*$I$18</f>
        <v>11.637500000000001</v>
      </c>
      <c r="I28" s="191">
        <f t="shared" ref="I28:U28" si="4">I25*$I$18</f>
        <v>14.035</v>
      </c>
      <c r="J28" s="191">
        <f t="shared" si="4"/>
        <v>7.7</v>
      </c>
      <c r="K28" s="191">
        <f t="shared" si="4"/>
        <v>0.35000000000000003</v>
      </c>
      <c r="L28" s="191">
        <f t="shared" si="4"/>
        <v>1.1287499999999999</v>
      </c>
      <c r="M28" s="191">
        <f t="shared" si="4"/>
        <v>2.6512500000000001</v>
      </c>
      <c r="N28" s="191">
        <f t="shared" si="4"/>
        <v>7.8487499999999999</v>
      </c>
      <c r="O28" s="191">
        <f t="shared" si="4"/>
        <v>2.044</v>
      </c>
      <c r="P28" s="191">
        <f t="shared" si="4"/>
        <v>14.516249999999999</v>
      </c>
      <c r="Q28" s="191">
        <f t="shared" si="4"/>
        <v>6.3</v>
      </c>
      <c r="R28" s="191">
        <f t="shared" si="4"/>
        <v>2.835</v>
      </c>
      <c r="S28" s="191">
        <f t="shared" si="4"/>
        <v>1.2250000000000001</v>
      </c>
      <c r="T28" s="191">
        <f t="shared" si="4"/>
        <v>0.78749999999999998</v>
      </c>
      <c r="U28" s="191">
        <f t="shared" si="4"/>
        <v>0.17500000000000002</v>
      </c>
      <c r="V28" s="191">
        <f t="shared" si="1"/>
        <v>73.23399999999998</v>
      </c>
      <c r="W28" s="208"/>
      <c r="X28" s="209"/>
      <c r="Y28" s="1505"/>
      <c r="Z28" s="1506"/>
      <c r="AA28" s="1506"/>
      <c r="AB28" s="1506"/>
      <c r="AC28" s="1506"/>
      <c r="AD28" s="1506"/>
      <c r="AE28" s="1506"/>
      <c r="AF28" s="1506"/>
      <c r="AG28" s="142"/>
      <c r="AH28" s="216"/>
      <c r="AI28" s="216"/>
      <c r="AJ28" s="216"/>
      <c r="AK28" s="216"/>
      <c r="AL28" s="209"/>
      <c r="AM28" s="209"/>
      <c r="AN28" s="209"/>
      <c r="AO28" s="209"/>
      <c r="AP28" s="209"/>
      <c r="AQ28" s="142"/>
      <c r="AR28" s="56"/>
      <c r="AS28" s="56"/>
      <c r="AT28" s="56"/>
      <c r="AU28" s="56"/>
      <c r="AV28" s="56"/>
      <c r="AW28" s="56"/>
      <c r="AX28" s="56"/>
      <c r="AY28" s="56"/>
    </row>
    <row r="29" spans="1:51" s="129" customFormat="1" ht="14.25" customHeight="1">
      <c r="A29" s="1499" t="s">
        <v>124</v>
      </c>
      <c r="B29" s="1500"/>
      <c r="C29" s="1500"/>
      <c r="D29" s="1500"/>
      <c r="E29" s="1500"/>
      <c r="F29" s="1502" t="s">
        <v>332</v>
      </c>
      <c r="G29" s="1503"/>
      <c r="H29" s="191">
        <f>H25*$I$19</f>
        <v>12.103</v>
      </c>
      <c r="I29" s="191">
        <f t="shared" ref="I29:U29" si="5">I25*$I$19</f>
        <v>14.596399999999999</v>
      </c>
      <c r="J29" s="191">
        <f t="shared" si="5"/>
        <v>8.0080000000000009</v>
      </c>
      <c r="K29" s="191">
        <f t="shared" si="5"/>
        <v>0.36399999999999999</v>
      </c>
      <c r="L29" s="191">
        <f t="shared" si="5"/>
        <v>1.1738999999999999</v>
      </c>
      <c r="M29" s="191">
        <f t="shared" si="5"/>
        <v>2.7572999999999999</v>
      </c>
      <c r="N29" s="191">
        <f t="shared" si="5"/>
        <v>8.1626999999999992</v>
      </c>
      <c r="O29" s="191">
        <f t="shared" si="5"/>
        <v>2.1257600000000001</v>
      </c>
      <c r="P29" s="191">
        <f t="shared" si="5"/>
        <v>15.0969</v>
      </c>
      <c r="Q29" s="191">
        <f t="shared" si="5"/>
        <v>6.5519999999999996</v>
      </c>
      <c r="R29" s="191">
        <f t="shared" si="5"/>
        <v>2.9483999999999999</v>
      </c>
      <c r="S29" s="191">
        <f t="shared" si="5"/>
        <v>1.274</v>
      </c>
      <c r="T29" s="191">
        <f t="shared" si="5"/>
        <v>0.81899999999999995</v>
      </c>
      <c r="U29" s="191">
        <f t="shared" si="5"/>
        <v>0.182</v>
      </c>
      <c r="V29" s="191">
        <f t="shared" si="1"/>
        <v>76.163360000000026</v>
      </c>
      <c r="W29" s="208"/>
      <c r="X29" s="209"/>
      <c r="Y29" s="1506"/>
      <c r="Z29" s="1506"/>
      <c r="AA29" s="1506"/>
      <c r="AB29" s="1506"/>
      <c r="AC29" s="1506"/>
      <c r="AD29" s="1506"/>
      <c r="AE29" s="1506"/>
      <c r="AF29" s="1506"/>
      <c r="AG29" s="142"/>
      <c r="AH29" s="216"/>
      <c r="AI29" s="216"/>
      <c r="AJ29" s="216"/>
      <c r="AK29" s="216"/>
      <c r="AL29" s="209"/>
      <c r="AM29" s="209"/>
      <c r="AN29" s="209"/>
      <c r="AO29" s="209"/>
      <c r="AP29" s="209"/>
      <c r="AQ29" s="142"/>
      <c r="AR29" s="56"/>
      <c r="AS29" s="56"/>
      <c r="AT29" s="56"/>
      <c r="AU29" s="56"/>
      <c r="AV29" s="56"/>
      <c r="AW29" s="56"/>
      <c r="AX29" s="56"/>
      <c r="AY29" s="56"/>
    </row>
    <row r="30" spans="1:51" s="129" customFormat="1" ht="14.25" customHeight="1">
      <c r="A30" s="1499" t="s">
        <v>126</v>
      </c>
      <c r="B30" s="1500"/>
      <c r="C30" s="1500"/>
      <c r="D30" s="1500"/>
      <c r="E30" s="1500"/>
      <c r="F30" s="1502" t="s">
        <v>332</v>
      </c>
      <c r="G30" s="1503"/>
      <c r="H30" s="191">
        <f>H25*$I$20</f>
        <v>21319.9</v>
      </c>
      <c r="I30" s="191">
        <f t="shared" ref="I30:U30" si="6">I25*$I$20</f>
        <v>25712.12</v>
      </c>
      <c r="J30" s="191">
        <f t="shared" si="6"/>
        <v>14106.4</v>
      </c>
      <c r="K30" s="191">
        <f t="shared" si="6"/>
        <v>641.20000000000005</v>
      </c>
      <c r="L30" s="191">
        <f t="shared" si="6"/>
        <v>2067.87</v>
      </c>
      <c r="M30" s="191">
        <f t="shared" si="6"/>
        <v>4857.09</v>
      </c>
      <c r="N30" s="191">
        <f t="shared" si="6"/>
        <v>14378.91</v>
      </c>
      <c r="O30" s="191">
        <f t="shared" si="6"/>
        <v>3744.6080000000002</v>
      </c>
      <c r="P30" s="191">
        <f t="shared" si="6"/>
        <v>26593.77</v>
      </c>
      <c r="Q30" s="191">
        <f t="shared" si="6"/>
        <v>11541.6</v>
      </c>
      <c r="R30" s="191">
        <f t="shared" si="6"/>
        <v>5193.72</v>
      </c>
      <c r="S30" s="191">
        <f t="shared" si="6"/>
        <v>2244.1999999999998</v>
      </c>
      <c r="T30" s="191">
        <f t="shared" si="6"/>
        <v>1442.7</v>
      </c>
      <c r="U30" s="191">
        <f t="shared" si="6"/>
        <v>320.60000000000002</v>
      </c>
      <c r="V30" s="191">
        <f t="shared" si="1"/>
        <v>134164.68800000002</v>
      </c>
      <c r="W30" s="208"/>
      <c r="X30" s="209"/>
      <c r="Y30" s="1507"/>
      <c r="Z30" s="1507"/>
      <c r="AA30" s="1507"/>
      <c r="AB30" s="1507"/>
      <c r="AC30" s="1507"/>
      <c r="AD30" s="1507"/>
      <c r="AE30" s="1507"/>
      <c r="AF30" s="1507"/>
      <c r="AG30" s="186"/>
      <c r="AH30" s="209"/>
      <c r="AI30" s="209"/>
      <c r="AJ30" s="209"/>
      <c r="AK30" s="209"/>
      <c r="AL30" s="209"/>
      <c r="AM30" s="209"/>
      <c r="AN30" s="209"/>
      <c r="AO30" s="209"/>
      <c r="AP30" s="209"/>
      <c r="AQ30" s="142"/>
      <c r="AR30" s="56"/>
      <c r="AS30" s="56"/>
      <c r="AT30" s="56"/>
      <c r="AU30" s="56"/>
      <c r="AV30" s="56"/>
      <c r="AW30" s="56"/>
      <c r="AX30" s="56"/>
      <c r="AY30" s="56"/>
    </row>
    <row r="31" spans="1:51" s="129" customFormat="1" ht="14.25" customHeight="1">
      <c r="A31" s="1508"/>
      <c r="B31" s="1509"/>
      <c r="C31" s="1509"/>
      <c r="D31" s="1509"/>
      <c r="E31" s="1509"/>
      <c r="F31" s="1495"/>
      <c r="G31" s="1495"/>
      <c r="H31" s="213"/>
      <c r="I31" s="214" t="s">
        <v>869</v>
      </c>
      <c r="J31" s="214"/>
      <c r="K31" s="214"/>
      <c r="L31" s="214"/>
      <c r="M31" s="214"/>
      <c r="N31" s="214"/>
      <c r="O31" s="214"/>
      <c r="P31" s="214" t="s">
        <v>869</v>
      </c>
      <c r="Q31" s="214"/>
      <c r="R31" s="214" t="s">
        <v>869</v>
      </c>
      <c r="S31" s="214"/>
      <c r="T31" s="214"/>
      <c r="U31" s="214"/>
      <c r="V31" s="214"/>
      <c r="W31" s="215"/>
      <c r="X31" s="216"/>
      <c r="Y31" s="216"/>
      <c r="Z31" s="216"/>
      <c r="AA31" s="216"/>
      <c r="AB31" s="216"/>
      <c r="AC31" s="216"/>
      <c r="AD31" s="412"/>
      <c r="AE31" s="216"/>
      <c r="AF31" s="216"/>
      <c r="AG31" s="216"/>
      <c r="AH31" s="216"/>
      <c r="AI31" s="216"/>
      <c r="AJ31" s="216"/>
      <c r="AK31" s="216"/>
      <c r="AL31" s="216"/>
      <c r="AM31" s="216"/>
      <c r="AN31" s="216"/>
      <c r="AO31" s="216"/>
      <c r="AP31" s="216"/>
      <c r="AQ31" s="142"/>
      <c r="AR31" s="56"/>
      <c r="AS31" s="56"/>
      <c r="AT31" s="56"/>
      <c r="AU31" s="56"/>
      <c r="AV31" s="56"/>
      <c r="AW31" s="56"/>
      <c r="AX31" s="56"/>
      <c r="AY31" s="56"/>
    </row>
    <row r="32" spans="1:51" s="129" customFormat="1" ht="14.25" customHeight="1">
      <c r="A32" s="217"/>
      <c r="B32" s="218"/>
      <c r="C32" s="31"/>
      <c r="D32" s="218"/>
      <c r="E32" s="218"/>
      <c r="F32" s="334"/>
      <c r="G32" s="334"/>
      <c r="H32" s="31"/>
      <c r="I32" s="31"/>
      <c r="J32" s="214"/>
      <c r="K32" s="214"/>
      <c r="L32" s="214"/>
      <c r="M32" s="214"/>
      <c r="N32" s="214"/>
      <c r="O32" s="214"/>
      <c r="P32" s="214"/>
      <c r="Q32" s="214"/>
      <c r="R32" s="214"/>
      <c r="S32" s="214"/>
      <c r="T32" s="214"/>
      <c r="U32" s="214"/>
      <c r="V32" s="214"/>
      <c r="W32" s="215"/>
      <c r="X32" s="216"/>
      <c r="Y32" s="216"/>
      <c r="Z32" s="216"/>
      <c r="AA32" s="216"/>
      <c r="AB32" s="216"/>
      <c r="AC32" s="216"/>
      <c r="AD32" s="412"/>
      <c r="AE32" s="216"/>
      <c r="AF32" s="216"/>
      <c r="AG32" s="216"/>
      <c r="AH32" s="216"/>
      <c r="AI32" s="216"/>
      <c r="AJ32" s="216"/>
      <c r="AK32" s="216"/>
      <c r="AL32" s="216"/>
      <c r="AM32" s="216"/>
      <c r="AN32" s="216"/>
      <c r="AO32" s="216"/>
      <c r="AP32" s="216"/>
      <c r="AQ32" s="142"/>
      <c r="AR32" s="56"/>
      <c r="AS32" s="56"/>
      <c r="AT32" s="56"/>
      <c r="AU32" s="56"/>
      <c r="AV32" s="56"/>
      <c r="AW32" s="56"/>
      <c r="AX32" s="56"/>
      <c r="AY32" s="56"/>
    </row>
    <row r="33" spans="1:50" s="129" customFormat="1" ht="14.25" customHeight="1">
      <c r="A33" s="219"/>
      <c r="B33" s="139"/>
      <c r="C33" s="31"/>
      <c r="D33" s="218"/>
      <c r="E33" s="218"/>
      <c r="F33" s="334"/>
      <c r="G33" s="334"/>
      <c r="H33" s="31"/>
      <c r="I33" s="31"/>
      <c r="J33" s="156"/>
      <c r="K33" s="156"/>
      <c r="L33" s="156"/>
      <c r="M33" s="156"/>
      <c r="N33" s="156"/>
      <c r="O33" s="156"/>
      <c r="P33" s="156"/>
      <c r="Q33" s="156"/>
      <c r="R33" s="156"/>
      <c r="S33" s="156"/>
      <c r="T33" s="156"/>
      <c r="U33" s="156"/>
      <c r="V33" s="156"/>
      <c r="W33" s="32"/>
      <c r="X33" s="220"/>
      <c r="Y33" s="220"/>
      <c r="AB33" s="220"/>
      <c r="AC33" s="220"/>
      <c r="AD33" s="150"/>
      <c r="AE33" s="150"/>
      <c r="AP33" s="142"/>
      <c r="AQ33" s="56"/>
      <c r="AR33" s="56"/>
      <c r="AS33" s="56"/>
      <c r="AT33" s="56"/>
      <c r="AU33" s="56"/>
      <c r="AV33" s="56"/>
      <c r="AW33" s="56"/>
      <c r="AX33" s="56"/>
    </row>
    <row r="34" spans="1:50" s="129" customFormat="1" ht="14.25" customHeight="1">
      <c r="A34" s="221"/>
      <c r="B34" s="140"/>
      <c r="C34" s="1496" t="s">
        <v>782</v>
      </c>
      <c r="D34" s="1497"/>
      <c r="E34" s="1497"/>
      <c r="F34" s="1497"/>
      <c r="G34" s="1497"/>
      <c r="H34" s="140">
        <v>860</v>
      </c>
      <c r="I34" s="140" t="s">
        <v>783</v>
      </c>
      <c r="J34" s="140" t="s">
        <v>784</v>
      </c>
      <c r="K34" s="31"/>
      <c r="L34" s="31"/>
      <c r="M34" s="31"/>
      <c r="N34" s="222"/>
      <c r="O34" s="222"/>
      <c r="P34" s="222"/>
      <c r="Q34" s="222"/>
      <c r="R34" s="222"/>
      <c r="S34" s="222"/>
      <c r="T34" s="222"/>
      <c r="U34" s="222"/>
      <c r="V34" s="222"/>
      <c r="W34" s="32"/>
      <c r="X34" s="220"/>
      <c r="Y34" s="220"/>
      <c r="AB34" s="220"/>
      <c r="AC34" s="220"/>
      <c r="AD34" s="150"/>
      <c r="AE34" s="150"/>
      <c r="AP34" s="142"/>
      <c r="AQ34" s="56"/>
      <c r="AR34" s="56"/>
      <c r="AS34" s="56"/>
      <c r="AT34" s="56"/>
      <c r="AU34" s="56"/>
      <c r="AV34" s="56"/>
      <c r="AW34" s="56"/>
      <c r="AX34" s="56"/>
    </row>
    <row r="35" spans="1:50" s="129" customFormat="1" ht="14.25" customHeight="1">
      <c r="A35" s="1501"/>
      <c r="B35" s="1181"/>
      <c r="C35" s="1181"/>
      <c r="D35" s="1181"/>
      <c r="E35" s="1181"/>
      <c r="F35" s="1181"/>
      <c r="G35" s="1181"/>
      <c r="H35" s="1181"/>
      <c r="I35" s="1181"/>
      <c r="J35" s="1181"/>
      <c r="K35" s="31"/>
      <c r="L35" s="31"/>
      <c r="M35" s="31"/>
      <c r="N35" s="222"/>
      <c r="O35" s="222"/>
      <c r="P35" s="222"/>
      <c r="Q35" s="222"/>
      <c r="R35" s="222"/>
      <c r="S35" s="222"/>
      <c r="T35" s="222"/>
      <c r="U35" s="222"/>
      <c r="V35" s="222"/>
      <c r="W35" s="32"/>
      <c r="X35" s="1493"/>
      <c r="Y35" s="1493"/>
      <c r="AB35" s="1493"/>
      <c r="AC35" s="1493"/>
      <c r="AD35" s="1494"/>
      <c r="AE35" s="1494"/>
      <c r="AP35" s="142"/>
      <c r="AQ35" s="56"/>
      <c r="AR35" s="56"/>
      <c r="AS35" s="56"/>
      <c r="AT35" s="56"/>
      <c r="AU35" s="56"/>
      <c r="AV35" s="56"/>
      <c r="AW35" s="56"/>
      <c r="AX35" s="56"/>
    </row>
    <row r="36" spans="1:50" s="129" customFormat="1" ht="14.25" customHeight="1">
      <c r="A36" s="223"/>
      <c r="B36" s="147"/>
      <c r="C36" s="31"/>
      <c r="D36" s="31"/>
      <c r="E36" s="31"/>
      <c r="F36" s="31"/>
      <c r="G36" s="31"/>
      <c r="H36" s="31"/>
      <c r="I36" s="31"/>
      <c r="J36" s="31"/>
      <c r="K36" s="31"/>
      <c r="L36" s="31"/>
      <c r="M36" s="31"/>
      <c r="N36" s="222"/>
      <c r="O36" s="222"/>
      <c r="P36" s="222"/>
      <c r="Q36" s="222"/>
      <c r="R36" s="222"/>
      <c r="S36" s="222"/>
      <c r="T36" s="222"/>
      <c r="U36" s="222"/>
      <c r="V36" s="222"/>
      <c r="W36" s="32"/>
      <c r="X36" s="220"/>
      <c r="Y36" s="220"/>
      <c r="AB36" s="220"/>
      <c r="AC36" s="220"/>
      <c r="AD36" s="150"/>
      <c r="AE36" s="150"/>
      <c r="AP36" s="142"/>
      <c r="AQ36" s="56"/>
      <c r="AR36" s="56"/>
      <c r="AS36" s="56"/>
      <c r="AT36" s="56"/>
      <c r="AU36" s="56"/>
      <c r="AV36" s="56"/>
      <c r="AW36" s="56"/>
      <c r="AX36" s="56"/>
    </row>
    <row r="37" spans="1:50" s="129" customFormat="1" ht="14.25" customHeight="1">
      <c r="A37" s="224" t="s">
        <v>678</v>
      </c>
      <c r="B37" s="31"/>
      <c r="C37" s="27"/>
      <c r="D37" s="27"/>
      <c r="E37" s="27"/>
      <c r="F37" s="27"/>
      <c r="G37" s="27"/>
      <c r="H37" s="27"/>
      <c r="I37" s="27"/>
      <c r="J37" s="27"/>
      <c r="K37" s="27"/>
      <c r="L37" s="27"/>
      <c r="M37" s="27"/>
      <c r="N37" s="1491"/>
      <c r="O37" s="1491"/>
      <c r="P37" s="225"/>
      <c r="Q37" s="225"/>
      <c r="R37" s="225"/>
      <c r="S37" s="225"/>
      <c r="T37" s="225"/>
      <c r="U37" s="225"/>
      <c r="V37" s="225"/>
      <c r="W37" s="226"/>
      <c r="X37" s="220"/>
      <c r="Y37" s="220"/>
      <c r="AB37" s="220"/>
      <c r="AC37" s="220"/>
      <c r="AD37" s="150"/>
      <c r="AE37" s="150"/>
      <c r="AQ37" s="56"/>
      <c r="AR37" s="56"/>
      <c r="AS37" s="56"/>
      <c r="AT37" s="56"/>
      <c r="AU37" s="56"/>
      <c r="AV37" s="56"/>
      <c r="AW37" s="56"/>
      <c r="AX37" s="56"/>
    </row>
    <row r="38" spans="1:50" s="129" customFormat="1" ht="14.25" customHeight="1">
      <c r="A38" s="227" t="s">
        <v>31</v>
      </c>
      <c r="B38" s="31" t="s">
        <v>785</v>
      </c>
      <c r="C38" s="31"/>
      <c r="D38" s="31"/>
      <c r="E38" s="31"/>
      <c r="F38" s="31"/>
      <c r="G38" s="31"/>
      <c r="H38" s="31"/>
      <c r="I38" s="31"/>
      <c r="J38" s="31"/>
      <c r="K38" s="31"/>
      <c r="L38" s="31"/>
      <c r="M38" s="31"/>
      <c r="N38" s="222"/>
      <c r="O38" s="222"/>
      <c r="P38" s="222"/>
      <c r="Q38" s="222"/>
      <c r="R38" s="222"/>
      <c r="S38" s="222"/>
      <c r="T38" s="222"/>
      <c r="U38" s="222"/>
      <c r="V38" s="222"/>
      <c r="W38" s="32"/>
      <c r="X38" s="1492"/>
      <c r="Y38" s="1492"/>
      <c r="AB38" s="1493"/>
      <c r="AC38" s="1493"/>
      <c r="AD38" s="1494"/>
      <c r="AE38" s="1494"/>
      <c r="AQ38" s="56"/>
      <c r="AR38" s="56"/>
      <c r="AS38" s="56"/>
      <c r="AT38" s="56"/>
      <c r="AU38" s="56"/>
      <c r="AV38" s="56"/>
      <c r="AW38" s="56"/>
      <c r="AX38" s="56"/>
    </row>
    <row r="39" spans="1:50" s="129" customFormat="1" ht="14.25" customHeight="1">
      <c r="A39" s="227" t="s">
        <v>33</v>
      </c>
      <c r="B39" s="31" t="s">
        <v>786</v>
      </c>
      <c r="C39" s="31"/>
      <c r="D39" s="31"/>
      <c r="E39" s="31"/>
      <c r="F39" s="31"/>
      <c r="G39" s="31"/>
      <c r="H39" s="31"/>
      <c r="I39" s="31"/>
      <c r="J39" s="31"/>
      <c r="K39" s="31"/>
      <c r="L39" s="31"/>
      <c r="M39" s="31"/>
      <c r="N39" s="222"/>
      <c r="O39" s="222"/>
      <c r="P39" s="222"/>
      <c r="Q39" s="222"/>
      <c r="R39" s="222"/>
      <c r="S39" s="222"/>
      <c r="T39" s="222"/>
      <c r="U39" s="222"/>
      <c r="V39" s="222"/>
      <c r="W39" s="32"/>
      <c r="X39" s="228"/>
      <c r="Y39" s="228"/>
      <c r="AB39" s="220"/>
      <c r="AC39" s="220"/>
      <c r="AD39" s="150"/>
      <c r="AE39" s="150"/>
      <c r="AQ39" s="56"/>
      <c r="AR39" s="56"/>
      <c r="AS39" s="56"/>
      <c r="AT39" s="56"/>
      <c r="AU39" s="56"/>
      <c r="AV39" s="56"/>
      <c r="AW39" s="56"/>
      <c r="AX39" s="56"/>
    </row>
    <row r="40" spans="1:50" s="129" customFormat="1" ht="14.25" customHeight="1">
      <c r="A40" s="227" t="s">
        <v>752</v>
      </c>
      <c r="B40" s="1489" t="s">
        <v>190</v>
      </c>
      <c r="C40" s="1490"/>
      <c r="D40" s="1490"/>
      <c r="E40" s="1490"/>
      <c r="F40" s="1490"/>
      <c r="G40" s="1490"/>
      <c r="H40" s="1490"/>
      <c r="I40" s="1490"/>
      <c r="J40" s="1490"/>
      <c r="K40" s="1490"/>
      <c r="L40" s="1490"/>
      <c r="M40" s="1490"/>
      <c r="N40" s="1490"/>
      <c r="O40" s="1490"/>
      <c r="P40" s="1490"/>
      <c r="Q40" s="1490"/>
      <c r="R40" s="1490"/>
      <c r="S40" s="1490"/>
      <c r="T40" s="1490"/>
      <c r="U40" s="1490"/>
      <c r="V40" s="1490"/>
      <c r="W40" s="231"/>
      <c r="X40" s="228"/>
      <c r="Y40" s="228"/>
      <c r="AB40" s="220"/>
      <c r="AC40" s="220"/>
      <c r="AD40" s="150"/>
      <c r="AE40" s="150"/>
      <c r="AQ40" s="56"/>
      <c r="AR40" s="56"/>
      <c r="AS40" s="56"/>
      <c r="AT40" s="56"/>
      <c r="AU40" s="56"/>
      <c r="AV40" s="56"/>
      <c r="AW40" s="56"/>
      <c r="AX40" s="56"/>
    </row>
    <row r="41" spans="1:50" s="129" customFormat="1" ht="14.25" customHeight="1">
      <c r="A41" s="227" t="s">
        <v>787</v>
      </c>
      <c r="B41" s="1489" t="s">
        <v>788</v>
      </c>
      <c r="C41" s="1490"/>
      <c r="D41" s="1490"/>
      <c r="E41" s="1490"/>
      <c r="F41" s="1490"/>
      <c r="G41" s="1490"/>
      <c r="H41" s="1490"/>
      <c r="I41" s="1490"/>
      <c r="J41" s="1490"/>
      <c r="K41" s="1490"/>
      <c r="L41" s="1490"/>
      <c r="M41" s="1490"/>
      <c r="N41" s="1490"/>
      <c r="O41" s="1490"/>
      <c r="P41" s="1490"/>
      <c r="Q41" s="1490"/>
      <c r="R41" s="1490"/>
      <c r="S41" s="1490"/>
      <c r="T41" s="1490"/>
      <c r="U41" s="1490"/>
      <c r="V41" s="1490"/>
      <c r="W41" s="231"/>
      <c r="X41" s="228"/>
      <c r="Y41" s="228"/>
      <c r="AB41" s="220"/>
      <c r="AC41" s="220"/>
      <c r="AD41" s="150"/>
      <c r="AE41" s="150"/>
      <c r="AQ41" s="56"/>
      <c r="AR41" s="56"/>
      <c r="AS41" s="56"/>
      <c r="AT41" s="56"/>
      <c r="AU41" s="56"/>
      <c r="AV41" s="56"/>
      <c r="AW41" s="56"/>
      <c r="AX41" s="56"/>
    </row>
    <row r="42" spans="1:50" s="129" customFormat="1" ht="14.25" customHeight="1">
      <c r="A42" s="227"/>
      <c r="B42" s="230"/>
      <c r="C42" s="230"/>
      <c r="D42" s="230"/>
      <c r="E42" s="230"/>
      <c r="F42" s="230"/>
      <c r="G42" s="230"/>
      <c r="H42" s="230"/>
      <c r="I42" s="230"/>
      <c r="J42" s="230"/>
      <c r="K42" s="230"/>
      <c r="L42" s="230"/>
      <c r="M42" s="230"/>
      <c r="N42" s="230"/>
      <c r="O42" s="230"/>
      <c r="P42" s="230"/>
      <c r="Q42" s="230"/>
      <c r="R42" s="230"/>
      <c r="S42" s="230"/>
      <c r="T42" s="230"/>
      <c r="U42" s="230"/>
      <c r="V42" s="230"/>
      <c r="W42" s="231"/>
      <c r="X42" s="228"/>
      <c r="Y42" s="228"/>
      <c r="AB42" s="220"/>
      <c r="AC42" s="220"/>
      <c r="AD42" s="150"/>
      <c r="AE42" s="150"/>
      <c r="AQ42" s="56"/>
      <c r="AR42" s="56"/>
      <c r="AS42" s="56"/>
      <c r="AT42" s="56"/>
      <c r="AU42" s="56"/>
      <c r="AV42" s="56"/>
      <c r="AW42" s="56"/>
      <c r="AX42" s="56"/>
    </row>
    <row r="43" spans="1:50" s="129" customFormat="1" ht="14.25" customHeight="1">
      <c r="A43" s="227"/>
      <c r="B43" s="31"/>
      <c r="C43" s="31"/>
      <c r="D43" s="31"/>
      <c r="E43" s="31"/>
      <c r="F43" s="31"/>
      <c r="G43" s="31"/>
      <c r="H43" s="31"/>
      <c r="I43" s="31"/>
      <c r="J43" s="31"/>
      <c r="K43" s="31"/>
      <c r="L43" s="31"/>
      <c r="M43" s="31"/>
      <c r="N43" s="222"/>
      <c r="O43" s="222"/>
      <c r="P43" s="222"/>
      <c r="Q43" s="222"/>
      <c r="R43" s="222"/>
      <c r="S43" s="222"/>
      <c r="T43" s="222"/>
      <c r="U43" s="222"/>
      <c r="V43" s="222"/>
      <c r="W43" s="32"/>
      <c r="X43" s="228"/>
      <c r="Y43" s="228"/>
      <c r="AB43" s="220"/>
      <c r="AC43" s="220"/>
      <c r="AD43" s="150"/>
      <c r="AE43" s="150"/>
      <c r="AQ43" s="56"/>
      <c r="AR43" s="56"/>
      <c r="AS43" s="56"/>
      <c r="AT43" s="56"/>
      <c r="AU43" s="56"/>
      <c r="AV43" s="56"/>
      <c r="AW43" s="56"/>
      <c r="AX43" s="56"/>
    </row>
    <row r="44" spans="1:50" ht="14.25" customHeight="1">
      <c r="A44" s="232"/>
      <c r="B44" s="233"/>
      <c r="C44" s="233"/>
      <c r="D44" s="233"/>
      <c r="E44" s="233"/>
      <c r="F44" s="233"/>
      <c r="G44" s="233"/>
      <c r="H44" s="233"/>
      <c r="I44" s="233"/>
      <c r="J44" s="233"/>
      <c r="K44" s="233"/>
      <c r="L44" s="233"/>
      <c r="M44" s="233"/>
      <c r="N44" s="233"/>
      <c r="O44" s="233"/>
      <c r="P44" s="233"/>
      <c r="Q44" s="233"/>
      <c r="R44" s="233"/>
      <c r="S44" s="233"/>
      <c r="T44" s="233"/>
      <c r="U44" s="233"/>
      <c r="V44" s="233"/>
      <c r="W44" s="234"/>
      <c r="X44" s="136"/>
      <c r="Y44" s="136"/>
      <c r="Z44" s="136"/>
      <c r="AA44" s="136"/>
      <c r="AB44" s="136"/>
      <c r="AC44" s="136"/>
      <c r="AD44" s="235"/>
      <c r="AE44" s="136"/>
      <c r="AF44" s="136"/>
      <c r="AG44" s="136"/>
      <c r="AH44" s="136"/>
      <c r="AI44" s="136"/>
      <c r="AJ44" s="136"/>
      <c r="AQ44" s="105"/>
      <c r="AR44" s="105"/>
      <c r="AS44" s="105"/>
      <c r="AT44" s="105"/>
      <c r="AU44" s="105"/>
      <c r="AV44" s="105"/>
      <c r="AW44" s="105"/>
      <c r="AX44" s="105"/>
    </row>
    <row r="45" spans="1:50">
      <c r="A45" s="236"/>
      <c r="B45" s="236"/>
      <c r="C45" s="236"/>
      <c r="D45" s="236"/>
      <c r="E45" s="236"/>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7"/>
      <c r="AE45" s="236"/>
      <c r="AF45" s="236"/>
      <c r="AG45" s="236"/>
      <c r="AH45" s="236"/>
      <c r="AI45" s="136"/>
      <c r="AJ45" s="136"/>
      <c r="AQ45" s="105"/>
      <c r="AR45" s="105"/>
      <c r="AS45" s="105"/>
      <c r="AT45" s="105"/>
      <c r="AU45" s="105"/>
      <c r="AV45" s="105"/>
      <c r="AW45" s="105"/>
      <c r="AX45" s="105"/>
    </row>
    <row r="46" spans="1:50">
      <c r="A46" s="236"/>
      <c r="B46" s="236"/>
      <c r="C46" s="236"/>
      <c r="D46" s="236"/>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7"/>
      <c r="AE46" s="236"/>
      <c r="AF46" s="236"/>
      <c r="AG46" s="236"/>
      <c r="AH46" s="236"/>
      <c r="AI46" s="236"/>
      <c r="AJ46" s="236"/>
      <c r="AK46" s="105"/>
      <c r="AL46" s="105"/>
      <c r="AM46" s="105"/>
      <c r="AN46" s="105"/>
      <c r="AO46" s="105"/>
      <c r="AP46" s="105"/>
      <c r="AQ46" s="105"/>
      <c r="AR46" s="105"/>
      <c r="AS46" s="105"/>
      <c r="AT46" s="105"/>
      <c r="AU46" s="105"/>
      <c r="AV46" s="105"/>
      <c r="AW46" s="105"/>
      <c r="AX46" s="105"/>
    </row>
    <row r="47" spans="1:50" ht="12.75">
      <c r="A47" s="236"/>
      <c r="B47" s="236"/>
      <c r="C47" s="236"/>
      <c r="D47" s="236"/>
      <c r="E47" s="236"/>
      <c r="F47" s="236"/>
      <c r="G47" s="236"/>
      <c r="H47" s="236"/>
      <c r="I47" s="236"/>
      <c r="J47" s="236"/>
      <c r="K47" s="236"/>
      <c r="L47" s="236"/>
      <c r="M47" s="236"/>
      <c r="N47" s="236"/>
      <c r="O47" s="236"/>
      <c r="P47" s="236"/>
      <c r="Q47" s="236"/>
      <c r="R47" s="421">
        <v>35</v>
      </c>
      <c r="S47" s="236"/>
      <c r="T47" s="236"/>
      <c r="U47" s="236"/>
      <c r="V47" s="236"/>
      <c r="W47" s="236"/>
      <c r="X47" s="236"/>
      <c r="Y47" s="236"/>
      <c r="Z47" s="236"/>
      <c r="AA47" s="236"/>
      <c r="AB47" s="236"/>
      <c r="AC47" s="236"/>
      <c r="AD47" s="237"/>
      <c r="AE47" s="236"/>
      <c r="AF47" s="236"/>
      <c r="AG47" s="236"/>
      <c r="AH47" s="236"/>
      <c r="AI47" s="236"/>
      <c r="AJ47" s="105"/>
      <c r="AK47" s="105"/>
      <c r="AL47" s="105"/>
      <c r="AM47" s="105"/>
      <c r="AN47" s="105"/>
      <c r="AO47" s="105"/>
      <c r="AP47" s="105"/>
      <c r="AQ47" s="105"/>
      <c r="AR47" s="105"/>
      <c r="AS47" s="105"/>
      <c r="AT47" s="105"/>
      <c r="AU47" s="105"/>
      <c r="AV47" s="105"/>
      <c r="AW47" s="105"/>
      <c r="AX47" s="105"/>
    </row>
    <row r="48" spans="1:50" ht="12.75">
      <c r="A48" s="236"/>
      <c r="B48" s="236"/>
      <c r="C48" s="236"/>
      <c r="D48" s="236"/>
      <c r="E48" s="236"/>
      <c r="F48" s="236"/>
      <c r="G48" s="236"/>
      <c r="H48" s="236"/>
      <c r="I48" s="236"/>
      <c r="J48" s="236"/>
      <c r="K48" s="236"/>
      <c r="L48" s="236"/>
      <c r="M48" s="236"/>
      <c r="N48" s="236"/>
      <c r="O48" s="236"/>
      <c r="P48" s="236"/>
      <c r="Q48" s="236"/>
      <c r="R48" s="421">
        <v>10</v>
      </c>
      <c r="S48" s="236"/>
      <c r="T48" s="236"/>
      <c r="U48" s="236"/>
      <c r="V48" s="236"/>
      <c r="W48" s="236"/>
      <c r="X48" s="236"/>
      <c r="Y48" s="236"/>
      <c r="Z48" s="236"/>
      <c r="AA48" s="236"/>
      <c r="AB48" s="236"/>
      <c r="AC48" s="236"/>
      <c r="AD48" s="237"/>
      <c r="AE48" s="236"/>
      <c r="AF48" s="236"/>
      <c r="AG48" s="236"/>
      <c r="AH48" s="236"/>
      <c r="AI48" s="236"/>
      <c r="AJ48" s="105"/>
      <c r="AK48" s="105"/>
      <c r="AL48" s="105"/>
      <c r="AM48" s="105"/>
      <c r="AN48" s="105"/>
      <c r="AO48" s="105"/>
      <c r="AP48" s="105"/>
      <c r="AQ48" s="105"/>
      <c r="AR48" s="105"/>
      <c r="AS48" s="105"/>
      <c r="AT48" s="105"/>
      <c r="AU48" s="105"/>
      <c r="AV48" s="105"/>
      <c r="AW48" s="105"/>
      <c r="AX48" s="105"/>
    </row>
    <row r="49" spans="1:50" ht="12.75">
      <c r="A49" s="236"/>
      <c r="B49" s="236"/>
      <c r="C49" s="236"/>
      <c r="D49" s="236"/>
      <c r="E49" s="236"/>
      <c r="F49" s="236"/>
      <c r="G49" s="236"/>
      <c r="H49" s="236"/>
      <c r="I49" s="236"/>
      <c r="J49" s="236"/>
      <c r="K49" s="236"/>
      <c r="L49" s="236"/>
      <c r="M49" s="236"/>
      <c r="N49" s="236"/>
      <c r="O49" s="236"/>
      <c r="P49" s="236"/>
      <c r="Q49" s="236"/>
      <c r="R49" s="421">
        <v>50</v>
      </c>
      <c r="S49" s="236"/>
      <c r="T49" s="236"/>
      <c r="U49" s="236"/>
      <c r="V49" s="236"/>
      <c r="W49" s="236"/>
      <c r="X49" s="236"/>
      <c r="Y49" s="236"/>
      <c r="Z49" s="236"/>
      <c r="AA49" s="236"/>
      <c r="AB49" s="236"/>
      <c r="AC49" s="236"/>
      <c r="AD49" s="237"/>
      <c r="AE49" s="236"/>
      <c r="AF49" s="236"/>
      <c r="AG49" s="236"/>
      <c r="AH49" s="236"/>
      <c r="AI49" s="236"/>
      <c r="AJ49" s="105"/>
      <c r="AK49" s="105"/>
      <c r="AL49" s="105"/>
      <c r="AM49" s="105"/>
      <c r="AN49" s="105"/>
      <c r="AO49" s="105"/>
      <c r="AP49" s="105"/>
      <c r="AQ49" s="105"/>
      <c r="AR49" s="105"/>
      <c r="AS49" s="105"/>
      <c r="AT49" s="105"/>
      <c r="AU49" s="105"/>
      <c r="AV49" s="105"/>
      <c r="AW49" s="105"/>
      <c r="AX49" s="105"/>
    </row>
    <row r="50" spans="1:50" ht="12.75">
      <c r="A50" s="236"/>
      <c r="B50" s="236"/>
      <c r="C50" s="236"/>
      <c r="D50" s="236"/>
      <c r="E50" s="236"/>
      <c r="F50" s="236"/>
      <c r="G50" s="236"/>
      <c r="H50" s="236"/>
      <c r="I50" s="236"/>
      <c r="J50" s="236"/>
      <c r="K50" s="236"/>
      <c r="L50" s="236"/>
      <c r="M50" s="236"/>
      <c r="N50" s="236"/>
      <c r="O50" s="236"/>
      <c r="P50" s="236"/>
      <c r="Q50" s="236"/>
      <c r="R50" s="421">
        <v>20</v>
      </c>
      <c r="S50" s="236"/>
      <c r="T50" s="236"/>
      <c r="U50" s="236"/>
      <c r="V50" s="236"/>
      <c r="W50" s="236"/>
      <c r="X50" s="236"/>
      <c r="Y50" s="236"/>
      <c r="Z50" s="236"/>
      <c r="AA50" s="236"/>
      <c r="AB50" s="236"/>
      <c r="AC50" s="236"/>
      <c r="AD50" s="237"/>
      <c r="AE50" s="236"/>
      <c r="AF50" s="236"/>
      <c r="AG50" s="236"/>
      <c r="AH50" s="236"/>
      <c r="AI50" s="236"/>
      <c r="AJ50" s="105"/>
      <c r="AK50" s="105"/>
      <c r="AL50" s="105"/>
      <c r="AM50" s="105"/>
      <c r="AN50" s="105"/>
      <c r="AO50" s="105"/>
      <c r="AP50" s="105"/>
      <c r="AQ50" s="105"/>
      <c r="AR50" s="105"/>
      <c r="AS50" s="105"/>
      <c r="AT50" s="105"/>
      <c r="AU50" s="105"/>
      <c r="AV50" s="105"/>
      <c r="AW50" s="105"/>
      <c r="AX50" s="105"/>
    </row>
    <row r="51" spans="1:50" ht="12.75">
      <c r="A51" s="236"/>
      <c r="B51" s="236"/>
      <c r="C51" s="236"/>
      <c r="D51" s="236"/>
      <c r="E51" s="236"/>
      <c r="F51" s="236"/>
      <c r="G51" s="236"/>
      <c r="H51" s="236"/>
      <c r="I51" s="236"/>
      <c r="J51" s="236"/>
      <c r="K51" s="236"/>
      <c r="L51" s="236"/>
      <c r="M51" s="236"/>
      <c r="N51" s="236"/>
      <c r="O51" s="236"/>
      <c r="P51" s="236"/>
      <c r="Q51" s="236"/>
      <c r="R51" s="421">
        <v>15</v>
      </c>
      <c r="S51" s="236"/>
      <c r="T51" s="236"/>
      <c r="U51" s="236"/>
      <c r="V51" s="236"/>
      <c r="W51" s="236"/>
      <c r="X51" s="236"/>
      <c r="Y51" s="236"/>
      <c r="Z51" s="236"/>
      <c r="AA51" s="236"/>
      <c r="AB51" s="236"/>
      <c r="AC51" s="236"/>
      <c r="AD51" s="237"/>
      <c r="AE51" s="236"/>
      <c r="AF51" s="236"/>
      <c r="AG51" s="236"/>
      <c r="AH51" s="236"/>
      <c r="AI51" s="236"/>
      <c r="AJ51" s="105"/>
      <c r="AK51" s="105"/>
      <c r="AL51" s="105"/>
      <c r="AM51" s="105"/>
      <c r="AN51" s="105"/>
      <c r="AO51" s="105"/>
      <c r="AP51" s="105"/>
      <c r="AQ51" s="105"/>
      <c r="AR51" s="105"/>
      <c r="AS51" s="105"/>
      <c r="AT51" s="105"/>
      <c r="AU51" s="105"/>
      <c r="AV51" s="105"/>
      <c r="AW51" s="105"/>
      <c r="AX51" s="105"/>
    </row>
    <row r="52" spans="1:50" ht="12.75">
      <c r="A52" s="236"/>
      <c r="B52" s="236"/>
      <c r="C52" s="236"/>
      <c r="D52" s="236"/>
      <c r="E52" s="236"/>
      <c r="F52" s="236"/>
      <c r="G52" s="236"/>
      <c r="H52" s="236"/>
      <c r="I52" s="236"/>
      <c r="J52" s="236"/>
      <c r="K52" s="236"/>
      <c r="L52" s="236"/>
      <c r="M52" s="236"/>
      <c r="N52" s="236"/>
      <c r="O52" s="236"/>
      <c r="P52" s="236"/>
      <c r="Q52" s="236"/>
      <c r="R52" s="421">
        <v>15</v>
      </c>
      <c r="S52" s="236"/>
      <c r="T52" s="236"/>
      <c r="U52" s="236"/>
      <c r="V52" s="236"/>
      <c r="W52" s="236"/>
      <c r="X52" s="236"/>
      <c r="Y52" s="236"/>
      <c r="Z52" s="236"/>
      <c r="AA52" s="236"/>
      <c r="AB52" s="236"/>
      <c r="AC52" s="236"/>
      <c r="AD52" s="237"/>
      <c r="AE52" s="236"/>
      <c r="AF52" s="236"/>
      <c r="AG52" s="236"/>
      <c r="AH52" s="236"/>
      <c r="AI52" s="236"/>
      <c r="AJ52" s="105"/>
      <c r="AK52" s="105"/>
      <c r="AL52" s="105"/>
      <c r="AM52" s="105"/>
      <c r="AN52" s="105"/>
      <c r="AO52" s="105"/>
      <c r="AP52" s="105"/>
      <c r="AQ52" s="105"/>
      <c r="AR52" s="105"/>
      <c r="AS52" s="105"/>
      <c r="AT52" s="105"/>
      <c r="AU52" s="105"/>
      <c r="AV52" s="105"/>
      <c r="AW52" s="105"/>
      <c r="AX52" s="105"/>
    </row>
    <row r="53" spans="1:50" ht="12.75">
      <c r="A53" s="236"/>
      <c r="B53" s="236"/>
      <c r="C53" s="236"/>
      <c r="D53" s="236"/>
      <c r="E53" s="236"/>
      <c r="F53" s="236"/>
      <c r="G53" s="236"/>
      <c r="H53" s="236"/>
      <c r="I53" s="236"/>
      <c r="J53" s="236"/>
      <c r="K53" s="236"/>
      <c r="L53" s="236"/>
      <c r="M53" s="236"/>
      <c r="N53" s="236"/>
      <c r="O53" s="236"/>
      <c r="P53" s="236"/>
      <c r="Q53" s="236"/>
      <c r="R53" s="421">
        <v>15</v>
      </c>
      <c r="S53" s="236"/>
      <c r="T53" s="236"/>
      <c r="U53" s="236"/>
      <c r="V53" s="236"/>
      <c r="W53" s="236"/>
      <c r="X53" s="236"/>
      <c r="Y53" s="236"/>
      <c r="Z53" s="236"/>
      <c r="AA53" s="236"/>
      <c r="AB53" s="236"/>
      <c r="AC53" s="236"/>
      <c r="AD53" s="237"/>
      <c r="AE53" s="236"/>
      <c r="AF53" s="236"/>
      <c r="AG53" s="236"/>
      <c r="AH53" s="236"/>
      <c r="AI53" s="236"/>
      <c r="AJ53" s="105"/>
      <c r="AK53" s="105"/>
      <c r="AL53" s="105"/>
      <c r="AM53" s="105"/>
      <c r="AN53" s="105"/>
      <c r="AO53" s="105"/>
      <c r="AP53" s="105"/>
      <c r="AQ53" s="105"/>
      <c r="AR53" s="105"/>
      <c r="AS53" s="105"/>
      <c r="AT53" s="105"/>
      <c r="AU53" s="105"/>
      <c r="AV53" s="105"/>
      <c r="AW53" s="105"/>
      <c r="AX53" s="105"/>
    </row>
    <row r="54" spans="1:50" ht="12.75">
      <c r="A54" s="236"/>
      <c r="B54" s="236"/>
      <c r="C54" s="236"/>
      <c r="D54" s="236"/>
      <c r="E54" s="236"/>
      <c r="F54" s="236"/>
      <c r="G54" s="236"/>
      <c r="H54" s="236"/>
      <c r="I54" s="236"/>
      <c r="J54" s="236"/>
      <c r="K54" s="236"/>
      <c r="L54" s="236"/>
      <c r="M54" s="236"/>
      <c r="N54" s="236"/>
      <c r="O54" s="236"/>
      <c r="P54" s="236"/>
      <c r="Q54" s="236"/>
      <c r="R54" s="421">
        <v>8</v>
      </c>
      <c r="S54" s="236"/>
      <c r="T54" s="236"/>
      <c r="U54" s="236"/>
      <c r="V54" s="236"/>
      <c r="W54" s="236"/>
      <c r="X54" s="236"/>
      <c r="Y54" s="236"/>
      <c r="Z54" s="236"/>
      <c r="AA54" s="236"/>
      <c r="AB54" s="236"/>
      <c r="AC54" s="236"/>
      <c r="AD54" s="237"/>
      <c r="AE54" s="236"/>
      <c r="AF54" s="236"/>
      <c r="AG54" s="236"/>
      <c r="AH54" s="236"/>
      <c r="AI54" s="236"/>
      <c r="AJ54" s="105"/>
      <c r="AK54" s="105"/>
      <c r="AL54" s="105"/>
      <c r="AM54" s="105"/>
      <c r="AN54" s="105"/>
      <c r="AO54" s="105"/>
      <c r="AP54" s="105"/>
      <c r="AQ54" s="105"/>
      <c r="AR54" s="105"/>
      <c r="AS54" s="105"/>
      <c r="AT54" s="105"/>
      <c r="AU54" s="105"/>
      <c r="AV54" s="105"/>
      <c r="AW54" s="105"/>
      <c r="AX54" s="105"/>
    </row>
    <row r="55" spans="1:50" s="137" customFormat="1" ht="12.75">
      <c r="A55" s="236"/>
      <c r="B55" s="236"/>
      <c r="C55" s="236"/>
      <c r="D55" s="236"/>
      <c r="E55" s="236"/>
      <c r="F55" s="236"/>
      <c r="G55" s="236"/>
      <c r="H55" s="236"/>
      <c r="I55" s="236"/>
      <c r="J55" s="236"/>
      <c r="K55" s="236"/>
      <c r="L55" s="236"/>
      <c r="M55" s="236"/>
      <c r="N55" s="236"/>
      <c r="O55" s="236"/>
      <c r="P55" s="236"/>
      <c r="Q55" s="236"/>
      <c r="R55" s="421">
        <v>15</v>
      </c>
      <c r="S55" s="236"/>
      <c r="T55" s="236"/>
      <c r="U55" s="236"/>
      <c r="V55" s="236"/>
      <c r="W55" s="236"/>
      <c r="X55" s="236"/>
      <c r="Y55" s="236"/>
      <c r="Z55" s="236"/>
      <c r="AA55" s="236"/>
      <c r="AB55" s="236"/>
      <c r="AC55" s="236"/>
      <c r="AD55" s="237"/>
      <c r="AE55" s="236"/>
      <c r="AF55" s="236"/>
      <c r="AG55" s="236"/>
      <c r="AH55" s="236"/>
      <c r="AI55" s="236"/>
      <c r="AJ55" s="105"/>
      <c r="AK55" s="105"/>
      <c r="AL55" s="105"/>
      <c r="AM55" s="105"/>
      <c r="AN55" s="105"/>
      <c r="AO55" s="105"/>
      <c r="AP55" s="105"/>
      <c r="AQ55" s="105"/>
      <c r="AR55" s="105"/>
      <c r="AS55" s="105"/>
      <c r="AT55" s="105"/>
      <c r="AU55" s="105"/>
      <c r="AV55" s="105"/>
      <c r="AW55" s="105"/>
      <c r="AX55" s="105"/>
    </row>
    <row r="56" spans="1:50" s="137" customFormat="1" ht="12.75">
      <c r="A56" s="236"/>
      <c r="B56" s="236"/>
      <c r="C56" s="236"/>
      <c r="D56" s="236"/>
      <c r="E56" s="236"/>
      <c r="F56" s="236"/>
      <c r="G56" s="236"/>
      <c r="H56" s="236"/>
      <c r="I56" s="236"/>
      <c r="J56" s="236"/>
      <c r="K56" s="236"/>
      <c r="L56" s="236"/>
      <c r="M56" s="236"/>
      <c r="N56" s="236"/>
      <c r="O56" s="236"/>
      <c r="P56" s="236"/>
      <c r="Q56" s="236"/>
      <c r="R56" s="421">
        <v>12</v>
      </c>
      <c r="S56" s="236"/>
      <c r="T56" s="236"/>
      <c r="U56" s="236"/>
      <c r="V56" s="236"/>
      <c r="W56" s="236"/>
      <c r="X56" s="236"/>
      <c r="Y56" s="236"/>
      <c r="Z56" s="236"/>
      <c r="AA56" s="236"/>
      <c r="AB56" s="236"/>
      <c r="AC56" s="236"/>
      <c r="AD56" s="237"/>
      <c r="AE56" s="236"/>
      <c r="AF56" s="236"/>
      <c r="AG56" s="236"/>
      <c r="AH56" s="236"/>
      <c r="AI56" s="236"/>
      <c r="AJ56" s="105"/>
      <c r="AK56" s="105"/>
      <c r="AL56" s="105"/>
      <c r="AM56" s="105"/>
      <c r="AN56" s="105"/>
      <c r="AO56" s="105"/>
      <c r="AP56" s="105"/>
      <c r="AQ56" s="105"/>
      <c r="AR56" s="105"/>
      <c r="AS56" s="105"/>
      <c r="AT56" s="105"/>
      <c r="AU56" s="105"/>
      <c r="AV56" s="105"/>
      <c r="AW56" s="105"/>
      <c r="AX56" s="105"/>
    </row>
    <row r="57" spans="1:50" s="137" customFormat="1" ht="12.75">
      <c r="A57" s="236"/>
      <c r="B57" s="236"/>
      <c r="C57" s="236"/>
      <c r="D57" s="236"/>
      <c r="E57" s="236"/>
      <c r="F57" s="236"/>
      <c r="G57" s="236"/>
      <c r="H57" s="236"/>
      <c r="I57" s="236"/>
      <c r="J57" s="236"/>
      <c r="K57" s="236"/>
      <c r="L57" s="236"/>
      <c r="M57" s="236"/>
      <c r="N57" s="236"/>
      <c r="O57" s="236"/>
      <c r="P57" s="236"/>
      <c r="Q57" s="236"/>
      <c r="R57" s="421">
        <v>3</v>
      </c>
      <c r="S57" s="236"/>
      <c r="T57" s="236"/>
      <c r="U57" s="236"/>
      <c r="V57" s="236"/>
      <c r="W57" s="236"/>
      <c r="X57" s="236"/>
      <c r="Y57" s="236"/>
      <c r="Z57" s="236"/>
      <c r="AA57" s="236"/>
      <c r="AB57" s="236"/>
      <c r="AC57" s="236"/>
      <c r="AD57" s="237"/>
      <c r="AE57" s="236"/>
      <c r="AF57" s="236"/>
      <c r="AG57" s="236"/>
      <c r="AH57" s="236"/>
      <c r="AI57" s="236"/>
      <c r="AJ57" s="105"/>
      <c r="AK57" s="105"/>
      <c r="AL57" s="105"/>
      <c r="AM57" s="105"/>
      <c r="AN57" s="105"/>
      <c r="AO57" s="105"/>
      <c r="AP57" s="105"/>
      <c r="AQ57" s="105"/>
      <c r="AR57" s="105"/>
      <c r="AS57" s="105"/>
      <c r="AT57" s="105"/>
      <c r="AU57" s="105"/>
      <c r="AV57" s="105"/>
      <c r="AW57" s="105"/>
      <c r="AX57" s="105"/>
    </row>
    <row r="58" spans="1:50" s="137" customFormat="1" ht="12.75">
      <c r="A58" s="236"/>
      <c r="B58" s="236"/>
      <c r="C58" s="236"/>
      <c r="D58" s="236"/>
      <c r="E58" s="236"/>
      <c r="F58" s="236"/>
      <c r="G58" s="236"/>
      <c r="H58" s="236"/>
      <c r="I58" s="236"/>
      <c r="J58" s="236"/>
      <c r="K58" s="236"/>
      <c r="L58" s="236"/>
      <c r="M58" s="236"/>
      <c r="N58" s="236"/>
      <c r="O58" s="236"/>
      <c r="P58" s="236"/>
      <c r="Q58" s="236"/>
      <c r="R58" s="421">
        <v>5</v>
      </c>
      <c r="S58" s="236"/>
      <c r="T58" s="236"/>
      <c r="U58" s="236"/>
      <c r="V58" s="236"/>
      <c r="W58" s="236"/>
      <c r="X58" s="236"/>
      <c r="Y58" s="236"/>
      <c r="Z58" s="236"/>
      <c r="AA58" s="236"/>
      <c r="AB58" s="236"/>
      <c r="AC58" s="236"/>
      <c r="AD58" s="237"/>
      <c r="AE58" s="236"/>
      <c r="AF58" s="236"/>
      <c r="AG58" s="236"/>
      <c r="AH58" s="236"/>
      <c r="AI58" s="236"/>
      <c r="AJ58" s="105"/>
      <c r="AK58" s="105"/>
      <c r="AL58" s="105"/>
      <c r="AM58" s="105"/>
      <c r="AN58" s="105"/>
      <c r="AO58" s="105"/>
      <c r="AP58" s="105"/>
      <c r="AQ58" s="105"/>
      <c r="AR58" s="105"/>
      <c r="AS58" s="105"/>
      <c r="AT58" s="105"/>
      <c r="AU58" s="105"/>
      <c r="AV58" s="105"/>
      <c r="AW58" s="105"/>
      <c r="AX58" s="105"/>
    </row>
    <row r="59" spans="1:50" s="137" customFormat="1" ht="12.75">
      <c r="A59" s="236"/>
      <c r="B59" s="236"/>
      <c r="C59" s="236"/>
      <c r="D59" s="236"/>
      <c r="E59" s="236"/>
      <c r="F59" s="236"/>
      <c r="G59" s="236"/>
      <c r="H59" s="236"/>
      <c r="I59" s="236"/>
      <c r="J59" s="236"/>
      <c r="K59" s="236"/>
      <c r="L59" s="236"/>
      <c r="M59" s="236"/>
      <c r="N59" s="236"/>
      <c r="O59" s="236"/>
      <c r="P59" s="236"/>
      <c r="Q59" s="236"/>
      <c r="R59" s="421">
        <v>10</v>
      </c>
      <c r="S59" s="236"/>
      <c r="T59" s="236"/>
      <c r="U59" s="236"/>
      <c r="V59" s="236"/>
      <c r="W59" s="236"/>
      <c r="X59" s="236"/>
      <c r="Y59" s="236"/>
      <c r="Z59" s="236"/>
      <c r="AA59" s="236"/>
      <c r="AB59" s="236"/>
      <c r="AC59" s="236"/>
      <c r="AD59" s="237"/>
      <c r="AE59" s="236"/>
      <c r="AF59" s="236"/>
      <c r="AG59" s="236"/>
      <c r="AH59" s="236"/>
      <c r="AI59" s="236"/>
      <c r="AJ59" s="105"/>
      <c r="AK59" s="105"/>
      <c r="AL59" s="105"/>
      <c r="AM59" s="105"/>
      <c r="AN59" s="105"/>
      <c r="AO59" s="105"/>
      <c r="AP59" s="105"/>
      <c r="AQ59" s="105"/>
      <c r="AR59" s="105"/>
      <c r="AS59" s="105"/>
      <c r="AT59" s="105"/>
      <c r="AU59" s="105"/>
      <c r="AV59" s="105"/>
      <c r="AW59" s="105"/>
      <c r="AX59" s="105"/>
    </row>
    <row r="60" spans="1:50" s="137" customFormat="1" ht="12.75">
      <c r="A60" s="236"/>
      <c r="B60" s="236"/>
      <c r="C60" s="236"/>
      <c r="D60" s="236"/>
      <c r="E60" s="236"/>
      <c r="F60" s="236"/>
      <c r="G60" s="236"/>
      <c r="H60" s="236"/>
      <c r="I60" s="236"/>
      <c r="J60" s="236"/>
      <c r="K60" s="236"/>
      <c r="L60" s="236"/>
      <c r="M60" s="236"/>
      <c r="N60" s="236"/>
      <c r="O60" s="236"/>
      <c r="P60" s="236"/>
      <c r="Q60" s="236"/>
      <c r="R60" s="421">
        <v>10</v>
      </c>
      <c r="S60" s="236"/>
      <c r="T60" s="236"/>
      <c r="U60" s="236"/>
      <c r="V60" s="236"/>
      <c r="W60" s="236"/>
      <c r="X60" s="236"/>
      <c r="Y60" s="236"/>
      <c r="Z60" s="236"/>
      <c r="AA60" s="236"/>
      <c r="AB60" s="236"/>
      <c r="AC60" s="236"/>
      <c r="AD60" s="237"/>
      <c r="AE60" s="236"/>
      <c r="AF60" s="236"/>
      <c r="AG60" s="236"/>
      <c r="AH60" s="236"/>
      <c r="AI60" s="236"/>
      <c r="AJ60" s="105"/>
      <c r="AK60" s="105"/>
      <c r="AL60" s="105"/>
      <c r="AM60" s="105"/>
      <c r="AN60" s="105"/>
      <c r="AO60" s="105"/>
      <c r="AP60" s="105"/>
      <c r="AQ60" s="105"/>
      <c r="AR60" s="105"/>
      <c r="AS60" s="105"/>
      <c r="AT60" s="105"/>
      <c r="AU60" s="105"/>
      <c r="AV60" s="105"/>
      <c r="AW60" s="105"/>
      <c r="AX60" s="105"/>
    </row>
    <row r="61" spans="1:50" s="137" customFormat="1">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7"/>
      <c r="AE61" s="236"/>
      <c r="AF61" s="236"/>
      <c r="AG61" s="236"/>
      <c r="AH61" s="236"/>
      <c r="AI61" s="236"/>
      <c r="AJ61" s="105"/>
      <c r="AK61" s="105"/>
      <c r="AL61" s="105"/>
      <c r="AM61" s="105"/>
      <c r="AN61" s="105"/>
      <c r="AO61" s="105"/>
      <c r="AP61" s="105"/>
      <c r="AQ61" s="105"/>
      <c r="AR61" s="105"/>
      <c r="AS61" s="105"/>
      <c r="AT61" s="105"/>
      <c r="AU61" s="105"/>
      <c r="AV61" s="105"/>
      <c r="AW61" s="105"/>
      <c r="AX61" s="105"/>
    </row>
    <row r="62" spans="1:50" s="137" customFormat="1">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6"/>
      <c r="AD62" s="237"/>
      <c r="AE62" s="236"/>
      <c r="AF62" s="236"/>
      <c r="AG62" s="236"/>
      <c r="AH62" s="236"/>
      <c r="AI62" s="236"/>
      <c r="AJ62" s="105"/>
      <c r="AK62" s="105"/>
      <c r="AL62" s="105"/>
      <c r="AM62" s="105"/>
      <c r="AN62" s="105"/>
      <c r="AO62" s="105"/>
      <c r="AP62" s="105"/>
      <c r="AQ62" s="105"/>
      <c r="AR62" s="105"/>
      <c r="AS62" s="105"/>
      <c r="AT62" s="105"/>
      <c r="AU62" s="105"/>
      <c r="AV62" s="105"/>
      <c r="AW62" s="105"/>
      <c r="AX62" s="105"/>
    </row>
    <row r="63" spans="1:50" s="137" customFormat="1">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7"/>
      <c r="AE63" s="236"/>
      <c r="AF63" s="236"/>
      <c r="AG63" s="236"/>
      <c r="AH63" s="236"/>
      <c r="AI63" s="236"/>
      <c r="AJ63" s="105"/>
      <c r="AK63" s="105"/>
      <c r="AL63" s="105"/>
      <c r="AM63" s="105"/>
      <c r="AN63" s="105"/>
      <c r="AO63" s="105"/>
      <c r="AP63" s="105"/>
      <c r="AQ63" s="105"/>
      <c r="AR63" s="105"/>
      <c r="AS63" s="105"/>
      <c r="AT63" s="105"/>
      <c r="AU63" s="105"/>
      <c r="AV63" s="105"/>
      <c r="AW63" s="105"/>
      <c r="AX63" s="105"/>
    </row>
    <row r="64" spans="1:50" s="137" customFormat="1">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237"/>
      <c r="AE64" s="236"/>
      <c r="AF64" s="236"/>
      <c r="AG64" s="236"/>
      <c r="AH64" s="236"/>
      <c r="AI64" s="236"/>
      <c r="AJ64" s="105"/>
      <c r="AK64" s="105"/>
      <c r="AL64" s="105"/>
      <c r="AM64" s="105"/>
      <c r="AN64" s="105"/>
      <c r="AO64" s="105"/>
      <c r="AP64" s="105"/>
      <c r="AQ64" s="105"/>
      <c r="AR64" s="105"/>
      <c r="AS64" s="105"/>
      <c r="AT64" s="105"/>
      <c r="AU64" s="105"/>
      <c r="AV64" s="105"/>
      <c r="AW64" s="105"/>
      <c r="AX64" s="105"/>
    </row>
    <row r="65" spans="1:50" s="137" customFormat="1">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7"/>
      <c r="AE65" s="236"/>
      <c r="AF65" s="236"/>
      <c r="AG65" s="236"/>
      <c r="AH65" s="236"/>
      <c r="AI65" s="236"/>
      <c r="AJ65" s="105"/>
      <c r="AK65" s="105"/>
      <c r="AL65" s="105"/>
      <c r="AM65" s="105"/>
      <c r="AN65" s="105"/>
      <c r="AO65" s="105"/>
      <c r="AP65" s="105"/>
      <c r="AQ65" s="105"/>
      <c r="AR65" s="105"/>
      <c r="AS65" s="105"/>
      <c r="AT65" s="105"/>
      <c r="AU65" s="105"/>
      <c r="AV65" s="105"/>
      <c r="AW65" s="105"/>
      <c r="AX65" s="105"/>
    </row>
    <row r="66" spans="1:50" s="137" customFormat="1">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37"/>
      <c r="AE66" s="236"/>
      <c r="AF66" s="236"/>
      <c r="AG66" s="236"/>
      <c r="AH66" s="236"/>
      <c r="AI66" s="236"/>
      <c r="AJ66" s="105"/>
      <c r="AK66" s="105"/>
      <c r="AL66" s="105"/>
      <c r="AM66" s="105"/>
      <c r="AN66" s="105"/>
      <c r="AO66" s="105"/>
      <c r="AP66" s="105"/>
      <c r="AQ66" s="105"/>
      <c r="AR66" s="105"/>
      <c r="AS66" s="105"/>
      <c r="AT66" s="105"/>
      <c r="AU66" s="105"/>
      <c r="AV66" s="105"/>
      <c r="AW66" s="105"/>
      <c r="AX66" s="105"/>
    </row>
    <row r="67" spans="1:50" s="137" customFormat="1">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7"/>
      <c r="AE67" s="236"/>
      <c r="AF67" s="236"/>
      <c r="AG67" s="236"/>
      <c r="AH67" s="236"/>
      <c r="AI67" s="236"/>
      <c r="AJ67" s="105"/>
      <c r="AK67" s="105"/>
      <c r="AL67" s="105"/>
      <c r="AM67" s="105"/>
      <c r="AN67" s="105"/>
      <c r="AO67" s="105"/>
      <c r="AP67" s="105"/>
      <c r="AQ67" s="105"/>
      <c r="AR67" s="105"/>
      <c r="AS67" s="105"/>
      <c r="AT67" s="105"/>
      <c r="AU67" s="105"/>
      <c r="AV67" s="105"/>
      <c r="AW67" s="105"/>
      <c r="AX67" s="105"/>
    </row>
    <row r="68" spans="1:50" s="137" customFormat="1">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7"/>
      <c r="AE68" s="236"/>
      <c r="AF68" s="236"/>
      <c r="AG68" s="236"/>
      <c r="AH68" s="236"/>
      <c r="AI68" s="236"/>
      <c r="AJ68" s="105"/>
      <c r="AK68" s="105"/>
      <c r="AL68" s="105"/>
      <c r="AM68" s="105"/>
      <c r="AN68" s="105"/>
      <c r="AO68" s="105"/>
      <c r="AP68" s="105"/>
      <c r="AQ68" s="105"/>
      <c r="AR68" s="105"/>
      <c r="AS68" s="105"/>
      <c r="AT68" s="105"/>
      <c r="AU68" s="105"/>
      <c r="AV68" s="105"/>
      <c r="AW68" s="105"/>
      <c r="AX68" s="105"/>
    </row>
    <row r="69" spans="1:50" s="137" customFormat="1">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7"/>
      <c r="AE69" s="236"/>
      <c r="AF69" s="236"/>
      <c r="AG69" s="236"/>
      <c r="AH69" s="236"/>
      <c r="AI69" s="236"/>
      <c r="AJ69" s="105"/>
      <c r="AK69" s="105"/>
      <c r="AL69" s="105"/>
      <c r="AM69" s="105"/>
      <c r="AN69" s="105"/>
      <c r="AO69" s="105"/>
      <c r="AP69" s="105"/>
      <c r="AQ69" s="105"/>
      <c r="AR69" s="105"/>
      <c r="AS69" s="105"/>
      <c r="AT69" s="105"/>
      <c r="AU69" s="105"/>
      <c r="AV69" s="105"/>
      <c r="AW69" s="105"/>
      <c r="AX69" s="105"/>
    </row>
    <row r="70" spans="1:50" s="137" customFormat="1">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237"/>
      <c r="AE70" s="236"/>
      <c r="AF70" s="236"/>
      <c r="AG70" s="236"/>
      <c r="AH70" s="236"/>
      <c r="AI70" s="236"/>
      <c r="AJ70" s="105"/>
      <c r="AK70" s="105"/>
      <c r="AL70" s="105"/>
      <c r="AM70" s="105"/>
      <c r="AN70" s="105"/>
      <c r="AO70" s="105"/>
      <c r="AP70" s="105"/>
      <c r="AQ70" s="105"/>
      <c r="AR70" s="105"/>
      <c r="AS70" s="105"/>
      <c r="AT70" s="105"/>
      <c r="AU70" s="105"/>
      <c r="AV70" s="105"/>
      <c r="AW70" s="105"/>
      <c r="AX70" s="105"/>
    </row>
    <row r="71" spans="1:50">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7"/>
      <c r="AE71" s="236"/>
      <c r="AF71" s="236"/>
      <c r="AG71" s="236"/>
      <c r="AH71" s="236"/>
      <c r="AI71" s="236"/>
      <c r="AJ71" s="105"/>
      <c r="AK71" s="105"/>
      <c r="AL71" s="105"/>
      <c r="AM71" s="105"/>
      <c r="AN71" s="105"/>
      <c r="AO71" s="105"/>
      <c r="AP71" s="105"/>
      <c r="AQ71" s="105"/>
      <c r="AR71" s="105"/>
      <c r="AS71" s="105"/>
      <c r="AT71" s="105"/>
      <c r="AU71" s="105"/>
      <c r="AV71" s="105"/>
      <c r="AW71" s="105"/>
      <c r="AX71" s="105"/>
    </row>
    <row r="72" spans="1:50">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7"/>
      <c r="AE72" s="236"/>
      <c r="AF72" s="236"/>
      <c r="AG72" s="236"/>
      <c r="AH72" s="236"/>
      <c r="AI72" s="236"/>
      <c r="AJ72" s="105"/>
      <c r="AK72" s="105"/>
      <c r="AL72" s="105"/>
      <c r="AM72" s="105"/>
      <c r="AN72" s="105"/>
      <c r="AO72" s="105"/>
      <c r="AP72" s="105"/>
      <c r="AQ72" s="105"/>
      <c r="AR72" s="105"/>
      <c r="AS72" s="105"/>
      <c r="AT72" s="105"/>
      <c r="AU72" s="105"/>
      <c r="AV72" s="105"/>
      <c r="AW72" s="105"/>
      <c r="AX72" s="105"/>
    </row>
    <row r="73" spans="1:50">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7"/>
      <c r="AE73" s="236"/>
      <c r="AF73" s="236"/>
      <c r="AG73" s="236"/>
      <c r="AH73" s="236"/>
      <c r="AI73" s="236"/>
      <c r="AJ73" s="105"/>
      <c r="AK73" s="105"/>
      <c r="AL73" s="105"/>
      <c r="AM73" s="105"/>
      <c r="AN73" s="105"/>
      <c r="AO73" s="105"/>
      <c r="AP73" s="105"/>
      <c r="AQ73" s="105"/>
      <c r="AR73" s="105"/>
      <c r="AS73" s="105"/>
      <c r="AT73" s="105"/>
      <c r="AU73" s="105"/>
      <c r="AV73" s="105"/>
      <c r="AW73" s="105"/>
      <c r="AX73" s="105"/>
    </row>
    <row r="74" spans="1:50">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7"/>
      <c r="AE74" s="236"/>
      <c r="AF74" s="236"/>
      <c r="AG74" s="236"/>
      <c r="AH74" s="236"/>
      <c r="AI74" s="236"/>
      <c r="AJ74" s="105"/>
      <c r="AK74" s="105"/>
      <c r="AL74" s="105"/>
      <c r="AM74" s="105"/>
      <c r="AN74" s="105"/>
      <c r="AO74" s="105"/>
      <c r="AP74" s="105"/>
      <c r="AQ74" s="105"/>
      <c r="AR74" s="105"/>
      <c r="AS74" s="105"/>
      <c r="AT74" s="105"/>
      <c r="AU74" s="105"/>
      <c r="AV74" s="105"/>
      <c r="AW74" s="105"/>
      <c r="AX74" s="105"/>
    </row>
    <row r="75" spans="1:50">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c r="AA75" s="236"/>
      <c r="AB75" s="236"/>
      <c r="AC75" s="236"/>
      <c r="AD75" s="237"/>
      <c r="AE75" s="236"/>
      <c r="AF75" s="236"/>
      <c r="AG75" s="236"/>
      <c r="AH75" s="236"/>
      <c r="AI75" s="236"/>
      <c r="AJ75" s="105"/>
      <c r="AK75" s="105"/>
      <c r="AL75" s="105"/>
      <c r="AM75" s="105"/>
      <c r="AN75" s="105"/>
      <c r="AO75" s="105"/>
      <c r="AP75" s="105"/>
      <c r="AQ75" s="105"/>
      <c r="AR75" s="105"/>
      <c r="AS75" s="105"/>
      <c r="AT75" s="105"/>
      <c r="AU75" s="105"/>
      <c r="AV75" s="105"/>
      <c r="AW75" s="105"/>
      <c r="AX75" s="105"/>
    </row>
    <row r="76" spans="1:50">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37"/>
      <c r="AE76" s="236"/>
      <c r="AF76" s="236"/>
      <c r="AG76" s="236"/>
      <c r="AH76" s="236"/>
      <c r="AI76" s="236"/>
      <c r="AJ76" s="105"/>
      <c r="AK76" s="105"/>
      <c r="AL76" s="105"/>
      <c r="AM76" s="105"/>
      <c r="AN76" s="105"/>
      <c r="AO76" s="105"/>
      <c r="AP76" s="105"/>
      <c r="AQ76" s="105"/>
      <c r="AR76" s="105"/>
      <c r="AS76" s="105"/>
      <c r="AT76" s="105"/>
      <c r="AU76" s="105"/>
      <c r="AV76" s="105"/>
      <c r="AW76" s="105"/>
      <c r="AX76" s="105"/>
    </row>
    <row r="77" spans="1:50">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7"/>
      <c r="AE77" s="236"/>
      <c r="AF77" s="236"/>
      <c r="AG77" s="236"/>
      <c r="AH77" s="236"/>
      <c r="AI77" s="236"/>
      <c r="AJ77" s="105"/>
      <c r="AK77" s="105"/>
      <c r="AL77" s="105"/>
      <c r="AM77" s="105"/>
      <c r="AN77" s="105"/>
      <c r="AO77" s="105"/>
      <c r="AP77" s="105"/>
      <c r="AQ77" s="105"/>
      <c r="AR77" s="105"/>
      <c r="AS77" s="105"/>
      <c r="AT77" s="105"/>
      <c r="AU77" s="105"/>
      <c r="AV77" s="105"/>
      <c r="AW77" s="105"/>
      <c r="AX77" s="105"/>
    </row>
    <row r="78" spans="1:50">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37"/>
      <c r="AE78" s="236"/>
      <c r="AF78" s="236"/>
      <c r="AG78" s="236"/>
      <c r="AH78" s="236"/>
      <c r="AI78" s="236"/>
      <c r="AJ78" s="105"/>
      <c r="AK78" s="105"/>
      <c r="AL78" s="105"/>
      <c r="AM78" s="105"/>
      <c r="AN78" s="105"/>
      <c r="AO78" s="105"/>
      <c r="AP78" s="105"/>
      <c r="AQ78" s="105"/>
      <c r="AR78" s="105"/>
      <c r="AS78" s="105"/>
      <c r="AT78" s="105"/>
      <c r="AU78" s="105"/>
      <c r="AV78" s="105"/>
      <c r="AW78" s="105"/>
      <c r="AX78" s="105"/>
    </row>
    <row r="79" spans="1:50">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c r="AA79" s="236"/>
      <c r="AB79" s="236"/>
      <c r="AC79" s="236"/>
      <c r="AD79" s="237"/>
      <c r="AE79" s="236"/>
      <c r="AF79" s="236"/>
      <c r="AG79" s="236"/>
      <c r="AH79" s="236"/>
      <c r="AI79" s="236"/>
      <c r="AJ79" s="105"/>
      <c r="AK79" s="105"/>
      <c r="AL79" s="105"/>
      <c r="AM79" s="105"/>
      <c r="AN79" s="105"/>
      <c r="AO79" s="105"/>
      <c r="AP79" s="105"/>
      <c r="AQ79" s="105"/>
      <c r="AR79" s="105"/>
      <c r="AS79" s="105"/>
      <c r="AT79" s="105"/>
      <c r="AU79" s="105"/>
      <c r="AV79" s="105"/>
      <c r="AW79" s="105"/>
      <c r="AX79" s="105"/>
    </row>
    <row r="80" spans="1:50">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c r="AA80" s="236"/>
      <c r="AB80" s="236"/>
      <c r="AC80" s="236"/>
      <c r="AD80" s="237"/>
      <c r="AE80" s="236"/>
      <c r="AF80" s="236"/>
      <c r="AG80" s="236"/>
      <c r="AH80" s="236"/>
      <c r="AI80" s="236"/>
      <c r="AJ80" s="105"/>
      <c r="AK80" s="105"/>
      <c r="AL80" s="105"/>
      <c r="AM80" s="105"/>
      <c r="AN80" s="105"/>
      <c r="AO80" s="105"/>
      <c r="AP80" s="105"/>
      <c r="AQ80" s="105"/>
      <c r="AR80" s="105"/>
      <c r="AS80" s="105"/>
      <c r="AT80" s="105"/>
      <c r="AU80" s="105"/>
      <c r="AV80" s="105"/>
      <c r="AW80" s="105"/>
      <c r="AX80" s="105"/>
    </row>
    <row r="81" spans="1:50">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7"/>
      <c r="AE81" s="236"/>
      <c r="AF81" s="236"/>
      <c r="AG81" s="236"/>
      <c r="AH81" s="236"/>
      <c r="AI81" s="236"/>
      <c r="AJ81" s="105"/>
      <c r="AK81" s="105"/>
      <c r="AL81" s="105"/>
      <c r="AM81" s="105"/>
      <c r="AN81" s="105"/>
      <c r="AO81" s="105"/>
      <c r="AP81" s="105"/>
      <c r="AQ81" s="105"/>
      <c r="AR81" s="105"/>
      <c r="AS81" s="105"/>
      <c r="AT81" s="105"/>
      <c r="AU81" s="105"/>
      <c r="AV81" s="105"/>
      <c r="AW81" s="105"/>
      <c r="AX81" s="105"/>
    </row>
    <row r="82" spans="1:50">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7"/>
      <c r="AE82" s="236"/>
      <c r="AF82" s="236"/>
      <c r="AG82" s="236"/>
      <c r="AH82" s="236"/>
      <c r="AI82" s="236"/>
      <c r="AJ82" s="105"/>
      <c r="AK82" s="105"/>
      <c r="AL82" s="105"/>
      <c r="AM82" s="105"/>
      <c r="AN82" s="105"/>
      <c r="AO82" s="105"/>
      <c r="AP82" s="105"/>
      <c r="AQ82" s="105"/>
      <c r="AR82" s="105"/>
      <c r="AS82" s="105"/>
      <c r="AT82" s="105"/>
      <c r="AU82" s="105"/>
      <c r="AV82" s="105"/>
      <c r="AW82" s="105"/>
      <c r="AX82" s="105"/>
    </row>
    <row r="83" spans="1:50">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7"/>
      <c r="AE83" s="236"/>
      <c r="AF83" s="236"/>
      <c r="AG83" s="236"/>
      <c r="AH83" s="236"/>
      <c r="AI83" s="236"/>
      <c r="AJ83" s="105"/>
      <c r="AK83" s="105"/>
      <c r="AL83" s="105"/>
      <c r="AM83" s="105"/>
      <c r="AN83" s="105"/>
      <c r="AO83" s="105"/>
      <c r="AP83" s="105"/>
      <c r="AQ83" s="105"/>
      <c r="AR83" s="105"/>
      <c r="AS83" s="105"/>
      <c r="AT83" s="105"/>
      <c r="AU83" s="105"/>
      <c r="AV83" s="105"/>
      <c r="AW83" s="105"/>
      <c r="AX83" s="105"/>
    </row>
    <row r="84" spans="1:50">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7"/>
      <c r="AE84" s="236"/>
      <c r="AF84" s="236"/>
      <c r="AG84" s="236"/>
      <c r="AH84" s="236"/>
      <c r="AI84" s="236"/>
      <c r="AJ84" s="105"/>
      <c r="AK84" s="105"/>
      <c r="AL84" s="105"/>
      <c r="AM84" s="105"/>
      <c r="AN84" s="105"/>
      <c r="AO84" s="105"/>
      <c r="AP84" s="105"/>
      <c r="AQ84" s="105"/>
      <c r="AR84" s="105"/>
      <c r="AS84" s="105"/>
      <c r="AT84" s="105"/>
      <c r="AU84" s="105"/>
      <c r="AV84" s="105"/>
      <c r="AW84" s="105"/>
      <c r="AX84" s="105"/>
    </row>
    <row r="85" spans="1:50">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c r="AA85" s="236"/>
      <c r="AB85" s="236"/>
      <c r="AC85" s="236"/>
      <c r="AD85" s="237"/>
      <c r="AE85" s="236"/>
      <c r="AF85" s="236"/>
      <c r="AG85" s="236"/>
      <c r="AH85" s="236"/>
      <c r="AI85" s="236"/>
      <c r="AJ85" s="105"/>
      <c r="AK85" s="105"/>
      <c r="AL85" s="105"/>
      <c r="AM85" s="105"/>
      <c r="AN85" s="105"/>
      <c r="AO85" s="105"/>
      <c r="AP85" s="105"/>
      <c r="AQ85" s="105"/>
      <c r="AR85" s="105"/>
      <c r="AS85" s="105"/>
      <c r="AT85" s="105"/>
      <c r="AU85" s="105"/>
      <c r="AV85" s="105"/>
      <c r="AW85" s="105"/>
      <c r="AX85" s="105"/>
    </row>
    <row r="86" spans="1:50">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6"/>
      <c r="Y86" s="236"/>
      <c r="Z86" s="236"/>
      <c r="AA86" s="236"/>
      <c r="AB86" s="236"/>
      <c r="AC86" s="236"/>
      <c r="AD86" s="237"/>
      <c r="AE86" s="236"/>
      <c r="AF86" s="236"/>
      <c r="AG86" s="236"/>
      <c r="AH86" s="236"/>
      <c r="AI86" s="236"/>
      <c r="AJ86" s="105"/>
      <c r="AK86" s="105"/>
      <c r="AL86" s="105"/>
      <c r="AM86" s="105"/>
      <c r="AN86" s="105"/>
      <c r="AO86" s="105"/>
      <c r="AP86" s="105"/>
      <c r="AQ86" s="105"/>
      <c r="AR86" s="105"/>
      <c r="AS86" s="105"/>
      <c r="AT86" s="105"/>
      <c r="AU86" s="105"/>
      <c r="AV86" s="105"/>
      <c r="AW86" s="105"/>
      <c r="AX86" s="105"/>
    </row>
    <row r="87" spans="1:50">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6"/>
      <c r="Y87" s="236"/>
      <c r="Z87" s="236"/>
      <c r="AA87" s="236"/>
      <c r="AB87" s="236"/>
      <c r="AC87" s="236"/>
      <c r="AD87" s="237"/>
      <c r="AE87" s="236"/>
      <c r="AF87" s="236"/>
      <c r="AG87" s="236"/>
      <c r="AH87" s="236"/>
      <c r="AI87" s="236"/>
      <c r="AJ87" s="105"/>
      <c r="AK87" s="105"/>
      <c r="AL87" s="105"/>
      <c r="AM87" s="105"/>
      <c r="AN87" s="105"/>
      <c r="AO87" s="105"/>
      <c r="AP87" s="105"/>
      <c r="AQ87" s="105"/>
      <c r="AR87" s="105"/>
      <c r="AS87" s="105"/>
      <c r="AT87" s="105"/>
      <c r="AU87" s="105"/>
      <c r="AV87" s="105"/>
      <c r="AW87" s="105"/>
      <c r="AX87" s="105"/>
    </row>
    <row r="88" spans="1:50">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6"/>
      <c r="Y88" s="236"/>
      <c r="Z88" s="236"/>
      <c r="AA88" s="236"/>
      <c r="AB88" s="236"/>
      <c r="AC88" s="236"/>
      <c r="AD88" s="237"/>
      <c r="AE88" s="236"/>
      <c r="AF88" s="236"/>
      <c r="AG88" s="236"/>
      <c r="AH88" s="236"/>
      <c r="AI88" s="236"/>
      <c r="AJ88" s="105"/>
      <c r="AK88" s="105"/>
      <c r="AL88" s="105"/>
      <c r="AM88" s="105"/>
      <c r="AN88" s="105"/>
      <c r="AO88" s="105"/>
      <c r="AP88" s="105"/>
      <c r="AQ88" s="105"/>
      <c r="AR88" s="105"/>
      <c r="AS88" s="105"/>
      <c r="AT88" s="105"/>
      <c r="AU88" s="105"/>
      <c r="AV88" s="105"/>
      <c r="AW88" s="105"/>
      <c r="AX88" s="105"/>
    </row>
    <row r="89" spans="1:50">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7"/>
      <c r="AE89" s="236"/>
      <c r="AF89" s="236"/>
      <c r="AG89" s="236"/>
      <c r="AH89" s="236"/>
      <c r="AI89" s="236"/>
      <c r="AJ89" s="105"/>
      <c r="AK89" s="105"/>
      <c r="AL89" s="105"/>
      <c r="AM89" s="105"/>
      <c r="AN89" s="105"/>
      <c r="AO89" s="105"/>
      <c r="AP89" s="105"/>
      <c r="AQ89" s="105"/>
      <c r="AR89" s="105"/>
      <c r="AS89" s="105"/>
      <c r="AT89" s="105"/>
      <c r="AU89" s="105"/>
      <c r="AV89" s="105"/>
      <c r="AW89" s="105"/>
      <c r="AX89" s="105"/>
    </row>
    <row r="90" spans="1:50">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c r="AA90" s="236"/>
      <c r="AB90" s="236"/>
      <c r="AC90" s="236"/>
      <c r="AD90" s="237"/>
      <c r="AE90" s="236"/>
      <c r="AF90" s="236"/>
      <c r="AG90" s="236"/>
      <c r="AH90" s="236"/>
      <c r="AI90" s="236"/>
      <c r="AJ90" s="105"/>
      <c r="AK90" s="105"/>
      <c r="AL90" s="105"/>
      <c r="AM90" s="105"/>
      <c r="AN90" s="105"/>
      <c r="AO90" s="105"/>
      <c r="AP90" s="105"/>
      <c r="AQ90" s="105"/>
      <c r="AR90" s="105"/>
      <c r="AS90" s="105"/>
      <c r="AT90" s="105"/>
      <c r="AU90" s="105"/>
      <c r="AV90" s="105"/>
      <c r="AW90" s="105"/>
      <c r="AX90" s="105"/>
    </row>
    <row r="91" spans="1:50">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c r="AB91" s="236"/>
      <c r="AC91" s="236"/>
      <c r="AD91" s="237"/>
      <c r="AE91" s="236"/>
      <c r="AF91" s="236"/>
      <c r="AG91" s="236"/>
      <c r="AH91" s="236"/>
      <c r="AI91" s="236"/>
      <c r="AJ91" s="105"/>
      <c r="AK91" s="105"/>
      <c r="AL91" s="105"/>
      <c r="AM91" s="105"/>
      <c r="AN91" s="105"/>
      <c r="AO91" s="105"/>
      <c r="AP91" s="105"/>
      <c r="AQ91" s="105"/>
      <c r="AR91" s="105"/>
      <c r="AS91" s="105"/>
      <c r="AT91" s="105"/>
      <c r="AU91" s="105"/>
      <c r="AV91" s="105"/>
      <c r="AW91" s="105"/>
      <c r="AX91" s="105"/>
    </row>
    <row r="92" spans="1:50">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c r="AA92" s="236"/>
      <c r="AB92" s="236"/>
      <c r="AC92" s="236"/>
      <c r="AD92" s="237"/>
      <c r="AE92" s="236"/>
      <c r="AF92" s="236"/>
      <c r="AG92" s="236"/>
      <c r="AH92" s="236"/>
      <c r="AI92" s="236"/>
      <c r="AJ92" s="105"/>
      <c r="AK92" s="105"/>
      <c r="AL92" s="105"/>
      <c r="AM92" s="105"/>
      <c r="AN92" s="105"/>
      <c r="AO92" s="105"/>
      <c r="AP92" s="105"/>
      <c r="AQ92" s="105"/>
      <c r="AR92" s="105"/>
      <c r="AS92" s="105"/>
      <c r="AT92" s="105"/>
      <c r="AU92" s="105"/>
      <c r="AV92" s="105"/>
      <c r="AW92" s="105"/>
      <c r="AX92" s="105"/>
    </row>
    <row r="93" spans="1:50">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c r="AA93" s="236"/>
      <c r="AB93" s="236"/>
      <c r="AC93" s="236"/>
      <c r="AD93" s="237"/>
      <c r="AE93" s="236"/>
      <c r="AF93" s="236"/>
      <c r="AG93" s="236"/>
      <c r="AH93" s="236"/>
      <c r="AI93" s="236"/>
      <c r="AJ93" s="105"/>
      <c r="AK93" s="105"/>
      <c r="AL93" s="105"/>
      <c r="AM93" s="105"/>
      <c r="AN93" s="105"/>
      <c r="AO93" s="105"/>
      <c r="AP93" s="105"/>
      <c r="AQ93" s="105"/>
      <c r="AR93" s="105"/>
      <c r="AS93" s="105"/>
      <c r="AT93" s="105"/>
      <c r="AU93" s="105"/>
      <c r="AV93" s="105"/>
      <c r="AW93" s="105"/>
      <c r="AX93" s="105"/>
    </row>
    <row r="94" spans="1:50">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c r="AA94" s="236"/>
      <c r="AB94" s="236"/>
      <c r="AC94" s="236"/>
      <c r="AD94" s="237"/>
      <c r="AE94" s="236"/>
      <c r="AF94" s="236"/>
      <c r="AG94" s="236"/>
      <c r="AH94" s="236"/>
      <c r="AI94" s="236"/>
      <c r="AJ94" s="105"/>
      <c r="AK94" s="105"/>
      <c r="AL94" s="105"/>
      <c r="AM94" s="105"/>
      <c r="AN94" s="105"/>
      <c r="AO94" s="105"/>
      <c r="AP94" s="105"/>
      <c r="AQ94" s="105"/>
      <c r="AR94" s="105"/>
      <c r="AS94" s="105"/>
      <c r="AT94" s="105"/>
      <c r="AU94" s="105"/>
      <c r="AV94" s="105"/>
      <c r="AW94" s="105"/>
      <c r="AX94" s="105"/>
    </row>
    <row r="95" spans="1:50">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6"/>
      <c r="Y95" s="236"/>
      <c r="Z95" s="236"/>
      <c r="AA95" s="236"/>
      <c r="AB95" s="236"/>
      <c r="AC95" s="236"/>
      <c r="AD95" s="237"/>
      <c r="AE95" s="236"/>
      <c r="AF95" s="236"/>
      <c r="AG95" s="236"/>
      <c r="AH95" s="236"/>
      <c r="AI95" s="236"/>
      <c r="AJ95" s="105"/>
      <c r="AK95" s="105"/>
      <c r="AL95" s="105"/>
      <c r="AM95" s="105"/>
      <c r="AN95" s="105"/>
      <c r="AO95" s="105"/>
      <c r="AP95" s="105"/>
      <c r="AQ95" s="105"/>
      <c r="AR95" s="105"/>
      <c r="AS95" s="105"/>
      <c r="AT95" s="105"/>
      <c r="AU95" s="105"/>
      <c r="AV95" s="105"/>
      <c r="AW95" s="105"/>
      <c r="AX95" s="105"/>
    </row>
    <row r="96" spans="1:50">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6"/>
      <c r="Y96" s="236"/>
      <c r="Z96" s="236"/>
      <c r="AA96" s="236"/>
      <c r="AB96" s="236"/>
      <c r="AC96" s="236"/>
      <c r="AD96" s="237"/>
      <c r="AE96" s="236"/>
      <c r="AF96" s="236"/>
      <c r="AG96" s="236"/>
      <c r="AH96" s="236"/>
      <c r="AI96" s="236"/>
      <c r="AJ96" s="105"/>
      <c r="AK96" s="105"/>
      <c r="AL96" s="105"/>
      <c r="AM96" s="105"/>
      <c r="AN96" s="105"/>
      <c r="AO96" s="105"/>
      <c r="AP96" s="105"/>
      <c r="AQ96" s="105"/>
      <c r="AR96" s="105"/>
      <c r="AS96" s="105"/>
      <c r="AT96" s="105"/>
      <c r="AU96" s="105"/>
      <c r="AV96" s="105"/>
      <c r="AW96" s="105"/>
      <c r="AX96" s="105"/>
    </row>
    <row r="97" spans="1:50">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6"/>
      <c r="Y97" s="236"/>
      <c r="Z97" s="236"/>
      <c r="AA97" s="236"/>
      <c r="AB97" s="236"/>
      <c r="AC97" s="236"/>
      <c r="AD97" s="237"/>
      <c r="AE97" s="236"/>
      <c r="AF97" s="236"/>
      <c r="AG97" s="236"/>
      <c r="AH97" s="236"/>
      <c r="AI97" s="236"/>
      <c r="AJ97" s="105"/>
      <c r="AK97" s="105"/>
      <c r="AL97" s="105"/>
      <c r="AM97" s="105"/>
      <c r="AN97" s="105"/>
      <c r="AO97" s="105"/>
      <c r="AP97" s="105"/>
      <c r="AQ97" s="105"/>
      <c r="AR97" s="105"/>
      <c r="AS97" s="105"/>
      <c r="AT97" s="105"/>
      <c r="AU97" s="105"/>
      <c r="AV97" s="105"/>
      <c r="AW97" s="105"/>
      <c r="AX97" s="105"/>
    </row>
    <row r="98" spans="1:50">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6"/>
      <c r="Y98" s="236"/>
      <c r="Z98" s="236"/>
      <c r="AA98" s="236"/>
      <c r="AB98" s="236"/>
      <c r="AC98" s="236"/>
      <c r="AD98" s="237"/>
      <c r="AE98" s="236"/>
      <c r="AF98" s="236"/>
      <c r="AG98" s="236"/>
      <c r="AH98" s="236"/>
      <c r="AI98" s="236"/>
      <c r="AJ98" s="105"/>
      <c r="AK98" s="105"/>
      <c r="AL98" s="105"/>
      <c r="AM98" s="105"/>
      <c r="AN98" s="105"/>
      <c r="AO98" s="105"/>
      <c r="AP98" s="105"/>
      <c r="AQ98" s="105"/>
      <c r="AR98" s="105"/>
      <c r="AS98" s="105"/>
      <c r="AT98" s="105"/>
      <c r="AU98" s="105"/>
      <c r="AV98" s="105"/>
      <c r="AW98" s="105"/>
      <c r="AX98" s="105"/>
    </row>
    <row r="99" spans="1:50">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c r="AA99" s="236"/>
      <c r="AB99" s="236"/>
      <c r="AC99" s="236"/>
      <c r="AD99" s="237"/>
      <c r="AE99" s="236"/>
      <c r="AF99" s="236"/>
      <c r="AG99" s="236"/>
      <c r="AH99" s="236"/>
      <c r="AI99" s="236"/>
      <c r="AJ99" s="105"/>
      <c r="AK99" s="105"/>
      <c r="AL99" s="105"/>
      <c r="AM99" s="105"/>
      <c r="AN99" s="105"/>
      <c r="AO99" s="105"/>
      <c r="AP99" s="105"/>
      <c r="AQ99" s="105"/>
      <c r="AR99" s="105"/>
      <c r="AS99" s="105"/>
      <c r="AT99" s="105"/>
      <c r="AU99" s="105"/>
      <c r="AV99" s="105"/>
      <c r="AW99" s="105"/>
      <c r="AX99" s="105"/>
    </row>
    <row r="100" spans="1:50">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c r="AA100" s="236"/>
      <c r="AB100" s="236"/>
      <c r="AC100" s="236"/>
      <c r="AD100" s="237"/>
      <c r="AE100" s="236"/>
      <c r="AF100" s="236"/>
      <c r="AG100" s="236"/>
      <c r="AH100" s="236"/>
      <c r="AI100" s="236"/>
      <c r="AJ100" s="105"/>
      <c r="AK100" s="105"/>
      <c r="AL100" s="105"/>
      <c r="AM100" s="105"/>
      <c r="AN100" s="105"/>
      <c r="AO100" s="105"/>
      <c r="AP100" s="105"/>
      <c r="AQ100" s="105"/>
      <c r="AR100" s="105"/>
      <c r="AS100" s="105"/>
      <c r="AT100" s="105"/>
      <c r="AU100" s="105"/>
      <c r="AV100" s="105"/>
      <c r="AW100" s="105"/>
      <c r="AX100" s="105"/>
    </row>
    <row r="101" spans="1:50">
      <c r="A101" s="236"/>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c r="AA101" s="236"/>
      <c r="AB101" s="236"/>
      <c r="AC101" s="236"/>
      <c r="AD101" s="237"/>
      <c r="AE101" s="236"/>
      <c r="AF101" s="236"/>
      <c r="AG101" s="236"/>
      <c r="AH101" s="236"/>
      <c r="AI101" s="236"/>
      <c r="AJ101" s="105"/>
      <c r="AK101" s="105"/>
      <c r="AL101" s="105"/>
      <c r="AM101" s="105"/>
      <c r="AN101" s="105"/>
      <c r="AO101" s="105"/>
      <c r="AP101" s="105"/>
      <c r="AQ101" s="105"/>
      <c r="AR101" s="105"/>
      <c r="AS101" s="105"/>
      <c r="AT101" s="105"/>
      <c r="AU101" s="105"/>
      <c r="AV101" s="105"/>
      <c r="AW101" s="105"/>
      <c r="AX101" s="105"/>
    </row>
    <row r="102" spans="1:50">
      <c r="A102" s="236"/>
      <c r="B102" s="236"/>
      <c r="C102" s="236"/>
      <c r="D102" s="236"/>
      <c r="E102" s="236"/>
      <c r="F102" s="236"/>
      <c r="G102" s="236"/>
      <c r="H102" s="236"/>
      <c r="I102" s="236"/>
      <c r="J102" s="236"/>
      <c r="K102" s="236"/>
      <c r="L102" s="236"/>
      <c r="M102" s="236"/>
      <c r="N102" s="236"/>
      <c r="O102" s="236"/>
      <c r="P102" s="236"/>
      <c r="Q102" s="236"/>
      <c r="R102" s="236"/>
      <c r="S102" s="236"/>
      <c r="T102" s="236"/>
      <c r="U102" s="236"/>
      <c r="V102" s="236"/>
      <c r="X102" s="236"/>
      <c r="Y102" s="236"/>
      <c r="Z102" s="236"/>
      <c r="AA102" s="236"/>
      <c r="AB102" s="236"/>
      <c r="AC102" s="236"/>
      <c r="AD102" s="237"/>
      <c r="AE102" s="236"/>
      <c r="AF102" s="236"/>
      <c r="AG102" s="236"/>
      <c r="AH102" s="236"/>
      <c r="AI102" s="236"/>
      <c r="AJ102" s="105"/>
      <c r="AK102" s="105"/>
      <c r="AL102" s="105"/>
      <c r="AM102" s="105"/>
      <c r="AN102" s="105"/>
      <c r="AO102" s="105"/>
      <c r="AP102" s="105"/>
      <c r="AQ102" s="105"/>
      <c r="AR102" s="105"/>
      <c r="AS102" s="105"/>
      <c r="AT102" s="105"/>
      <c r="AU102" s="105"/>
      <c r="AV102" s="105"/>
      <c r="AW102" s="105"/>
      <c r="AX102" s="105"/>
    </row>
    <row r="103" spans="1:50">
      <c r="A103" s="236"/>
      <c r="B103" s="236"/>
      <c r="C103" s="236"/>
      <c r="D103" s="236"/>
      <c r="E103" s="236"/>
      <c r="F103" s="236"/>
      <c r="G103" s="236"/>
      <c r="H103" s="236"/>
      <c r="I103" s="236"/>
      <c r="J103" s="236"/>
      <c r="K103" s="236"/>
      <c r="L103" s="236"/>
      <c r="M103" s="236"/>
      <c r="N103" s="236"/>
      <c r="O103" s="236"/>
      <c r="P103" s="236"/>
      <c r="Q103" s="236"/>
      <c r="R103" s="236"/>
      <c r="S103" s="236"/>
      <c r="T103" s="236"/>
      <c r="U103" s="236"/>
      <c r="V103" s="236"/>
      <c r="X103" s="236"/>
      <c r="Y103" s="236"/>
      <c r="Z103" s="236"/>
      <c r="AA103" s="236"/>
      <c r="AB103" s="236"/>
      <c r="AC103" s="236"/>
      <c r="AD103" s="237"/>
      <c r="AE103" s="236"/>
      <c r="AF103" s="236"/>
      <c r="AG103" s="236"/>
      <c r="AH103" s="236"/>
      <c r="AI103" s="236"/>
      <c r="AJ103" s="105"/>
      <c r="AK103" s="105"/>
      <c r="AL103" s="105"/>
      <c r="AM103" s="105"/>
      <c r="AN103" s="105"/>
      <c r="AO103" s="105"/>
      <c r="AP103" s="105"/>
      <c r="AQ103" s="105"/>
      <c r="AR103" s="105"/>
      <c r="AS103" s="105"/>
      <c r="AT103" s="105"/>
      <c r="AU103" s="105"/>
      <c r="AV103" s="105"/>
      <c r="AW103" s="105"/>
      <c r="AX103" s="105"/>
    </row>
  </sheetData>
  <sheetProtection algorithmName="SHA-512" hashValue="F9+Ms9rOwuASyxdD3zwEoyaF3PLewvGeIXy0l+5H+mH3RsOkF2oXoJ5dF+svmm922yRmfVuz2FBbItXG1GWMqQ==" saltValue="y2BXzB89GoAgFN6J6C4Z/g==" spinCount="100000" sheet="1" objects="1" scenarios="1" selectLockedCells="1" selectUnlockedCells="1"/>
  <mergeCells count="54">
    <mergeCell ref="A14:G15"/>
    <mergeCell ref="H14:O14"/>
    <mergeCell ref="A1:W4"/>
    <mergeCell ref="A5:E5"/>
    <mergeCell ref="AH5:AP5"/>
    <mergeCell ref="A6:E6"/>
    <mergeCell ref="AH6:AP6"/>
    <mergeCell ref="A7:E7"/>
    <mergeCell ref="AH7:AP7"/>
    <mergeCell ref="A8:E8"/>
    <mergeCell ref="AH10:AJ10"/>
    <mergeCell ref="AK10:AM10"/>
    <mergeCell ref="AN10:AP10"/>
    <mergeCell ref="A11:O12"/>
    <mergeCell ref="O5:W5"/>
    <mergeCell ref="F27:G27"/>
    <mergeCell ref="A24:E24"/>
    <mergeCell ref="F24:G24"/>
    <mergeCell ref="A16:E16"/>
    <mergeCell ref="F16:G16"/>
    <mergeCell ref="F17:G17"/>
    <mergeCell ref="A18:E18"/>
    <mergeCell ref="F18:G18"/>
    <mergeCell ref="A19:E19"/>
    <mergeCell ref="F19:G19"/>
    <mergeCell ref="A20:E20"/>
    <mergeCell ref="F20:G20"/>
    <mergeCell ref="A22:G22"/>
    <mergeCell ref="A26:E26"/>
    <mergeCell ref="F26:G26"/>
    <mergeCell ref="X35:Y35"/>
    <mergeCell ref="AB35:AC35"/>
    <mergeCell ref="A28:E28"/>
    <mergeCell ref="F28:G28"/>
    <mergeCell ref="A29:E29"/>
    <mergeCell ref="F29:G29"/>
    <mergeCell ref="A30:E30"/>
    <mergeCell ref="F30:G30"/>
    <mergeCell ref="B41:V41"/>
    <mergeCell ref="Y22:AF22"/>
    <mergeCell ref="Y26:AF26"/>
    <mergeCell ref="Y27:AF27"/>
    <mergeCell ref="Y28:AF30"/>
    <mergeCell ref="A23:E23"/>
    <mergeCell ref="AD35:AE35"/>
    <mergeCell ref="N37:O37"/>
    <mergeCell ref="X38:Y38"/>
    <mergeCell ref="AB38:AC38"/>
    <mergeCell ref="AD38:AE38"/>
    <mergeCell ref="B40:V40"/>
    <mergeCell ref="A31:E31"/>
    <mergeCell ref="F31:G31"/>
    <mergeCell ref="C34:G34"/>
    <mergeCell ref="A35:J35"/>
  </mergeCells>
  <conditionalFormatting sqref="R47:R60">
    <cfRule type="expression" dxfId="71" priority="1">
      <formula>$O48="CLOSED"</formula>
    </cfRule>
    <cfRule type="expression" dxfId="70" priority="2">
      <formula>$O48="OPEN"</formula>
    </cfRule>
  </conditionalFormatting>
  <conditionalFormatting sqref="X33:X43 AB33:AC43 N37:N39 N43">
    <cfRule type="expression" dxfId="69" priority="5" stopIfTrue="1">
      <formula>N33=0</formula>
    </cfRule>
  </conditionalFormatting>
  <pageMargins left="0.74803149606299213" right="0.19685039370078741" top="0.39370078740157483" bottom="0.39370078740157483" header="0.19685039370078741" footer="0.19685039370078741"/>
  <pageSetup paperSize="9" scale="61"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A2C6-4C2C-4911-B2F2-71040E945A74}">
  <sheetPr>
    <tabColor rgb="FF00B0F0"/>
    <pageSetUpPr fitToPage="1"/>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8" width="4.42578125" style="404" bestFit="1" customWidth="1"/>
    <col min="9" max="11" width="3.7109375" style="404"/>
    <col min="12" max="12" width="5.5703125" style="404" bestFit="1" customWidth="1"/>
    <col min="13" max="14" width="3.7109375" style="404"/>
    <col min="15" max="15" width="6.7109375" style="404" customWidth="1"/>
    <col min="16" max="18" width="3.7109375" style="404"/>
    <col min="19" max="19" width="5.42578125" style="404" customWidth="1"/>
    <col min="20" max="23" width="3.7109375" style="404"/>
    <col min="24" max="24" width="6" style="404" bestFit="1"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'T Vs'!O5</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
        <v>191</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193</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5.737756714060031E-17</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588</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'Diesel F'!G20</f>
        <v>44.890193469756099</v>
      </c>
      <c r="R16" s="1144"/>
      <c r="S16" s="1145"/>
      <c r="T16" s="1073">
        <f>'Diesel F'!H5</f>
        <v>55161.599999999999</v>
      </c>
      <c r="U16" s="1109"/>
      <c r="V16" s="1074"/>
      <c r="W16" s="1076" t="s">
        <v>604</v>
      </c>
      <c r="X16" s="1075"/>
      <c r="Y16" s="1077"/>
      <c r="Z16" s="1073">
        <f>'Diesel F'!H6</f>
        <v>14652.3</v>
      </c>
      <c r="AA16" s="1109"/>
      <c r="AB16" s="1074"/>
      <c r="AC16" s="1076" t="s">
        <v>604</v>
      </c>
      <c r="AD16" s="1075"/>
      <c r="AE16" s="1077"/>
      <c r="AF16" s="1146">
        <f>'Diesel F'!H8</f>
        <v>1723.8</v>
      </c>
      <c r="AG16" s="1147"/>
      <c r="AH16" s="1148"/>
      <c r="AI16" s="1076" t="s">
        <v>604</v>
      </c>
      <c r="AJ16" s="1075"/>
      <c r="AK16" s="1077"/>
      <c r="AL16" s="303"/>
      <c r="AM16" s="303" t="s">
        <v>605</v>
      </c>
      <c r="AN16" s="303"/>
      <c r="AO16" s="303"/>
      <c r="AP16" s="351">
        <v>1020</v>
      </c>
      <c r="AQ16" s="352">
        <f>AP16/$AR$9/$AR$7 * ((AN18+273.15)/(AN19+273.15))</f>
        <v>37.956295834166582</v>
      </c>
      <c r="AR16" s="353">
        <f>AX4</f>
        <v>0.13333333333333333</v>
      </c>
      <c r="AS16" s="354">
        <f>AR16*$AR$6/1055.06</f>
        <v>5.7374304146999541E-5</v>
      </c>
      <c r="AT16" s="355">
        <f>AS16*$Q$16*1000000</f>
        <v>2575.543613351439</v>
      </c>
      <c r="AU16" s="356">
        <f>AX5</f>
        <v>3.3333333333333333E-2</v>
      </c>
      <c r="AV16" s="354">
        <f>AU16*$AR$6/1055.06</f>
        <v>1.4343576036749885E-5</v>
      </c>
      <c r="AW16" s="355">
        <f>AV16*$Q$16*1000000</f>
        <v>643.88590333785976</v>
      </c>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1">
        <v>305.24099999999999</v>
      </c>
      <c r="I17" s="1132"/>
      <c r="J17" s="1133"/>
      <c r="K17" s="1134">
        <v>832.5</v>
      </c>
      <c r="L17" s="1135"/>
      <c r="M17" s="1136"/>
      <c r="N17" s="1137">
        <v>42.588000000000001</v>
      </c>
      <c r="O17" s="1138"/>
      <c r="P17" s="1139"/>
      <c r="Q17" s="1137">
        <v>45.612000000000002</v>
      </c>
      <c r="R17" s="1138"/>
      <c r="S17" s="1139"/>
      <c r="T17" s="1066">
        <f>$Q$17/$Q$16*T16</f>
        <v>56048.564390686515</v>
      </c>
      <c r="U17" s="1110"/>
      <c r="V17" s="1067"/>
      <c r="W17" s="1114">
        <f>T17/1000000/K17</f>
        <v>6.7325602871695514E-5</v>
      </c>
      <c r="X17" s="1115"/>
      <c r="Y17" s="1116"/>
      <c r="Z17" s="1066">
        <f>$Q$17/$Q$16*Z16</f>
        <v>14887.899916276105</v>
      </c>
      <c r="AA17" s="1110"/>
      <c r="AB17" s="1067"/>
      <c r="AC17" s="1114">
        <f>Z17/1000000/K17</f>
        <v>1.7883363262794121E-5</v>
      </c>
      <c r="AD17" s="1115"/>
      <c r="AE17" s="1116"/>
      <c r="AF17" s="1066">
        <f>$Q$17/$Q$16*AF16</f>
        <v>1751.5176372089536</v>
      </c>
      <c r="AG17" s="1110"/>
      <c r="AH17" s="1067"/>
      <c r="AI17" s="1060">
        <f>AF17/1000000/K17</f>
        <v>2.1039250897404848E-6</v>
      </c>
      <c r="AJ17" s="1059"/>
      <c r="AK17" s="1063"/>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123"/>
      <c r="O18" s="1069"/>
      <c r="P18" s="1124"/>
      <c r="Q18" s="1125"/>
      <c r="R18" s="1126"/>
      <c r="S18" s="112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125</v>
      </c>
      <c r="AA19" s="1118"/>
      <c r="AB19" s="1119"/>
      <c r="AC19" s="1117" t="s">
        <v>125</v>
      </c>
      <c r="AD19" s="1118"/>
      <c r="AE19" s="1119"/>
      <c r="AF19" s="358" t="s">
        <v>610</v>
      </c>
      <c r="AG19" s="31"/>
      <c r="AH19" s="31"/>
      <c r="AI19" s="31"/>
      <c r="AJ19" s="31"/>
      <c r="AK19" s="226"/>
      <c r="AL19" s="303"/>
      <c r="AM19" s="24" t="s">
        <v>611</v>
      </c>
      <c r="AN19" s="24">
        <v>15.6</v>
      </c>
      <c r="AO19" s="23" t="s">
        <v>609</v>
      </c>
      <c r="AP19" s="303"/>
      <c r="AQ19" s="303"/>
      <c r="AR19" s="356">
        <f>AX6</f>
        <v>4.6666666666666669E-2</v>
      </c>
      <c r="AS19" s="354">
        <f>AR19*$AR$6/1055.06</f>
        <v>2.0081006451449841E-5</v>
      </c>
      <c r="AT19" s="355">
        <f>AS19*$Q$16*1000000</f>
        <v>901.44026467300375</v>
      </c>
      <c r="AU19" s="351">
        <v>0.37446000000000002</v>
      </c>
      <c r="AV19" s="354">
        <f>AU19*$AR$6/1055.06</f>
        <v>1.6113286448164087E-4</v>
      </c>
      <c r="AW19" s="355">
        <f>AV19*$Q$16*1000000</f>
        <v>7233.2854609168498</v>
      </c>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c r="I21" s="1109"/>
      <c r="J21" s="1074"/>
      <c r="K21" s="1076" t="s">
        <v>604</v>
      </c>
      <c r="L21" s="1075"/>
      <c r="M21" s="1077"/>
      <c r="N21" s="1073">
        <f>'Diesel F'!H7</f>
        <v>17410.38</v>
      </c>
      <c r="O21" s="1109"/>
      <c r="P21" s="1074"/>
      <c r="Q21" s="1076" t="s">
        <v>604</v>
      </c>
      <c r="R21" s="1075"/>
      <c r="S21" s="1077"/>
      <c r="T21" s="1073"/>
      <c r="U21" s="1109"/>
      <c r="V21" s="1074"/>
      <c r="W21" s="1214" t="s">
        <v>604</v>
      </c>
      <c r="X21" s="1215"/>
      <c r="Y21" s="1216"/>
      <c r="Z21" s="1073"/>
      <c r="AA21" s="1109"/>
      <c r="AB21" s="1074"/>
      <c r="AC21" s="1076" t="s">
        <v>604</v>
      </c>
      <c r="AD21" s="1075"/>
      <c r="AE21" s="1077"/>
      <c r="AF21" s="300"/>
      <c r="AG21" s="31"/>
      <c r="AH21" s="302"/>
      <c r="AI21" s="31"/>
      <c r="AJ21" s="31"/>
      <c r="AK21" s="32"/>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6"/>
      <c r="I22" s="1110"/>
      <c r="J22" s="1067"/>
      <c r="K22" s="1114"/>
      <c r="L22" s="1115"/>
      <c r="M22" s="1116"/>
      <c r="N22" s="1066">
        <f>$Q$17/$Q$16*N21</f>
        <v>17690.328135810432</v>
      </c>
      <c r="O22" s="1110"/>
      <c r="P22" s="1067"/>
      <c r="Q22" s="1114">
        <f>N22/1000000/K17</f>
        <v>2.1249643406378895E-5</v>
      </c>
      <c r="R22" s="1115"/>
      <c r="S22" s="1116"/>
      <c r="T22" s="1099"/>
      <c r="U22" s="1048"/>
      <c r="V22" s="1058"/>
      <c r="W22" s="1211"/>
      <c r="X22" s="1212"/>
      <c r="Y22" s="1213"/>
      <c r="Z22" s="1066"/>
      <c r="AA22" s="1110"/>
      <c r="AB22" s="1067"/>
      <c r="AC22" s="1114"/>
      <c r="AD22" s="1115"/>
      <c r="AE22" s="1116"/>
      <c r="AF22" s="31"/>
      <c r="AG22" s="31"/>
      <c r="AH22" s="31"/>
      <c r="AI22" s="31"/>
      <c r="AJ22" s="31"/>
      <c r="AK22" s="32"/>
      <c r="AL22" s="303"/>
      <c r="AM22" s="303"/>
      <c r="AN22" s="303"/>
      <c r="AO22" s="303"/>
      <c r="AP22" s="303"/>
      <c r="AQ22" s="303"/>
      <c r="AR22" s="356">
        <f>AX8</f>
        <v>6.9333333333333339E-3</v>
      </c>
      <c r="AS22" s="354">
        <f>AR22*$AR$6/1055.06</f>
        <v>2.9834638156439767E-6</v>
      </c>
      <c r="AT22" s="355">
        <f>AS22*$Q$16*1000000</f>
        <v>133.92826789427485</v>
      </c>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045"/>
      <c r="I23" s="1033"/>
      <c r="J23" s="1046"/>
      <c r="K23" s="1089"/>
      <c r="L23" s="1090"/>
      <c r="M23" s="1091"/>
      <c r="N23" s="1045"/>
      <c r="O23" s="1033"/>
      <c r="P23" s="1046"/>
      <c r="Q23" s="1096"/>
      <c r="R23" s="1097"/>
      <c r="S23" s="1098"/>
      <c r="T23" s="1099"/>
      <c r="U23" s="1048"/>
      <c r="V23" s="1058"/>
      <c r="W23" s="1096"/>
      <c r="X23" s="1097"/>
      <c r="Y23" s="1098"/>
      <c r="Z23" s="1086"/>
      <c r="AA23" s="1087"/>
      <c r="AB23" s="1088"/>
      <c r="AC23" s="1089"/>
      <c r="AD23" s="1090"/>
      <c r="AE23" s="1091"/>
      <c r="AF23" s="31"/>
      <c r="AG23" s="31"/>
      <c r="AH23" s="31"/>
      <c r="AI23" s="31"/>
      <c r="AJ23" s="31"/>
      <c r="AK23" s="32"/>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v>31.5</v>
      </c>
      <c r="I25" s="31" t="s">
        <v>590</v>
      </c>
      <c r="J25" s="31"/>
      <c r="K25" s="31"/>
      <c r="L25" s="31" t="s">
        <v>615</v>
      </c>
      <c r="M25" s="31"/>
      <c r="N25" s="31"/>
      <c r="O25" s="31"/>
      <c r="P25" s="31"/>
      <c r="Q25" s="31"/>
      <c r="R25" s="31"/>
      <c r="S25" s="32" t="s">
        <v>616</v>
      </c>
      <c r="T25" s="1092" t="str">
        <f>A17</f>
        <v>Diesel</v>
      </c>
      <c r="U25" s="1093"/>
      <c r="V25" s="1093"/>
      <c r="W25" s="1093"/>
      <c r="X25" s="1673">
        <f>18262.5*1000/365.25/24</f>
        <v>2083.3333333333335</v>
      </c>
      <c r="Y25" s="1673"/>
      <c r="Z25" s="1673"/>
      <c r="AA25" s="1093" t="s">
        <v>617</v>
      </c>
      <c r="AB25" s="1093"/>
      <c r="AC25" s="1095">
        <f>X25/H17</f>
        <v>6.8252080596424909</v>
      </c>
      <c r="AD25" s="1095"/>
      <c r="AE25" s="1093" t="s">
        <v>618</v>
      </c>
      <c r="AF25" s="1093"/>
      <c r="AG25" s="1093"/>
      <c r="AH25" s="1083">
        <f>X25*N17/3600</f>
        <v>24.645833333333336</v>
      </c>
      <c r="AI25" s="1083"/>
      <c r="AJ25" s="361" t="s">
        <v>590</v>
      </c>
      <c r="AK25" s="362"/>
      <c r="AL25" s="303"/>
      <c r="AM25" s="363">
        <f>X25*W22</f>
        <v>0</v>
      </c>
      <c r="AN25" s="303"/>
      <c r="AO25" s="303"/>
      <c r="AP25" s="303"/>
      <c r="AQ25" s="303"/>
      <c r="AR25" s="351">
        <f>AX7</f>
        <v>0.01</v>
      </c>
      <c r="AS25" s="354">
        <f>AR25*$AR$6/1055.06</f>
        <v>4.3030728110249664E-6</v>
      </c>
      <c r="AT25" s="355">
        <f>AS25*$Q$16*1000000</f>
        <v>193.16577100135797</v>
      </c>
      <c r="AU25" s="356">
        <f>AX9</f>
        <v>3.5333333333333336E-3</v>
      </c>
      <c r="AV25" s="354">
        <f>AU25*$AR$6/1055.06</f>
        <v>1.5204190598954882E-6</v>
      </c>
      <c r="AW25" s="355">
        <f>AV25*$Q$16*1000000</f>
        <v>68.251905753813148</v>
      </c>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0</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c r="B27" s="1081"/>
      <c r="C27" s="1081"/>
      <c r="D27" s="1081"/>
      <c r="E27" s="1081"/>
      <c r="F27" s="1042" t="str">
        <f>A17</f>
        <v>Diesel</v>
      </c>
      <c r="G27" s="1043"/>
      <c r="H27" s="1043"/>
      <c r="I27" s="1043"/>
      <c r="J27" s="1043"/>
      <c r="K27" s="1043"/>
      <c r="L27" s="1043"/>
      <c r="M27" s="1043"/>
      <c r="N27" s="1043"/>
      <c r="O27" s="1043"/>
      <c r="P27" s="1043"/>
      <c r="Q27" s="1043"/>
      <c r="R27" s="1043"/>
      <c r="S27" s="1043"/>
      <c r="T27" s="1043"/>
      <c r="U27" s="1080"/>
      <c r="V27" s="31"/>
      <c r="W27" s="31"/>
      <c r="X27" s="270">
        <f>AH25</f>
        <v>24.645833333333336</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1">
        <f>365.25*24</f>
        <v>8766</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1">
        <f>X27*X28</f>
        <v>216045.37500000003</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1">
        <f>X29*3600/1000</f>
        <v>777763.35000000009</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049">
        <v>0</v>
      </c>
      <c r="G31" s="1050"/>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BF33</f>
        <v>3.7672634101823899E-6</v>
      </c>
      <c r="G32" s="1050"/>
      <c r="H32" s="1051">
        <f>F32*$AC$25</f>
        <v>2.5712356589973102E-5</v>
      </c>
      <c r="I32" s="1052"/>
      <c r="J32" s="1059"/>
      <c r="K32" s="1059"/>
      <c r="L32" s="1060"/>
      <c r="M32" s="1059"/>
      <c r="N32" s="1054">
        <f t="shared" si="2"/>
        <v>4.1247762441634856E-4</v>
      </c>
      <c r="O32" s="1055"/>
      <c r="P32" s="1061">
        <f>R32/$R$53</f>
        <v>0</v>
      </c>
      <c r="Q32" s="1062"/>
      <c r="R32" s="1060">
        <f>T32/$AR32</f>
        <v>0</v>
      </c>
      <c r="S32" s="1059"/>
      <c r="T32" s="1064">
        <f>$K$22*$X$25</f>
        <v>0</v>
      </c>
      <c r="U32" s="1065"/>
      <c r="V32" s="31"/>
      <c r="W32" s="31"/>
      <c r="X32" s="1183" t="s">
        <v>870</v>
      </c>
      <c r="Y32" s="1188"/>
      <c r="Z32" s="1188"/>
      <c r="AA32" s="1188"/>
      <c r="AB32" s="1188"/>
      <c r="AC32" s="1188"/>
      <c r="AD32" s="1188"/>
      <c r="AE32" s="1188"/>
      <c r="AF32" s="1188"/>
      <c r="AG32" s="1188"/>
      <c r="AH32" s="1188"/>
      <c r="AI32" s="1188"/>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31"/>
      <c r="W33" s="31"/>
      <c r="X33" s="1188"/>
      <c r="Y33" s="1188"/>
      <c r="Z33" s="1188"/>
      <c r="AA33" s="1188"/>
      <c r="AB33" s="1188"/>
      <c r="AC33" s="1188"/>
      <c r="AD33" s="1188"/>
      <c r="AE33" s="1188"/>
      <c r="AF33" s="1188"/>
      <c r="AG33" s="1188"/>
      <c r="AH33" s="1188"/>
      <c r="AI33" s="1188"/>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BF34</f>
        <v>2.32021919756754E-4</v>
      </c>
      <c r="G34" s="1050"/>
      <c r="H34" s="1051">
        <f t="shared" si="1"/>
        <v>1.5835978767375206E-3</v>
      </c>
      <c r="I34" s="1052"/>
      <c r="J34" s="1059"/>
      <c r="K34" s="1059"/>
      <c r="L34" s="1060"/>
      <c r="M34" s="1059"/>
      <c r="N34" s="1054">
        <f t="shared" si="2"/>
        <v>4.7615620957743771E-2</v>
      </c>
      <c r="O34" s="1055"/>
      <c r="P34" s="1061">
        <f t="shared" si="10"/>
        <v>0</v>
      </c>
      <c r="Q34" s="1062"/>
      <c r="R34" s="1059">
        <f>T34/$AR34</f>
        <v>0</v>
      </c>
      <c r="S34" s="1059"/>
      <c r="T34" s="1061">
        <f t="shared" si="11"/>
        <v>0</v>
      </c>
      <c r="U34" s="1062"/>
      <c r="V34" s="31"/>
      <c r="W34" s="31"/>
      <c r="X34" s="1188"/>
      <c r="Y34" s="1188"/>
      <c r="Z34" s="1188"/>
      <c r="AA34" s="1188"/>
      <c r="AB34" s="1188"/>
      <c r="AC34" s="1188"/>
      <c r="AD34" s="1188"/>
      <c r="AE34" s="1188"/>
      <c r="AF34" s="1188"/>
      <c r="AG34" s="1188"/>
      <c r="AH34" s="1188"/>
      <c r="AI34" s="1188"/>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31"/>
      <c r="W35" s="31"/>
      <c r="X35" s="1188"/>
      <c r="Y35" s="1188"/>
      <c r="Z35" s="1188"/>
      <c r="AA35" s="1188"/>
      <c r="AB35" s="1188"/>
      <c r="AC35" s="1188"/>
      <c r="AD35" s="1188"/>
      <c r="AE35" s="1188"/>
      <c r="AF35" s="1188"/>
      <c r="AG35" s="1188"/>
      <c r="AH35" s="1188"/>
      <c r="AI35" s="1188"/>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BF35</f>
        <v>4.1140406723645098E-3</v>
      </c>
      <c r="G36" s="1050"/>
      <c r="H36" s="1051">
        <f t="shared" si="1"/>
        <v>2.8079183554719264E-2</v>
      </c>
      <c r="I36" s="1052"/>
      <c r="J36" s="1059"/>
      <c r="K36" s="1059"/>
      <c r="L36" s="1060"/>
      <c r="M36" s="1059"/>
      <c r="N36" s="1054">
        <f t="shared" si="2"/>
        <v>1.2381235196617912</v>
      </c>
      <c r="O36" s="1055"/>
      <c r="P36" s="1061">
        <f t="shared" si="10"/>
        <v>0</v>
      </c>
      <c r="Q36" s="1062"/>
      <c r="R36" s="1059">
        <f t="shared" si="12"/>
        <v>0</v>
      </c>
      <c r="S36" s="1059"/>
      <c r="T36" s="1061">
        <f t="shared" si="11"/>
        <v>0</v>
      </c>
      <c r="U36" s="1062"/>
      <c r="V36" s="31"/>
      <c r="W36" s="31"/>
      <c r="X36" s="1188"/>
      <c r="Y36" s="1188"/>
      <c r="Z36" s="1188"/>
      <c r="AA36" s="1188"/>
      <c r="AB36" s="1188"/>
      <c r="AC36" s="1188"/>
      <c r="AD36" s="1188"/>
      <c r="AE36" s="1188"/>
      <c r="AF36" s="1188"/>
      <c r="AG36" s="1188"/>
      <c r="AH36" s="1188"/>
      <c r="AI36" s="1188"/>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31"/>
      <c r="W37" s="31"/>
      <c r="X37" s="272"/>
      <c r="Y37" s="272"/>
      <c r="Z37" s="31"/>
      <c r="AA37" s="31"/>
      <c r="AB37" s="31"/>
      <c r="AC37" s="31"/>
      <c r="AD37" s="31"/>
      <c r="AE37" s="31"/>
      <c r="AF37" s="31"/>
      <c r="AG37" s="31"/>
      <c r="AH37" s="379"/>
      <c r="AI37" s="31"/>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BF36</f>
        <v>4.2987554978870402E-3</v>
      </c>
      <c r="G38" s="1050"/>
      <c r="H38" s="1051">
        <f t="shared" si="1"/>
        <v>2.9339900670611097E-2</v>
      </c>
      <c r="I38" s="1052"/>
      <c r="J38" s="1059"/>
      <c r="K38" s="1059"/>
      <c r="L38" s="1060"/>
      <c r="M38" s="1059"/>
      <c r="N38" s="1054">
        <f t="shared" si="2"/>
        <v>1.7052350269759169</v>
      </c>
      <c r="O38" s="1055"/>
      <c r="P38" s="1061">
        <f t="shared" si="10"/>
        <v>0</v>
      </c>
      <c r="Q38" s="1062"/>
      <c r="R38" s="1059">
        <f t="shared" si="12"/>
        <v>0</v>
      </c>
      <c r="S38" s="1059"/>
      <c r="T38" s="1061">
        <f t="shared" si="11"/>
        <v>0</v>
      </c>
      <c r="U38" s="1062"/>
      <c r="V38" s="31"/>
      <c r="W38" s="31"/>
      <c r="X38" s="272"/>
      <c r="Y38" s="272"/>
      <c r="Z38" s="31"/>
      <c r="AA38" s="31"/>
      <c r="AB38" s="31"/>
      <c r="AC38" s="31"/>
      <c r="AD38" s="272"/>
      <c r="AE38" s="272"/>
      <c r="AF38" s="382"/>
      <c r="AG38" s="382"/>
      <c r="AH38" s="31"/>
      <c r="AI38" s="31"/>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f>BF37</f>
        <v>1.33109664079022E-2</v>
      </c>
      <c r="G39" s="1050"/>
      <c r="H39" s="1051">
        <f t="shared" si="1"/>
        <v>9.0850115208844548E-2</v>
      </c>
      <c r="I39" s="1052"/>
      <c r="J39" s="1059"/>
      <c r="K39" s="1059"/>
      <c r="L39" s="1060"/>
      <c r="M39" s="1059"/>
      <c r="N39" s="1054">
        <f t="shared" si="2"/>
        <v>5.280208695938045</v>
      </c>
      <c r="O39" s="1055"/>
      <c r="P39" s="1061">
        <f t="shared" si="10"/>
        <v>0</v>
      </c>
      <c r="Q39" s="1062"/>
      <c r="R39" s="1059">
        <f t="shared" si="12"/>
        <v>0</v>
      </c>
      <c r="S39" s="1059"/>
      <c r="T39" s="1061">
        <f t="shared" si="11"/>
        <v>0</v>
      </c>
      <c r="U39" s="1062"/>
      <c r="V39" s="31"/>
      <c r="W39" s="31"/>
      <c r="X39" s="272"/>
      <c r="Y39" s="272"/>
      <c r="Z39" s="31"/>
      <c r="AA39" s="31"/>
      <c r="AB39" s="31"/>
      <c r="AC39" s="31"/>
      <c r="AD39" s="272"/>
      <c r="AE39" s="272"/>
      <c r="AF39" s="382"/>
      <c r="AG39" s="382"/>
      <c r="AH39" s="31"/>
      <c r="AI39" s="31"/>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BF38</f>
        <v>1.4450640107125301E-2</v>
      </c>
      <c r="G40" s="1050"/>
      <c r="H40" s="1051">
        <f t="shared" si="1"/>
        <v>9.8628625326144637E-2</v>
      </c>
      <c r="I40" s="1052"/>
      <c r="J40" s="1059"/>
      <c r="K40" s="1059"/>
      <c r="L40" s="1060"/>
      <c r="M40" s="1059"/>
      <c r="N40" s="1054">
        <f t="shared" si="2"/>
        <v>7.115660802780031</v>
      </c>
      <c r="O40" s="1055"/>
      <c r="P40" s="1061">
        <f>R40/$R$53</f>
        <v>0</v>
      </c>
      <c r="Q40" s="1062"/>
      <c r="R40" s="1059">
        <f t="shared" si="12"/>
        <v>0</v>
      </c>
      <c r="S40" s="1059"/>
      <c r="T40" s="1061">
        <f t="shared" si="11"/>
        <v>0</v>
      </c>
      <c r="U40" s="1062"/>
      <c r="V40" s="31"/>
      <c r="W40" s="31"/>
      <c r="X40" s="272"/>
      <c r="Y40" s="272"/>
      <c r="Z40" s="31"/>
      <c r="AA40" s="31"/>
      <c r="AB40" s="31"/>
      <c r="AC40" s="31"/>
      <c r="AD40" s="272"/>
      <c r="AE40" s="272"/>
      <c r="AF40" s="382"/>
      <c r="AG40" s="382"/>
      <c r="AH40" s="31"/>
      <c r="AI40" s="31"/>
      <c r="AJ40" s="380"/>
      <c r="AK40" s="381"/>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BF40</f>
        <v>1.8657920075756399E-2</v>
      </c>
      <c r="G41" s="1050"/>
      <c r="H41" s="1051">
        <f t="shared" si="1"/>
        <v>0.12734418647721801</v>
      </c>
      <c r="I41" s="1052"/>
      <c r="J41" s="1059"/>
      <c r="K41" s="1059"/>
      <c r="L41" s="1060"/>
      <c r="M41" s="1059"/>
      <c r="N41" s="1054">
        <f t="shared" si="2"/>
        <v>9.18737367758537</v>
      </c>
      <c r="O41" s="1055"/>
      <c r="P41" s="1061">
        <f t="shared" si="10"/>
        <v>0</v>
      </c>
      <c r="Q41" s="1062"/>
      <c r="R41" s="1059">
        <f t="shared" si="12"/>
        <v>0</v>
      </c>
      <c r="S41" s="1059"/>
      <c r="T41" s="1061">
        <f t="shared" si="11"/>
        <v>0</v>
      </c>
      <c r="U41" s="1062"/>
      <c r="V41" s="31"/>
      <c r="W41" s="31"/>
      <c r="X41" s="272"/>
      <c r="Y41" s="272"/>
      <c r="Z41" s="31"/>
      <c r="AA41" s="31"/>
      <c r="AB41" s="31"/>
      <c r="AC41" s="31"/>
      <c r="AD41" s="272"/>
      <c r="AE41" s="272"/>
      <c r="AF41" s="382"/>
      <c r="AG41" s="382"/>
      <c r="AH41" s="31"/>
      <c r="AI41" s="31"/>
      <c r="AJ41" s="380"/>
      <c r="AK41" s="381"/>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425</v>
      </c>
      <c r="B42" s="376"/>
      <c r="C42" s="376"/>
      <c r="D42" s="376"/>
      <c r="E42" s="377"/>
      <c r="F42" s="1049">
        <f>SUM(BF41:BF75)</f>
        <v>0.94337200608568694</v>
      </c>
      <c r="G42" s="1050"/>
      <c r="H42" s="1064">
        <f t="shared" si="1"/>
        <v>6.4387102191771355</v>
      </c>
      <c r="I42" s="1065"/>
      <c r="J42" s="1059"/>
      <c r="K42" s="1059"/>
      <c r="L42" s="1060"/>
      <c r="M42" s="1059"/>
      <c r="N42" s="1054">
        <f t="shared" si="2"/>
        <v>2058.4872067510041</v>
      </c>
      <c r="O42" s="1055"/>
      <c r="P42" s="1061">
        <f t="shared" si="10"/>
        <v>0</v>
      </c>
      <c r="Q42" s="1062"/>
      <c r="R42" s="1059">
        <f t="shared" si="12"/>
        <v>0</v>
      </c>
      <c r="S42" s="1059"/>
      <c r="T42" s="1061">
        <f t="shared" si="11"/>
        <v>0</v>
      </c>
      <c r="U42" s="1062"/>
      <c r="V42" s="31"/>
      <c r="W42" s="31"/>
      <c r="X42" s="272"/>
      <c r="Y42" s="272"/>
      <c r="Z42" s="31"/>
      <c r="AA42" s="31"/>
      <c r="AB42" s="31"/>
      <c r="AC42" s="31"/>
      <c r="AD42" s="272"/>
      <c r="AE42" s="272"/>
      <c r="AF42" s="382"/>
      <c r="AG42" s="382"/>
      <c r="AH42" s="31"/>
      <c r="AI42" s="31"/>
      <c r="AJ42" s="270"/>
      <c r="AK42" s="37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224.70954233883043</v>
      </c>
      <c r="K45" s="1070"/>
      <c r="L45" s="1060">
        <f>0.15*J45</f>
        <v>33.706431350824566</v>
      </c>
      <c r="M45" s="1059"/>
      <c r="N45" s="1066">
        <f t="shared" si="2"/>
        <v>8269.3111580689601</v>
      </c>
      <c r="O45" s="1067"/>
      <c r="P45" s="1061">
        <f t="shared" si="10"/>
        <v>2.6677875190595297E-2</v>
      </c>
      <c r="Q45" s="1062"/>
      <c r="R45" s="1059">
        <f>L45+SUMPRODUCT(R32:R44,$AS32:$AS44)</f>
        <v>33.706431350824566</v>
      </c>
      <c r="S45" s="1059"/>
      <c r="T45" s="1071">
        <f>R45*$AR45</f>
        <v>1078.6058032263861</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BF31</f>
        <v>1.4415226502516399E-10</v>
      </c>
      <c r="G46" s="1050"/>
      <c r="H46" s="1061">
        <f t="shared" si="1"/>
        <v>9.8386920106546962E-10</v>
      </c>
      <c r="I46" s="1062"/>
      <c r="J46" s="1059">
        <f>0.79/0.21*J45</f>
        <v>845.33589736988597</v>
      </c>
      <c r="K46" s="1063"/>
      <c r="L46" s="1060">
        <f>0.71/0.29*L45</f>
        <v>82.522642272708424</v>
      </c>
      <c r="M46" s="1059"/>
      <c r="N46" s="1066">
        <f>SUM(H46,J46,L46)*AR46</f>
        <v>25980.039110020192</v>
      </c>
      <c r="O46" s="1067"/>
      <c r="P46" s="1064">
        <f t="shared" si="10"/>
        <v>0.7343765559815818</v>
      </c>
      <c r="Q46" s="1065"/>
      <c r="R46" s="1064">
        <f>$H46+J46+L46-R49</f>
        <v>927.8554904767816</v>
      </c>
      <c r="S46" s="1065"/>
      <c r="T46" s="1066">
        <f>R46*$AR46</f>
        <v>25979.953733349885</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1.0527695483520144E-6</v>
      </c>
      <c r="Q47" s="1062"/>
      <c r="R47" s="1059">
        <f>T47/$AR$47</f>
        <v>1.3301323383608623E-3</v>
      </c>
      <c r="S47" s="1059"/>
      <c r="T47" s="1064">
        <f>$AC17*$X25</f>
        <v>3.7257006797487752E-2</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BF32</f>
        <v>1.04835044112351E-6</v>
      </c>
      <c r="G48" s="1050"/>
      <c r="H48" s="1061">
        <f t="shared" si="1"/>
        <v>7.1552098800859408E-6</v>
      </c>
      <c r="I48" s="1062"/>
      <c r="J48" s="1059"/>
      <c r="K48" s="1059"/>
      <c r="L48" s="1060"/>
      <c r="M48" s="1059"/>
      <c r="N48" s="1061">
        <f t="shared" si="2"/>
        <v>3.1490078682258225E-4</v>
      </c>
      <c r="O48" s="1062"/>
      <c r="P48" s="1064">
        <f t="shared" si="10"/>
        <v>0.11676943015700561</v>
      </c>
      <c r="Q48" s="1065"/>
      <c r="R48" s="1068">
        <f>SUMPRODUCT($H31:$H52,$AU31:$AU52)+$H48-R47-SUMPRODUCT(R32:R42,$AU32:$AU42)</f>
        <v>147.53351806854252</v>
      </c>
      <c r="S48" s="1059"/>
      <c r="T48" s="1066">
        <f>R48*$AR48</f>
        <v>6492.9501301965556</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2.4133462955981528E-6</v>
      </c>
      <c r="Q49" s="1062"/>
      <c r="R49" s="1060">
        <f>T49/$AR49</f>
        <v>3.0491667967253409E-3</v>
      </c>
      <c r="S49" s="1063"/>
      <c r="T49" s="1064">
        <f>$W17*$X25</f>
        <v>0.14026167264936568</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5.4748080514399484E-7</v>
      </c>
      <c r="Q51" s="1062"/>
      <c r="R51" s="1066">
        <f>T51/$AR51</f>
        <v>6.9172016296806303E-4</v>
      </c>
      <c r="S51" s="1067"/>
      <c r="T51" s="1060">
        <f>Q22*X25</f>
        <v>4.4270090429956034E-2</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049">
        <f>BF76</f>
        <v>1.4951987737782399E-3</v>
      </c>
      <c r="G52" s="1050"/>
      <c r="H52" s="1051">
        <f t="shared" si="1"/>
        <v>1.0205042721558812E-2</v>
      </c>
      <c r="I52" s="1052"/>
      <c r="J52" s="1032"/>
      <c r="K52" s="1032"/>
      <c r="L52" s="1053"/>
      <c r="M52" s="1032"/>
      <c r="N52" s="1054">
        <f t="shared" si="2"/>
        <v>0.18385404967160354</v>
      </c>
      <c r="O52" s="1055"/>
      <c r="P52" s="1056">
        <f t="shared" si="10"/>
        <v>0.12217212507416826</v>
      </c>
      <c r="Q52" s="1057"/>
      <c r="R52" s="1044">
        <f>SUMPRODUCT(H31:H52,$AV31:$AV52)+H52-SUMPRODUCT(R32:R42,$AV32:$AV42)</f>
        <v>154.35960762904054</v>
      </c>
      <c r="S52" s="1044"/>
      <c r="T52" s="1045">
        <f>R52*$AR52</f>
        <v>2780.9426910447942</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0.99993636529826091</v>
      </c>
      <c r="G53" s="1038"/>
      <c r="H53" s="1039">
        <f>SUM(H31:H52)</f>
        <v>6.8247737395633079</v>
      </c>
      <c r="I53" s="1040"/>
      <c r="J53" s="1041">
        <f>SUM(J31:J52)</f>
        <v>1070.0454397087165</v>
      </c>
      <c r="K53" s="1041"/>
      <c r="L53" s="1042">
        <f>SUM(L31:L52)</f>
        <v>116.229073623533</v>
      </c>
      <c r="M53" s="1043"/>
      <c r="N53" s="1030">
        <f>SUM(N31:N52)</f>
        <v>36332.596273612136</v>
      </c>
      <c r="O53" s="1031"/>
      <c r="P53" s="1028">
        <f>SUM(P31:P52)</f>
        <v>1</v>
      </c>
      <c r="Q53" s="1029"/>
      <c r="R53" s="1030">
        <f>SUM(R31:R52)</f>
        <v>1263.4601185444872</v>
      </c>
      <c r="S53" s="1031"/>
      <c r="T53" s="1030">
        <f>SUM(T31:T52)</f>
        <v>36332.674146587495</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3.8961575735934909E-2</v>
      </c>
      <c r="M55" s="1186"/>
      <c r="N55" s="1026">
        <f>W17*$X$25</f>
        <v>0.14026167264936568</v>
      </c>
      <c r="O55" s="1026"/>
      <c r="P55" s="31" t="s">
        <v>617</v>
      </c>
      <c r="Q55" s="31"/>
      <c r="R55" s="1024">
        <f>N55*365.25*24/1000</f>
        <v>1.2295338224443397</v>
      </c>
      <c r="S55" s="1024"/>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185">
        <f t="shared" ref="L56:L61" si="13">N56*1000/3600</f>
        <v>1.0349168554857709E-2</v>
      </c>
      <c r="M56" s="1186"/>
      <c r="N56" s="1026">
        <f>AC17*$X$25</f>
        <v>3.7257006797487752E-2</v>
      </c>
      <c r="O56" s="1026"/>
      <c r="P56" s="31" t="s">
        <v>617</v>
      </c>
      <c r="Q56" s="31"/>
      <c r="R56" s="1024">
        <f t="shared" ref="R56:R61" si="14">N56*365.25*24/1000</f>
        <v>0.32659492158677761</v>
      </c>
      <c r="S56" s="1024"/>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185">
        <f t="shared" si="13"/>
        <v>1.2175492417479659E-3</v>
      </c>
      <c r="M57" s="1186"/>
      <c r="N57" s="1026">
        <f>AI17*$X$25</f>
        <v>4.3831772702926774E-3</v>
      </c>
      <c r="O57" s="1026"/>
      <c r="P57" s="31" t="s">
        <v>617</v>
      </c>
      <c r="Q57" s="31"/>
      <c r="R57" s="1024">
        <f t="shared" si="14"/>
        <v>3.8422931951385617E-2</v>
      </c>
      <c r="S57" s="1024"/>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185">
        <f t="shared" si="13"/>
        <v>0</v>
      </c>
      <c r="M58" s="1186"/>
      <c r="N58" s="1023">
        <f>K22*$X$25</f>
        <v>0</v>
      </c>
      <c r="O58" s="1023"/>
      <c r="P58" s="31" t="s">
        <v>617</v>
      </c>
      <c r="Q58" s="31"/>
      <c r="R58" s="1024">
        <f t="shared" si="14"/>
        <v>0</v>
      </c>
      <c r="S58" s="1024"/>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185">
        <f t="shared" si="13"/>
        <v>0</v>
      </c>
      <c r="M59" s="1186"/>
      <c r="N59" s="1026">
        <f>X25*W22</f>
        <v>0</v>
      </c>
      <c r="O59" s="1026"/>
      <c r="P59" s="31" t="s">
        <v>617</v>
      </c>
      <c r="Q59" s="31"/>
      <c r="R59" s="1024">
        <f t="shared" si="14"/>
        <v>0</v>
      </c>
      <c r="S59" s="1024"/>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1.2297247341654454E-2</v>
      </c>
      <c r="M60" s="1186"/>
      <c r="N60" s="1023">
        <f>Q22*$X$25</f>
        <v>4.4270090429956034E-2</v>
      </c>
      <c r="O60" s="1023"/>
      <c r="P60" s="31" t="s">
        <v>617</v>
      </c>
      <c r="Q60" s="31"/>
      <c r="R60" s="1024">
        <f t="shared" si="14"/>
        <v>0.3880716127089946</v>
      </c>
      <c r="S60" s="1024"/>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0</v>
      </c>
      <c r="M61" s="1186"/>
      <c r="N61" s="1023">
        <f>AC22*$X$25</f>
        <v>0</v>
      </c>
      <c r="O61" s="1023"/>
      <c r="P61" s="31" t="s">
        <v>617</v>
      </c>
      <c r="Q61" s="31"/>
      <c r="R61" s="1024">
        <f t="shared" si="14"/>
        <v>0</v>
      </c>
      <c r="S61" s="1024"/>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187">
        <f>O62*1000/3600</f>
        <v>1751.9304675277683</v>
      </c>
      <c r="M62" s="1188"/>
      <c r="N62" s="31"/>
      <c r="O62" s="394">
        <f>'Diesel F'!I56*X25</f>
        <v>6306.949683099966</v>
      </c>
      <c r="P62" s="395" t="s">
        <v>617</v>
      </c>
      <c r="Q62" s="395"/>
      <c r="R62" s="1025">
        <f>O62*365.25*24/1000</f>
        <v>55286.720922054308</v>
      </c>
      <c r="S62" s="1025"/>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680</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682</v>
      </c>
      <c r="B65" s="31" t="s">
        <v>689</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832</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232"/>
      <c r="B67" s="147"/>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2"/>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32"/>
      <c r="B68" s="147"/>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1zdRaCyC3lRz+rSJR+cGBVH1YCst8SBfWS2MVx3wBNaLNUip+E0mx+CC7jNlbjGKKBNtchPG6zZiMHGMGemmOQ==" saltValue="xMJKg47XgnMSrRXVsoQDmQ==" spinCount="100000" sheet="1" objects="1" scenarios="1" selectLockedCells="1" selectUnlockedCells="1"/>
  <mergeCells count="449">
    <mergeCell ref="L62:M62"/>
    <mergeCell ref="R62:S62"/>
    <mergeCell ref="AE59:AF59"/>
    <mergeCell ref="L60:M60"/>
    <mergeCell ref="N60:O60"/>
    <mergeCell ref="R60:S60"/>
    <mergeCell ref="L61:M61"/>
    <mergeCell ref="N61:O61"/>
    <mergeCell ref="R61:S61"/>
    <mergeCell ref="AE57:AF57"/>
    <mergeCell ref="L58:M58"/>
    <mergeCell ref="N58:O58"/>
    <mergeCell ref="R58:S58"/>
    <mergeCell ref="L59:M59"/>
    <mergeCell ref="N59:O59"/>
    <mergeCell ref="R59:S59"/>
    <mergeCell ref="T59:U59"/>
    <mergeCell ref="Y59:Z59"/>
    <mergeCell ref="AC59:AD59"/>
    <mergeCell ref="L56:M56"/>
    <mergeCell ref="N56:O56"/>
    <mergeCell ref="R56:S56"/>
    <mergeCell ref="L57:M57"/>
    <mergeCell ref="N57:O57"/>
    <mergeCell ref="R57:S57"/>
    <mergeCell ref="T57:U57"/>
    <mergeCell ref="Y57:Z57"/>
    <mergeCell ref="AC57:AD57"/>
    <mergeCell ref="AF53:AG53"/>
    <mergeCell ref="AH53:AI53"/>
    <mergeCell ref="AJ53:AK53"/>
    <mergeCell ref="L54:M54"/>
    <mergeCell ref="L55:M55"/>
    <mergeCell ref="N55:O55"/>
    <mergeCell ref="R55:S55"/>
    <mergeCell ref="T55:U55"/>
    <mergeCell ref="Y55:Z55"/>
    <mergeCell ref="AC55:AD55"/>
    <mergeCell ref="T53:U53"/>
    <mergeCell ref="V53:W53"/>
    <mergeCell ref="X53:Y53"/>
    <mergeCell ref="Z53:AA53"/>
    <mergeCell ref="AB53:AC53"/>
    <mergeCell ref="AD53:AE53"/>
    <mergeCell ref="AE55:AF55"/>
    <mergeCell ref="A53:E53"/>
    <mergeCell ref="F53:G53"/>
    <mergeCell ref="H53:I53"/>
    <mergeCell ref="J53:K53"/>
    <mergeCell ref="L53:M53"/>
    <mergeCell ref="N53:O53"/>
    <mergeCell ref="P53:Q53"/>
    <mergeCell ref="R53:S53"/>
    <mergeCell ref="V52:W52"/>
    <mergeCell ref="AJ51:AK51"/>
    <mergeCell ref="F52:G52"/>
    <mergeCell ref="H52:I52"/>
    <mergeCell ref="J52:K52"/>
    <mergeCell ref="L52:M52"/>
    <mergeCell ref="N52:O52"/>
    <mergeCell ref="P52:Q52"/>
    <mergeCell ref="R52:S52"/>
    <mergeCell ref="T52:U52"/>
    <mergeCell ref="V51:W51"/>
    <mergeCell ref="X51:Y51"/>
    <mergeCell ref="Z51:AA51"/>
    <mergeCell ref="AB51:AC51"/>
    <mergeCell ref="AD51:AE51"/>
    <mergeCell ref="AF51:AG51"/>
    <mergeCell ref="AH52:AI52"/>
    <mergeCell ref="AJ52:AK52"/>
    <mergeCell ref="X52:Y52"/>
    <mergeCell ref="Z52:AA52"/>
    <mergeCell ref="AB52:AC52"/>
    <mergeCell ref="AD52:AE52"/>
    <mergeCell ref="AF52:AG52"/>
    <mergeCell ref="F51:G51"/>
    <mergeCell ref="H51:I51"/>
    <mergeCell ref="J51:K51"/>
    <mergeCell ref="L51:M51"/>
    <mergeCell ref="N51:O51"/>
    <mergeCell ref="P51:Q51"/>
    <mergeCell ref="R51:S51"/>
    <mergeCell ref="T51:U51"/>
    <mergeCell ref="V50:W50"/>
    <mergeCell ref="AH49:AI49"/>
    <mergeCell ref="J49:K49"/>
    <mergeCell ref="L49:M49"/>
    <mergeCell ref="N49:O49"/>
    <mergeCell ref="P49:Q49"/>
    <mergeCell ref="R49:S49"/>
    <mergeCell ref="T49:U49"/>
    <mergeCell ref="AH51:AI51"/>
    <mergeCell ref="AJ49:AK49"/>
    <mergeCell ref="F50:G50"/>
    <mergeCell ref="H50:I50"/>
    <mergeCell ref="J50:K50"/>
    <mergeCell ref="L50:M50"/>
    <mergeCell ref="N50:O50"/>
    <mergeCell ref="P50:Q50"/>
    <mergeCell ref="R50:S50"/>
    <mergeCell ref="T50:U50"/>
    <mergeCell ref="V49:W49"/>
    <mergeCell ref="X49:Y49"/>
    <mergeCell ref="Z49:AA49"/>
    <mergeCell ref="AB49:AC49"/>
    <mergeCell ref="AD49:AE49"/>
    <mergeCell ref="AF49:AG49"/>
    <mergeCell ref="AH50:AI50"/>
    <mergeCell ref="AJ50:AK50"/>
    <mergeCell ref="X50:Y50"/>
    <mergeCell ref="Z50:AA50"/>
    <mergeCell ref="AB50:AC50"/>
    <mergeCell ref="AD50:AE50"/>
    <mergeCell ref="AF50:AG50"/>
    <mergeCell ref="F49:G49"/>
    <mergeCell ref="H49:I49"/>
    <mergeCell ref="V48:W48"/>
    <mergeCell ref="AH47:AI47"/>
    <mergeCell ref="AJ47:AK47"/>
    <mergeCell ref="F48:G48"/>
    <mergeCell ref="H48:I48"/>
    <mergeCell ref="J48:K48"/>
    <mergeCell ref="L48:M48"/>
    <mergeCell ref="N48:O48"/>
    <mergeCell ref="P48:Q48"/>
    <mergeCell ref="R48:S48"/>
    <mergeCell ref="T48:U48"/>
    <mergeCell ref="V47:W47"/>
    <mergeCell ref="X47:Y47"/>
    <mergeCell ref="Z47:AA47"/>
    <mergeCell ref="AB47:AC47"/>
    <mergeCell ref="AD47:AE47"/>
    <mergeCell ref="AF47:AG47"/>
    <mergeCell ref="AH48:AI48"/>
    <mergeCell ref="AJ48:AK48"/>
    <mergeCell ref="X48:Y48"/>
    <mergeCell ref="Z48:AA48"/>
    <mergeCell ref="AB48:AC48"/>
    <mergeCell ref="AD48:AE48"/>
    <mergeCell ref="AF48:AG48"/>
    <mergeCell ref="F47:G47"/>
    <mergeCell ref="H47:I47"/>
    <mergeCell ref="J47:K47"/>
    <mergeCell ref="L47:M47"/>
    <mergeCell ref="N47:O47"/>
    <mergeCell ref="P47:Q47"/>
    <mergeCell ref="R47:S47"/>
    <mergeCell ref="T47:U47"/>
    <mergeCell ref="V46:W46"/>
    <mergeCell ref="AJ45:AK45"/>
    <mergeCell ref="F46:G46"/>
    <mergeCell ref="H46:I46"/>
    <mergeCell ref="J46:K46"/>
    <mergeCell ref="L46:M46"/>
    <mergeCell ref="N46:O46"/>
    <mergeCell ref="P46:Q46"/>
    <mergeCell ref="R46:S46"/>
    <mergeCell ref="T46:U46"/>
    <mergeCell ref="V45:W45"/>
    <mergeCell ref="X45:Y45"/>
    <mergeCell ref="Z45:AA45"/>
    <mergeCell ref="AB45:AC45"/>
    <mergeCell ref="AD45:AE45"/>
    <mergeCell ref="AF45:AG45"/>
    <mergeCell ref="AH46:AI46"/>
    <mergeCell ref="AJ46:AK46"/>
    <mergeCell ref="X46:Y46"/>
    <mergeCell ref="Z46:AA46"/>
    <mergeCell ref="AB46:AC46"/>
    <mergeCell ref="AD46:AE46"/>
    <mergeCell ref="AF46:AG46"/>
    <mergeCell ref="F45:G45"/>
    <mergeCell ref="H45:I45"/>
    <mergeCell ref="J45:K45"/>
    <mergeCell ref="L45:M45"/>
    <mergeCell ref="N45:O45"/>
    <mergeCell ref="P45:Q45"/>
    <mergeCell ref="R45:S45"/>
    <mergeCell ref="T45:U45"/>
    <mergeCell ref="V44:W44"/>
    <mergeCell ref="AH43:AI43"/>
    <mergeCell ref="AH45:AI45"/>
    <mergeCell ref="AJ43:AK43"/>
    <mergeCell ref="F44:G44"/>
    <mergeCell ref="H44:I44"/>
    <mergeCell ref="J44:K44"/>
    <mergeCell ref="L44:M44"/>
    <mergeCell ref="N44:O44"/>
    <mergeCell ref="P44:Q44"/>
    <mergeCell ref="R44:S44"/>
    <mergeCell ref="T44:U44"/>
    <mergeCell ref="V43:W43"/>
    <mergeCell ref="X43:Y43"/>
    <mergeCell ref="Z43:AA43"/>
    <mergeCell ref="AB43:AC43"/>
    <mergeCell ref="AD43:AE43"/>
    <mergeCell ref="AF43:AG43"/>
    <mergeCell ref="AH44:AI44"/>
    <mergeCell ref="AJ44:AK44"/>
    <mergeCell ref="X44:Y44"/>
    <mergeCell ref="Z44:AA44"/>
    <mergeCell ref="AB44:AC44"/>
    <mergeCell ref="AD44:AE44"/>
    <mergeCell ref="AF44:AG44"/>
    <mergeCell ref="R42:S42"/>
    <mergeCell ref="T42:U42"/>
    <mergeCell ref="F43:G43"/>
    <mergeCell ref="H43:I43"/>
    <mergeCell ref="J43:K43"/>
    <mergeCell ref="L43:M43"/>
    <mergeCell ref="N43:O43"/>
    <mergeCell ref="P43:Q43"/>
    <mergeCell ref="R43:S43"/>
    <mergeCell ref="T43:U43"/>
    <mergeCell ref="F42:G42"/>
    <mergeCell ref="H42:I42"/>
    <mergeCell ref="J42:K42"/>
    <mergeCell ref="L42:M42"/>
    <mergeCell ref="N42:O42"/>
    <mergeCell ref="P42:Q42"/>
    <mergeCell ref="R40:S40"/>
    <mergeCell ref="T40:U40"/>
    <mergeCell ref="F41:G41"/>
    <mergeCell ref="H41:I41"/>
    <mergeCell ref="J41:K41"/>
    <mergeCell ref="L41:M41"/>
    <mergeCell ref="N41:O41"/>
    <mergeCell ref="P41:Q41"/>
    <mergeCell ref="R41:S41"/>
    <mergeCell ref="T41:U41"/>
    <mergeCell ref="F40:G40"/>
    <mergeCell ref="H40:I40"/>
    <mergeCell ref="J40:K40"/>
    <mergeCell ref="L40:M40"/>
    <mergeCell ref="N40:O40"/>
    <mergeCell ref="P40:Q40"/>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R34:S34"/>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X32:AI36"/>
    <mergeCell ref="F33:G33"/>
    <mergeCell ref="H33:I33"/>
    <mergeCell ref="J33:K33"/>
    <mergeCell ref="L33:M33"/>
    <mergeCell ref="N33:O33"/>
    <mergeCell ref="P33:Q33"/>
    <mergeCell ref="R33:S33"/>
    <mergeCell ref="T33:U33"/>
    <mergeCell ref="F34:G34"/>
    <mergeCell ref="T34:U34"/>
    <mergeCell ref="F35:G35"/>
    <mergeCell ref="H35:I35"/>
    <mergeCell ref="J35:K35"/>
    <mergeCell ref="L35:M35"/>
    <mergeCell ref="N35:O35"/>
    <mergeCell ref="P35:Q35"/>
    <mergeCell ref="R35:S35"/>
    <mergeCell ref="T35:U35"/>
    <mergeCell ref="H34:I34"/>
    <mergeCell ref="J34:K34"/>
    <mergeCell ref="L34:M34"/>
    <mergeCell ref="N34:O34"/>
    <mergeCell ref="P34:Q34"/>
    <mergeCell ref="F31:G31"/>
    <mergeCell ref="H31:I31"/>
    <mergeCell ref="J31:K31"/>
    <mergeCell ref="L31:M31"/>
    <mergeCell ref="N31:O31"/>
    <mergeCell ref="P31:Q31"/>
    <mergeCell ref="R31:S31"/>
    <mergeCell ref="T31:U31"/>
    <mergeCell ref="F32:G32"/>
    <mergeCell ref="H32:I32"/>
    <mergeCell ref="J32:K32"/>
    <mergeCell ref="L32:M32"/>
    <mergeCell ref="N32:O32"/>
    <mergeCell ref="P32:Q32"/>
    <mergeCell ref="R32:S32"/>
    <mergeCell ref="T32:U32"/>
    <mergeCell ref="A30:E30"/>
    <mergeCell ref="F30:G30"/>
    <mergeCell ref="H30:I30"/>
    <mergeCell ref="J30:K30"/>
    <mergeCell ref="L30:M30"/>
    <mergeCell ref="N30:O30"/>
    <mergeCell ref="A27:E27"/>
    <mergeCell ref="F27:U27"/>
    <mergeCell ref="F28:I29"/>
    <mergeCell ref="J28:M28"/>
    <mergeCell ref="N28:O29"/>
    <mergeCell ref="P28:U29"/>
    <mergeCell ref="J29:K29"/>
    <mergeCell ref="L29:M29"/>
    <mergeCell ref="P30:Q30"/>
    <mergeCell ref="R30:S30"/>
    <mergeCell ref="T30:U30"/>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H31:U52">
    <cfRule type="expression" dxfId="68" priority="1">
      <formula>H31=0</formula>
    </cfRule>
  </conditionalFormatting>
  <conditionalFormatting sqref="V31:AK31 V32:X32 AJ32:AK36 V33:W36 V37:AK52">
    <cfRule type="expression" dxfId="67" priority="3">
      <formula>V31=0</formula>
    </cfRule>
  </conditionalFormatting>
  <conditionalFormatting sqref="V53:AK53">
    <cfRule type="expression" dxfId="66" priority="4" stopIfTrue="1">
      <formula>V53=0</formula>
    </cfRule>
  </conditionalFormatting>
  <conditionalFormatting sqref="Y56:Y62 AC56:AD62 N57 N59">
    <cfRule type="expression" dxfId="65" priority="6" stopIfTrue="1">
      <formula>N56=0</formula>
    </cfRule>
  </conditionalFormatting>
  <pageMargins left="0.74803149606299213" right="0.19685039370078741" top="0.39370078740157483" bottom="0.39370078740157483" header="0.19685039370078741" footer="0.19685039370078741"/>
  <pageSetup paperSize="9" scale="64"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34C85-9C42-4F3A-8F68-B99D55EF0742}">
  <sheetPr>
    <tabColor rgb="FF00B0F0"/>
    <pageSetUpPr fitToPage="1"/>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11" width="3.7109375" style="404"/>
    <col min="12" max="12" width="5.5703125" style="404" bestFit="1" customWidth="1"/>
    <col min="13" max="14" width="3.7109375" style="404"/>
    <col min="15" max="15" width="6.7109375" style="404" customWidth="1"/>
    <col min="16" max="18" width="3.7109375" style="404"/>
    <col min="19" max="19" width="5.42578125" style="404" customWidth="1"/>
    <col min="20" max="23" width="3.7109375" style="404"/>
    <col min="24" max="24" width="6" style="404" bestFit="1"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DG!AC5</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
        <v>191</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195</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5.737756714060031E-17</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727</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'Diesel F'!G20</f>
        <v>44.890193469756099</v>
      </c>
      <c r="R16" s="1144"/>
      <c r="S16" s="1145"/>
      <c r="T16" s="1073">
        <f>'Diesel F'!E5</f>
        <v>76019.579999999987</v>
      </c>
      <c r="U16" s="1109"/>
      <c r="V16" s="1074"/>
      <c r="W16" s="1076" t="s">
        <v>604</v>
      </c>
      <c r="X16" s="1075"/>
      <c r="Y16" s="1077"/>
      <c r="Z16" s="1073">
        <f>'Diesel F'!E6</f>
        <v>16376.099999999999</v>
      </c>
      <c r="AA16" s="1109"/>
      <c r="AB16" s="1074"/>
      <c r="AC16" s="1076" t="s">
        <v>604</v>
      </c>
      <c r="AD16" s="1075"/>
      <c r="AE16" s="1077"/>
      <c r="AF16" s="1146">
        <f>'Diesel F'!E8</f>
        <v>5343.78</v>
      </c>
      <c r="AG16" s="1147"/>
      <c r="AH16" s="1148"/>
      <c r="AI16" s="1076" t="s">
        <v>604</v>
      </c>
      <c r="AJ16" s="1075"/>
      <c r="AK16" s="1077"/>
      <c r="AL16" s="303"/>
      <c r="AM16" s="303" t="s">
        <v>605</v>
      </c>
      <c r="AN16" s="303"/>
      <c r="AO16" s="303"/>
      <c r="AP16" s="351">
        <v>1020</v>
      </c>
      <c r="AQ16" s="352">
        <f>AP16/$AR$9/$AR$7 * ((AN18+273.15)/(AN19+273.15))</f>
        <v>37.956295834166582</v>
      </c>
      <c r="AR16" s="353">
        <f>AX4</f>
        <v>0.13333333333333333</v>
      </c>
      <c r="AS16" s="354">
        <f>AR16*$AR$6/1055.06</f>
        <v>5.7374304146999541E-5</v>
      </c>
      <c r="AT16" s="355">
        <f>AS16*$Q$16*1000000</f>
        <v>2575.543613351439</v>
      </c>
      <c r="AU16" s="356">
        <f>AX5</f>
        <v>3.3333333333333333E-2</v>
      </c>
      <c r="AV16" s="354">
        <f>AU16*$AR$6/1055.06</f>
        <v>1.4343576036749885E-5</v>
      </c>
      <c r="AW16" s="355">
        <f>AV16*$Q$16*1000000</f>
        <v>643.88590333785976</v>
      </c>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1">
        <v>305.24099999999999</v>
      </c>
      <c r="I17" s="1132"/>
      <c r="J17" s="1133"/>
      <c r="K17" s="1134">
        <v>832.5</v>
      </c>
      <c r="L17" s="1135"/>
      <c r="M17" s="1136"/>
      <c r="N17" s="1137">
        <v>42.59</v>
      </c>
      <c r="O17" s="1138"/>
      <c r="P17" s="1139"/>
      <c r="Q17" s="1137">
        <v>45.61</v>
      </c>
      <c r="R17" s="1138"/>
      <c r="S17" s="1139"/>
      <c r="T17" s="1066">
        <f>$Q$17/$Q$16*T16</f>
        <v>77238.5408883567</v>
      </c>
      <c r="U17" s="1110"/>
      <c r="V17" s="1067"/>
      <c r="W17" s="1114">
        <f>T17/1000000/K17</f>
        <v>9.2779028094122163E-5</v>
      </c>
      <c r="X17" s="1115"/>
      <c r="Y17" s="1116"/>
      <c r="Z17" s="1066">
        <f>$Q$17/$Q$16*Z16</f>
        <v>16638.6879464714</v>
      </c>
      <c r="AA17" s="1110"/>
      <c r="AB17" s="1067"/>
      <c r="AC17" s="1114">
        <f>Z17/1000000/K17</f>
        <v>1.9986411947713393E-5</v>
      </c>
      <c r="AD17" s="1115"/>
      <c r="AE17" s="1116"/>
      <c r="AF17" s="1066">
        <f>$Q$17/$Q$16*AF16</f>
        <v>5429.4665930590891</v>
      </c>
      <c r="AG17" s="1110"/>
      <c r="AH17" s="1067"/>
      <c r="AI17" s="1060">
        <f>AF17/1000000/K17</f>
        <v>6.5218817934643711E-6</v>
      </c>
      <c r="AJ17" s="1059"/>
      <c r="AK17" s="1063"/>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123"/>
      <c r="O18" s="1069"/>
      <c r="P18" s="1124"/>
      <c r="Q18" s="1125"/>
      <c r="R18" s="1126"/>
      <c r="S18" s="112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125</v>
      </c>
      <c r="AA19" s="1118"/>
      <c r="AB19" s="1119"/>
      <c r="AC19" s="1117" t="s">
        <v>125</v>
      </c>
      <c r="AD19" s="1118"/>
      <c r="AE19" s="1119"/>
      <c r="AF19" s="358" t="s">
        <v>728</v>
      </c>
      <c r="AG19" s="31"/>
      <c r="AH19" s="31"/>
      <c r="AI19" s="31"/>
      <c r="AJ19" s="31"/>
      <c r="AK19" s="226"/>
      <c r="AL19" s="303"/>
      <c r="AM19" s="24" t="s">
        <v>611</v>
      </c>
      <c r="AN19" s="24">
        <v>15.6</v>
      </c>
      <c r="AO19" s="23" t="s">
        <v>609</v>
      </c>
      <c r="AP19" s="303"/>
      <c r="AQ19" s="303"/>
      <c r="AR19" s="356">
        <f>AX6</f>
        <v>4.6666666666666669E-2</v>
      </c>
      <c r="AS19" s="354">
        <f>AR19*$AR$6/1055.06</f>
        <v>2.0081006451449841E-5</v>
      </c>
      <c r="AT19" s="355">
        <f>AS19*$Q$16*1000000</f>
        <v>901.44026467300375</v>
      </c>
      <c r="AU19" s="351">
        <v>0.37446000000000002</v>
      </c>
      <c r="AV19" s="354">
        <f>AU19*$AR$6/1055.06</f>
        <v>1.6113286448164087E-4</v>
      </c>
      <c r="AW19" s="355">
        <f>AV19*$Q$16*1000000</f>
        <v>7233.2854609168498</v>
      </c>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c r="I21" s="1109"/>
      <c r="J21" s="1074"/>
      <c r="K21" s="1076" t="s">
        <v>604</v>
      </c>
      <c r="L21" s="1075"/>
      <c r="M21" s="1077"/>
      <c r="N21" s="1073">
        <f>'Diesel F'!E7</f>
        <v>4999.0199999999986</v>
      </c>
      <c r="O21" s="1109"/>
      <c r="P21" s="1074"/>
      <c r="Q21" s="1076" t="s">
        <v>604</v>
      </c>
      <c r="R21" s="1075"/>
      <c r="S21" s="1077"/>
      <c r="T21" s="1073"/>
      <c r="U21" s="1109"/>
      <c r="V21" s="1074"/>
      <c r="W21" s="1214" t="s">
        <v>604</v>
      </c>
      <c r="X21" s="1215"/>
      <c r="Y21" s="1216"/>
      <c r="Z21" s="1073"/>
      <c r="AA21" s="1109"/>
      <c r="AB21" s="1074"/>
      <c r="AC21" s="1076" t="s">
        <v>604</v>
      </c>
      <c r="AD21" s="1075"/>
      <c r="AE21" s="1077"/>
      <c r="AF21" s="300"/>
      <c r="AG21" s="31"/>
      <c r="AH21" s="302"/>
      <c r="AI21" s="31"/>
      <c r="AJ21" s="31"/>
      <c r="AK21" s="32"/>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6"/>
      <c r="I22" s="1110"/>
      <c r="J22" s="1067"/>
      <c r="K22" s="1114"/>
      <c r="L22" s="1115"/>
      <c r="M22" s="1116"/>
      <c r="N22" s="1066">
        <f>$Q$17/$Q$16*N21</f>
        <v>5079.1784257649533</v>
      </c>
      <c r="O22" s="1110"/>
      <c r="P22" s="1067"/>
      <c r="Q22" s="1114">
        <f>N22/1000000/K17</f>
        <v>6.1011152261440878E-6</v>
      </c>
      <c r="R22" s="1115"/>
      <c r="S22" s="1116"/>
      <c r="T22" s="1099"/>
      <c r="U22" s="1048"/>
      <c r="V22" s="1058"/>
      <c r="W22" s="1211"/>
      <c r="X22" s="1212"/>
      <c r="Y22" s="1213"/>
      <c r="Z22" s="1066"/>
      <c r="AA22" s="1110"/>
      <c r="AB22" s="1067"/>
      <c r="AC22" s="1114"/>
      <c r="AD22" s="1115"/>
      <c r="AE22" s="1116"/>
      <c r="AF22" s="31"/>
      <c r="AG22" s="31"/>
      <c r="AH22" s="31"/>
      <c r="AI22" s="31"/>
      <c r="AJ22" s="31"/>
      <c r="AK22" s="32"/>
      <c r="AL22" s="303"/>
      <c r="AM22" s="303"/>
      <c r="AN22" s="303"/>
      <c r="AO22" s="303"/>
      <c r="AP22" s="303"/>
      <c r="AQ22" s="303"/>
      <c r="AR22" s="356">
        <f>AX8</f>
        <v>6.9333333333333339E-3</v>
      </c>
      <c r="AS22" s="354">
        <f>AR22*$AR$6/1055.06</f>
        <v>2.9834638156439767E-6</v>
      </c>
      <c r="AT22" s="355">
        <f>AS22*$Q$16*1000000</f>
        <v>133.92826789427485</v>
      </c>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045"/>
      <c r="I23" s="1033"/>
      <c r="J23" s="1046"/>
      <c r="K23" s="1089"/>
      <c r="L23" s="1090"/>
      <c r="M23" s="1091"/>
      <c r="N23" s="1045"/>
      <c r="O23" s="1033"/>
      <c r="P23" s="1046"/>
      <c r="Q23" s="1096"/>
      <c r="R23" s="1097"/>
      <c r="S23" s="1098"/>
      <c r="T23" s="1099"/>
      <c r="U23" s="1048"/>
      <c r="V23" s="1058"/>
      <c r="W23" s="1096"/>
      <c r="X23" s="1097"/>
      <c r="Y23" s="1098"/>
      <c r="Z23" s="1086"/>
      <c r="AA23" s="1087"/>
      <c r="AB23" s="1088"/>
      <c r="AC23" s="1089"/>
      <c r="AD23" s="1090"/>
      <c r="AE23" s="1091"/>
      <c r="AF23" s="31"/>
      <c r="AG23" s="31"/>
      <c r="AH23" s="31"/>
      <c r="AI23" s="31"/>
      <c r="AJ23" s="31"/>
      <c r="AK23" s="32"/>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c r="I25" s="31" t="s">
        <v>590</v>
      </c>
      <c r="J25" s="31"/>
      <c r="K25" s="31"/>
      <c r="L25" s="31" t="s">
        <v>615</v>
      </c>
      <c r="M25" s="31"/>
      <c r="N25" s="31"/>
      <c r="O25" s="31"/>
      <c r="P25" s="31"/>
      <c r="Q25" s="31"/>
      <c r="R25" s="31"/>
      <c r="S25" s="32" t="s">
        <v>616</v>
      </c>
      <c r="T25" s="1092" t="str">
        <f>A17</f>
        <v>Diesel</v>
      </c>
      <c r="U25" s="1093"/>
      <c r="V25" s="1093"/>
      <c r="W25" s="1093"/>
      <c r="X25" s="1094">
        <v>1179.4359999999999</v>
      </c>
      <c r="Y25" s="1094"/>
      <c r="Z25" s="1094"/>
      <c r="AA25" s="1093" t="s">
        <v>617</v>
      </c>
      <c r="AB25" s="1093"/>
      <c r="AC25" s="1095">
        <f>X25/H17</f>
        <v>3.8639501246556001</v>
      </c>
      <c r="AD25" s="1095"/>
      <c r="AE25" s="1093" t="s">
        <v>618</v>
      </c>
      <c r="AF25" s="1093"/>
      <c r="AG25" s="1093"/>
      <c r="AH25" s="1674">
        <f>X25*N17/3600</f>
        <v>13.953383122222222</v>
      </c>
      <c r="AI25" s="1674"/>
      <c r="AJ25" s="361" t="s">
        <v>590</v>
      </c>
      <c r="AK25" s="362"/>
      <c r="AL25" s="303"/>
      <c r="AM25" s="363">
        <f>X25*W22</f>
        <v>0</v>
      </c>
      <c r="AN25" s="303"/>
      <c r="AO25" s="303"/>
      <c r="AP25" s="303"/>
      <c r="AQ25" s="303"/>
      <c r="AR25" s="351">
        <f>AX7</f>
        <v>0.01</v>
      </c>
      <c r="AS25" s="354">
        <f>AR25*$AR$6/1055.06</f>
        <v>4.3030728110249664E-6</v>
      </c>
      <c r="AT25" s="355">
        <f>AS25*$Q$16*1000000</f>
        <v>193.16577100135797</v>
      </c>
      <c r="AU25" s="356">
        <f>AX9</f>
        <v>3.5333333333333336E-3</v>
      </c>
      <c r="AV25" s="354">
        <f>AU25*$AR$6/1055.06</f>
        <v>1.5204190598954882E-6</v>
      </c>
      <c r="AW25" s="355">
        <f>AV25*$Q$16*1000000</f>
        <v>68.251905753813148</v>
      </c>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0</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c r="B27" s="1081"/>
      <c r="C27" s="1081"/>
      <c r="D27" s="1081"/>
      <c r="E27" s="1081"/>
      <c r="F27" s="1042" t="str">
        <f>A17</f>
        <v>Diesel</v>
      </c>
      <c r="G27" s="1043"/>
      <c r="H27" s="1043"/>
      <c r="I27" s="1043"/>
      <c r="J27" s="1043"/>
      <c r="K27" s="1043"/>
      <c r="L27" s="1043"/>
      <c r="M27" s="1043"/>
      <c r="N27" s="1043"/>
      <c r="O27" s="1043"/>
      <c r="P27" s="1043"/>
      <c r="Q27" s="1043"/>
      <c r="R27" s="1043"/>
      <c r="S27" s="1043"/>
      <c r="T27" s="1043"/>
      <c r="U27" s="1080"/>
      <c r="V27" s="31"/>
      <c r="W27" s="31"/>
      <c r="X27" s="271">
        <f>AH25</f>
        <v>13.953383122222222</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1">
        <v>9600</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1">
        <f>X27*X28</f>
        <v>133952.47797333333</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1">
        <f>X29*3600/1000</f>
        <v>482228.92070399999</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049">
        <v>0</v>
      </c>
      <c r="G31" s="1050"/>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BF33</f>
        <v>3.7672634101823899E-6</v>
      </c>
      <c r="G32" s="1050"/>
      <c r="H32" s="1051">
        <f>F32*$AC$25</f>
        <v>1.4556517923384726E-5</v>
      </c>
      <c r="I32" s="1052"/>
      <c r="J32" s="1059"/>
      <c r="K32" s="1059"/>
      <c r="L32" s="1060"/>
      <c r="M32" s="1059"/>
      <c r="N32" s="1054">
        <f t="shared" si="2"/>
        <v>2.3351566052693781E-4</v>
      </c>
      <c r="O32" s="1055"/>
      <c r="P32" s="1061">
        <f>R32/$R$53</f>
        <v>0</v>
      </c>
      <c r="Q32" s="1062"/>
      <c r="R32" s="1060">
        <f>T32/$AR32</f>
        <v>0</v>
      </c>
      <c r="S32" s="1059"/>
      <c r="T32" s="1064">
        <f>$K$22*$X$25</f>
        <v>0</v>
      </c>
      <c r="U32" s="1065"/>
      <c r="V32" s="31"/>
      <c r="W32" s="31"/>
      <c r="X32" s="272"/>
      <c r="Y32" s="1183" t="s">
        <v>871</v>
      </c>
      <c r="Z32" s="1184"/>
      <c r="AA32" s="1184"/>
      <c r="AB32" s="1184"/>
      <c r="AC32" s="1184"/>
      <c r="AD32" s="1184"/>
      <c r="AE32" s="1184"/>
      <c r="AF32" s="1184"/>
      <c r="AG32" s="1184"/>
      <c r="AH32" s="1184"/>
      <c r="AI32" s="1184"/>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31"/>
      <c r="W33" s="31"/>
      <c r="X33" s="272"/>
      <c r="Y33" s="1184"/>
      <c r="Z33" s="1184"/>
      <c r="AA33" s="1184"/>
      <c r="AB33" s="1184"/>
      <c r="AC33" s="1184"/>
      <c r="AD33" s="1184"/>
      <c r="AE33" s="1184"/>
      <c r="AF33" s="1184"/>
      <c r="AG33" s="1184"/>
      <c r="AH33" s="1184"/>
      <c r="AI33" s="1184"/>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BF34</f>
        <v>2.32021919756754E-4</v>
      </c>
      <c r="G34" s="1050"/>
      <c r="H34" s="1051">
        <f t="shared" si="1"/>
        <v>8.965211257669413E-4</v>
      </c>
      <c r="I34" s="1052"/>
      <c r="J34" s="1059"/>
      <c r="K34" s="1059"/>
      <c r="L34" s="1060"/>
      <c r="M34" s="1059"/>
      <c r="N34" s="1054">
        <f t="shared" si="2"/>
        <v>2.6956597209560389E-2</v>
      </c>
      <c r="O34" s="1055"/>
      <c r="P34" s="1061">
        <f t="shared" si="10"/>
        <v>0</v>
      </c>
      <c r="Q34" s="1062"/>
      <c r="R34" s="1059">
        <f>T34/$AR34</f>
        <v>0</v>
      </c>
      <c r="S34" s="1059"/>
      <c r="T34" s="1061">
        <f t="shared" si="11"/>
        <v>0</v>
      </c>
      <c r="U34" s="1062"/>
      <c r="V34" s="31"/>
      <c r="W34" s="31"/>
      <c r="X34" s="272"/>
      <c r="Y34" s="1184"/>
      <c r="Z34" s="1184"/>
      <c r="AA34" s="1184"/>
      <c r="AB34" s="1184"/>
      <c r="AC34" s="1184"/>
      <c r="AD34" s="1184"/>
      <c r="AE34" s="1184"/>
      <c r="AF34" s="1184"/>
      <c r="AG34" s="1184"/>
      <c r="AH34" s="1184"/>
      <c r="AI34" s="1184"/>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31"/>
      <c r="W35" s="31"/>
      <c r="X35" s="272"/>
      <c r="Y35" s="1184"/>
      <c r="Z35" s="1184"/>
      <c r="AA35" s="1184"/>
      <c r="AB35" s="1184"/>
      <c r="AC35" s="1184"/>
      <c r="AD35" s="1184"/>
      <c r="AE35" s="1184"/>
      <c r="AF35" s="1184"/>
      <c r="AG35" s="1184"/>
      <c r="AH35" s="1184"/>
      <c r="AI35" s="1184"/>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BF35</f>
        <v>4.1140406723645098E-3</v>
      </c>
      <c r="G36" s="1050"/>
      <c r="H36" s="1051">
        <f t="shared" si="1"/>
        <v>1.5896447968821056E-2</v>
      </c>
      <c r="I36" s="1052"/>
      <c r="J36" s="1059"/>
      <c r="K36" s="1059"/>
      <c r="L36" s="1060"/>
      <c r="M36" s="1059"/>
      <c r="N36" s="1054">
        <f t="shared" si="2"/>
        <v>0.7009379767371956</v>
      </c>
      <c r="O36" s="1055"/>
      <c r="P36" s="1061">
        <f t="shared" si="10"/>
        <v>0</v>
      </c>
      <c r="Q36" s="1062"/>
      <c r="R36" s="1059">
        <f t="shared" si="12"/>
        <v>0</v>
      </c>
      <c r="S36" s="1059"/>
      <c r="T36" s="1061">
        <f t="shared" si="11"/>
        <v>0</v>
      </c>
      <c r="U36" s="1062"/>
      <c r="V36" s="31"/>
      <c r="W36" s="31"/>
      <c r="X36" s="272"/>
      <c r="Y36" s="1184"/>
      <c r="Z36" s="1184"/>
      <c r="AA36" s="1184"/>
      <c r="AB36" s="1184"/>
      <c r="AC36" s="1184"/>
      <c r="AD36" s="1184"/>
      <c r="AE36" s="1184"/>
      <c r="AF36" s="1184"/>
      <c r="AG36" s="1184"/>
      <c r="AH36" s="1184"/>
      <c r="AI36" s="1184"/>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31"/>
      <c r="W37" s="31"/>
      <c r="X37" s="272"/>
      <c r="Y37" s="1184"/>
      <c r="Z37" s="1184"/>
      <c r="AA37" s="1184"/>
      <c r="AB37" s="1184"/>
      <c r="AC37" s="1184"/>
      <c r="AD37" s="1184"/>
      <c r="AE37" s="1184"/>
      <c r="AF37" s="1184"/>
      <c r="AG37" s="1184"/>
      <c r="AH37" s="1184"/>
      <c r="AI37" s="1184"/>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BF36</f>
        <v>4.2987554978870402E-3</v>
      </c>
      <c r="G38" s="1050"/>
      <c r="H38" s="1051">
        <f t="shared" si="1"/>
        <v>1.6610176841924576E-2</v>
      </c>
      <c r="I38" s="1052"/>
      <c r="J38" s="1059"/>
      <c r="K38" s="1059"/>
      <c r="L38" s="1060"/>
      <c r="M38" s="1059"/>
      <c r="N38" s="1054">
        <f t="shared" si="2"/>
        <v>0.96538347805265634</v>
      </c>
      <c r="O38" s="1055"/>
      <c r="P38" s="1061">
        <f t="shared" si="10"/>
        <v>0</v>
      </c>
      <c r="Q38" s="1062"/>
      <c r="R38" s="1059">
        <f t="shared" si="12"/>
        <v>0</v>
      </c>
      <c r="S38" s="1059"/>
      <c r="T38" s="1061">
        <f t="shared" si="11"/>
        <v>0</v>
      </c>
      <c r="U38" s="1062"/>
      <c r="V38" s="31"/>
      <c r="W38" s="31"/>
      <c r="X38" s="272"/>
      <c r="Y38" s="272"/>
      <c r="Z38" s="31"/>
      <c r="AA38" s="31"/>
      <c r="AB38" s="31"/>
      <c r="AC38" s="31"/>
      <c r="AD38" s="272"/>
      <c r="AE38" s="272"/>
      <c r="AF38" s="382"/>
      <c r="AG38" s="382"/>
      <c r="AH38" s="31"/>
      <c r="AI38" s="31"/>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f>BF37</f>
        <v>1.33109664079022E-2</v>
      </c>
      <c r="G39" s="1050"/>
      <c r="H39" s="1051">
        <f t="shared" si="1"/>
        <v>5.1432910311100213E-2</v>
      </c>
      <c r="I39" s="1052"/>
      <c r="J39" s="1059"/>
      <c r="K39" s="1059"/>
      <c r="L39" s="1060"/>
      <c r="M39" s="1059"/>
      <c r="N39" s="1054">
        <f t="shared" si="2"/>
        <v>2.9892807472811445</v>
      </c>
      <c r="O39" s="1055"/>
      <c r="P39" s="1061">
        <f t="shared" si="10"/>
        <v>0</v>
      </c>
      <c r="Q39" s="1062"/>
      <c r="R39" s="1059">
        <f t="shared" si="12"/>
        <v>0</v>
      </c>
      <c r="S39" s="1059"/>
      <c r="T39" s="1061">
        <f t="shared" si="11"/>
        <v>0</v>
      </c>
      <c r="U39" s="1062"/>
      <c r="V39" s="31"/>
      <c r="W39" s="31"/>
      <c r="X39" s="272"/>
      <c r="Y39" s="272"/>
      <c r="Z39" s="31"/>
      <c r="AA39" s="31"/>
      <c r="AB39" s="31"/>
      <c r="AC39" s="31"/>
      <c r="AD39" s="272"/>
      <c r="AE39" s="272"/>
      <c r="AF39" s="382"/>
      <c r="AG39" s="382"/>
      <c r="AH39" s="31"/>
      <c r="AI39" s="31"/>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BF38</f>
        <v>1.4450640107125301E-2</v>
      </c>
      <c r="G40" s="1050"/>
      <c r="H40" s="1051">
        <f t="shared" si="1"/>
        <v>5.5836552643280017E-2</v>
      </c>
      <c r="I40" s="1052"/>
      <c r="J40" s="1059"/>
      <c r="K40" s="1059"/>
      <c r="L40" s="1060"/>
      <c r="M40" s="1059"/>
      <c r="N40" s="1054">
        <f t="shared" si="2"/>
        <v>4.0283839270020803</v>
      </c>
      <c r="O40" s="1055"/>
      <c r="P40" s="1061">
        <f t="shared" si="10"/>
        <v>0</v>
      </c>
      <c r="Q40" s="1062"/>
      <c r="R40" s="1059">
        <f t="shared" si="12"/>
        <v>0</v>
      </c>
      <c r="S40" s="1059"/>
      <c r="T40" s="1061">
        <f t="shared" si="11"/>
        <v>0</v>
      </c>
      <c r="U40" s="1062"/>
      <c r="V40" s="31"/>
      <c r="W40" s="31"/>
      <c r="X40" s="272"/>
      <c r="Y40" s="272"/>
      <c r="Z40" s="31"/>
      <c r="AA40" s="31"/>
      <c r="AB40" s="31"/>
      <c r="AC40" s="31"/>
      <c r="AD40" s="272"/>
      <c r="AE40" s="272"/>
      <c r="AF40" s="382"/>
      <c r="AG40" s="382"/>
      <c r="AH40" s="31"/>
      <c r="AI40" s="31"/>
      <c r="AJ40" s="380"/>
      <c r="AK40" s="381"/>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BF40</f>
        <v>1.8657920075756399E-2</v>
      </c>
      <c r="G41" s="1050"/>
      <c r="H41" s="1051">
        <f t="shared" si="1"/>
        <v>7.2093272602533162E-2</v>
      </c>
      <c r="I41" s="1052"/>
      <c r="J41" s="1059"/>
      <c r="K41" s="1059"/>
      <c r="L41" s="1060"/>
      <c r="M41" s="1059"/>
      <c r="N41" s="1054">
        <f t="shared" si="2"/>
        <v>5.2012412451823575</v>
      </c>
      <c r="O41" s="1055"/>
      <c r="P41" s="1061">
        <f t="shared" si="10"/>
        <v>0</v>
      </c>
      <c r="Q41" s="1062"/>
      <c r="R41" s="1059">
        <f t="shared" si="12"/>
        <v>0</v>
      </c>
      <c r="S41" s="1059"/>
      <c r="T41" s="1061">
        <f t="shared" si="11"/>
        <v>0</v>
      </c>
      <c r="U41" s="1062"/>
      <c r="V41" s="31"/>
      <c r="W41" s="31"/>
      <c r="X41" s="272"/>
      <c r="Y41" s="272"/>
      <c r="Z41" s="31"/>
      <c r="AA41" s="31"/>
      <c r="AB41" s="31"/>
      <c r="AC41" s="31"/>
      <c r="AD41" s="272"/>
      <c r="AE41" s="272"/>
      <c r="AF41" s="382"/>
      <c r="AG41" s="382"/>
      <c r="AH41" s="31"/>
      <c r="AI41" s="31"/>
      <c r="AJ41" s="380"/>
      <c r="AK41" s="381"/>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425</v>
      </c>
      <c r="B42" s="376"/>
      <c r="C42" s="376"/>
      <c r="D42" s="376"/>
      <c r="E42" s="377"/>
      <c r="F42" s="1049">
        <f>SUM(BF41:BF75)</f>
        <v>0.94337200608568694</v>
      </c>
      <c r="G42" s="1050"/>
      <c r="H42" s="1064">
        <f t="shared" si="1"/>
        <v>3.6451423805113934</v>
      </c>
      <c r="I42" s="1065"/>
      <c r="J42" s="1059"/>
      <c r="K42" s="1059"/>
      <c r="L42" s="1060"/>
      <c r="M42" s="1059"/>
      <c r="N42" s="1054">
        <f t="shared" si="2"/>
        <v>1165.369880247157</v>
      </c>
      <c r="O42" s="1055"/>
      <c r="P42" s="1061">
        <f t="shared" si="10"/>
        <v>0</v>
      </c>
      <c r="Q42" s="1062"/>
      <c r="R42" s="1059">
        <f t="shared" si="12"/>
        <v>0</v>
      </c>
      <c r="S42" s="1059"/>
      <c r="T42" s="1061">
        <f t="shared" si="11"/>
        <v>0</v>
      </c>
      <c r="U42" s="1062"/>
      <c r="V42" s="31"/>
      <c r="W42" s="31"/>
      <c r="X42" s="272"/>
      <c r="Y42" s="272"/>
      <c r="Z42" s="31"/>
      <c r="AA42" s="31"/>
      <c r="AB42" s="31"/>
      <c r="AC42" s="31"/>
      <c r="AD42" s="272"/>
      <c r="AE42" s="272"/>
      <c r="AF42" s="382"/>
      <c r="AG42" s="382"/>
      <c r="AH42" s="31"/>
      <c r="AI42" s="31"/>
      <c r="AJ42" s="270"/>
      <c r="AK42" s="37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127.21465141341157</v>
      </c>
      <c r="K45" s="1070"/>
      <c r="L45" s="1060">
        <f>0.15*J45</f>
        <v>19.082197712011734</v>
      </c>
      <c r="M45" s="1059"/>
      <c r="N45" s="1066">
        <f t="shared" si="2"/>
        <v>4681.4991720135458</v>
      </c>
      <c r="O45" s="1067"/>
      <c r="P45" s="1061">
        <f t="shared" si="10"/>
        <v>2.6677885602713638E-2</v>
      </c>
      <c r="Q45" s="1062"/>
      <c r="R45" s="1059">
        <f>L45+SUMPRODUCT(R32:R44,$AS32:$AS44)</f>
        <v>19.082197712011734</v>
      </c>
      <c r="S45" s="1059"/>
      <c r="T45" s="1071">
        <f>R45*$AR45</f>
        <v>610.63032678437548</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BF31</f>
        <v>1.4415226502516399E-10</v>
      </c>
      <c r="G46" s="1050"/>
      <c r="H46" s="1061">
        <f t="shared" si="1"/>
        <v>5.5699716241336955E-10</v>
      </c>
      <c r="I46" s="1062"/>
      <c r="J46" s="1059">
        <f>0.79/0.21*J45</f>
        <v>478.56940293616742</v>
      </c>
      <c r="K46" s="1063"/>
      <c r="L46" s="1060">
        <f>0.71/0.29*L45</f>
        <v>46.718484053545971</v>
      </c>
      <c r="M46" s="1059"/>
      <c r="N46" s="1066">
        <f>SUM(H46,J46,L46)*AR46</f>
        <v>14708.060835727571</v>
      </c>
      <c r="O46" s="1067"/>
      <c r="P46" s="1064">
        <f t="shared" si="10"/>
        <v>0.73437593020060521</v>
      </c>
      <c r="Q46" s="1065"/>
      <c r="R46" s="1064">
        <f>$H46+J46+L46-R49</f>
        <v>525.28550814405787</v>
      </c>
      <c r="S46" s="1065"/>
      <c r="T46" s="1066">
        <f>R46*$AR46</f>
        <v>14707.99422803362</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1.1765736557664538E-6</v>
      </c>
      <c r="Q47" s="1062"/>
      <c r="R47" s="1059">
        <f>T47/$AR$47</f>
        <v>8.4158135530036757E-4</v>
      </c>
      <c r="S47" s="1059"/>
      <c r="T47" s="1064">
        <f>$AC17*$X25</f>
        <v>2.3572693761963293E-2</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BF32</f>
        <v>1.04835044112351E-6</v>
      </c>
      <c r="G48" s="1050"/>
      <c r="H48" s="1061">
        <f t="shared" si="1"/>
        <v>4.0507738176619398E-6</v>
      </c>
      <c r="I48" s="1062"/>
      <c r="J48" s="1059"/>
      <c r="K48" s="1059"/>
      <c r="L48" s="1060"/>
      <c r="M48" s="1059"/>
      <c r="N48" s="1061">
        <f t="shared" si="2"/>
        <v>1.7827455571530195E-4</v>
      </c>
      <c r="O48" s="1062"/>
      <c r="P48" s="1064">
        <f t="shared" si="10"/>
        <v>0.11676935192729561</v>
      </c>
      <c r="Q48" s="1065"/>
      <c r="R48" s="1068">
        <f>SUMPRODUCT($H31:$H52,$AU31:$AU52)+$H48-R47-SUMPRODUCT(R32:R42,$AU32:$AU42)</f>
        <v>83.522955805518649</v>
      </c>
      <c r="S48" s="1059"/>
      <c r="T48" s="1066">
        <f>R48*$AR48</f>
        <v>3675.8452850008757</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3.3257483275116924E-6</v>
      </c>
      <c r="Q49" s="1062"/>
      <c r="R49" s="1060">
        <f>T49/$AR49</f>
        <v>2.3788462125917185E-3</v>
      </c>
      <c r="S49" s="1063"/>
      <c r="T49" s="1064">
        <f>$W17*$X25</f>
        <v>0.10942692577921906</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1.5719062744120598E-7</v>
      </c>
      <c r="Q51" s="1062"/>
      <c r="R51" s="1066">
        <f>T51/$AR51</f>
        <v>1.1243554590410121E-4</v>
      </c>
      <c r="S51" s="1067"/>
      <c r="T51" s="1060">
        <f>Q22*X25</f>
        <v>7.1958749378624775E-3</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049">
        <f>BF76</f>
        <v>1.4951987737782399E-3</v>
      </c>
      <c r="G52" s="1050"/>
      <c r="H52" s="1051">
        <f t="shared" si="1"/>
        <v>5.7773734883253304E-3</v>
      </c>
      <c r="I52" s="1052"/>
      <c r="J52" s="1032"/>
      <c r="K52" s="1032"/>
      <c r="L52" s="1053"/>
      <c r="M52" s="1032"/>
      <c r="N52" s="1054">
        <f t="shared" si="2"/>
        <v>0.10408516076566915</v>
      </c>
      <c r="O52" s="1055"/>
      <c r="P52" s="1056">
        <f t="shared" si="10"/>
        <v>0.12217217275677475</v>
      </c>
      <c r="Q52" s="1057"/>
      <c r="R52" s="1044">
        <f>SUMPRODUCT(H31:H52,$AV31:$AV52)+H52-SUMPRODUCT(R32:R42,$AV32:$AV42)</f>
        <v>87.387493528111222</v>
      </c>
      <c r="S52" s="1044"/>
      <c r="T52" s="1045">
        <f>R52*$AR52</f>
        <v>1574.3730834024516</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0.99993636529826091</v>
      </c>
      <c r="G53" s="1038"/>
      <c r="H53" s="1039">
        <f>SUM(H31:H52)</f>
        <v>3.8637042433418829</v>
      </c>
      <c r="I53" s="1040"/>
      <c r="J53" s="1041">
        <f>SUM(J31:J52)</f>
        <v>605.78405434957904</v>
      </c>
      <c r="K53" s="1041"/>
      <c r="L53" s="1042">
        <f>SUM(L31:L52)</f>
        <v>65.800681765557698</v>
      </c>
      <c r="M53" s="1043"/>
      <c r="N53" s="1030">
        <f>SUM(N31:N52)</f>
        <v>20568.94656891072</v>
      </c>
      <c r="O53" s="1031"/>
      <c r="P53" s="1028">
        <f>SUM(P31:P52)</f>
        <v>0.99999999999999989</v>
      </c>
      <c r="Q53" s="1029"/>
      <c r="R53" s="1030">
        <f>SUM(R31:R52)</f>
        <v>715.2814880528133</v>
      </c>
      <c r="S53" s="1031"/>
      <c r="T53" s="1030">
        <f>SUM(T31:T52)</f>
        <v>20568.983118715805</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3.0396368272005293E-2</v>
      </c>
      <c r="M55" s="1186"/>
      <c r="N55" s="1026">
        <f>W17*$X$25</f>
        <v>0.10942692577921906</v>
      </c>
      <c r="O55" s="1026"/>
      <c r="P55" s="31" t="s">
        <v>617</v>
      </c>
      <c r="Q55" s="31"/>
      <c r="R55" s="1024">
        <f>(N55*80*24/1000)+(N55*5*24/1000)+(N55*2*24/1000)</f>
        <v>0.22848342102700936</v>
      </c>
      <c r="S55" s="1024"/>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185">
        <f t="shared" ref="L56:L61" si="13">N56*1000/3600</f>
        <v>6.5479704894342485E-3</v>
      </c>
      <c r="M56" s="1186"/>
      <c r="N56" s="1026">
        <f>AC17*$X$25</f>
        <v>2.3572693761963293E-2</v>
      </c>
      <c r="O56" s="1026"/>
      <c r="P56" s="31" t="s">
        <v>617</v>
      </c>
      <c r="Q56" s="31"/>
      <c r="R56" s="1024">
        <f t="shared" ref="R56:R61" si="14">(N56*80*24/1000)+(N56*5*24/1000)+(N56*2*24/1000)</f>
        <v>4.9219784574979351E-2</v>
      </c>
      <c r="S56" s="1024"/>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185">
        <f t="shared" si="13"/>
        <v>2.1367061597101231E-3</v>
      </c>
      <c r="M57" s="1186"/>
      <c r="N57" s="1026">
        <f>AI17*$X$25</f>
        <v>7.6921421749564433E-3</v>
      </c>
      <c r="O57" s="1026"/>
      <c r="P57" s="31" t="s">
        <v>617</v>
      </c>
      <c r="Q57" s="31"/>
      <c r="R57" s="1024">
        <f t="shared" si="14"/>
        <v>1.6061192861309054E-2</v>
      </c>
      <c r="S57" s="1024"/>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185">
        <f t="shared" si="13"/>
        <v>0</v>
      </c>
      <c r="M58" s="1186"/>
      <c r="N58" s="1023">
        <f>K22*$X$25</f>
        <v>0</v>
      </c>
      <c r="O58" s="1023"/>
      <c r="P58" s="31" t="s">
        <v>617</v>
      </c>
      <c r="Q58" s="31"/>
      <c r="R58" s="1024">
        <f t="shared" si="14"/>
        <v>0</v>
      </c>
      <c r="S58" s="1024"/>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185">
        <f t="shared" si="13"/>
        <v>0</v>
      </c>
      <c r="M59" s="1186"/>
      <c r="N59" s="1026">
        <f>X25*W22</f>
        <v>0</v>
      </c>
      <c r="O59" s="1026"/>
      <c r="P59" s="31" t="s">
        <v>617</v>
      </c>
      <c r="Q59" s="31"/>
      <c r="R59" s="1024">
        <f t="shared" si="14"/>
        <v>0</v>
      </c>
      <c r="S59" s="1024"/>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1.9988541494062439E-3</v>
      </c>
      <c r="M60" s="1186"/>
      <c r="N60" s="1023">
        <f>Q22*$X$25</f>
        <v>7.1958749378624775E-3</v>
      </c>
      <c r="O60" s="1023"/>
      <c r="P60" s="31" t="s">
        <v>617</v>
      </c>
      <c r="Q60" s="31"/>
      <c r="R60" s="1024">
        <f t="shared" si="14"/>
        <v>1.5024986870256852E-2</v>
      </c>
      <c r="S60" s="1024"/>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0</v>
      </c>
      <c r="M61" s="1186"/>
      <c r="N61" s="1023">
        <f>AC22*$X$25</f>
        <v>0</v>
      </c>
      <c r="O61" s="1023"/>
      <c r="P61" s="31" t="s">
        <v>617</v>
      </c>
      <c r="Q61" s="31"/>
      <c r="R61" s="1024">
        <f t="shared" si="14"/>
        <v>0</v>
      </c>
      <c r="S61" s="1024"/>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187">
        <f>O62*1000/3600</f>
        <v>991.81913419155865</v>
      </c>
      <c r="M62" s="1188"/>
      <c r="N62" s="31"/>
      <c r="O62" s="416">
        <f>'Diesel F'!I56*X25</f>
        <v>3570.5488830896111</v>
      </c>
      <c r="P62" s="395" t="s">
        <v>617</v>
      </c>
      <c r="Q62" s="395"/>
      <c r="R62" s="1651">
        <f>(O62*80*24/1000)+(O62*5*24/1000)+(O62*2*24/1000)</f>
        <v>7455.3060678911079</v>
      </c>
      <c r="S62" s="1651"/>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680</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682</v>
      </c>
      <c r="B65" s="31" t="s">
        <v>683</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832</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415" t="s">
        <v>38</v>
      </c>
      <c r="B67" s="31" t="s">
        <v>689</v>
      </c>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32"/>
      <c r="B68" s="147"/>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4/PpKJYnIZrylOrLsQo06C6ca9B3xMTa5nJ5X7vg/oSroc3id1KQUlbMm1/EGhWIl3vl1ODC+1qwfs3qhuyImw==" saltValue="u9lSg2gsXQuFE+U4Ud9d0w==" spinCount="100000" sheet="1" objects="1" scenarios="1" selectLockedCells="1" selectUnlockedCells="1"/>
  <mergeCells count="449">
    <mergeCell ref="L62:M62"/>
    <mergeCell ref="R62:S62"/>
    <mergeCell ref="AE59:AF59"/>
    <mergeCell ref="L60:M60"/>
    <mergeCell ref="N60:O60"/>
    <mergeCell ref="R60:S60"/>
    <mergeCell ref="L61:M61"/>
    <mergeCell ref="N61:O61"/>
    <mergeCell ref="R61:S61"/>
    <mergeCell ref="AE57:AF57"/>
    <mergeCell ref="L58:M58"/>
    <mergeCell ref="N58:O58"/>
    <mergeCell ref="R58:S58"/>
    <mergeCell ref="L59:M59"/>
    <mergeCell ref="N59:O59"/>
    <mergeCell ref="R59:S59"/>
    <mergeCell ref="T59:U59"/>
    <mergeCell ref="Y59:Z59"/>
    <mergeCell ref="AC59:AD59"/>
    <mergeCell ref="L56:M56"/>
    <mergeCell ref="N56:O56"/>
    <mergeCell ref="R56:S56"/>
    <mergeCell ref="L57:M57"/>
    <mergeCell ref="N57:O57"/>
    <mergeCell ref="R57:S57"/>
    <mergeCell ref="T57:U57"/>
    <mergeCell ref="Y57:Z57"/>
    <mergeCell ref="AC57:AD57"/>
    <mergeCell ref="AF53:AG53"/>
    <mergeCell ref="AH53:AI53"/>
    <mergeCell ref="AJ53:AK53"/>
    <mergeCell ref="L54:M54"/>
    <mergeCell ref="L55:M55"/>
    <mergeCell ref="N55:O55"/>
    <mergeCell ref="R55:S55"/>
    <mergeCell ref="T55:U55"/>
    <mergeCell ref="Y55:Z55"/>
    <mergeCell ref="AC55:AD55"/>
    <mergeCell ref="T53:U53"/>
    <mergeCell ref="V53:W53"/>
    <mergeCell ref="X53:Y53"/>
    <mergeCell ref="Z53:AA53"/>
    <mergeCell ref="AB53:AC53"/>
    <mergeCell ref="AD53:AE53"/>
    <mergeCell ref="AE55:AF55"/>
    <mergeCell ref="A53:E53"/>
    <mergeCell ref="F53:G53"/>
    <mergeCell ref="H53:I53"/>
    <mergeCell ref="J53:K53"/>
    <mergeCell ref="L53:M53"/>
    <mergeCell ref="N53:O53"/>
    <mergeCell ref="P53:Q53"/>
    <mergeCell ref="R53:S53"/>
    <mergeCell ref="V52:W52"/>
    <mergeCell ref="AJ51:AK51"/>
    <mergeCell ref="F52:G52"/>
    <mergeCell ref="H52:I52"/>
    <mergeCell ref="J52:K52"/>
    <mergeCell ref="L52:M52"/>
    <mergeCell ref="N52:O52"/>
    <mergeCell ref="P52:Q52"/>
    <mergeCell ref="R52:S52"/>
    <mergeCell ref="T52:U52"/>
    <mergeCell ref="V51:W51"/>
    <mergeCell ref="X51:Y51"/>
    <mergeCell ref="Z51:AA51"/>
    <mergeCell ref="AB51:AC51"/>
    <mergeCell ref="AD51:AE51"/>
    <mergeCell ref="AF51:AG51"/>
    <mergeCell ref="AH52:AI52"/>
    <mergeCell ref="AJ52:AK52"/>
    <mergeCell ref="X52:Y52"/>
    <mergeCell ref="Z52:AA52"/>
    <mergeCell ref="AB52:AC52"/>
    <mergeCell ref="AD52:AE52"/>
    <mergeCell ref="AF52:AG52"/>
    <mergeCell ref="F51:G51"/>
    <mergeCell ref="H51:I51"/>
    <mergeCell ref="J51:K51"/>
    <mergeCell ref="L51:M51"/>
    <mergeCell ref="N51:O51"/>
    <mergeCell ref="P51:Q51"/>
    <mergeCell ref="R51:S51"/>
    <mergeCell ref="T51:U51"/>
    <mergeCell ref="V50:W50"/>
    <mergeCell ref="AH49:AI49"/>
    <mergeCell ref="J49:K49"/>
    <mergeCell ref="L49:M49"/>
    <mergeCell ref="N49:O49"/>
    <mergeCell ref="P49:Q49"/>
    <mergeCell ref="R49:S49"/>
    <mergeCell ref="T49:U49"/>
    <mergeCell ref="AH51:AI51"/>
    <mergeCell ref="AJ49:AK49"/>
    <mergeCell ref="F50:G50"/>
    <mergeCell ref="H50:I50"/>
    <mergeCell ref="J50:K50"/>
    <mergeCell ref="L50:M50"/>
    <mergeCell ref="N50:O50"/>
    <mergeCell ref="P50:Q50"/>
    <mergeCell ref="R50:S50"/>
    <mergeCell ref="T50:U50"/>
    <mergeCell ref="V49:W49"/>
    <mergeCell ref="X49:Y49"/>
    <mergeCell ref="Z49:AA49"/>
    <mergeCell ref="AB49:AC49"/>
    <mergeCell ref="AD49:AE49"/>
    <mergeCell ref="AF49:AG49"/>
    <mergeCell ref="AH50:AI50"/>
    <mergeCell ref="AJ50:AK50"/>
    <mergeCell ref="X50:Y50"/>
    <mergeCell ref="Z50:AA50"/>
    <mergeCell ref="AB50:AC50"/>
    <mergeCell ref="AD50:AE50"/>
    <mergeCell ref="AF50:AG50"/>
    <mergeCell ref="F49:G49"/>
    <mergeCell ref="H49:I49"/>
    <mergeCell ref="V48:W48"/>
    <mergeCell ref="AH47:AI47"/>
    <mergeCell ref="AJ47:AK47"/>
    <mergeCell ref="F48:G48"/>
    <mergeCell ref="H48:I48"/>
    <mergeCell ref="J48:K48"/>
    <mergeCell ref="L48:M48"/>
    <mergeCell ref="N48:O48"/>
    <mergeCell ref="P48:Q48"/>
    <mergeCell ref="R48:S48"/>
    <mergeCell ref="T48:U48"/>
    <mergeCell ref="V47:W47"/>
    <mergeCell ref="X47:Y47"/>
    <mergeCell ref="Z47:AA47"/>
    <mergeCell ref="AB47:AC47"/>
    <mergeCell ref="AD47:AE47"/>
    <mergeCell ref="AF47:AG47"/>
    <mergeCell ref="AH48:AI48"/>
    <mergeCell ref="AJ48:AK48"/>
    <mergeCell ref="X48:Y48"/>
    <mergeCell ref="Z48:AA48"/>
    <mergeCell ref="AB48:AC48"/>
    <mergeCell ref="AD48:AE48"/>
    <mergeCell ref="AF48:AG48"/>
    <mergeCell ref="F47:G47"/>
    <mergeCell ref="H47:I47"/>
    <mergeCell ref="J47:K47"/>
    <mergeCell ref="L47:M47"/>
    <mergeCell ref="N47:O47"/>
    <mergeCell ref="P47:Q47"/>
    <mergeCell ref="R47:S47"/>
    <mergeCell ref="T47:U47"/>
    <mergeCell ref="V46:W46"/>
    <mergeCell ref="AJ45:AK45"/>
    <mergeCell ref="F46:G46"/>
    <mergeCell ref="H46:I46"/>
    <mergeCell ref="J46:K46"/>
    <mergeCell ref="L46:M46"/>
    <mergeCell ref="N46:O46"/>
    <mergeCell ref="P46:Q46"/>
    <mergeCell ref="R46:S46"/>
    <mergeCell ref="T46:U46"/>
    <mergeCell ref="V45:W45"/>
    <mergeCell ref="X45:Y45"/>
    <mergeCell ref="Z45:AA45"/>
    <mergeCell ref="AB45:AC45"/>
    <mergeCell ref="AD45:AE45"/>
    <mergeCell ref="AF45:AG45"/>
    <mergeCell ref="AH46:AI46"/>
    <mergeCell ref="AJ46:AK46"/>
    <mergeCell ref="X46:Y46"/>
    <mergeCell ref="Z46:AA46"/>
    <mergeCell ref="AB46:AC46"/>
    <mergeCell ref="AD46:AE46"/>
    <mergeCell ref="AF46:AG46"/>
    <mergeCell ref="F45:G45"/>
    <mergeCell ref="H45:I45"/>
    <mergeCell ref="J45:K45"/>
    <mergeCell ref="L45:M45"/>
    <mergeCell ref="N45:O45"/>
    <mergeCell ref="P45:Q45"/>
    <mergeCell ref="R45:S45"/>
    <mergeCell ref="T45:U45"/>
    <mergeCell ref="V44:W44"/>
    <mergeCell ref="AH43:AI43"/>
    <mergeCell ref="AH45:AI45"/>
    <mergeCell ref="AJ43:AK43"/>
    <mergeCell ref="F44:G44"/>
    <mergeCell ref="H44:I44"/>
    <mergeCell ref="J44:K44"/>
    <mergeCell ref="L44:M44"/>
    <mergeCell ref="N44:O44"/>
    <mergeCell ref="P44:Q44"/>
    <mergeCell ref="R44:S44"/>
    <mergeCell ref="T44:U44"/>
    <mergeCell ref="V43:W43"/>
    <mergeCell ref="X43:Y43"/>
    <mergeCell ref="Z43:AA43"/>
    <mergeCell ref="AB43:AC43"/>
    <mergeCell ref="AD43:AE43"/>
    <mergeCell ref="AF43:AG43"/>
    <mergeCell ref="AH44:AI44"/>
    <mergeCell ref="AJ44:AK44"/>
    <mergeCell ref="X44:Y44"/>
    <mergeCell ref="Z44:AA44"/>
    <mergeCell ref="AB44:AC44"/>
    <mergeCell ref="AD44:AE44"/>
    <mergeCell ref="AF44:AG44"/>
    <mergeCell ref="R42:S42"/>
    <mergeCell ref="T42:U42"/>
    <mergeCell ref="F43:G43"/>
    <mergeCell ref="H43:I43"/>
    <mergeCell ref="J43:K43"/>
    <mergeCell ref="L43:M43"/>
    <mergeCell ref="N43:O43"/>
    <mergeCell ref="P43:Q43"/>
    <mergeCell ref="R43:S43"/>
    <mergeCell ref="T43:U43"/>
    <mergeCell ref="F42:G42"/>
    <mergeCell ref="H42:I42"/>
    <mergeCell ref="J42:K42"/>
    <mergeCell ref="L42:M42"/>
    <mergeCell ref="N42:O42"/>
    <mergeCell ref="P42:Q42"/>
    <mergeCell ref="R40:S40"/>
    <mergeCell ref="T40:U40"/>
    <mergeCell ref="F41:G41"/>
    <mergeCell ref="H41:I41"/>
    <mergeCell ref="J41:K41"/>
    <mergeCell ref="L41:M41"/>
    <mergeCell ref="N41:O41"/>
    <mergeCell ref="P41:Q41"/>
    <mergeCell ref="R41:S41"/>
    <mergeCell ref="T41:U41"/>
    <mergeCell ref="F40:G40"/>
    <mergeCell ref="H40:I40"/>
    <mergeCell ref="J40:K40"/>
    <mergeCell ref="L40:M40"/>
    <mergeCell ref="N40:O40"/>
    <mergeCell ref="P40:Q40"/>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R34:S34"/>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Y32:AI37"/>
    <mergeCell ref="F33:G33"/>
    <mergeCell ref="H33:I33"/>
    <mergeCell ref="J33:K33"/>
    <mergeCell ref="L33:M33"/>
    <mergeCell ref="N33:O33"/>
    <mergeCell ref="P33:Q33"/>
    <mergeCell ref="R33:S33"/>
    <mergeCell ref="T33:U33"/>
    <mergeCell ref="F34:G34"/>
    <mergeCell ref="T34:U34"/>
    <mergeCell ref="F35:G35"/>
    <mergeCell ref="H35:I35"/>
    <mergeCell ref="J35:K35"/>
    <mergeCell ref="L35:M35"/>
    <mergeCell ref="N35:O35"/>
    <mergeCell ref="P35:Q35"/>
    <mergeCell ref="R35:S35"/>
    <mergeCell ref="T35:U35"/>
    <mergeCell ref="H34:I34"/>
    <mergeCell ref="J34:K34"/>
    <mergeCell ref="L34:M34"/>
    <mergeCell ref="N34:O34"/>
    <mergeCell ref="P34:Q34"/>
    <mergeCell ref="F31:G31"/>
    <mergeCell ref="H31:I31"/>
    <mergeCell ref="J31:K31"/>
    <mergeCell ref="L31:M31"/>
    <mergeCell ref="N31:O31"/>
    <mergeCell ref="P31:Q31"/>
    <mergeCell ref="R31:S31"/>
    <mergeCell ref="T31:U31"/>
    <mergeCell ref="F32:G32"/>
    <mergeCell ref="H32:I32"/>
    <mergeCell ref="J32:K32"/>
    <mergeCell ref="L32:M32"/>
    <mergeCell ref="N32:O32"/>
    <mergeCell ref="P32:Q32"/>
    <mergeCell ref="R32:S32"/>
    <mergeCell ref="T32:U32"/>
    <mergeCell ref="A30:E30"/>
    <mergeCell ref="F30:G30"/>
    <mergeCell ref="H30:I30"/>
    <mergeCell ref="J30:K30"/>
    <mergeCell ref="L30:M30"/>
    <mergeCell ref="N30:O30"/>
    <mergeCell ref="A27:E27"/>
    <mergeCell ref="F27:U27"/>
    <mergeCell ref="F28:I29"/>
    <mergeCell ref="J28:M28"/>
    <mergeCell ref="N28:O29"/>
    <mergeCell ref="P28:U29"/>
    <mergeCell ref="J29:K29"/>
    <mergeCell ref="L29:M29"/>
    <mergeCell ref="P30:Q30"/>
    <mergeCell ref="R30:S30"/>
    <mergeCell ref="T30:U30"/>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H31:U52">
    <cfRule type="expression" dxfId="64" priority="1">
      <formula>H31=0</formula>
    </cfRule>
  </conditionalFormatting>
  <conditionalFormatting sqref="V31:AK31 V32:Y32 AJ32:AK37 V33:X37 V38:AK52">
    <cfRule type="expression" dxfId="63" priority="2">
      <formula>V31=0</formula>
    </cfRule>
  </conditionalFormatting>
  <conditionalFormatting sqref="V53:AK53">
    <cfRule type="expression" dxfId="62" priority="3" stopIfTrue="1">
      <formula>V53=0</formula>
    </cfRule>
  </conditionalFormatting>
  <conditionalFormatting sqref="Y56:Y62 AC56:AD62 N57 N59">
    <cfRule type="expression" dxfId="61" priority="4" stopIfTrue="1">
      <formula>N56=0</formula>
    </cfRule>
  </conditionalFormatting>
  <pageMargins left="0.74803149606299213" right="0.19685039370078741" top="0.39370078740157483" bottom="0.39370078740157483" header="0.19685039370078741" footer="0.19685039370078741"/>
  <pageSetup paperSize="9" scale="64"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669A7-89B0-4A39-9A14-09437C01D443}">
  <sheetPr>
    <tabColor rgb="FF00B0F0"/>
    <pageSetUpPr fitToPage="1"/>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11" width="3.7109375" style="404"/>
    <col min="12" max="12" width="5.5703125" style="404" bestFit="1" customWidth="1"/>
    <col min="13" max="14" width="3.7109375" style="404"/>
    <col min="15" max="15" width="6.7109375" style="404" customWidth="1"/>
    <col min="16" max="18" width="3.7109375" style="404"/>
    <col min="19" max="19" width="5.42578125" style="404" customWidth="1"/>
    <col min="20" max="23" width="3.7109375" style="404"/>
    <col min="24" max="24" width="6" style="404" bestFit="1"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'D TP'!AC5</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
        <v>191</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197</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5.737756714060031E-17</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727</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'Diesel F'!G20</f>
        <v>44.890193469756099</v>
      </c>
      <c r="R16" s="1144"/>
      <c r="S16" s="1145"/>
      <c r="T16" s="1073">
        <f>'Diesel F'!E5</f>
        <v>76019.579999999987</v>
      </c>
      <c r="U16" s="1109"/>
      <c r="V16" s="1074"/>
      <c r="W16" s="1076" t="s">
        <v>604</v>
      </c>
      <c r="X16" s="1075"/>
      <c r="Y16" s="1077"/>
      <c r="Z16" s="1073">
        <f>'Diesel F'!E6</f>
        <v>16376.099999999999</v>
      </c>
      <c r="AA16" s="1109"/>
      <c r="AB16" s="1074"/>
      <c r="AC16" s="1076" t="s">
        <v>604</v>
      </c>
      <c r="AD16" s="1075"/>
      <c r="AE16" s="1077"/>
      <c r="AF16" s="1146">
        <f>'Diesel F'!E8</f>
        <v>5343.78</v>
      </c>
      <c r="AG16" s="1147"/>
      <c r="AH16" s="1148"/>
      <c r="AI16" s="1076" t="s">
        <v>604</v>
      </c>
      <c r="AJ16" s="1075"/>
      <c r="AK16" s="1077"/>
      <c r="AL16" s="303"/>
      <c r="AM16" s="303" t="s">
        <v>605</v>
      </c>
      <c r="AN16" s="303"/>
      <c r="AO16" s="303"/>
      <c r="AP16" s="351">
        <v>1020</v>
      </c>
      <c r="AQ16" s="352">
        <f>AP16/$AR$9/$AR$7 * ((AN18+273.15)/(AN19+273.15))</f>
        <v>37.956295834166582</v>
      </c>
      <c r="AR16" s="353">
        <f>AX4</f>
        <v>0.13333333333333333</v>
      </c>
      <c r="AS16" s="354">
        <f>AR16*$AR$6/1055.06</f>
        <v>5.7374304146999541E-5</v>
      </c>
      <c r="AT16" s="355">
        <f>AS16*$Q$16*1000000</f>
        <v>2575.543613351439</v>
      </c>
      <c r="AU16" s="356">
        <f>AX5</f>
        <v>3.3333333333333333E-2</v>
      </c>
      <c r="AV16" s="354">
        <f>AU16*$AR$6/1055.06</f>
        <v>1.4343576036749885E-5</v>
      </c>
      <c r="AW16" s="355">
        <f>AV16*$Q$16*1000000</f>
        <v>643.88590333785976</v>
      </c>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1">
        <v>305.24099999999999</v>
      </c>
      <c r="I17" s="1132"/>
      <c r="J17" s="1133"/>
      <c r="K17" s="1134">
        <v>832.5</v>
      </c>
      <c r="L17" s="1135"/>
      <c r="M17" s="1136"/>
      <c r="N17" s="1137">
        <v>42.59</v>
      </c>
      <c r="O17" s="1138"/>
      <c r="P17" s="1139"/>
      <c r="Q17" s="1137">
        <v>45.61</v>
      </c>
      <c r="R17" s="1138"/>
      <c r="S17" s="1139"/>
      <c r="T17" s="1066">
        <f>$Q$17/$Q$16*T16</f>
        <v>77238.5408883567</v>
      </c>
      <c r="U17" s="1110"/>
      <c r="V17" s="1067"/>
      <c r="W17" s="1114">
        <f>T17/1000000/K17</f>
        <v>9.2779028094122163E-5</v>
      </c>
      <c r="X17" s="1115"/>
      <c r="Y17" s="1116"/>
      <c r="Z17" s="1066">
        <f>$Q$17/$Q$16*Z16</f>
        <v>16638.6879464714</v>
      </c>
      <c r="AA17" s="1110"/>
      <c r="AB17" s="1067"/>
      <c r="AC17" s="1114">
        <f>Z17/1000000/K17</f>
        <v>1.9986411947713393E-5</v>
      </c>
      <c r="AD17" s="1115"/>
      <c r="AE17" s="1116"/>
      <c r="AF17" s="1066">
        <f>$Q$17/$Q$16*AF16</f>
        <v>5429.4665930590891</v>
      </c>
      <c r="AG17" s="1110"/>
      <c r="AH17" s="1067"/>
      <c r="AI17" s="1060">
        <f>AF17/1000000/K17</f>
        <v>6.5218817934643711E-6</v>
      </c>
      <c r="AJ17" s="1059"/>
      <c r="AK17" s="1063"/>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123"/>
      <c r="O18" s="1069"/>
      <c r="P18" s="1124"/>
      <c r="Q18" s="1125"/>
      <c r="R18" s="1126"/>
      <c r="S18" s="112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125</v>
      </c>
      <c r="AA19" s="1118"/>
      <c r="AB19" s="1119"/>
      <c r="AC19" s="1117" t="s">
        <v>125</v>
      </c>
      <c r="AD19" s="1118"/>
      <c r="AE19" s="1119"/>
      <c r="AF19" s="358" t="s">
        <v>728</v>
      </c>
      <c r="AG19" s="31"/>
      <c r="AH19" s="31"/>
      <c r="AI19" s="31"/>
      <c r="AJ19" s="31"/>
      <c r="AK19" s="226"/>
      <c r="AL19" s="303"/>
      <c r="AM19" s="24" t="s">
        <v>611</v>
      </c>
      <c r="AN19" s="24">
        <v>15.6</v>
      </c>
      <c r="AO19" s="23" t="s">
        <v>609</v>
      </c>
      <c r="AP19" s="303"/>
      <c r="AQ19" s="303"/>
      <c r="AR19" s="356">
        <f>AX6</f>
        <v>4.6666666666666669E-2</v>
      </c>
      <c r="AS19" s="354">
        <f>AR19*$AR$6/1055.06</f>
        <v>2.0081006451449841E-5</v>
      </c>
      <c r="AT19" s="355">
        <f>AS19*$Q$16*1000000</f>
        <v>901.44026467300375</v>
      </c>
      <c r="AU19" s="351">
        <v>0.37446000000000002</v>
      </c>
      <c r="AV19" s="354">
        <f>AU19*$AR$6/1055.06</f>
        <v>1.6113286448164087E-4</v>
      </c>
      <c r="AW19" s="355">
        <f>AV19*$Q$16*1000000</f>
        <v>7233.2854609168498</v>
      </c>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c r="I21" s="1109"/>
      <c r="J21" s="1074"/>
      <c r="K21" s="1076" t="s">
        <v>604</v>
      </c>
      <c r="L21" s="1075"/>
      <c r="M21" s="1077"/>
      <c r="N21" s="1073">
        <f>'Diesel F'!E7</f>
        <v>4999.0199999999986</v>
      </c>
      <c r="O21" s="1109"/>
      <c r="P21" s="1074"/>
      <c r="Q21" s="1076" t="s">
        <v>604</v>
      </c>
      <c r="R21" s="1075"/>
      <c r="S21" s="1077"/>
      <c r="T21" s="1073"/>
      <c r="U21" s="1109"/>
      <c r="V21" s="1074"/>
      <c r="W21" s="1214" t="s">
        <v>604</v>
      </c>
      <c r="X21" s="1215"/>
      <c r="Y21" s="1216"/>
      <c r="Z21" s="1073"/>
      <c r="AA21" s="1109"/>
      <c r="AB21" s="1074"/>
      <c r="AC21" s="1076" t="s">
        <v>604</v>
      </c>
      <c r="AD21" s="1075"/>
      <c r="AE21" s="1077"/>
      <c r="AF21" s="300"/>
      <c r="AG21" s="31"/>
      <c r="AH21" s="302"/>
      <c r="AI21" s="31"/>
      <c r="AJ21" s="31"/>
      <c r="AK21" s="32"/>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6"/>
      <c r="I22" s="1110"/>
      <c r="J22" s="1067"/>
      <c r="K22" s="1114"/>
      <c r="L22" s="1115"/>
      <c r="M22" s="1116"/>
      <c r="N22" s="1066">
        <f>$Q$17/$Q$16*N21</f>
        <v>5079.1784257649533</v>
      </c>
      <c r="O22" s="1110"/>
      <c r="P22" s="1067"/>
      <c r="Q22" s="1114">
        <f>N22/1000000/K17</f>
        <v>6.1011152261440878E-6</v>
      </c>
      <c r="R22" s="1115"/>
      <c r="S22" s="1116"/>
      <c r="T22" s="1099"/>
      <c r="U22" s="1048"/>
      <c r="V22" s="1058"/>
      <c r="W22" s="1211"/>
      <c r="X22" s="1212"/>
      <c r="Y22" s="1213"/>
      <c r="Z22" s="1066"/>
      <c r="AA22" s="1110"/>
      <c r="AB22" s="1067"/>
      <c r="AC22" s="1114"/>
      <c r="AD22" s="1115"/>
      <c r="AE22" s="1116"/>
      <c r="AF22" s="31"/>
      <c r="AG22" s="31"/>
      <c r="AH22" s="31"/>
      <c r="AI22" s="31"/>
      <c r="AJ22" s="31"/>
      <c r="AK22" s="32"/>
      <c r="AL22" s="303"/>
      <c r="AM22" s="303"/>
      <c r="AN22" s="303"/>
      <c r="AO22" s="303"/>
      <c r="AP22" s="303"/>
      <c r="AQ22" s="303"/>
      <c r="AR22" s="356">
        <f>AX8</f>
        <v>6.9333333333333339E-3</v>
      </c>
      <c r="AS22" s="354">
        <f>AR22*$AR$6/1055.06</f>
        <v>2.9834638156439767E-6</v>
      </c>
      <c r="AT22" s="355">
        <f>AS22*$Q$16*1000000</f>
        <v>133.92826789427485</v>
      </c>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045"/>
      <c r="I23" s="1033"/>
      <c r="J23" s="1046"/>
      <c r="K23" s="1089"/>
      <c r="L23" s="1090"/>
      <c r="M23" s="1091"/>
      <c r="N23" s="1045"/>
      <c r="O23" s="1033"/>
      <c r="P23" s="1046"/>
      <c r="Q23" s="1096"/>
      <c r="R23" s="1097"/>
      <c r="S23" s="1098"/>
      <c r="T23" s="1099"/>
      <c r="U23" s="1048"/>
      <c r="V23" s="1058"/>
      <c r="W23" s="1096"/>
      <c r="X23" s="1097"/>
      <c r="Y23" s="1098"/>
      <c r="Z23" s="1086"/>
      <c r="AA23" s="1087"/>
      <c r="AB23" s="1088"/>
      <c r="AC23" s="1089"/>
      <c r="AD23" s="1090"/>
      <c r="AE23" s="1091"/>
      <c r="AF23" s="31"/>
      <c r="AG23" s="31"/>
      <c r="AH23" s="31"/>
      <c r="AI23" s="31"/>
      <c r="AJ23" s="31"/>
      <c r="AK23" s="32"/>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c r="I25" s="31" t="s">
        <v>590</v>
      </c>
      <c r="J25" s="31"/>
      <c r="K25" s="31"/>
      <c r="L25" s="31" t="s">
        <v>615</v>
      </c>
      <c r="M25" s="31"/>
      <c r="N25" s="31"/>
      <c r="O25" s="31"/>
      <c r="P25" s="31"/>
      <c r="Q25" s="31"/>
      <c r="R25" s="31"/>
      <c r="S25" s="32" t="s">
        <v>616</v>
      </c>
      <c r="T25" s="1092" t="str">
        <f>A17</f>
        <v>Diesel</v>
      </c>
      <c r="U25" s="1093"/>
      <c r="V25" s="1093"/>
      <c r="W25" s="1093"/>
      <c r="X25" s="1094">
        <v>2.0812499999999998</v>
      </c>
      <c r="Y25" s="1094"/>
      <c r="Z25" s="1094"/>
      <c r="AA25" s="1093" t="s">
        <v>617</v>
      </c>
      <c r="AB25" s="1093"/>
      <c r="AC25" s="1095">
        <f>X25/H17</f>
        <v>6.8183828515828472E-3</v>
      </c>
      <c r="AD25" s="1095"/>
      <c r="AE25" s="1093" t="s">
        <v>618</v>
      </c>
      <c r="AF25" s="1093"/>
      <c r="AG25" s="1093"/>
      <c r="AH25" s="1674">
        <f>X25*N17/3600</f>
        <v>2.4622343750000001E-2</v>
      </c>
      <c r="AI25" s="1674"/>
      <c r="AJ25" s="361" t="s">
        <v>590</v>
      </c>
      <c r="AK25" s="362"/>
      <c r="AL25" s="303"/>
      <c r="AM25" s="363">
        <f>X25*W22</f>
        <v>0</v>
      </c>
      <c r="AN25" s="303"/>
      <c r="AO25" s="303"/>
      <c r="AP25" s="303"/>
      <c r="AQ25" s="303"/>
      <c r="AR25" s="351">
        <f>AX7</f>
        <v>0.01</v>
      </c>
      <c r="AS25" s="354">
        <f>AR25*$AR$6/1055.06</f>
        <v>4.3030728110249664E-6</v>
      </c>
      <c r="AT25" s="355">
        <f>AS25*$Q$16*1000000</f>
        <v>193.16577100135797</v>
      </c>
      <c r="AU25" s="356">
        <f>AX9</f>
        <v>3.5333333333333336E-3</v>
      </c>
      <c r="AV25" s="354">
        <f>AU25*$AR$6/1055.06</f>
        <v>1.5204190598954882E-6</v>
      </c>
      <c r="AW25" s="355">
        <f>AV25*$Q$16*1000000</f>
        <v>68.251905753813148</v>
      </c>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0</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c r="B27" s="1081"/>
      <c r="C27" s="1081"/>
      <c r="D27" s="1081"/>
      <c r="E27" s="1081"/>
      <c r="F27" s="1042" t="str">
        <f>A17</f>
        <v>Diesel</v>
      </c>
      <c r="G27" s="1043"/>
      <c r="H27" s="1043"/>
      <c r="I27" s="1043"/>
      <c r="J27" s="1043"/>
      <c r="K27" s="1043"/>
      <c r="L27" s="1043"/>
      <c r="M27" s="1043"/>
      <c r="N27" s="1043"/>
      <c r="O27" s="1043"/>
      <c r="P27" s="1043"/>
      <c r="Q27" s="1043"/>
      <c r="R27" s="1043"/>
      <c r="S27" s="1043"/>
      <c r="T27" s="1043"/>
      <c r="U27" s="1080"/>
      <c r="V27" s="31"/>
      <c r="W27" s="31"/>
      <c r="X27" s="271">
        <f>AH25</f>
        <v>2.4622343750000001E-2</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1">
        <v>9600</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1">
        <f>X27*X28</f>
        <v>236.37450000000001</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1">
        <f>X29*3600/1000</f>
        <v>850.94820000000004</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049">
        <v>0</v>
      </c>
      <c r="G31" s="1050"/>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BF33</f>
        <v>3.7672634101823899E-6</v>
      </c>
      <c r="G32" s="1050"/>
      <c r="H32" s="1051">
        <f>F32*$AC$25</f>
        <v>2.5686644233383126E-8</v>
      </c>
      <c r="I32" s="1052"/>
      <c r="J32" s="1059"/>
      <c r="K32" s="1059"/>
      <c r="L32" s="1060"/>
      <c r="M32" s="1059"/>
      <c r="N32" s="1054">
        <f t="shared" si="2"/>
        <v>4.1206514679193216E-7</v>
      </c>
      <c r="O32" s="1055"/>
      <c r="P32" s="1061">
        <f>R32/$R$53</f>
        <v>0</v>
      </c>
      <c r="Q32" s="1062"/>
      <c r="R32" s="1060">
        <f>T32/$AR32</f>
        <v>0</v>
      </c>
      <c r="S32" s="1059"/>
      <c r="T32" s="1064">
        <f>$K$22*$X$25</f>
        <v>0</v>
      </c>
      <c r="U32" s="1065"/>
      <c r="V32" s="31"/>
      <c r="W32" s="31"/>
      <c r="X32" s="272"/>
      <c r="Y32" s="1183" t="s">
        <v>872</v>
      </c>
      <c r="Z32" s="1184"/>
      <c r="AA32" s="1184"/>
      <c r="AB32" s="1184"/>
      <c r="AC32" s="1184"/>
      <c r="AD32" s="1184"/>
      <c r="AE32" s="1184"/>
      <c r="AF32" s="1184"/>
      <c r="AG32" s="1184"/>
      <c r="AH32" s="1184"/>
      <c r="AI32" s="1184"/>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31"/>
      <c r="W33" s="31"/>
      <c r="X33" s="272"/>
      <c r="Y33" s="1184"/>
      <c r="Z33" s="1184"/>
      <c r="AA33" s="1184"/>
      <c r="AB33" s="1184"/>
      <c r="AC33" s="1184"/>
      <c r="AD33" s="1184"/>
      <c r="AE33" s="1184"/>
      <c r="AF33" s="1184"/>
      <c r="AG33" s="1184"/>
      <c r="AH33" s="1184"/>
      <c r="AI33" s="1184"/>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BF34</f>
        <v>2.32021919756754E-4</v>
      </c>
      <c r="G34" s="1050"/>
      <c r="H34" s="1051">
        <f t="shared" si="1"/>
        <v>1.5820142788607828E-6</v>
      </c>
      <c r="I34" s="1052"/>
      <c r="J34" s="1059"/>
      <c r="K34" s="1059"/>
      <c r="L34" s="1060"/>
      <c r="M34" s="1059"/>
      <c r="N34" s="1054">
        <f t="shared" si="2"/>
        <v>4.7568005336786015E-5</v>
      </c>
      <c r="O34" s="1055"/>
      <c r="P34" s="1061">
        <f t="shared" si="10"/>
        <v>0</v>
      </c>
      <c r="Q34" s="1062"/>
      <c r="R34" s="1059">
        <f>T34/$AR34</f>
        <v>0</v>
      </c>
      <c r="S34" s="1059"/>
      <c r="T34" s="1061">
        <f t="shared" si="11"/>
        <v>0</v>
      </c>
      <c r="U34" s="1062"/>
      <c r="V34" s="31"/>
      <c r="W34" s="31"/>
      <c r="X34" s="272"/>
      <c r="Y34" s="1184"/>
      <c r="Z34" s="1184"/>
      <c r="AA34" s="1184"/>
      <c r="AB34" s="1184"/>
      <c r="AC34" s="1184"/>
      <c r="AD34" s="1184"/>
      <c r="AE34" s="1184"/>
      <c r="AF34" s="1184"/>
      <c r="AG34" s="1184"/>
      <c r="AH34" s="1184"/>
      <c r="AI34" s="1184"/>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31"/>
      <c r="W35" s="31"/>
      <c r="X35" s="272"/>
      <c r="Y35" s="1184"/>
      <c r="Z35" s="1184"/>
      <c r="AA35" s="1184"/>
      <c r="AB35" s="1184"/>
      <c r="AC35" s="1184"/>
      <c r="AD35" s="1184"/>
      <c r="AE35" s="1184"/>
      <c r="AF35" s="1184"/>
      <c r="AG35" s="1184"/>
      <c r="AH35" s="1184"/>
      <c r="AI35" s="1184"/>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BF35</f>
        <v>4.1140406723645098E-3</v>
      </c>
      <c r="G36" s="1050"/>
      <c r="H36" s="1051">
        <f t="shared" si="1"/>
        <v>2.8051104371164539E-5</v>
      </c>
      <c r="I36" s="1052"/>
      <c r="J36" s="1059"/>
      <c r="K36" s="1059"/>
      <c r="L36" s="1060"/>
      <c r="M36" s="1059"/>
      <c r="N36" s="1054">
        <f t="shared" si="2"/>
        <v>1.2368853961421292E-3</v>
      </c>
      <c r="O36" s="1055"/>
      <c r="P36" s="1061">
        <f t="shared" si="10"/>
        <v>0</v>
      </c>
      <c r="Q36" s="1062"/>
      <c r="R36" s="1059">
        <f t="shared" si="12"/>
        <v>0</v>
      </c>
      <c r="S36" s="1059"/>
      <c r="T36" s="1061">
        <f t="shared" si="11"/>
        <v>0</v>
      </c>
      <c r="U36" s="1062"/>
      <c r="V36" s="31"/>
      <c r="W36" s="31"/>
      <c r="X36" s="272"/>
      <c r="Y36" s="1184"/>
      <c r="Z36" s="1184"/>
      <c r="AA36" s="1184"/>
      <c r="AB36" s="1184"/>
      <c r="AC36" s="1184"/>
      <c r="AD36" s="1184"/>
      <c r="AE36" s="1184"/>
      <c r="AF36" s="1184"/>
      <c r="AG36" s="1184"/>
      <c r="AH36" s="1184"/>
      <c r="AI36" s="1184"/>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31"/>
      <c r="W37" s="31"/>
      <c r="X37" s="272"/>
      <c r="Y37" s="1184"/>
      <c r="Z37" s="1184"/>
      <c r="AA37" s="1184"/>
      <c r="AB37" s="1184"/>
      <c r="AC37" s="1184"/>
      <c r="AD37" s="1184"/>
      <c r="AE37" s="1184"/>
      <c r="AF37" s="1184"/>
      <c r="AG37" s="1184"/>
      <c r="AH37" s="1184"/>
      <c r="AI37" s="1184"/>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BF36</f>
        <v>4.2987554978870402E-3</v>
      </c>
      <c r="G38" s="1050"/>
      <c r="H38" s="1051">
        <f t="shared" si="1"/>
        <v>2.9310560769940478E-5</v>
      </c>
      <c r="I38" s="1052"/>
      <c r="J38" s="1059"/>
      <c r="K38" s="1059"/>
      <c r="L38" s="1060"/>
      <c r="M38" s="1059"/>
      <c r="N38" s="1054">
        <f t="shared" si="2"/>
        <v>1.7035297919489405E-3</v>
      </c>
      <c r="O38" s="1055"/>
      <c r="P38" s="1061">
        <f t="shared" si="10"/>
        <v>0</v>
      </c>
      <c r="Q38" s="1062"/>
      <c r="R38" s="1059">
        <f t="shared" si="12"/>
        <v>0</v>
      </c>
      <c r="S38" s="1059"/>
      <c r="T38" s="1061">
        <f t="shared" si="11"/>
        <v>0</v>
      </c>
      <c r="U38" s="1062"/>
      <c r="V38" s="31"/>
      <c r="W38" s="31"/>
      <c r="X38" s="272"/>
      <c r="Y38" s="272"/>
      <c r="Z38" s="31"/>
      <c r="AA38" s="31"/>
      <c r="AB38" s="31"/>
      <c r="AC38" s="31"/>
      <c r="AD38" s="272"/>
      <c r="AE38" s="272"/>
      <c r="AF38" s="382"/>
      <c r="AG38" s="382"/>
      <c r="AH38" s="31"/>
      <c r="AI38" s="31"/>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f>BF37</f>
        <v>1.33109664079022E-2</v>
      </c>
      <c r="G39" s="1050"/>
      <c r="H39" s="1051">
        <f t="shared" si="1"/>
        <v>9.0759265093635699E-5</v>
      </c>
      <c r="I39" s="1052"/>
      <c r="J39" s="1059"/>
      <c r="K39" s="1059"/>
      <c r="L39" s="1060"/>
      <c r="M39" s="1059"/>
      <c r="N39" s="1054">
        <f t="shared" si="2"/>
        <v>5.2749284872421068E-3</v>
      </c>
      <c r="O39" s="1055"/>
      <c r="P39" s="1061">
        <f t="shared" si="10"/>
        <v>0</v>
      </c>
      <c r="Q39" s="1062"/>
      <c r="R39" s="1059">
        <f t="shared" si="12"/>
        <v>0</v>
      </c>
      <c r="S39" s="1059"/>
      <c r="T39" s="1061">
        <f t="shared" si="11"/>
        <v>0</v>
      </c>
      <c r="U39" s="1062"/>
      <c r="V39" s="31"/>
      <c r="W39" s="31"/>
      <c r="X39" s="272"/>
      <c r="Y39" s="272"/>
      <c r="Z39" s="31"/>
      <c r="AA39" s="31"/>
      <c r="AB39" s="31"/>
      <c r="AC39" s="31"/>
      <c r="AD39" s="272"/>
      <c r="AE39" s="272"/>
      <c r="AF39" s="382"/>
      <c r="AG39" s="382"/>
      <c r="AH39" s="31"/>
      <c r="AI39" s="31"/>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BF38</f>
        <v>1.4450640107125301E-2</v>
      </c>
      <c r="G40" s="1050"/>
      <c r="H40" s="1051">
        <f t="shared" si="1"/>
        <v>9.8529996700818468E-5</v>
      </c>
      <c r="I40" s="1052"/>
      <c r="J40" s="1059"/>
      <c r="K40" s="1059"/>
      <c r="L40" s="1060"/>
      <c r="M40" s="1059"/>
      <c r="N40" s="1054">
        <f t="shared" si="2"/>
        <v>7.1085451419772494E-3</v>
      </c>
      <c r="O40" s="1055"/>
      <c r="P40" s="1061">
        <f t="shared" si="10"/>
        <v>0</v>
      </c>
      <c r="Q40" s="1062"/>
      <c r="R40" s="1059">
        <f t="shared" si="12"/>
        <v>0</v>
      </c>
      <c r="S40" s="1059"/>
      <c r="T40" s="1061">
        <f t="shared" si="11"/>
        <v>0</v>
      </c>
      <c r="U40" s="1062"/>
      <c r="V40" s="31"/>
      <c r="W40" s="31"/>
      <c r="X40" s="272"/>
      <c r="Y40" s="272"/>
      <c r="Z40" s="31"/>
      <c r="AA40" s="31"/>
      <c r="AB40" s="31"/>
      <c r="AC40" s="31"/>
      <c r="AD40" s="272"/>
      <c r="AE40" s="272"/>
      <c r="AF40" s="382"/>
      <c r="AG40" s="382"/>
      <c r="AH40" s="31"/>
      <c r="AI40" s="31"/>
      <c r="AJ40" s="380"/>
      <c r="AK40" s="381"/>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BF40</f>
        <v>1.8657920075756399E-2</v>
      </c>
      <c r="G41" s="1050"/>
      <c r="H41" s="1051">
        <f t="shared" si="1"/>
        <v>1.2721684229074077E-4</v>
      </c>
      <c r="I41" s="1052"/>
      <c r="J41" s="1059"/>
      <c r="K41" s="1059"/>
      <c r="L41" s="1060"/>
      <c r="M41" s="1059"/>
      <c r="N41" s="1054">
        <f t="shared" si="2"/>
        <v>9.178186303907784E-3</v>
      </c>
      <c r="O41" s="1055"/>
      <c r="P41" s="1061">
        <f t="shared" si="10"/>
        <v>0</v>
      </c>
      <c r="Q41" s="1062"/>
      <c r="R41" s="1059">
        <f t="shared" si="12"/>
        <v>0</v>
      </c>
      <c r="S41" s="1059"/>
      <c r="T41" s="1061">
        <f t="shared" si="11"/>
        <v>0</v>
      </c>
      <c r="U41" s="1062"/>
      <c r="V41" s="31"/>
      <c r="W41" s="31"/>
      <c r="X41" s="272"/>
      <c r="Y41" s="272"/>
      <c r="Z41" s="31"/>
      <c r="AA41" s="31"/>
      <c r="AB41" s="31"/>
      <c r="AC41" s="31"/>
      <c r="AD41" s="272"/>
      <c r="AE41" s="272"/>
      <c r="AF41" s="382"/>
      <c r="AG41" s="382"/>
      <c r="AH41" s="31"/>
      <c r="AI41" s="31"/>
      <c r="AJ41" s="380"/>
      <c r="AK41" s="381"/>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425</v>
      </c>
      <c r="B42" s="376"/>
      <c r="C42" s="376"/>
      <c r="D42" s="376"/>
      <c r="E42" s="377"/>
      <c r="F42" s="1049">
        <f>SUM(BF41:BF75)</f>
        <v>0.94337200608568694</v>
      </c>
      <c r="G42" s="1050"/>
      <c r="H42" s="1064">
        <f t="shared" si="1"/>
        <v>6.4322715089579572E-3</v>
      </c>
      <c r="I42" s="1065"/>
      <c r="J42" s="1059"/>
      <c r="K42" s="1059"/>
      <c r="L42" s="1060"/>
      <c r="M42" s="1059"/>
      <c r="N42" s="1054">
        <f t="shared" si="2"/>
        <v>2.056428719544253</v>
      </c>
      <c r="O42" s="1055"/>
      <c r="P42" s="1061">
        <f t="shared" si="10"/>
        <v>0</v>
      </c>
      <c r="Q42" s="1062"/>
      <c r="R42" s="1059">
        <f t="shared" si="12"/>
        <v>0</v>
      </c>
      <c r="S42" s="1059"/>
      <c r="T42" s="1061">
        <f t="shared" si="11"/>
        <v>0</v>
      </c>
      <c r="U42" s="1062"/>
      <c r="V42" s="31"/>
      <c r="W42" s="31"/>
      <c r="X42" s="272"/>
      <c r="Y42" s="272"/>
      <c r="Z42" s="31"/>
      <c r="AA42" s="31"/>
      <c r="AB42" s="31"/>
      <c r="AC42" s="31"/>
      <c r="AD42" s="272"/>
      <c r="AE42" s="272"/>
      <c r="AF42" s="382"/>
      <c r="AG42" s="382"/>
      <c r="AH42" s="31"/>
      <c r="AI42" s="31"/>
      <c r="AJ42" s="270"/>
      <c r="AK42" s="37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0.22448483279649156</v>
      </c>
      <c r="K45" s="1070"/>
      <c r="L45" s="1060">
        <f>0.15*J45</f>
        <v>3.3672724919473734E-2</v>
      </c>
      <c r="M45" s="1059"/>
      <c r="N45" s="1066">
        <f t="shared" si="2"/>
        <v>8.2610418469108886</v>
      </c>
      <c r="O45" s="1067"/>
      <c r="P45" s="1061">
        <f t="shared" si="10"/>
        <v>2.6677885602713638E-2</v>
      </c>
      <c r="Q45" s="1062"/>
      <c r="R45" s="1059">
        <f>L45+SUMPRODUCT(R32:R44,$AS32:$AS44)</f>
        <v>3.3672724919473734E-2</v>
      </c>
      <c r="S45" s="1059"/>
      <c r="T45" s="1071">
        <f>R45*$AR45</f>
        <v>1.0775271974231595</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BF31</f>
        <v>1.4415226502516399E-10</v>
      </c>
      <c r="G46" s="1050"/>
      <c r="H46" s="1061">
        <f t="shared" si="1"/>
        <v>9.8288533186440395E-13</v>
      </c>
      <c r="I46" s="1062"/>
      <c r="J46" s="1059">
        <f>0.79/0.21*J45</f>
        <v>0.844490561472516</v>
      </c>
      <c r="K46" s="1063"/>
      <c r="L46" s="1060">
        <f>0.71/0.29*L45</f>
        <v>8.2440119630435696E-2</v>
      </c>
      <c r="M46" s="1059"/>
      <c r="N46" s="1066">
        <f>SUM(H46,J46,L46)*AR46</f>
        <v>25.954059070910169</v>
      </c>
      <c r="O46" s="1067"/>
      <c r="P46" s="1064">
        <f t="shared" si="10"/>
        <v>0.7343759302006051</v>
      </c>
      <c r="Q46" s="1065"/>
      <c r="R46" s="1064">
        <f>$H46+J46+L46-R49</f>
        <v>0.92692648335714722</v>
      </c>
      <c r="S46" s="1065"/>
      <c r="T46" s="1066">
        <f>R46*$AR46</f>
        <v>25.953941534000123</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1.1765736557664534E-6</v>
      </c>
      <c r="Q47" s="1062"/>
      <c r="R47" s="1059">
        <f>T47/$AR$47</f>
        <v>1.4850667570931272E-6</v>
      </c>
      <c r="S47" s="1059"/>
      <c r="T47" s="1064">
        <f>$AC17*$X25</f>
        <v>4.1596719866178494E-5</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BF32</f>
        <v>1.04835044112351E-6</v>
      </c>
      <c r="G48" s="1050"/>
      <c r="H48" s="1061">
        <f t="shared" si="1"/>
        <v>7.1480546702058541E-9</v>
      </c>
      <c r="I48" s="1062"/>
      <c r="J48" s="1059"/>
      <c r="K48" s="1059"/>
      <c r="L48" s="1060"/>
      <c r="M48" s="1059"/>
      <c r="N48" s="1061">
        <f t="shared" si="2"/>
        <v>3.1458588603575963E-7</v>
      </c>
      <c r="O48" s="1062"/>
      <c r="P48" s="1064">
        <f t="shared" si="10"/>
        <v>0.11676935192729564</v>
      </c>
      <c r="Q48" s="1065"/>
      <c r="R48" s="1068">
        <f>SUMPRODUCT($H31:$H52,$AU31:$AU52)+$H48-R47-SUMPRODUCT(R32:R42,$AU32:$AU42)</f>
        <v>0.14738582828592287</v>
      </c>
      <c r="S48" s="1059"/>
      <c r="T48" s="1066">
        <f>R48*$AR48</f>
        <v>6.4864503028634646</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3.3257483275116924E-6</v>
      </c>
      <c r="Q49" s="1062"/>
      <c r="R49" s="1060">
        <f>T49/$AR49</f>
        <v>4.1977467874106899E-6</v>
      </c>
      <c r="S49" s="1063"/>
      <c r="T49" s="1064">
        <f>$W17*$X25</f>
        <v>1.9309635222089174E-4</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1.5719062744120598E-7</v>
      </c>
      <c r="Q51" s="1062"/>
      <c r="R51" s="1066">
        <f>T51/$AR51</f>
        <v>1.9840540725644346E-7</v>
      </c>
      <c r="S51" s="1067"/>
      <c r="T51" s="1060">
        <f>Q22*X25</f>
        <v>1.2697946064412382E-5</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049">
        <f>BF76</f>
        <v>1.4951987737782399E-3</v>
      </c>
      <c r="G52" s="1050"/>
      <c r="H52" s="1051">
        <f t="shared" si="1"/>
        <v>1.0194837678837251E-5</v>
      </c>
      <c r="I52" s="1052"/>
      <c r="J52" s="1032"/>
      <c r="K52" s="1032"/>
      <c r="L52" s="1053"/>
      <c r="M52" s="1032"/>
      <c r="N52" s="1054">
        <f t="shared" si="2"/>
        <v>1.8367019562193191E-4</v>
      </c>
      <c r="O52" s="1055"/>
      <c r="P52" s="1056">
        <f t="shared" si="10"/>
        <v>0.12217217275677471</v>
      </c>
      <c r="Q52" s="1057"/>
      <c r="R52" s="1044">
        <f>SUMPRODUCT(H31:H52,$AV31:$AV52)+H52-SUMPRODUCT(R32:R42,$AV32:$AV42)</f>
        <v>0.15420524802141145</v>
      </c>
      <c r="S52" s="1044"/>
      <c r="T52" s="1045">
        <f>R52*$AR52</f>
        <v>2.7781617483537482</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0.99993636529826091</v>
      </c>
      <c r="G53" s="1038"/>
      <c r="H53" s="1039">
        <f>SUM(H31:H52)</f>
        <v>6.8179489658237447E-3</v>
      </c>
      <c r="I53" s="1040"/>
      <c r="J53" s="1041">
        <f>SUM(J31:J52)</f>
        <v>1.0689753942690077</v>
      </c>
      <c r="K53" s="1041"/>
      <c r="L53" s="1042">
        <f>SUM(L31:L52)</f>
        <v>0.11611284454990943</v>
      </c>
      <c r="M53" s="1043"/>
      <c r="N53" s="1030">
        <f>SUM(N31:N52)</f>
        <v>36.296263677338523</v>
      </c>
      <c r="O53" s="1031"/>
      <c r="P53" s="1028">
        <f>SUM(P31:P52)</f>
        <v>0.99999999999999978</v>
      </c>
      <c r="Q53" s="1029"/>
      <c r="R53" s="1030">
        <f>SUM(R31:R52)</f>
        <v>1.2621961658029073</v>
      </c>
      <c r="S53" s="1031"/>
      <c r="T53" s="1030">
        <f>SUM(T31:T52)</f>
        <v>36.296328173658644</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5.3637875616914372E-5</v>
      </c>
      <c r="M55" s="1186"/>
      <c r="N55" s="1026">
        <f>W17*$X$25</f>
        <v>1.9309635222089174E-4</v>
      </c>
      <c r="O55" s="1026"/>
      <c r="P55" s="31" t="s">
        <v>617</v>
      </c>
      <c r="Q55" s="31"/>
      <c r="R55" s="1024">
        <f>N55*800*12/1000</f>
        <v>1.853724981320561E-3</v>
      </c>
      <c r="S55" s="1024"/>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185">
        <f t="shared" ref="L56:L61" si="13">N56*1000/3600</f>
        <v>1.1554644407271805E-5</v>
      </c>
      <c r="M56" s="1186"/>
      <c r="N56" s="1026">
        <f>AC17*$X$25</f>
        <v>4.1596719866178494E-5</v>
      </c>
      <c r="O56" s="1026"/>
      <c r="P56" s="31" t="s">
        <v>617</v>
      </c>
      <c r="Q56" s="31"/>
      <c r="R56" s="1024">
        <f t="shared" ref="R56:R61" si="14">N56*800*12/1000</f>
        <v>3.9932851071531347E-4</v>
      </c>
      <c r="S56" s="1024"/>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185">
        <f t="shared" si="13"/>
        <v>3.7704629118465891E-6</v>
      </c>
      <c r="M57" s="1186"/>
      <c r="N57" s="1026">
        <f>AI17*$X$25</f>
        <v>1.3573666482647721E-5</v>
      </c>
      <c r="O57" s="1026"/>
      <c r="P57" s="31" t="s">
        <v>617</v>
      </c>
      <c r="Q57" s="31"/>
      <c r="R57" s="1024">
        <f t="shared" si="14"/>
        <v>1.303071982334181E-4</v>
      </c>
      <c r="S57" s="1024"/>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185">
        <f t="shared" si="13"/>
        <v>0</v>
      </c>
      <c r="M58" s="1186"/>
      <c r="N58" s="1023">
        <f>K22*$X$25</f>
        <v>0</v>
      </c>
      <c r="O58" s="1023"/>
      <c r="P58" s="31" t="s">
        <v>617</v>
      </c>
      <c r="Q58" s="31"/>
      <c r="R58" s="1024">
        <f t="shared" si="14"/>
        <v>0</v>
      </c>
      <c r="S58" s="1024"/>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185">
        <f t="shared" si="13"/>
        <v>0</v>
      </c>
      <c r="M59" s="1186"/>
      <c r="N59" s="1026">
        <f>X25*W22</f>
        <v>0</v>
      </c>
      <c r="O59" s="1026"/>
      <c r="P59" s="31" t="s">
        <v>617</v>
      </c>
      <c r="Q59" s="31"/>
      <c r="R59" s="1024">
        <f t="shared" si="14"/>
        <v>0</v>
      </c>
      <c r="S59" s="1024"/>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3.5272072401145505E-6</v>
      </c>
      <c r="M60" s="1186"/>
      <c r="N60" s="1023">
        <f>Q22*$X$25</f>
        <v>1.2697946064412382E-5</v>
      </c>
      <c r="O60" s="1023"/>
      <c r="P60" s="31" t="s">
        <v>617</v>
      </c>
      <c r="Q60" s="31"/>
      <c r="R60" s="1024">
        <f t="shared" si="14"/>
        <v>1.2190028221835887E-4</v>
      </c>
      <c r="S60" s="1024"/>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0</v>
      </c>
      <c r="M61" s="1186"/>
      <c r="N61" s="1023">
        <f>AC22*$X$25</f>
        <v>0</v>
      </c>
      <c r="O61" s="1023"/>
      <c r="P61" s="31" t="s">
        <v>617</v>
      </c>
      <c r="Q61" s="31"/>
      <c r="R61" s="1024">
        <f t="shared" si="14"/>
        <v>0</v>
      </c>
      <c r="S61" s="1024"/>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187">
        <f>O62*1000/3600</f>
        <v>1.7501785370602403</v>
      </c>
      <c r="M62" s="1188"/>
      <c r="N62" s="31"/>
      <c r="O62" s="414">
        <f>'Diesel F'!I56*X25</f>
        <v>6.3006427334168649</v>
      </c>
      <c r="P62" s="395" t="s">
        <v>617</v>
      </c>
      <c r="Q62" s="395"/>
      <c r="R62" s="1024">
        <f>O62*800*12/1000</f>
        <v>60.486170240801897</v>
      </c>
      <c r="S62" s="1024"/>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680</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682</v>
      </c>
      <c r="B65" s="31" t="s">
        <v>683</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832</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415" t="s">
        <v>38</v>
      </c>
      <c r="B67" s="31" t="s">
        <v>689</v>
      </c>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32"/>
      <c r="B68" s="147"/>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eNQtEDggM+FqQyHry02Nf2y9TBblnU8yUlOnUvsZS/mL9Yboc6S/IsHAdDShf/xCaS237QL7EteZCfdgCTUzGg==" saltValue="135wVE4Sy2gp7VABTKpZgw==" spinCount="100000" sheet="1" objects="1" scenarios="1" selectLockedCells="1" selectUnlockedCells="1"/>
  <mergeCells count="449">
    <mergeCell ref="L62:M62"/>
    <mergeCell ref="R62:S62"/>
    <mergeCell ref="AE59:AF59"/>
    <mergeCell ref="L60:M60"/>
    <mergeCell ref="N60:O60"/>
    <mergeCell ref="R60:S60"/>
    <mergeCell ref="L61:M61"/>
    <mergeCell ref="N61:O61"/>
    <mergeCell ref="R61:S61"/>
    <mergeCell ref="AE57:AF57"/>
    <mergeCell ref="L58:M58"/>
    <mergeCell ref="N58:O58"/>
    <mergeCell ref="R58:S58"/>
    <mergeCell ref="L59:M59"/>
    <mergeCell ref="N59:O59"/>
    <mergeCell ref="R59:S59"/>
    <mergeCell ref="T59:U59"/>
    <mergeCell ref="Y59:Z59"/>
    <mergeCell ref="AC59:AD59"/>
    <mergeCell ref="L56:M56"/>
    <mergeCell ref="N56:O56"/>
    <mergeCell ref="R56:S56"/>
    <mergeCell ref="L57:M57"/>
    <mergeCell ref="N57:O57"/>
    <mergeCell ref="R57:S57"/>
    <mergeCell ref="T57:U57"/>
    <mergeCell ref="Y57:Z57"/>
    <mergeCell ref="AC57:AD57"/>
    <mergeCell ref="AF53:AG53"/>
    <mergeCell ref="AH53:AI53"/>
    <mergeCell ref="AJ53:AK53"/>
    <mergeCell ref="L54:M54"/>
    <mergeCell ref="L55:M55"/>
    <mergeCell ref="N55:O55"/>
    <mergeCell ref="R55:S55"/>
    <mergeCell ref="T55:U55"/>
    <mergeCell ref="Y55:Z55"/>
    <mergeCell ref="AC55:AD55"/>
    <mergeCell ref="T53:U53"/>
    <mergeCell ref="V53:W53"/>
    <mergeCell ref="X53:Y53"/>
    <mergeCell ref="Z53:AA53"/>
    <mergeCell ref="AB53:AC53"/>
    <mergeCell ref="AD53:AE53"/>
    <mergeCell ref="AE55:AF55"/>
    <mergeCell ref="A53:E53"/>
    <mergeCell ref="F53:G53"/>
    <mergeCell ref="H53:I53"/>
    <mergeCell ref="J53:K53"/>
    <mergeCell ref="L53:M53"/>
    <mergeCell ref="N53:O53"/>
    <mergeCell ref="P53:Q53"/>
    <mergeCell ref="R53:S53"/>
    <mergeCell ref="V52:W52"/>
    <mergeCell ref="AJ51:AK51"/>
    <mergeCell ref="F52:G52"/>
    <mergeCell ref="H52:I52"/>
    <mergeCell ref="J52:K52"/>
    <mergeCell ref="L52:M52"/>
    <mergeCell ref="N52:O52"/>
    <mergeCell ref="P52:Q52"/>
    <mergeCell ref="R52:S52"/>
    <mergeCell ref="T52:U52"/>
    <mergeCell ref="V51:W51"/>
    <mergeCell ref="X51:Y51"/>
    <mergeCell ref="Z51:AA51"/>
    <mergeCell ref="AB51:AC51"/>
    <mergeCell ref="AD51:AE51"/>
    <mergeCell ref="AF51:AG51"/>
    <mergeCell ref="AH52:AI52"/>
    <mergeCell ref="AJ52:AK52"/>
    <mergeCell ref="X52:Y52"/>
    <mergeCell ref="Z52:AA52"/>
    <mergeCell ref="AB52:AC52"/>
    <mergeCell ref="AD52:AE52"/>
    <mergeCell ref="AF52:AG52"/>
    <mergeCell ref="F51:G51"/>
    <mergeCell ref="H51:I51"/>
    <mergeCell ref="J51:K51"/>
    <mergeCell ref="L51:M51"/>
    <mergeCell ref="N51:O51"/>
    <mergeCell ref="P51:Q51"/>
    <mergeCell ref="R51:S51"/>
    <mergeCell ref="T51:U51"/>
    <mergeCell ref="V50:W50"/>
    <mergeCell ref="AH49:AI49"/>
    <mergeCell ref="J49:K49"/>
    <mergeCell ref="L49:M49"/>
    <mergeCell ref="N49:O49"/>
    <mergeCell ref="P49:Q49"/>
    <mergeCell ref="R49:S49"/>
    <mergeCell ref="T49:U49"/>
    <mergeCell ref="AH51:AI51"/>
    <mergeCell ref="AJ49:AK49"/>
    <mergeCell ref="F50:G50"/>
    <mergeCell ref="H50:I50"/>
    <mergeCell ref="J50:K50"/>
    <mergeCell ref="L50:M50"/>
    <mergeCell ref="N50:O50"/>
    <mergeCell ref="P50:Q50"/>
    <mergeCell ref="R50:S50"/>
    <mergeCell ref="T50:U50"/>
    <mergeCell ref="V49:W49"/>
    <mergeCell ref="X49:Y49"/>
    <mergeCell ref="Z49:AA49"/>
    <mergeCell ref="AB49:AC49"/>
    <mergeCell ref="AD49:AE49"/>
    <mergeCell ref="AF49:AG49"/>
    <mergeCell ref="AH50:AI50"/>
    <mergeCell ref="AJ50:AK50"/>
    <mergeCell ref="X50:Y50"/>
    <mergeCell ref="Z50:AA50"/>
    <mergeCell ref="AB50:AC50"/>
    <mergeCell ref="AD50:AE50"/>
    <mergeCell ref="AF50:AG50"/>
    <mergeCell ref="F49:G49"/>
    <mergeCell ref="H49:I49"/>
    <mergeCell ref="V48:W48"/>
    <mergeCell ref="AH47:AI47"/>
    <mergeCell ref="AJ47:AK47"/>
    <mergeCell ref="F48:G48"/>
    <mergeCell ref="H48:I48"/>
    <mergeCell ref="J48:K48"/>
    <mergeCell ref="L48:M48"/>
    <mergeCell ref="N48:O48"/>
    <mergeCell ref="P48:Q48"/>
    <mergeCell ref="R48:S48"/>
    <mergeCell ref="T48:U48"/>
    <mergeCell ref="V47:W47"/>
    <mergeCell ref="X47:Y47"/>
    <mergeCell ref="Z47:AA47"/>
    <mergeCell ref="AB47:AC47"/>
    <mergeCell ref="AD47:AE47"/>
    <mergeCell ref="AF47:AG47"/>
    <mergeCell ref="AH48:AI48"/>
    <mergeCell ref="AJ48:AK48"/>
    <mergeCell ref="X48:Y48"/>
    <mergeCell ref="Z48:AA48"/>
    <mergeCell ref="AB48:AC48"/>
    <mergeCell ref="AD48:AE48"/>
    <mergeCell ref="AF48:AG48"/>
    <mergeCell ref="F47:G47"/>
    <mergeCell ref="H47:I47"/>
    <mergeCell ref="J47:K47"/>
    <mergeCell ref="L47:M47"/>
    <mergeCell ref="N47:O47"/>
    <mergeCell ref="P47:Q47"/>
    <mergeCell ref="R47:S47"/>
    <mergeCell ref="T47:U47"/>
    <mergeCell ref="V46:W46"/>
    <mergeCell ref="AJ45:AK45"/>
    <mergeCell ref="F46:G46"/>
    <mergeCell ref="H46:I46"/>
    <mergeCell ref="J46:K46"/>
    <mergeCell ref="L46:M46"/>
    <mergeCell ref="N46:O46"/>
    <mergeCell ref="P46:Q46"/>
    <mergeCell ref="R46:S46"/>
    <mergeCell ref="T46:U46"/>
    <mergeCell ref="V45:W45"/>
    <mergeCell ref="X45:Y45"/>
    <mergeCell ref="Z45:AA45"/>
    <mergeCell ref="AB45:AC45"/>
    <mergeCell ref="AD45:AE45"/>
    <mergeCell ref="AF45:AG45"/>
    <mergeCell ref="AH46:AI46"/>
    <mergeCell ref="AJ46:AK46"/>
    <mergeCell ref="X46:Y46"/>
    <mergeCell ref="Z46:AA46"/>
    <mergeCell ref="AB46:AC46"/>
    <mergeCell ref="AD46:AE46"/>
    <mergeCell ref="AF46:AG46"/>
    <mergeCell ref="F45:G45"/>
    <mergeCell ref="H45:I45"/>
    <mergeCell ref="J45:K45"/>
    <mergeCell ref="L45:M45"/>
    <mergeCell ref="N45:O45"/>
    <mergeCell ref="P45:Q45"/>
    <mergeCell ref="R45:S45"/>
    <mergeCell ref="T45:U45"/>
    <mergeCell ref="V44:W44"/>
    <mergeCell ref="AH43:AI43"/>
    <mergeCell ref="AH45:AI45"/>
    <mergeCell ref="AJ43:AK43"/>
    <mergeCell ref="F44:G44"/>
    <mergeCell ref="H44:I44"/>
    <mergeCell ref="J44:K44"/>
    <mergeCell ref="L44:M44"/>
    <mergeCell ref="N44:O44"/>
    <mergeCell ref="P44:Q44"/>
    <mergeCell ref="R44:S44"/>
    <mergeCell ref="T44:U44"/>
    <mergeCell ref="V43:W43"/>
    <mergeCell ref="X43:Y43"/>
    <mergeCell ref="Z43:AA43"/>
    <mergeCell ref="AB43:AC43"/>
    <mergeCell ref="AD43:AE43"/>
    <mergeCell ref="AF43:AG43"/>
    <mergeCell ref="AH44:AI44"/>
    <mergeCell ref="AJ44:AK44"/>
    <mergeCell ref="X44:Y44"/>
    <mergeCell ref="Z44:AA44"/>
    <mergeCell ref="AB44:AC44"/>
    <mergeCell ref="AD44:AE44"/>
    <mergeCell ref="AF44:AG44"/>
    <mergeCell ref="R42:S42"/>
    <mergeCell ref="T42:U42"/>
    <mergeCell ref="F43:G43"/>
    <mergeCell ref="H43:I43"/>
    <mergeCell ref="J43:K43"/>
    <mergeCell ref="L43:M43"/>
    <mergeCell ref="N43:O43"/>
    <mergeCell ref="P43:Q43"/>
    <mergeCell ref="R43:S43"/>
    <mergeCell ref="T43:U43"/>
    <mergeCell ref="F42:G42"/>
    <mergeCell ref="H42:I42"/>
    <mergeCell ref="J42:K42"/>
    <mergeCell ref="L42:M42"/>
    <mergeCell ref="N42:O42"/>
    <mergeCell ref="P42:Q42"/>
    <mergeCell ref="R40:S40"/>
    <mergeCell ref="T40:U40"/>
    <mergeCell ref="F41:G41"/>
    <mergeCell ref="H41:I41"/>
    <mergeCell ref="J41:K41"/>
    <mergeCell ref="L41:M41"/>
    <mergeCell ref="N41:O41"/>
    <mergeCell ref="P41:Q41"/>
    <mergeCell ref="R41:S41"/>
    <mergeCell ref="T41:U41"/>
    <mergeCell ref="F40:G40"/>
    <mergeCell ref="H40:I40"/>
    <mergeCell ref="J40:K40"/>
    <mergeCell ref="L40:M40"/>
    <mergeCell ref="N40:O40"/>
    <mergeCell ref="P40:Q40"/>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R34:S34"/>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Y32:AI37"/>
    <mergeCell ref="F33:G33"/>
    <mergeCell ref="H33:I33"/>
    <mergeCell ref="J33:K33"/>
    <mergeCell ref="L33:M33"/>
    <mergeCell ref="N33:O33"/>
    <mergeCell ref="P33:Q33"/>
    <mergeCell ref="R33:S33"/>
    <mergeCell ref="T33:U33"/>
    <mergeCell ref="F34:G34"/>
    <mergeCell ref="T34:U34"/>
    <mergeCell ref="F35:G35"/>
    <mergeCell ref="H35:I35"/>
    <mergeCell ref="J35:K35"/>
    <mergeCell ref="L35:M35"/>
    <mergeCell ref="N35:O35"/>
    <mergeCell ref="P35:Q35"/>
    <mergeCell ref="R35:S35"/>
    <mergeCell ref="T35:U35"/>
    <mergeCell ref="H34:I34"/>
    <mergeCell ref="J34:K34"/>
    <mergeCell ref="L34:M34"/>
    <mergeCell ref="N34:O34"/>
    <mergeCell ref="P34:Q34"/>
    <mergeCell ref="F31:G31"/>
    <mergeCell ref="H31:I31"/>
    <mergeCell ref="J31:K31"/>
    <mergeCell ref="L31:M31"/>
    <mergeCell ref="N31:O31"/>
    <mergeCell ref="P31:Q31"/>
    <mergeCell ref="R31:S31"/>
    <mergeCell ref="T31:U31"/>
    <mergeCell ref="F32:G32"/>
    <mergeCell ref="H32:I32"/>
    <mergeCell ref="J32:K32"/>
    <mergeCell ref="L32:M32"/>
    <mergeCell ref="N32:O32"/>
    <mergeCell ref="P32:Q32"/>
    <mergeCell ref="R32:S32"/>
    <mergeCell ref="T32:U32"/>
    <mergeCell ref="A30:E30"/>
    <mergeCell ref="F30:G30"/>
    <mergeCell ref="H30:I30"/>
    <mergeCell ref="J30:K30"/>
    <mergeCell ref="L30:M30"/>
    <mergeCell ref="N30:O30"/>
    <mergeCell ref="A27:E27"/>
    <mergeCell ref="F27:U27"/>
    <mergeCell ref="F28:I29"/>
    <mergeCell ref="J28:M28"/>
    <mergeCell ref="N28:O29"/>
    <mergeCell ref="P28:U29"/>
    <mergeCell ref="J29:K29"/>
    <mergeCell ref="L29:M29"/>
    <mergeCell ref="P30:Q30"/>
    <mergeCell ref="R30:S30"/>
    <mergeCell ref="T30:U30"/>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H31:U52">
    <cfRule type="expression" dxfId="60" priority="1">
      <formula>H31=0</formula>
    </cfRule>
  </conditionalFormatting>
  <conditionalFormatting sqref="V31:AK31 V32:Y32 AJ32:AK37 V33:X37 V38:AK52">
    <cfRule type="expression" dxfId="59" priority="2">
      <formula>V31=0</formula>
    </cfRule>
  </conditionalFormatting>
  <conditionalFormatting sqref="V53:AK53">
    <cfRule type="expression" dxfId="58" priority="3" stopIfTrue="1">
      <formula>V53=0</formula>
    </cfRule>
  </conditionalFormatting>
  <conditionalFormatting sqref="Y56:Y62 AC56:AD62 N57 N59">
    <cfRule type="expression" dxfId="57" priority="4" stopIfTrue="1">
      <formula>N56=0</formula>
    </cfRule>
  </conditionalFormatting>
  <pageMargins left="0.74803149606299213" right="0.19685039370078741" top="0.39370078740157483" bottom="0.39370078740157483" header="0.19685039370078741" footer="0.19685039370078741"/>
  <pageSetup paperSize="9" scale="64"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FD79F-C0A9-4B1A-BFE3-6EF65191EC56}">
  <sheetPr>
    <tabColor rgb="FF00B0F0"/>
    <pageSetUpPr fitToPage="1"/>
  </sheetPr>
  <dimension ref="A1:AS102"/>
  <sheetViews>
    <sheetView showGridLines="0" view="pageBreakPreview" zoomScaleNormal="100" zoomScaleSheetLayoutView="100" workbookViewId="0">
      <selection sqref="A1:Q4"/>
    </sheetView>
  </sheetViews>
  <sheetFormatPr defaultColWidth="9.28515625" defaultRowHeight="11.25"/>
  <cols>
    <col min="1" max="7" width="3.5703125" style="137" customWidth="1"/>
    <col min="8" max="8" width="10" style="137" customWidth="1"/>
    <col min="9" max="9" width="9" style="137" customWidth="1"/>
    <col min="10" max="16" width="8.28515625" style="137" customWidth="1"/>
    <col min="17" max="17" width="1.42578125" style="137" customWidth="1"/>
    <col min="18" max="23" width="8" style="137" customWidth="1"/>
    <col min="24" max="24" width="8" style="134" customWidth="1"/>
    <col min="25" max="30" width="8" style="137" customWidth="1"/>
    <col min="31" max="36" width="8" style="136" customWidth="1"/>
    <col min="37" max="16384" width="9.28515625" style="136"/>
  </cols>
  <sheetData>
    <row r="1" spans="1:44" s="129" customFormat="1" ht="14.25" customHeight="1">
      <c r="A1" s="1517" t="s">
        <v>21</v>
      </c>
      <c r="B1" s="1518"/>
      <c r="C1" s="1518"/>
      <c r="D1" s="1518"/>
      <c r="E1" s="1518"/>
      <c r="F1" s="1518"/>
      <c r="G1" s="1518"/>
      <c r="H1" s="1518"/>
      <c r="I1" s="1518"/>
      <c r="J1" s="1518"/>
      <c r="K1" s="1518"/>
      <c r="L1" s="1518"/>
      <c r="M1" s="1518"/>
      <c r="N1" s="1518"/>
      <c r="O1" s="1518"/>
      <c r="P1" s="1518"/>
      <c r="Q1" s="1519"/>
      <c r="R1" s="127"/>
      <c r="S1" s="127"/>
      <c r="T1" s="127"/>
      <c r="U1" s="127"/>
      <c r="V1" s="127"/>
      <c r="W1" s="127"/>
      <c r="X1" s="128"/>
      <c r="Y1" s="127"/>
      <c r="Z1" s="127"/>
      <c r="AA1" s="127"/>
      <c r="AB1" s="127"/>
      <c r="AC1" s="127"/>
      <c r="AD1" s="127"/>
      <c r="AE1" s="127"/>
      <c r="AF1" s="127"/>
      <c r="AG1" s="127"/>
      <c r="AH1" s="127"/>
      <c r="AI1" s="127"/>
      <c r="AJ1" s="127"/>
      <c r="AK1" s="56"/>
      <c r="AL1" s="56"/>
      <c r="AM1" s="56"/>
      <c r="AN1" s="56"/>
      <c r="AO1" s="56"/>
      <c r="AP1" s="56"/>
      <c r="AQ1" s="56"/>
      <c r="AR1" s="56"/>
    </row>
    <row r="2" spans="1:44" s="129" customFormat="1" ht="14.25" customHeight="1">
      <c r="A2" s="1520"/>
      <c r="B2" s="1521"/>
      <c r="C2" s="1521"/>
      <c r="D2" s="1521"/>
      <c r="E2" s="1521"/>
      <c r="F2" s="1521"/>
      <c r="G2" s="1521"/>
      <c r="H2" s="1521"/>
      <c r="I2" s="1521"/>
      <c r="J2" s="1521"/>
      <c r="K2" s="1521"/>
      <c r="L2" s="1521"/>
      <c r="M2" s="1521"/>
      <c r="N2" s="1521"/>
      <c r="O2" s="1521"/>
      <c r="P2" s="1521"/>
      <c r="Q2" s="1522"/>
      <c r="R2" s="127"/>
      <c r="S2" s="127"/>
      <c r="T2" s="127"/>
      <c r="U2" s="127"/>
      <c r="V2" s="127"/>
      <c r="W2" s="127"/>
      <c r="X2" s="128"/>
      <c r="Y2" s="127"/>
      <c r="Z2" s="127"/>
      <c r="AA2" s="127"/>
      <c r="AB2" s="127"/>
      <c r="AC2" s="127"/>
      <c r="AD2" s="127"/>
      <c r="AE2" s="127"/>
      <c r="AF2" s="127"/>
      <c r="AG2" s="127"/>
      <c r="AH2" s="127"/>
      <c r="AI2" s="127"/>
      <c r="AJ2" s="127"/>
      <c r="AK2" s="56"/>
      <c r="AL2" s="56"/>
      <c r="AM2" s="56"/>
      <c r="AN2" s="56"/>
      <c r="AO2" s="56"/>
      <c r="AP2" s="56"/>
      <c r="AQ2" s="56"/>
      <c r="AR2" s="56"/>
    </row>
    <row r="3" spans="1:44" s="129" customFormat="1" ht="14.25" customHeight="1">
      <c r="A3" s="1520"/>
      <c r="B3" s="1521"/>
      <c r="C3" s="1521"/>
      <c r="D3" s="1521"/>
      <c r="E3" s="1521"/>
      <c r="F3" s="1521"/>
      <c r="G3" s="1521"/>
      <c r="H3" s="1521"/>
      <c r="I3" s="1521"/>
      <c r="J3" s="1521"/>
      <c r="K3" s="1521"/>
      <c r="L3" s="1521"/>
      <c r="M3" s="1521"/>
      <c r="N3" s="1521"/>
      <c r="O3" s="1521"/>
      <c r="P3" s="1521"/>
      <c r="Q3" s="1522"/>
      <c r="R3" s="127"/>
      <c r="S3" s="127"/>
      <c r="T3" s="127"/>
      <c r="U3" s="127"/>
      <c r="V3" s="127"/>
      <c r="W3" s="127"/>
      <c r="X3" s="128"/>
      <c r="Y3" s="127"/>
      <c r="Z3" s="127"/>
      <c r="AA3" s="127"/>
      <c r="AB3" s="127"/>
      <c r="AC3" s="127"/>
      <c r="AD3" s="127"/>
      <c r="AE3" s="127"/>
      <c r="AF3" s="127"/>
      <c r="AG3" s="127"/>
      <c r="AH3" s="127"/>
      <c r="AI3" s="127"/>
      <c r="AJ3" s="127"/>
      <c r="AK3" s="56"/>
      <c r="AL3" s="56"/>
      <c r="AM3" s="56"/>
      <c r="AN3" s="56"/>
      <c r="AO3" s="56"/>
      <c r="AP3" s="56"/>
      <c r="AQ3" s="56"/>
      <c r="AR3" s="56"/>
    </row>
    <row r="4" spans="1:44" s="129" customFormat="1" ht="14.25" customHeight="1">
      <c r="A4" s="1523"/>
      <c r="B4" s="1524"/>
      <c r="C4" s="1524"/>
      <c r="D4" s="1524"/>
      <c r="E4" s="1524"/>
      <c r="F4" s="1524"/>
      <c r="G4" s="1524"/>
      <c r="H4" s="1524"/>
      <c r="I4" s="1524"/>
      <c r="J4" s="1524"/>
      <c r="K4" s="1524"/>
      <c r="L4" s="1524"/>
      <c r="M4" s="1524"/>
      <c r="N4" s="1524"/>
      <c r="O4" s="1524"/>
      <c r="P4" s="1524"/>
      <c r="Q4" s="1525"/>
      <c r="R4" s="127"/>
      <c r="S4" s="127"/>
      <c r="T4" s="127"/>
      <c r="U4" s="127"/>
      <c r="V4" s="127"/>
      <c r="W4" s="127"/>
      <c r="X4" s="128"/>
      <c r="Y4" s="127"/>
      <c r="Z4" s="127"/>
      <c r="AA4" s="127"/>
      <c r="AB4" s="127"/>
      <c r="AC4" s="127"/>
      <c r="AD4" s="127"/>
      <c r="AE4" s="127"/>
      <c r="AF4" s="127"/>
      <c r="AG4" s="127"/>
      <c r="AH4" s="127"/>
      <c r="AI4" s="127"/>
      <c r="AJ4" s="127"/>
      <c r="AK4" s="56"/>
      <c r="AL4" s="56"/>
      <c r="AM4" s="56"/>
      <c r="AN4" s="56"/>
      <c r="AO4" s="56"/>
      <c r="AP4" s="56"/>
      <c r="AQ4" s="56"/>
      <c r="AR4" s="56"/>
    </row>
    <row r="5" spans="1:44" ht="15" customHeight="1">
      <c r="A5" s="1167" t="s">
        <v>22</v>
      </c>
      <c r="B5" s="1168"/>
      <c r="C5" s="1168"/>
      <c r="D5" s="1168"/>
      <c r="E5" s="1168"/>
      <c r="F5" s="27" t="str">
        <f>'Emiss. Ops'!$C$2</f>
        <v>OMVP</v>
      </c>
      <c r="G5" s="27"/>
      <c r="H5" s="27"/>
      <c r="I5" s="27"/>
      <c r="J5" s="27"/>
      <c r="K5" s="130"/>
      <c r="L5" s="130"/>
      <c r="M5" s="131" t="s">
        <v>23</v>
      </c>
      <c r="N5" s="27"/>
      <c r="O5" s="27" t="str">
        <f>DC!AC5</f>
        <v>PRJ-001030</v>
      </c>
      <c r="P5" s="27"/>
      <c r="Q5" s="226"/>
      <c r="R5" s="31"/>
      <c r="S5" s="31"/>
      <c r="T5" s="31"/>
      <c r="U5" s="31"/>
      <c r="V5" s="31"/>
      <c r="W5" s="31"/>
      <c r="Y5" s="135"/>
      <c r="Z5" s="135"/>
      <c r="AA5" s="135"/>
      <c r="AB5" s="1494"/>
      <c r="AC5" s="1494"/>
      <c r="AD5" s="1494"/>
      <c r="AE5" s="1494"/>
      <c r="AF5" s="1494"/>
      <c r="AG5" s="1494"/>
      <c r="AH5" s="1494"/>
      <c r="AI5" s="1494"/>
      <c r="AJ5" s="1494"/>
      <c r="AK5" s="105"/>
    </row>
    <row r="6" spans="1:44" ht="15" customHeight="1">
      <c r="A6" s="1171" t="s">
        <v>24</v>
      </c>
      <c r="B6" s="1172"/>
      <c r="C6" s="1172"/>
      <c r="D6" s="1172"/>
      <c r="E6" s="1172"/>
      <c r="F6" s="30" t="str">
        <f>'Emiss. Ops'!$C$3</f>
        <v>OMV Neptun BAT Study &amp; ESIA</v>
      </c>
      <c r="G6" s="31"/>
      <c r="H6" s="31"/>
      <c r="I6" s="31"/>
      <c r="J6" s="31"/>
      <c r="M6" s="138" t="s">
        <v>25</v>
      </c>
      <c r="N6" s="31"/>
      <c r="O6" s="31"/>
      <c r="P6" s="31"/>
      <c r="Q6" s="32"/>
      <c r="R6" s="31"/>
      <c r="S6" s="31"/>
      <c r="T6" s="31"/>
      <c r="U6" s="31"/>
      <c r="V6" s="31"/>
      <c r="W6" s="31"/>
      <c r="Y6" s="135"/>
      <c r="Z6" s="135"/>
      <c r="AA6" s="135"/>
      <c r="AB6" s="1494"/>
      <c r="AC6" s="1494"/>
      <c r="AD6" s="1494"/>
      <c r="AE6" s="1494"/>
      <c r="AF6" s="1494"/>
      <c r="AG6" s="1494"/>
      <c r="AH6" s="1494"/>
      <c r="AI6" s="1494"/>
      <c r="AJ6" s="1494"/>
      <c r="AK6" s="105"/>
    </row>
    <row r="7" spans="1:44" ht="15" customHeight="1">
      <c r="A7" s="1171" t="s">
        <v>26</v>
      </c>
      <c r="B7" s="1172"/>
      <c r="C7" s="1172"/>
      <c r="D7" s="1172"/>
      <c r="E7" s="1172"/>
      <c r="F7" s="30" t="str">
        <f>'Emiss. Ops'!$C$4</f>
        <v>Emissions Inventory</v>
      </c>
      <c r="G7" s="31"/>
      <c r="H7" s="31"/>
      <c r="I7" s="31"/>
      <c r="J7" s="31"/>
      <c r="M7" s="139" t="s">
        <v>27</v>
      </c>
      <c r="N7" s="31"/>
      <c r="O7" s="30" t="s">
        <v>191</v>
      </c>
      <c r="P7" s="31"/>
      <c r="Q7" s="31"/>
      <c r="R7" s="31"/>
      <c r="S7" s="31"/>
      <c r="T7" s="31"/>
      <c r="U7" s="31"/>
      <c r="V7" s="31"/>
      <c r="W7" s="31"/>
      <c r="Y7" s="135"/>
      <c r="Z7" s="135"/>
      <c r="AA7" s="135"/>
      <c r="AB7" s="1494"/>
      <c r="AC7" s="1494"/>
      <c r="AD7" s="1494"/>
      <c r="AE7" s="1494"/>
      <c r="AF7" s="1494"/>
      <c r="AG7" s="1494"/>
      <c r="AH7" s="1494"/>
      <c r="AI7" s="1494"/>
      <c r="AJ7" s="1494"/>
      <c r="AK7" s="105"/>
    </row>
    <row r="8" spans="1:44" ht="14.25" customHeight="1">
      <c r="A8" s="1171" t="s">
        <v>98</v>
      </c>
      <c r="B8" s="1172"/>
      <c r="C8" s="1172"/>
      <c r="D8" s="1172"/>
      <c r="E8" s="1172"/>
      <c r="F8" s="140"/>
      <c r="G8" s="140"/>
      <c r="H8" s="140"/>
      <c r="I8" s="140"/>
      <c r="J8" s="140"/>
      <c r="K8" s="140"/>
      <c r="L8" s="140"/>
      <c r="M8" s="138" t="s">
        <v>28</v>
      </c>
      <c r="N8" s="140"/>
      <c r="O8" s="140"/>
      <c r="P8" s="140"/>
      <c r="Q8" s="141"/>
      <c r="Y8" s="142"/>
      <c r="Z8" s="142"/>
      <c r="AA8" s="142"/>
      <c r="AB8" s="142"/>
      <c r="AC8" s="142"/>
      <c r="AD8" s="142"/>
      <c r="AE8" s="142"/>
      <c r="AF8" s="142"/>
      <c r="AG8" s="142"/>
      <c r="AH8" s="142"/>
      <c r="AI8" s="142"/>
      <c r="AJ8" s="142"/>
      <c r="AK8" s="105"/>
    </row>
    <row r="9" spans="1:44" ht="12" customHeight="1">
      <c r="A9" s="143"/>
      <c r="B9" s="144"/>
      <c r="C9" s="144"/>
      <c r="D9" s="144"/>
      <c r="E9" s="144"/>
      <c r="F9" s="140"/>
      <c r="G9" s="140"/>
      <c r="H9" s="140"/>
      <c r="I9" s="140"/>
      <c r="J9" s="140"/>
      <c r="K9" s="140"/>
      <c r="L9" s="140"/>
      <c r="M9" s="140"/>
      <c r="N9" s="140"/>
      <c r="O9" s="140"/>
      <c r="P9" s="140"/>
      <c r="Q9" s="141"/>
      <c r="Y9" s="142"/>
      <c r="Z9" s="142"/>
      <c r="AA9" s="142"/>
      <c r="AB9" s="142"/>
      <c r="AC9" s="142"/>
      <c r="AD9" s="142"/>
      <c r="AE9" s="142"/>
      <c r="AF9" s="142"/>
      <c r="AG9" s="142"/>
      <c r="AH9" s="142"/>
      <c r="AI9" s="142"/>
      <c r="AJ9" s="142"/>
      <c r="AK9" s="105"/>
    </row>
    <row r="10" spans="1:44" s="129" customFormat="1" ht="15" customHeight="1">
      <c r="A10" s="145" t="s">
        <v>99</v>
      </c>
      <c r="B10" s="146"/>
      <c r="C10" s="146"/>
      <c r="D10" s="146"/>
      <c r="E10" s="146"/>
      <c r="F10" s="146"/>
      <c r="G10" s="146"/>
      <c r="H10" s="146"/>
      <c r="I10" s="147"/>
      <c r="J10" s="147"/>
      <c r="K10" s="148"/>
      <c r="L10" s="147"/>
      <c r="M10" s="147"/>
      <c r="N10" s="147"/>
      <c r="O10" s="147"/>
      <c r="P10" s="147"/>
      <c r="Q10" s="149"/>
      <c r="X10" s="150"/>
      <c r="Y10" s="135"/>
      <c r="Z10" s="135"/>
      <c r="AA10" s="135"/>
      <c r="AB10" s="1526"/>
      <c r="AC10" s="1526"/>
      <c r="AD10" s="1526"/>
      <c r="AE10" s="1527"/>
      <c r="AF10" s="1527"/>
      <c r="AG10" s="1527"/>
      <c r="AH10" s="1494"/>
      <c r="AI10" s="1494"/>
      <c r="AJ10" s="1494"/>
      <c r="AK10" s="56"/>
    </row>
    <row r="11" spans="1:44" s="129" customFormat="1" ht="14.25" customHeight="1">
      <c r="A11" s="1117" t="s">
        <v>185</v>
      </c>
      <c r="B11" s="1118"/>
      <c r="C11" s="1118"/>
      <c r="D11" s="1118"/>
      <c r="E11" s="1118"/>
      <c r="F11" s="1118"/>
      <c r="G11" s="1118"/>
      <c r="H11" s="1118"/>
      <c r="I11" s="1118"/>
      <c r="J11" s="1118"/>
      <c r="K11" s="1118"/>
      <c r="L11" s="1118"/>
      <c r="M11" s="1118"/>
      <c r="N11" s="1118"/>
      <c r="O11" s="1118"/>
      <c r="P11" s="151"/>
      <c r="Q11" s="152"/>
      <c r="R11" s="127"/>
      <c r="S11" s="127"/>
      <c r="T11" s="127"/>
      <c r="U11" s="127"/>
      <c r="V11" s="127"/>
      <c r="W11" s="127"/>
      <c r="X11" s="128"/>
      <c r="Y11" s="127"/>
      <c r="Z11" s="127"/>
      <c r="AA11" s="127"/>
      <c r="AB11" s="127"/>
      <c r="AC11" s="127"/>
      <c r="AD11" s="127"/>
      <c r="AE11" s="127"/>
      <c r="AF11" s="127"/>
      <c r="AG11" s="127"/>
      <c r="AH11" s="127"/>
      <c r="AI11" s="127"/>
      <c r="AJ11" s="127"/>
      <c r="AK11" s="56"/>
      <c r="AL11" s="56"/>
      <c r="AM11" s="56"/>
      <c r="AN11" s="56"/>
      <c r="AO11" s="56"/>
      <c r="AP11" s="56"/>
      <c r="AQ11" s="56"/>
      <c r="AR11" s="56"/>
    </row>
    <row r="12" spans="1:44" s="129" customFormat="1" ht="14.25" customHeight="1">
      <c r="A12" s="1149"/>
      <c r="B12" s="1150"/>
      <c r="C12" s="1150"/>
      <c r="D12" s="1150"/>
      <c r="E12" s="1150"/>
      <c r="F12" s="1150"/>
      <c r="G12" s="1150"/>
      <c r="H12" s="1150"/>
      <c r="I12" s="1150"/>
      <c r="J12" s="1150"/>
      <c r="K12" s="1150"/>
      <c r="L12" s="1150"/>
      <c r="M12" s="1150"/>
      <c r="N12" s="1150"/>
      <c r="O12" s="1150"/>
      <c r="P12" s="153"/>
      <c r="Q12" s="154"/>
      <c r="R12" s="127"/>
      <c r="S12" s="127"/>
      <c r="T12" s="127"/>
      <c r="U12" s="127"/>
      <c r="V12" s="127"/>
      <c r="W12" s="127"/>
      <c r="X12" s="128"/>
      <c r="Y12" s="127"/>
      <c r="Z12" s="127"/>
      <c r="AA12" s="127"/>
      <c r="AB12" s="127"/>
      <c r="AC12" s="127"/>
      <c r="AD12" s="127"/>
      <c r="AE12" s="127"/>
      <c r="AF12" s="127"/>
      <c r="AG12" s="127"/>
      <c r="AH12" s="127"/>
      <c r="AI12" s="127"/>
      <c r="AJ12" s="127"/>
      <c r="AK12" s="56"/>
      <c r="AL12" s="56"/>
      <c r="AM12" s="56"/>
      <c r="AN12" s="56"/>
      <c r="AO12" s="56"/>
      <c r="AP12" s="56"/>
      <c r="AQ12" s="56"/>
      <c r="AR12" s="56"/>
    </row>
    <row r="13" spans="1:44" s="129" customFormat="1" ht="14.25" customHeight="1">
      <c r="A13" s="155"/>
      <c r="B13" s="156"/>
      <c r="C13" s="156"/>
      <c r="D13" s="156"/>
      <c r="E13" s="156"/>
      <c r="F13" s="156"/>
      <c r="G13" s="156"/>
      <c r="H13" s="156"/>
      <c r="I13" s="156"/>
      <c r="J13" s="156"/>
      <c r="K13" s="156"/>
      <c r="L13" s="156"/>
      <c r="M13" s="156"/>
      <c r="N13" s="156"/>
      <c r="O13" s="156"/>
      <c r="P13" s="156"/>
      <c r="Q13" s="157"/>
      <c r="R13" s="127"/>
      <c r="S13" s="127"/>
      <c r="T13" s="127"/>
      <c r="U13" s="127"/>
      <c r="V13" s="127"/>
      <c r="W13" s="127"/>
      <c r="X13" s="128"/>
      <c r="Y13" s="127"/>
      <c r="Z13" s="127"/>
      <c r="AA13" s="127"/>
      <c r="AB13" s="127"/>
      <c r="AC13" s="127"/>
      <c r="AD13" s="127"/>
      <c r="AE13" s="127"/>
      <c r="AF13" s="127"/>
      <c r="AG13" s="127"/>
      <c r="AH13" s="127"/>
      <c r="AI13" s="127"/>
      <c r="AJ13" s="127"/>
      <c r="AK13" s="56"/>
      <c r="AL13" s="56"/>
      <c r="AM13" s="56"/>
      <c r="AN13" s="56"/>
      <c r="AO13" s="56"/>
      <c r="AP13" s="56"/>
      <c r="AQ13" s="56"/>
      <c r="AR13" s="56"/>
    </row>
    <row r="14" spans="1:44" s="129" customFormat="1" ht="33.75" customHeight="1">
      <c r="A14" s="1117" t="s">
        <v>589</v>
      </c>
      <c r="B14" s="1118"/>
      <c r="C14" s="1118"/>
      <c r="D14" s="1118"/>
      <c r="E14" s="1118"/>
      <c r="F14" s="1118"/>
      <c r="G14" s="1119"/>
      <c r="H14" s="1515" t="s">
        <v>810</v>
      </c>
      <c r="I14" s="1516"/>
      <c r="J14" s="1516"/>
      <c r="K14" s="1516"/>
      <c r="L14" s="1516"/>
      <c r="M14" s="1516"/>
      <c r="N14" s="1516"/>
      <c r="O14" s="1516"/>
      <c r="P14" s="155"/>
      <c r="Q14" s="141"/>
      <c r="R14" s="142"/>
      <c r="X14" s="150"/>
      <c r="AC14" s="142"/>
      <c r="AD14" s="142"/>
      <c r="AK14" s="56"/>
      <c r="AL14" s="56"/>
      <c r="AM14" s="56"/>
      <c r="AN14" s="56"/>
      <c r="AO14" s="56"/>
      <c r="AP14" s="56"/>
      <c r="AQ14" s="56"/>
      <c r="AR14" s="56"/>
    </row>
    <row r="15" spans="1:44" s="129" customFormat="1" ht="34.5" customHeight="1">
      <c r="A15" s="1149"/>
      <c r="B15" s="1150"/>
      <c r="C15" s="1150"/>
      <c r="D15" s="1150"/>
      <c r="E15" s="1150"/>
      <c r="F15" s="1150"/>
      <c r="G15" s="1151"/>
      <c r="H15" s="158"/>
      <c r="I15" s="158" t="s">
        <v>811</v>
      </c>
      <c r="J15" s="405"/>
      <c r="K15" s="159"/>
      <c r="L15" s="159"/>
      <c r="M15" s="159"/>
      <c r="N15" s="159"/>
      <c r="O15" s="159"/>
      <c r="P15" s="160"/>
      <c r="Q15" s="141"/>
      <c r="R15" s="142"/>
      <c r="X15" s="150"/>
      <c r="AC15" s="142"/>
      <c r="AD15" s="142"/>
      <c r="AK15" s="56"/>
      <c r="AL15" s="56"/>
      <c r="AM15" s="56"/>
      <c r="AN15" s="56"/>
      <c r="AO15" s="56"/>
      <c r="AP15" s="56"/>
      <c r="AQ15" s="56"/>
      <c r="AR15" s="56"/>
    </row>
    <row r="16" spans="1:44" s="129" customFormat="1" ht="14.25" customHeight="1">
      <c r="A16" s="1499" t="s">
        <v>393</v>
      </c>
      <c r="B16" s="1500"/>
      <c r="C16" s="1500"/>
      <c r="D16" s="1500"/>
      <c r="E16" s="1500"/>
      <c r="F16" s="1510" t="s">
        <v>775</v>
      </c>
      <c r="G16" s="1511"/>
      <c r="H16" s="161"/>
      <c r="I16" s="161">
        <v>4.0000000000000001E-3</v>
      </c>
      <c r="J16" s="162"/>
      <c r="K16" s="162"/>
      <c r="L16" s="162"/>
      <c r="M16" s="162"/>
      <c r="N16" s="162"/>
      <c r="O16" s="162"/>
      <c r="P16" s="163"/>
      <c r="Q16" s="141"/>
      <c r="R16" s="142"/>
      <c r="X16" s="150"/>
      <c r="AC16" s="142"/>
      <c r="AD16" s="142"/>
      <c r="AK16" s="56"/>
      <c r="AL16" s="56"/>
      <c r="AM16" s="56"/>
      <c r="AN16" s="56"/>
      <c r="AO16" s="56"/>
      <c r="AP16" s="56"/>
      <c r="AQ16" s="56"/>
      <c r="AR16" s="56"/>
    </row>
    <row r="17" spans="1:45" s="129" customFormat="1" ht="14.25" customHeight="1">
      <c r="A17" s="168" t="s">
        <v>115</v>
      </c>
      <c r="B17" s="169"/>
      <c r="C17" s="169"/>
      <c r="D17" s="169"/>
      <c r="E17" s="169"/>
      <c r="F17" s="1510" t="s">
        <v>775</v>
      </c>
      <c r="G17" s="1511"/>
      <c r="H17" s="161"/>
      <c r="I17" s="161">
        <v>1.2</v>
      </c>
      <c r="J17" s="162"/>
      <c r="K17" s="162"/>
      <c r="L17" s="162"/>
      <c r="M17" s="162"/>
      <c r="N17" s="162"/>
      <c r="O17" s="162"/>
      <c r="P17" s="163"/>
      <c r="Q17" s="141"/>
      <c r="R17" s="142"/>
      <c r="S17" s="142"/>
      <c r="T17" s="142"/>
      <c r="U17" s="142"/>
      <c r="V17" s="142"/>
      <c r="W17" s="142"/>
      <c r="X17" s="304"/>
      <c r="Y17" s="142"/>
      <c r="Z17" s="142"/>
      <c r="AA17" s="142"/>
      <c r="AB17" s="142"/>
      <c r="AC17" s="142"/>
      <c r="AD17" s="142"/>
      <c r="AK17" s="56"/>
      <c r="AL17" s="56"/>
      <c r="AM17" s="56"/>
      <c r="AN17" s="56"/>
      <c r="AO17" s="56"/>
      <c r="AP17" s="56"/>
      <c r="AQ17" s="56"/>
      <c r="AR17" s="56"/>
    </row>
    <row r="18" spans="1:45" s="129" customFormat="1" ht="14.25" customHeight="1">
      <c r="A18" s="1499" t="s">
        <v>123</v>
      </c>
      <c r="B18" s="1500"/>
      <c r="C18" s="1500"/>
      <c r="D18" s="1500"/>
      <c r="E18" s="1500"/>
      <c r="F18" s="1510" t="s">
        <v>775</v>
      </c>
      <c r="G18" s="1511"/>
      <c r="H18" s="161"/>
      <c r="I18" s="161">
        <v>1.9E-2</v>
      </c>
      <c r="J18" s="162"/>
      <c r="K18" s="162"/>
      <c r="L18" s="162"/>
      <c r="M18" s="162"/>
      <c r="N18" s="162"/>
      <c r="O18" s="162"/>
      <c r="P18" s="163"/>
      <c r="Q18" s="141"/>
      <c r="R18" s="142"/>
      <c r="S18" s="142"/>
      <c r="T18" s="142"/>
      <c r="U18" s="142"/>
      <c r="V18" s="142"/>
      <c r="W18" s="142"/>
      <c r="X18" s="304"/>
      <c r="Y18" s="142"/>
      <c r="Z18" s="142"/>
      <c r="AA18" s="142"/>
      <c r="AB18" s="142"/>
      <c r="AC18" s="142"/>
      <c r="AD18" s="142"/>
      <c r="AK18" s="56"/>
      <c r="AL18" s="56"/>
      <c r="AM18" s="56"/>
      <c r="AN18" s="56"/>
      <c r="AO18" s="56"/>
      <c r="AP18" s="56"/>
      <c r="AQ18" s="56"/>
      <c r="AR18" s="56"/>
    </row>
    <row r="19" spans="1:45" s="129" customFormat="1" ht="14.25" customHeight="1">
      <c r="A19" s="1499" t="s">
        <v>124</v>
      </c>
      <c r="B19" s="1500"/>
      <c r="C19" s="1500"/>
      <c r="D19" s="1500"/>
      <c r="E19" s="1500"/>
      <c r="F19" s="1510" t="s">
        <v>775</v>
      </c>
      <c r="G19" s="1511"/>
      <c r="H19" s="161"/>
      <c r="I19" s="161">
        <v>1E-3</v>
      </c>
      <c r="J19" s="162"/>
      <c r="K19" s="162"/>
      <c r="L19" s="162"/>
      <c r="M19" s="162"/>
      <c r="N19" s="162"/>
      <c r="O19" s="162"/>
      <c r="P19" s="163"/>
      <c r="Q19" s="141"/>
      <c r="R19" s="142"/>
      <c r="S19" s="142"/>
      <c r="T19" s="142"/>
      <c r="U19" s="142"/>
      <c r="V19" s="142"/>
      <c r="W19" s="142"/>
      <c r="X19" s="304"/>
      <c r="Y19" s="142"/>
      <c r="Z19" s="142"/>
      <c r="AA19" s="142"/>
      <c r="AB19" s="142"/>
      <c r="AC19" s="142"/>
      <c r="AD19" s="142"/>
      <c r="AK19" s="56"/>
      <c r="AL19" s="56"/>
      <c r="AM19" s="56"/>
      <c r="AN19" s="56"/>
      <c r="AO19" s="56"/>
      <c r="AP19" s="56"/>
      <c r="AQ19" s="56"/>
      <c r="AR19" s="56"/>
    </row>
    <row r="20" spans="1:45" s="129" customFormat="1" ht="14.25" customHeight="1">
      <c r="A20" s="1499" t="s">
        <v>126</v>
      </c>
      <c r="B20" s="1500"/>
      <c r="C20" s="1500"/>
      <c r="D20" s="1500"/>
      <c r="E20" s="1500"/>
      <c r="F20" s="1510" t="s">
        <v>775</v>
      </c>
      <c r="G20" s="1511"/>
      <c r="H20" s="173"/>
      <c r="I20" s="161">
        <v>3.1</v>
      </c>
      <c r="J20" s="172"/>
      <c r="K20" s="162"/>
      <c r="L20" s="162"/>
      <c r="M20" s="162"/>
      <c r="N20" s="162"/>
      <c r="O20" s="162"/>
      <c r="P20" s="163"/>
      <c r="Q20" s="141"/>
      <c r="R20" s="142"/>
      <c r="T20" s="142"/>
      <c r="U20" s="142"/>
      <c r="V20" s="142"/>
      <c r="W20" s="142"/>
      <c r="X20" s="304"/>
      <c r="Y20" s="142"/>
      <c r="Z20" s="142"/>
      <c r="AA20" s="142"/>
      <c r="AB20" s="142"/>
      <c r="AC20" s="142"/>
      <c r="AD20" s="142"/>
      <c r="AK20" s="56"/>
      <c r="AL20" s="56"/>
      <c r="AM20" s="56"/>
      <c r="AN20" s="56"/>
      <c r="AO20" s="56"/>
      <c r="AP20" s="56"/>
      <c r="AQ20" s="56"/>
      <c r="AR20" s="56"/>
    </row>
    <row r="21" spans="1:45" s="129" customFormat="1" ht="14.25" customHeight="1">
      <c r="A21" s="175"/>
      <c r="B21" s="176"/>
      <c r="C21" s="176"/>
      <c r="D21" s="176"/>
      <c r="E21" s="176"/>
      <c r="F21" s="177"/>
      <c r="G21" s="177"/>
      <c r="H21" s="178"/>
      <c r="I21" s="179"/>
      <c r="J21" s="180"/>
      <c r="K21" s="179"/>
      <c r="L21" s="179"/>
      <c r="M21" s="179"/>
      <c r="N21" s="179"/>
      <c r="O21" s="179"/>
      <c r="P21" s="179"/>
      <c r="Q21" s="141"/>
      <c r="R21" s="142"/>
      <c r="T21" s="142"/>
      <c r="U21" s="142"/>
      <c r="V21" s="142"/>
      <c r="W21" s="142"/>
      <c r="X21" s="304"/>
      <c r="Y21" s="142"/>
      <c r="Z21" s="142"/>
      <c r="AA21" s="142"/>
      <c r="AB21" s="142"/>
      <c r="AC21" s="142"/>
      <c r="AD21" s="142"/>
      <c r="AK21" s="56"/>
      <c r="AL21" s="56"/>
      <c r="AM21" s="56"/>
      <c r="AN21" s="56"/>
      <c r="AO21" s="56"/>
      <c r="AP21" s="56"/>
      <c r="AQ21" s="56"/>
      <c r="AR21" s="56"/>
    </row>
    <row r="22" spans="1:45" s="129" customFormat="1" ht="29.25" customHeight="1">
      <c r="A22" s="1512" t="s">
        <v>776</v>
      </c>
      <c r="B22" s="1513"/>
      <c r="C22" s="1513"/>
      <c r="D22" s="1513"/>
      <c r="E22" s="1513"/>
      <c r="F22" s="1513"/>
      <c r="G22" s="1514"/>
      <c r="H22" s="181"/>
      <c r="I22" s="182" t="s">
        <v>811</v>
      </c>
      <c r="J22" s="183"/>
      <c r="K22" s="173"/>
      <c r="L22" s="173"/>
      <c r="M22" s="183"/>
      <c r="N22" s="184"/>
      <c r="O22" s="182"/>
      <c r="P22" s="182"/>
      <c r="Q22" s="185"/>
      <c r="R22" s="186"/>
      <c r="S22" s="186"/>
      <c r="T22" s="186"/>
      <c r="U22" s="186"/>
      <c r="V22" s="186"/>
      <c r="W22" s="186"/>
      <c r="X22" s="306"/>
      <c r="Y22" s="186"/>
      <c r="Z22" s="186"/>
      <c r="AA22" s="186"/>
      <c r="AB22" s="186"/>
      <c r="AC22" s="186"/>
      <c r="AD22" s="186"/>
      <c r="AE22" s="186"/>
      <c r="AF22" s="186"/>
      <c r="AG22" s="186"/>
      <c r="AH22" s="186"/>
      <c r="AI22" s="186"/>
      <c r="AJ22" s="186"/>
    </row>
    <row r="23" spans="1:45" s="129" customFormat="1" ht="14.25" customHeight="1">
      <c r="A23" s="1499" t="s">
        <v>393</v>
      </c>
      <c r="B23" s="1500"/>
      <c r="C23" s="1500"/>
      <c r="D23" s="1500"/>
      <c r="E23" s="1500"/>
      <c r="F23" s="1502" t="s">
        <v>332</v>
      </c>
      <c r="G23" s="1503"/>
      <c r="H23" s="201"/>
      <c r="I23" s="202">
        <f>H29/H30*I16</f>
        <v>0.30590836363636364</v>
      </c>
      <c r="J23" s="202"/>
      <c r="K23" s="173"/>
      <c r="L23" s="173"/>
      <c r="M23" s="202"/>
      <c r="N23" s="203"/>
      <c r="O23" s="202"/>
      <c r="P23" s="202"/>
      <c r="Q23" s="204"/>
      <c r="R23" s="205"/>
      <c r="S23" s="216"/>
      <c r="T23" s="216"/>
      <c r="U23" s="216"/>
      <c r="V23" s="216"/>
      <c r="W23" s="216"/>
      <c r="X23" s="216"/>
      <c r="Y23" s="216"/>
      <c r="Z23" s="216"/>
      <c r="AA23" s="216"/>
      <c r="AB23" s="216"/>
      <c r="AC23" s="216"/>
      <c r="AD23" s="216"/>
      <c r="AE23" s="216"/>
      <c r="AF23" s="205"/>
      <c r="AG23" s="205"/>
      <c r="AH23" s="205"/>
      <c r="AI23" s="205"/>
      <c r="AJ23" s="205"/>
      <c r="AK23" s="142"/>
      <c r="AL23" s="56"/>
      <c r="AM23" s="56"/>
      <c r="AN23" s="56"/>
      <c r="AO23" s="56"/>
      <c r="AP23" s="56"/>
      <c r="AQ23" s="56"/>
      <c r="AR23" s="56"/>
      <c r="AS23" s="56"/>
    </row>
    <row r="24" spans="1:45" s="129" customFormat="1" ht="14.25" customHeight="1">
      <c r="A24" s="168" t="s">
        <v>115</v>
      </c>
      <c r="B24" s="169"/>
      <c r="C24" s="169"/>
      <c r="D24" s="169"/>
      <c r="E24" s="169"/>
      <c r="F24" s="1502" t="s">
        <v>332</v>
      </c>
      <c r="G24" s="1503"/>
      <c r="H24" s="201"/>
      <c r="I24" s="206">
        <f>H29/H30*I17</f>
        <v>91.772509090909082</v>
      </c>
      <c r="J24" s="206"/>
      <c r="K24" s="173"/>
      <c r="L24" s="173"/>
      <c r="M24" s="206"/>
      <c r="N24" s="207"/>
      <c r="O24" s="206"/>
      <c r="P24" s="202"/>
      <c r="Q24" s="208"/>
      <c r="R24" s="209"/>
      <c r="S24" s="216"/>
      <c r="T24" s="216"/>
      <c r="U24" s="216"/>
      <c r="V24" s="216"/>
      <c r="W24" s="216"/>
      <c r="X24" s="216"/>
      <c r="Y24" s="216"/>
      <c r="Z24" s="216"/>
      <c r="AA24" s="216"/>
      <c r="AB24" s="216"/>
      <c r="AC24" s="216"/>
      <c r="AD24" s="216"/>
      <c r="AE24" s="216"/>
      <c r="AF24" s="209"/>
      <c r="AG24" s="209"/>
      <c r="AH24" s="209"/>
      <c r="AI24" s="209"/>
      <c r="AJ24" s="209"/>
      <c r="AK24" s="142"/>
      <c r="AL24" s="56"/>
      <c r="AM24" s="56"/>
      <c r="AN24" s="56"/>
      <c r="AO24" s="56"/>
      <c r="AP24" s="56"/>
      <c r="AQ24" s="56"/>
      <c r="AR24" s="56"/>
      <c r="AS24" s="56"/>
    </row>
    <row r="25" spans="1:45" s="129" customFormat="1" ht="14.25" customHeight="1">
      <c r="A25" s="1499" t="s">
        <v>123</v>
      </c>
      <c r="B25" s="1500"/>
      <c r="C25" s="1500"/>
      <c r="D25" s="1500"/>
      <c r="E25" s="1500"/>
      <c r="F25" s="1502" t="s">
        <v>332</v>
      </c>
      <c r="G25" s="1503"/>
      <c r="H25" s="201"/>
      <c r="I25" s="206">
        <f>H29/H30*I18</f>
        <v>1.4530647272727271</v>
      </c>
      <c r="J25" s="206"/>
      <c r="K25" s="173"/>
      <c r="L25" s="173"/>
      <c r="M25" s="206"/>
      <c r="N25" s="207"/>
      <c r="O25" s="206"/>
      <c r="P25" s="202"/>
      <c r="Q25" s="208"/>
      <c r="R25" s="209"/>
      <c r="S25" s="216"/>
      <c r="T25" s="216"/>
      <c r="U25" s="216"/>
      <c r="V25" s="216"/>
      <c r="W25" s="216"/>
      <c r="X25" s="216"/>
      <c r="Y25" s="216"/>
      <c r="Z25" s="216"/>
      <c r="AA25" s="216"/>
      <c r="AB25" s="216"/>
      <c r="AC25" s="216"/>
      <c r="AD25" s="216"/>
      <c r="AE25" s="216"/>
      <c r="AF25" s="209"/>
      <c r="AG25" s="209"/>
      <c r="AH25" s="209"/>
      <c r="AI25" s="209"/>
      <c r="AJ25" s="209"/>
      <c r="AK25" s="142"/>
      <c r="AL25" s="56"/>
      <c r="AM25" s="56"/>
      <c r="AN25" s="56"/>
      <c r="AO25" s="56"/>
      <c r="AP25" s="56"/>
      <c r="AQ25" s="56"/>
      <c r="AR25" s="56"/>
      <c r="AS25" s="56"/>
    </row>
    <row r="26" spans="1:45" s="129" customFormat="1" ht="14.25" customHeight="1">
      <c r="A26" s="1499" t="s">
        <v>124</v>
      </c>
      <c r="B26" s="1500"/>
      <c r="C26" s="1500"/>
      <c r="D26" s="1500"/>
      <c r="E26" s="1500"/>
      <c r="F26" s="1502" t="s">
        <v>332</v>
      </c>
      <c r="G26" s="1503"/>
      <c r="H26" s="201"/>
      <c r="I26" s="206">
        <f>H29/H30*I19</f>
        <v>7.6477090909090911E-2</v>
      </c>
      <c r="J26" s="206"/>
      <c r="K26" s="173"/>
      <c r="L26" s="173"/>
      <c r="M26" s="206"/>
      <c r="N26" s="207"/>
      <c r="O26" s="206"/>
      <c r="P26" s="202"/>
      <c r="Q26" s="208"/>
      <c r="R26" s="209"/>
      <c r="S26" s="216"/>
      <c r="T26" s="216"/>
      <c r="U26" s="216"/>
      <c r="V26" s="216"/>
      <c r="W26" s="216"/>
      <c r="X26" s="216"/>
      <c r="Y26" s="216"/>
      <c r="Z26" s="216"/>
      <c r="AA26" s="216"/>
      <c r="AB26" s="216"/>
      <c r="AC26" s="216"/>
      <c r="AD26" s="216"/>
      <c r="AE26" s="216"/>
      <c r="AF26" s="209"/>
      <c r="AG26" s="209"/>
      <c r="AH26" s="209"/>
      <c r="AI26" s="209"/>
      <c r="AJ26" s="209"/>
      <c r="AK26" s="142"/>
      <c r="AL26" s="56"/>
      <c r="AM26" s="56"/>
      <c r="AN26" s="56"/>
      <c r="AO26" s="56"/>
      <c r="AP26" s="56"/>
      <c r="AQ26" s="56"/>
      <c r="AR26" s="56"/>
      <c r="AS26" s="56"/>
    </row>
    <row r="27" spans="1:45" s="129" customFormat="1" ht="14.25" customHeight="1">
      <c r="A27" s="1499" t="s">
        <v>126</v>
      </c>
      <c r="B27" s="1500"/>
      <c r="C27" s="1500"/>
      <c r="D27" s="1500"/>
      <c r="E27" s="1500"/>
      <c r="F27" s="1502" t="s">
        <v>332</v>
      </c>
      <c r="G27" s="1503"/>
      <c r="H27" s="201"/>
      <c r="I27" s="212">
        <f>H29/H30*I20</f>
        <v>237.0789818181818</v>
      </c>
      <c r="J27" s="212"/>
      <c r="K27" s="173"/>
      <c r="L27" s="173"/>
      <c r="M27" s="212"/>
      <c r="N27" s="207"/>
      <c r="O27" s="212"/>
      <c r="P27" s="212"/>
      <c r="Q27" s="208"/>
      <c r="R27" s="209"/>
      <c r="S27" s="209"/>
      <c r="T27" s="209"/>
      <c r="U27" s="209"/>
      <c r="V27" s="209"/>
      <c r="W27" s="209"/>
      <c r="X27" s="413"/>
      <c r="Y27" s="209"/>
      <c r="Z27" s="209"/>
      <c r="AA27" s="209"/>
      <c r="AB27" s="209"/>
      <c r="AC27" s="209"/>
      <c r="AD27" s="209"/>
      <c r="AE27" s="209"/>
      <c r="AF27" s="209"/>
      <c r="AG27" s="209"/>
      <c r="AH27" s="209"/>
      <c r="AI27" s="209"/>
      <c r="AJ27" s="209"/>
      <c r="AK27" s="142"/>
      <c r="AL27" s="56"/>
      <c r="AM27" s="56"/>
      <c r="AN27" s="56"/>
      <c r="AO27" s="56"/>
      <c r="AP27" s="56"/>
      <c r="AQ27" s="56"/>
      <c r="AR27" s="56"/>
      <c r="AS27" s="56"/>
    </row>
    <row r="28" spans="1:45" s="129" customFormat="1" ht="14.25" customHeight="1">
      <c r="A28" s="1508"/>
      <c r="B28" s="1509"/>
      <c r="C28" s="1509"/>
      <c r="D28" s="1509"/>
      <c r="E28" s="1509"/>
      <c r="F28" s="1495"/>
      <c r="G28" s="1495"/>
      <c r="H28" s="213"/>
      <c r="I28" s="214"/>
      <c r="J28" s="214"/>
      <c r="K28" s="214"/>
      <c r="L28" s="214"/>
      <c r="M28" s="214"/>
      <c r="N28" s="214"/>
      <c r="O28" s="214"/>
      <c r="P28" s="214"/>
      <c r="Q28" s="215"/>
      <c r="R28" s="216"/>
      <c r="S28" s="216"/>
      <c r="T28" s="216"/>
      <c r="U28" s="216"/>
      <c r="V28" s="216"/>
      <c r="W28" s="216"/>
      <c r="X28" s="412"/>
      <c r="Y28" s="216"/>
      <c r="Z28" s="216"/>
      <c r="AA28" s="216"/>
      <c r="AB28" s="216"/>
      <c r="AC28" s="216"/>
      <c r="AD28" s="216"/>
      <c r="AE28" s="216"/>
      <c r="AF28" s="216"/>
      <c r="AG28" s="216"/>
      <c r="AH28" s="216"/>
      <c r="AI28" s="216"/>
      <c r="AJ28" s="216"/>
      <c r="AK28" s="142"/>
      <c r="AL28" s="56"/>
      <c r="AM28" s="56"/>
      <c r="AN28" s="56"/>
      <c r="AO28" s="56"/>
      <c r="AP28" s="56"/>
      <c r="AQ28" s="56"/>
      <c r="AR28" s="56"/>
      <c r="AS28" s="56"/>
    </row>
    <row r="29" spans="1:45" s="129" customFormat="1" ht="14.25" customHeight="1">
      <c r="A29" s="217"/>
      <c r="B29" s="218"/>
      <c r="C29" s="31" t="s">
        <v>812</v>
      </c>
      <c r="D29" s="218"/>
      <c r="E29" s="218"/>
      <c r="F29" s="334"/>
      <c r="G29" s="334"/>
      <c r="H29" s="31">
        <f>(720*476)+(480*436)</f>
        <v>552000</v>
      </c>
      <c r="I29" s="31" t="s">
        <v>813</v>
      </c>
      <c r="J29" s="214"/>
      <c r="K29" s="214"/>
      <c r="L29" s="214"/>
      <c r="M29" s="214"/>
      <c r="N29" s="214"/>
      <c r="O29" s="214"/>
      <c r="P29" s="214"/>
      <c r="Q29" s="215"/>
      <c r="R29" s="216"/>
      <c r="S29" s="216"/>
      <c r="T29" s="216"/>
      <c r="U29" s="216"/>
      <c r="V29" s="216"/>
      <c r="W29" s="216"/>
      <c r="X29" s="412"/>
      <c r="Y29" s="216"/>
      <c r="Z29" s="216"/>
      <c r="AA29" s="216"/>
      <c r="AB29" s="216"/>
      <c r="AC29" s="216"/>
      <c r="AD29" s="216"/>
      <c r="AE29" s="216"/>
      <c r="AF29" s="216"/>
      <c r="AG29" s="216"/>
      <c r="AH29" s="216"/>
      <c r="AI29" s="216"/>
      <c r="AJ29" s="216"/>
      <c r="AK29" s="142"/>
      <c r="AL29" s="56"/>
      <c r="AM29" s="56"/>
      <c r="AN29" s="56"/>
      <c r="AO29" s="56"/>
      <c r="AP29" s="56"/>
      <c r="AQ29" s="56"/>
      <c r="AR29" s="56"/>
      <c r="AS29" s="56"/>
    </row>
    <row r="30" spans="1:45" s="129" customFormat="1" ht="14.25" customHeight="1">
      <c r="A30" s="219"/>
      <c r="B30" s="139"/>
      <c r="C30" s="31" t="s">
        <v>814</v>
      </c>
      <c r="D30" s="218"/>
      <c r="E30" s="218"/>
      <c r="F30" s="334"/>
      <c r="G30" s="334"/>
      <c r="H30" s="31">
        <f>((5.5*1000)/H31)*1000</f>
        <v>7217.8477690288719</v>
      </c>
      <c r="I30" s="31" t="s">
        <v>815</v>
      </c>
      <c r="J30" s="156"/>
      <c r="K30" s="156"/>
      <c r="L30" s="156"/>
      <c r="M30" s="156"/>
      <c r="N30" s="156"/>
      <c r="O30" s="156"/>
      <c r="P30" s="156"/>
      <c r="Q30" s="32"/>
      <c r="R30" s="220"/>
      <c r="S30" s="220"/>
      <c r="V30" s="220"/>
      <c r="W30" s="220"/>
      <c r="X30" s="150"/>
      <c r="Y30" s="150"/>
      <c r="AJ30" s="142"/>
      <c r="AK30" s="56"/>
      <c r="AL30" s="56"/>
      <c r="AM30" s="56"/>
      <c r="AN30" s="56"/>
      <c r="AO30" s="56"/>
      <c r="AP30" s="56"/>
      <c r="AQ30" s="56"/>
      <c r="AR30" s="56"/>
    </row>
    <row r="31" spans="1:45" s="129" customFormat="1" ht="14.25" customHeight="1">
      <c r="A31" s="221"/>
      <c r="B31" s="140"/>
      <c r="C31" s="1496" t="s">
        <v>782</v>
      </c>
      <c r="D31" s="1497"/>
      <c r="E31" s="1497"/>
      <c r="F31" s="1497"/>
      <c r="G31" s="1497"/>
      <c r="H31" s="140">
        <v>762</v>
      </c>
      <c r="I31" s="140" t="s">
        <v>783</v>
      </c>
      <c r="J31" s="140"/>
      <c r="K31" s="31"/>
      <c r="L31" s="31"/>
      <c r="M31" s="31"/>
      <c r="N31" s="222"/>
      <c r="O31" s="222"/>
      <c r="P31" s="222"/>
      <c r="Q31" s="32"/>
      <c r="R31" s="220"/>
      <c r="S31" s="220"/>
      <c r="V31" s="220"/>
      <c r="W31" s="220"/>
      <c r="X31" s="150"/>
      <c r="Y31" s="150"/>
      <c r="AJ31" s="142"/>
      <c r="AK31" s="56"/>
      <c r="AL31" s="56"/>
      <c r="AM31" s="56"/>
      <c r="AN31" s="56"/>
      <c r="AO31" s="56"/>
      <c r="AP31" s="56"/>
      <c r="AQ31" s="56"/>
      <c r="AR31" s="56"/>
    </row>
    <row r="32" spans="1:45" s="129" customFormat="1" ht="14.25" customHeight="1">
      <c r="A32" s="1501"/>
      <c r="B32" s="1181"/>
      <c r="C32" s="1181"/>
      <c r="D32" s="1181"/>
      <c r="E32" s="1181"/>
      <c r="F32" s="1181"/>
      <c r="G32" s="1181"/>
      <c r="H32" s="1181"/>
      <c r="I32" s="1181"/>
      <c r="J32" s="1181"/>
      <c r="K32" s="31"/>
      <c r="L32" s="31"/>
      <c r="M32" s="31"/>
      <c r="N32" s="222"/>
      <c r="O32" s="222"/>
      <c r="P32" s="222"/>
      <c r="Q32" s="32"/>
      <c r="R32" s="1493"/>
      <c r="S32" s="1493"/>
      <c r="V32" s="1493"/>
      <c r="W32" s="1493"/>
      <c r="X32" s="1494"/>
      <c r="Y32" s="1494"/>
      <c r="AJ32" s="142"/>
      <c r="AK32" s="56"/>
      <c r="AL32" s="56"/>
      <c r="AM32" s="56"/>
      <c r="AN32" s="56"/>
      <c r="AO32" s="56"/>
      <c r="AP32" s="56"/>
      <c r="AQ32" s="56"/>
      <c r="AR32" s="56"/>
    </row>
    <row r="33" spans="1:44" s="129" customFormat="1" ht="14.25" customHeight="1">
      <c r="A33" s="223"/>
      <c r="B33" s="147"/>
      <c r="C33" s="31"/>
      <c r="D33" s="31"/>
      <c r="E33" s="31"/>
      <c r="F33" s="31"/>
      <c r="G33" s="31"/>
      <c r="H33" s="31"/>
      <c r="I33" s="31"/>
      <c r="J33" s="31"/>
      <c r="K33" s="31"/>
      <c r="L33" s="31"/>
      <c r="M33" s="31"/>
      <c r="N33" s="222"/>
      <c r="O33" s="222"/>
      <c r="P33" s="222"/>
      <c r="Q33" s="32"/>
      <c r="R33" s="220"/>
      <c r="S33" s="220"/>
      <c r="V33" s="220"/>
      <c r="W33" s="220"/>
      <c r="X33" s="150"/>
      <c r="Y33" s="150"/>
      <c r="AJ33" s="142"/>
      <c r="AK33" s="56"/>
      <c r="AL33" s="56"/>
      <c r="AM33" s="56"/>
      <c r="AN33" s="56"/>
      <c r="AO33" s="56"/>
      <c r="AP33" s="56"/>
      <c r="AQ33" s="56"/>
      <c r="AR33" s="56"/>
    </row>
    <row r="34" spans="1:44" s="129" customFormat="1" ht="14.25" customHeight="1">
      <c r="A34" s="224" t="s">
        <v>678</v>
      </c>
      <c r="B34" s="31"/>
      <c r="C34" s="27"/>
      <c r="D34" s="27"/>
      <c r="E34" s="27"/>
      <c r="F34" s="27"/>
      <c r="G34" s="27"/>
      <c r="H34" s="27"/>
      <c r="I34" s="27"/>
      <c r="J34" s="27"/>
      <c r="K34" s="27"/>
      <c r="L34" s="27"/>
      <c r="M34" s="27"/>
      <c r="N34" s="1491"/>
      <c r="O34" s="1491"/>
      <c r="P34" s="225"/>
      <c r="Q34" s="226"/>
      <c r="R34" s="220"/>
      <c r="S34" s="220"/>
      <c r="V34" s="220"/>
      <c r="W34" s="220"/>
      <c r="X34" s="150"/>
      <c r="Y34" s="150"/>
      <c r="AK34" s="56"/>
      <c r="AL34" s="56"/>
      <c r="AM34" s="56"/>
      <c r="AN34" s="56"/>
      <c r="AO34" s="56"/>
      <c r="AP34" s="56"/>
      <c r="AQ34" s="56"/>
      <c r="AR34" s="56"/>
    </row>
    <row r="35" spans="1:44" s="129" customFormat="1" ht="14.25" customHeight="1">
      <c r="A35" s="227" t="s">
        <v>31</v>
      </c>
      <c r="B35" s="31" t="s">
        <v>816</v>
      </c>
      <c r="C35" s="31"/>
      <c r="D35" s="31"/>
      <c r="E35" s="31"/>
      <c r="F35" s="31"/>
      <c r="G35" s="31"/>
      <c r="H35" s="31"/>
      <c r="I35" s="31"/>
      <c r="J35" s="31"/>
      <c r="K35" s="31"/>
      <c r="L35" s="31"/>
      <c r="M35" s="31"/>
      <c r="N35" s="222"/>
      <c r="O35" s="222"/>
      <c r="P35" s="222"/>
      <c r="Q35" s="32"/>
      <c r="R35" s="1492"/>
      <c r="S35" s="1492"/>
      <c r="V35" s="1493"/>
      <c r="W35" s="1493"/>
      <c r="X35" s="1494"/>
      <c r="Y35" s="1494"/>
      <c r="AK35" s="56"/>
      <c r="AL35" s="56"/>
      <c r="AM35" s="56"/>
      <c r="AN35" s="56"/>
      <c r="AO35" s="56"/>
      <c r="AP35" s="56"/>
      <c r="AQ35" s="56"/>
      <c r="AR35" s="56"/>
    </row>
    <row r="36" spans="1:44" s="129" customFormat="1" ht="14.25" customHeight="1">
      <c r="A36" s="227" t="s">
        <v>33</v>
      </c>
      <c r="B36" s="31" t="s">
        <v>852</v>
      </c>
      <c r="C36" s="31"/>
      <c r="D36" s="31"/>
      <c r="E36" s="31"/>
      <c r="F36" s="31"/>
      <c r="G36" s="31"/>
      <c r="H36" s="31"/>
      <c r="I36" s="31"/>
      <c r="J36" s="31"/>
      <c r="K36" s="31"/>
      <c r="L36" s="31"/>
      <c r="M36" s="31"/>
      <c r="N36" s="222"/>
      <c r="O36" s="222"/>
      <c r="P36" s="222"/>
      <c r="Q36" s="32"/>
      <c r="R36" s="228"/>
      <c r="S36" s="228"/>
      <c r="V36" s="220"/>
      <c r="W36" s="220"/>
      <c r="X36" s="150"/>
      <c r="Y36" s="150"/>
      <c r="AK36" s="56"/>
      <c r="AL36" s="56"/>
      <c r="AM36" s="56"/>
      <c r="AN36" s="56"/>
      <c r="AO36" s="56"/>
      <c r="AP36" s="56"/>
      <c r="AQ36" s="56"/>
      <c r="AR36" s="56"/>
    </row>
    <row r="37" spans="1:44" s="129" customFormat="1" ht="14.25" customHeight="1">
      <c r="A37" s="227" t="s">
        <v>752</v>
      </c>
      <c r="B37" s="1489" t="s">
        <v>873</v>
      </c>
      <c r="C37" s="1490"/>
      <c r="D37" s="1490"/>
      <c r="E37" s="1490"/>
      <c r="F37" s="1490"/>
      <c r="G37" s="1490"/>
      <c r="H37" s="1490"/>
      <c r="I37" s="1490"/>
      <c r="J37" s="1490"/>
      <c r="K37" s="1490"/>
      <c r="L37" s="1490"/>
      <c r="M37" s="1490"/>
      <c r="N37" s="1490"/>
      <c r="O37" s="1490"/>
      <c r="P37" s="1490"/>
      <c r="Q37" s="231"/>
      <c r="R37" s="228"/>
      <c r="S37" s="228"/>
      <c r="V37" s="220"/>
      <c r="W37" s="220"/>
      <c r="X37" s="150"/>
      <c r="Y37" s="150"/>
      <c r="AK37" s="56"/>
      <c r="AL37" s="56"/>
      <c r="AM37" s="56"/>
      <c r="AN37" s="56"/>
      <c r="AO37" s="56"/>
      <c r="AP37" s="56"/>
      <c r="AQ37" s="56"/>
      <c r="AR37" s="56"/>
    </row>
    <row r="38" spans="1:44" s="129" customFormat="1" ht="14.25" customHeight="1">
      <c r="A38" s="227" t="s">
        <v>787</v>
      </c>
      <c r="B38" s="1489" t="s">
        <v>874</v>
      </c>
      <c r="C38" s="1489"/>
      <c r="D38" s="1489"/>
      <c r="E38" s="1489"/>
      <c r="F38" s="1489"/>
      <c r="G38" s="1489"/>
      <c r="H38" s="1489"/>
      <c r="I38" s="1489"/>
      <c r="J38" s="1489"/>
      <c r="K38" s="1489"/>
      <c r="L38" s="1489"/>
      <c r="M38" s="1489"/>
      <c r="N38" s="1489"/>
      <c r="O38" s="1489"/>
      <c r="P38" s="1489"/>
      <c r="Q38" s="1672"/>
      <c r="R38" s="228"/>
      <c r="S38" s="228"/>
      <c r="V38" s="220"/>
      <c r="W38" s="220"/>
      <c r="X38" s="150"/>
      <c r="Y38" s="150"/>
      <c r="AK38" s="56"/>
      <c r="AL38" s="56"/>
      <c r="AM38" s="56"/>
      <c r="AN38" s="56"/>
      <c r="AO38" s="56"/>
      <c r="AP38" s="56"/>
      <c r="AQ38" s="56"/>
      <c r="AR38" s="56"/>
    </row>
    <row r="39" spans="1:44" s="129" customFormat="1" ht="14.25" customHeight="1">
      <c r="A39" s="227"/>
      <c r="B39" s="1489"/>
      <c r="C39" s="1489"/>
      <c r="D39" s="1489"/>
      <c r="E39" s="1489"/>
      <c r="F39" s="1489"/>
      <c r="G39" s="1489"/>
      <c r="H39" s="1489"/>
      <c r="I39" s="1489"/>
      <c r="J39" s="1489"/>
      <c r="K39" s="1489"/>
      <c r="L39" s="1489"/>
      <c r="M39" s="1489"/>
      <c r="N39" s="1489"/>
      <c r="O39" s="1489"/>
      <c r="P39" s="1489"/>
      <c r="Q39" s="1672"/>
      <c r="R39" s="228"/>
      <c r="S39" s="228"/>
      <c r="V39" s="220"/>
      <c r="W39" s="220"/>
      <c r="X39" s="150"/>
      <c r="Y39" s="150"/>
      <c r="AK39" s="56"/>
      <c r="AL39" s="56"/>
      <c r="AM39" s="56"/>
      <c r="AN39" s="56"/>
      <c r="AO39" s="56"/>
      <c r="AP39" s="56"/>
      <c r="AQ39" s="56"/>
      <c r="AR39" s="56"/>
    </row>
    <row r="40" spans="1:44" s="129" customFormat="1" ht="14.25" customHeight="1">
      <c r="A40" s="227" t="s">
        <v>819</v>
      </c>
      <c r="B40" s="1489" t="s">
        <v>820</v>
      </c>
      <c r="C40" s="1490"/>
      <c r="D40" s="1490"/>
      <c r="E40" s="1490"/>
      <c r="F40" s="1490"/>
      <c r="G40" s="1490"/>
      <c r="H40" s="1490"/>
      <c r="I40" s="1490"/>
      <c r="J40" s="1490"/>
      <c r="K40" s="1490"/>
      <c r="L40" s="1490"/>
      <c r="M40" s="1490"/>
      <c r="N40" s="1490"/>
      <c r="O40" s="1490"/>
      <c r="P40" s="1490"/>
      <c r="Q40" s="231"/>
      <c r="R40" s="228"/>
      <c r="S40" s="228"/>
      <c r="V40" s="220"/>
      <c r="W40" s="220"/>
      <c r="X40" s="150"/>
      <c r="Y40" s="150"/>
      <c r="AK40" s="56"/>
      <c r="AL40" s="56"/>
      <c r="AM40" s="56"/>
      <c r="AN40" s="56"/>
      <c r="AO40" s="56"/>
      <c r="AP40" s="56"/>
      <c r="AQ40" s="56"/>
      <c r="AR40" s="56"/>
    </row>
    <row r="41" spans="1:44" s="129" customFormat="1" ht="14.25" customHeight="1">
      <c r="A41" s="227" t="s">
        <v>875</v>
      </c>
      <c r="B41" s="1489" t="s">
        <v>876</v>
      </c>
      <c r="C41" s="1490"/>
      <c r="D41" s="1490"/>
      <c r="E41" s="1490"/>
      <c r="F41" s="1490"/>
      <c r="G41" s="1490"/>
      <c r="H41" s="1490"/>
      <c r="I41" s="1490"/>
      <c r="J41" s="1490"/>
      <c r="K41" s="1490"/>
      <c r="L41" s="1490"/>
      <c r="M41" s="1490"/>
      <c r="N41" s="1490"/>
      <c r="O41" s="1490"/>
      <c r="P41" s="1490"/>
      <c r="Q41" s="231"/>
      <c r="R41" s="228"/>
      <c r="S41" s="228"/>
      <c r="V41" s="220"/>
      <c r="W41" s="220"/>
      <c r="X41" s="150"/>
      <c r="Y41" s="150"/>
      <c r="AK41" s="56"/>
      <c r="AL41" s="56"/>
      <c r="AM41" s="56"/>
      <c r="AN41" s="56"/>
      <c r="AO41" s="56"/>
      <c r="AP41" s="56"/>
      <c r="AQ41" s="56"/>
      <c r="AR41" s="56"/>
    </row>
    <row r="42" spans="1:44" s="129" customFormat="1" ht="14.25" customHeight="1">
      <c r="A42" s="227"/>
      <c r="B42" s="1188"/>
      <c r="C42" s="1188"/>
      <c r="D42" s="1188"/>
      <c r="E42" s="1188"/>
      <c r="F42" s="1188"/>
      <c r="G42" s="1188"/>
      <c r="H42" s="1188"/>
      <c r="I42" s="1188"/>
      <c r="J42" s="1188"/>
      <c r="K42" s="1188"/>
      <c r="L42" s="1188"/>
      <c r="M42" s="1188"/>
      <c r="N42" s="1188"/>
      <c r="O42" s="1188"/>
      <c r="P42" s="1188"/>
      <c r="Q42" s="32"/>
      <c r="R42" s="228"/>
      <c r="S42" s="228"/>
      <c r="V42" s="220"/>
      <c r="W42" s="220"/>
      <c r="X42" s="150"/>
      <c r="Y42" s="150"/>
      <c r="AK42" s="56"/>
      <c r="AL42" s="56"/>
      <c r="AM42" s="56"/>
      <c r="AN42" s="56"/>
      <c r="AO42" s="56"/>
      <c r="AP42" s="56"/>
      <c r="AQ42" s="56"/>
      <c r="AR42" s="56"/>
    </row>
    <row r="43" spans="1:44" ht="14.25" customHeight="1">
      <c r="A43" s="232"/>
      <c r="B43" s="233"/>
      <c r="C43" s="233"/>
      <c r="D43" s="233"/>
      <c r="E43" s="233"/>
      <c r="F43" s="233"/>
      <c r="G43" s="233"/>
      <c r="H43" s="233"/>
      <c r="I43" s="233"/>
      <c r="J43" s="233"/>
      <c r="K43" s="233"/>
      <c r="L43" s="233"/>
      <c r="M43" s="233"/>
      <c r="N43" s="233"/>
      <c r="O43" s="233"/>
      <c r="P43" s="233"/>
      <c r="Q43" s="234"/>
      <c r="R43" s="136"/>
      <c r="S43" s="136"/>
      <c r="T43" s="136"/>
      <c r="U43" s="136"/>
      <c r="V43" s="136"/>
      <c r="W43" s="136"/>
      <c r="X43" s="235"/>
      <c r="Y43" s="136"/>
      <c r="Z43" s="136"/>
      <c r="AA43" s="136"/>
      <c r="AB43" s="136"/>
      <c r="AC43" s="136"/>
      <c r="AD43" s="136"/>
      <c r="AK43" s="105"/>
      <c r="AL43" s="105"/>
      <c r="AM43" s="105"/>
      <c r="AN43" s="105"/>
      <c r="AO43" s="105"/>
      <c r="AP43" s="105"/>
      <c r="AQ43" s="105"/>
      <c r="AR43" s="105"/>
    </row>
    <row r="44" spans="1:44">
      <c r="A44" s="236"/>
      <c r="B44" s="236"/>
      <c r="C44" s="236"/>
      <c r="D44" s="236"/>
      <c r="E44" s="236"/>
      <c r="F44" s="236"/>
      <c r="G44" s="236"/>
      <c r="H44" s="236"/>
      <c r="I44" s="236"/>
      <c r="J44" s="236"/>
      <c r="K44" s="236"/>
      <c r="L44" s="236"/>
      <c r="M44" s="236"/>
      <c r="N44" s="236"/>
      <c r="O44" s="236"/>
      <c r="P44" s="236"/>
      <c r="Q44" s="236"/>
      <c r="R44" s="236"/>
      <c r="S44" s="236"/>
      <c r="T44" s="236"/>
      <c r="U44" s="236"/>
      <c r="V44" s="236"/>
      <c r="W44" s="236"/>
      <c r="X44" s="237"/>
      <c r="Y44" s="236"/>
      <c r="Z44" s="236"/>
      <c r="AA44" s="236"/>
      <c r="AB44" s="236"/>
      <c r="AC44" s="136"/>
      <c r="AD44" s="136"/>
      <c r="AK44" s="105"/>
      <c r="AL44" s="105"/>
      <c r="AM44" s="105"/>
      <c r="AN44" s="105"/>
      <c r="AO44" s="105"/>
      <c r="AP44" s="105"/>
      <c r="AQ44" s="105"/>
      <c r="AR44" s="105"/>
    </row>
    <row r="45" spans="1:44">
      <c r="A45" s="236"/>
      <c r="B45" s="236"/>
      <c r="C45" s="236"/>
      <c r="D45" s="236"/>
      <c r="E45" s="236"/>
      <c r="F45" s="236"/>
      <c r="G45" s="236"/>
      <c r="H45" s="236"/>
      <c r="I45" s="236"/>
      <c r="J45" s="236"/>
      <c r="K45" s="236"/>
      <c r="L45" s="236"/>
      <c r="M45" s="236"/>
      <c r="N45" s="236"/>
      <c r="O45" s="236"/>
      <c r="P45" s="236"/>
      <c r="Q45" s="236"/>
      <c r="R45" s="236"/>
      <c r="S45" s="236"/>
      <c r="T45" s="236"/>
      <c r="U45" s="236"/>
      <c r="V45" s="236"/>
      <c r="W45" s="236"/>
      <c r="X45" s="237"/>
      <c r="Y45" s="236"/>
      <c r="Z45" s="236"/>
      <c r="AA45" s="236"/>
      <c r="AB45" s="236"/>
      <c r="AC45" s="236"/>
      <c r="AD45" s="236"/>
      <c r="AE45" s="105"/>
      <c r="AF45" s="105"/>
      <c r="AG45" s="105"/>
      <c r="AH45" s="105"/>
      <c r="AI45" s="105"/>
      <c r="AJ45" s="105"/>
      <c r="AK45" s="105"/>
      <c r="AL45" s="105"/>
      <c r="AM45" s="105"/>
      <c r="AN45" s="105"/>
      <c r="AO45" s="105"/>
      <c r="AP45" s="105"/>
      <c r="AQ45" s="105"/>
      <c r="AR45" s="105"/>
    </row>
    <row r="46" spans="1:44">
      <c r="A46" s="236"/>
      <c r="B46" s="236"/>
      <c r="C46" s="236"/>
      <c r="D46" s="236"/>
      <c r="E46" s="236"/>
      <c r="F46" s="236"/>
      <c r="G46" s="236"/>
      <c r="H46" s="236"/>
      <c r="I46" s="236"/>
      <c r="J46" s="236"/>
      <c r="K46" s="236"/>
      <c r="L46" s="236"/>
      <c r="M46" s="236"/>
      <c r="N46" s="236"/>
      <c r="O46" s="236"/>
      <c r="P46" s="236"/>
      <c r="Q46" s="236"/>
      <c r="R46" s="236"/>
      <c r="S46" s="236"/>
      <c r="T46" s="236"/>
      <c r="U46" s="236"/>
      <c r="V46" s="236"/>
      <c r="W46" s="236"/>
      <c r="X46" s="237"/>
      <c r="Y46" s="236"/>
      <c r="Z46" s="236"/>
      <c r="AA46" s="236"/>
      <c r="AB46" s="236"/>
      <c r="AC46" s="236"/>
      <c r="AD46" s="105"/>
      <c r="AE46" s="105"/>
      <c r="AF46" s="105"/>
      <c r="AG46" s="105"/>
      <c r="AH46" s="105"/>
      <c r="AI46" s="105"/>
      <c r="AJ46" s="105"/>
      <c r="AK46" s="105"/>
      <c r="AL46" s="105"/>
      <c r="AM46" s="105"/>
      <c r="AN46" s="105"/>
      <c r="AO46" s="105"/>
      <c r="AP46" s="105"/>
      <c r="AQ46" s="105"/>
      <c r="AR46" s="105"/>
    </row>
    <row r="47" spans="1:44">
      <c r="A47" s="236"/>
      <c r="B47" s="236"/>
      <c r="C47" s="236"/>
      <c r="D47" s="236"/>
      <c r="E47" s="236"/>
      <c r="F47" s="236"/>
      <c r="G47" s="236"/>
      <c r="H47" s="236"/>
      <c r="I47" s="236"/>
      <c r="J47" s="236"/>
      <c r="K47" s="236"/>
      <c r="L47" s="236"/>
      <c r="M47" s="236"/>
      <c r="N47" s="236"/>
      <c r="O47" s="236"/>
      <c r="P47" s="236"/>
      <c r="Q47" s="236"/>
      <c r="R47" s="236"/>
      <c r="S47" s="236"/>
      <c r="T47" s="236"/>
      <c r="U47" s="236"/>
      <c r="V47" s="236"/>
      <c r="W47" s="236"/>
      <c r="X47" s="237"/>
      <c r="Y47" s="236"/>
      <c r="Z47" s="236"/>
      <c r="AA47" s="236"/>
      <c r="AB47" s="236"/>
      <c r="AC47" s="236"/>
      <c r="AD47" s="105"/>
      <c r="AE47" s="105"/>
      <c r="AF47" s="105"/>
      <c r="AG47" s="105"/>
      <c r="AH47" s="105"/>
      <c r="AI47" s="105"/>
      <c r="AJ47" s="105"/>
      <c r="AK47" s="105"/>
      <c r="AL47" s="105"/>
      <c r="AM47" s="105"/>
      <c r="AN47" s="105"/>
      <c r="AO47" s="105"/>
      <c r="AP47" s="105"/>
      <c r="AQ47" s="105"/>
      <c r="AR47" s="105"/>
    </row>
    <row r="48" spans="1:44">
      <c r="A48" s="236"/>
      <c r="B48" s="236"/>
      <c r="C48" s="236"/>
      <c r="D48" s="236"/>
      <c r="E48" s="236"/>
      <c r="F48" s="236"/>
      <c r="G48" s="236"/>
      <c r="H48" s="236"/>
      <c r="I48" s="236"/>
      <c r="J48" s="236"/>
      <c r="K48" s="236"/>
      <c r="L48" s="236"/>
      <c r="M48" s="236"/>
      <c r="N48" s="236"/>
      <c r="O48" s="236"/>
      <c r="P48" s="236"/>
      <c r="Q48" s="236"/>
      <c r="R48" s="236"/>
      <c r="S48" s="236"/>
      <c r="T48" s="236"/>
      <c r="U48" s="236"/>
      <c r="V48" s="236"/>
      <c r="W48" s="236"/>
      <c r="X48" s="237"/>
      <c r="Y48" s="236"/>
      <c r="Z48" s="236"/>
      <c r="AA48" s="236"/>
      <c r="AB48" s="236"/>
      <c r="AC48" s="236"/>
      <c r="AD48" s="105"/>
      <c r="AE48" s="105"/>
      <c r="AF48" s="105"/>
      <c r="AG48" s="105"/>
      <c r="AH48" s="105"/>
      <c r="AI48" s="105"/>
      <c r="AJ48" s="105"/>
      <c r="AK48" s="105"/>
      <c r="AL48" s="105"/>
      <c r="AM48" s="105"/>
      <c r="AN48" s="105"/>
      <c r="AO48" s="105"/>
      <c r="AP48" s="105"/>
      <c r="AQ48" s="105"/>
      <c r="AR48" s="105"/>
    </row>
    <row r="49" spans="1:44">
      <c r="A49" s="236"/>
      <c r="B49" s="236"/>
      <c r="C49" s="236"/>
      <c r="D49" s="236"/>
      <c r="E49" s="236"/>
      <c r="F49" s="236"/>
      <c r="G49" s="236"/>
      <c r="H49" s="236"/>
      <c r="I49" s="236"/>
      <c r="J49" s="236"/>
      <c r="K49" s="236"/>
      <c r="L49" s="236"/>
      <c r="M49" s="236"/>
      <c r="N49" s="236"/>
      <c r="O49" s="236"/>
      <c r="P49" s="236"/>
      <c r="Q49" s="236"/>
      <c r="R49" s="236"/>
      <c r="S49" s="236"/>
      <c r="T49" s="236"/>
      <c r="U49" s="236"/>
      <c r="V49" s="236"/>
      <c r="W49" s="236"/>
      <c r="X49" s="237"/>
      <c r="Y49" s="236"/>
      <c r="Z49" s="236"/>
      <c r="AA49" s="236"/>
      <c r="AB49" s="236"/>
      <c r="AC49" s="236"/>
      <c r="AD49" s="105"/>
      <c r="AE49" s="105"/>
      <c r="AF49" s="105"/>
      <c r="AG49" s="105"/>
      <c r="AH49" s="105"/>
      <c r="AI49" s="105"/>
      <c r="AJ49" s="105"/>
      <c r="AK49" s="105"/>
      <c r="AL49" s="105"/>
      <c r="AM49" s="105"/>
      <c r="AN49" s="105"/>
      <c r="AO49" s="105"/>
      <c r="AP49" s="105"/>
      <c r="AQ49" s="105"/>
      <c r="AR49" s="105"/>
    </row>
    <row r="50" spans="1:44">
      <c r="A50" s="236"/>
      <c r="B50" s="236"/>
      <c r="C50" s="236"/>
      <c r="D50" s="236"/>
      <c r="E50" s="236"/>
      <c r="F50" s="236"/>
      <c r="G50" s="236"/>
      <c r="H50" s="236"/>
      <c r="I50" s="236"/>
      <c r="J50" s="236"/>
      <c r="K50" s="236"/>
      <c r="L50" s="236"/>
      <c r="M50" s="236"/>
      <c r="N50" s="236"/>
      <c r="O50" s="236"/>
      <c r="P50" s="236"/>
      <c r="Q50" s="236"/>
      <c r="R50" s="236"/>
      <c r="S50" s="236"/>
      <c r="T50" s="236"/>
      <c r="U50" s="236"/>
      <c r="V50" s="236"/>
      <c r="W50" s="236"/>
      <c r="X50" s="237"/>
      <c r="Y50" s="236"/>
      <c r="Z50" s="236"/>
      <c r="AA50" s="236"/>
      <c r="AB50" s="236"/>
      <c r="AC50" s="236"/>
      <c r="AD50" s="105"/>
      <c r="AE50" s="105"/>
      <c r="AF50" s="105"/>
      <c r="AG50" s="105"/>
      <c r="AH50" s="105"/>
      <c r="AI50" s="105"/>
      <c r="AJ50" s="105"/>
      <c r="AK50" s="105"/>
      <c r="AL50" s="105"/>
      <c r="AM50" s="105"/>
      <c r="AN50" s="105"/>
      <c r="AO50" s="105"/>
      <c r="AP50" s="105"/>
      <c r="AQ50" s="105"/>
      <c r="AR50" s="105"/>
    </row>
    <row r="51" spans="1:44">
      <c r="A51" s="236"/>
      <c r="B51" s="236"/>
      <c r="C51" s="236"/>
      <c r="D51" s="236"/>
      <c r="E51" s="236"/>
      <c r="F51" s="236"/>
      <c r="G51" s="236"/>
      <c r="H51" s="236"/>
      <c r="I51" s="236"/>
      <c r="J51" s="236"/>
      <c r="K51" s="236"/>
      <c r="L51" s="236"/>
      <c r="M51" s="236"/>
      <c r="N51" s="236"/>
      <c r="O51" s="236"/>
      <c r="P51" s="236"/>
      <c r="Q51" s="236"/>
      <c r="R51" s="236"/>
      <c r="S51" s="236"/>
      <c r="T51" s="236"/>
      <c r="U51" s="236"/>
      <c r="V51" s="236"/>
      <c r="W51" s="236"/>
      <c r="X51" s="237"/>
      <c r="Y51" s="236"/>
      <c r="Z51" s="236"/>
      <c r="AA51" s="236"/>
      <c r="AB51" s="236"/>
      <c r="AC51" s="236"/>
      <c r="AD51" s="105"/>
      <c r="AE51" s="105"/>
      <c r="AF51" s="105"/>
      <c r="AG51" s="105"/>
      <c r="AH51" s="105"/>
      <c r="AI51" s="105"/>
      <c r="AJ51" s="105"/>
      <c r="AK51" s="105"/>
      <c r="AL51" s="105"/>
      <c r="AM51" s="105"/>
      <c r="AN51" s="105"/>
      <c r="AO51" s="105"/>
      <c r="AP51" s="105"/>
      <c r="AQ51" s="105"/>
      <c r="AR51" s="105"/>
    </row>
    <row r="52" spans="1:44">
      <c r="A52" s="236"/>
      <c r="B52" s="236"/>
      <c r="C52" s="236"/>
      <c r="D52" s="236"/>
      <c r="E52" s="236"/>
      <c r="F52" s="236"/>
      <c r="G52" s="236"/>
      <c r="H52" s="236"/>
      <c r="I52" s="236"/>
      <c r="J52" s="236"/>
      <c r="K52" s="236"/>
      <c r="L52" s="236"/>
      <c r="M52" s="236"/>
      <c r="N52" s="236"/>
      <c r="O52" s="236"/>
      <c r="P52" s="236"/>
      <c r="Q52" s="236"/>
      <c r="R52" s="236"/>
      <c r="S52" s="236"/>
      <c r="T52" s="236"/>
      <c r="U52" s="236"/>
      <c r="V52" s="236"/>
      <c r="W52" s="236"/>
      <c r="X52" s="237"/>
      <c r="Y52" s="236"/>
      <c r="Z52" s="236"/>
      <c r="AA52" s="236"/>
      <c r="AB52" s="236"/>
      <c r="AC52" s="236"/>
      <c r="AD52" s="105"/>
      <c r="AE52" s="105"/>
      <c r="AF52" s="105"/>
      <c r="AG52" s="105"/>
      <c r="AH52" s="105"/>
      <c r="AI52" s="105"/>
      <c r="AJ52" s="105"/>
      <c r="AK52" s="105"/>
      <c r="AL52" s="105"/>
      <c r="AM52" s="105"/>
      <c r="AN52" s="105"/>
      <c r="AO52" s="105"/>
      <c r="AP52" s="105"/>
      <c r="AQ52" s="105"/>
      <c r="AR52" s="105"/>
    </row>
    <row r="53" spans="1:44">
      <c r="A53" s="236"/>
      <c r="B53" s="236"/>
      <c r="C53" s="236"/>
      <c r="D53" s="236"/>
      <c r="E53" s="236"/>
      <c r="F53" s="236"/>
      <c r="G53" s="236"/>
      <c r="H53" s="236"/>
      <c r="I53" s="236"/>
      <c r="J53" s="236"/>
      <c r="K53" s="236"/>
      <c r="L53" s="236"/>
      <c r="M53" s="236"/>
      <c r="N53" s="236"/>
      <c r="O53" s="236"/>
      <c r="P53" s="236"/>
      <c r="Q53" s="236"/>
      <c r="R53" s="236"/>
      <c r="S53" s="236"/>
      <c r="T53" s="236"/>
      <c r="U53" s="236"/>
      <c r="V53" s="236"/>
      <c r="W53" s="236"/>
      <c r="X53" s="237"/>
      <c r="Y53" s="236"/>
      <c r="Z53" s="236"/>
      <c r="AA53" s="236"/>
      <c r="AB53" s="236"/>
      <c r="AC53" s="236"/>
      <c r="AD53" s="105"/>
      <c r="AE53" s="105"/>
      <c r="AF53" s="105"/>
      <c r="AG53" s="105"/>
      <c r="AH53" s="105"/>
      <c r="AI53" s="105"/>
      <c r="AJ53" s="105"/>
      <c r="AK53" s="105"/>
      <c r="AL53" s="105"/>
      <c r="AM53" s="105"/>
      <c r="AN53" s="105"/>
      <c r="AO53" s="105"/>
      <c r="AP53" s="105"/>
      <c r="AQ53" s="105"/>
      <c r="AR53" s="105"/>
    </row>
    <row r="54" spans="1:44" s="137" customFormat="1">
      <c r="A54" s="236"/>
      <c r="B54" s="236"/>
      <c r="C54" s="236"/>
      <c r="D54" s="236"/>
      <c r="E54" s="236"/>
      <c r="F54" s="236"/>
      <c r="G54" s="236"/>
      <c r="H54" s="236"/>
      <c r="I54" s="236"/>
      <c r="J54" s="236"/>
      <c r="K54" s="236"/>
      <c r="L54" s="236"/>
      <c r="M54" s="236"/>
      <c r="N54" s="236"/>
      <c r="O54" s="236"/>
      <c r="P54" s="236"/>
      <c r="Q54" s="236"/>
      <c r="R54" s="236"/>
      <c r="S54" s="236"/>
      <c r="T54" s="236"/>
      <c r="U54" s="236"/>
      <c r="V54" s="236"/>
      <c r="W54" s="236"/>
      <c r="X54" s="237"/>
      <c r="Y54" s="236"/>
      <c r="Z54" s="236"/>
      <c r="AA54" s="236"/>
      <c r="AB54" s="236"/>
      <c r="AC54" s="236"/>
      <c r="AD54" s="105"/>
      <c r="AE54" s="105"/>
      <c r="AF54" s="105"/>
      <c r="AG54" s="105"/>
      <c r="AH54" s="105"/>
      <c r="AI54" s="105"/>
      <c r="AJ54" s="105"/>
      <c r="AK54" s="105"/>
      <c r="AL54" s="105"/>
      <c r="AM54" s="105"/>
      <c r="AN54" s="105"/>
      <c r="AO54" s="105"/>
      <c r="AP54" s="105"/>
      <c r="AQ54" s="105"/>
      <c r="AR54" s="105"/>
    </row>
    <row r="55" spans="1:44" s="137" customFormat="1">
      <c r="A55" s="236"/>
      <c r="B55" s="236"/>
      <c r="C55" s="236"/>
      <c r="D55" s="236"/>
      <c r="E55" s="236"/>
      <c r="F55" s="236"/>
      <c r="G55" s="236"/>
      <c r="H55" s="236"/>
      <c r="I55" s="236"/>
      <c r="J55" s="236"/>
      <c r="K55" s="236"/>
      <c r="L55" s="236"/>
      <c r="M55" s="236"/>
      <c r="N55" s="236"/>
      <c r="O55" s="236"/>
      <c r="P55" s="236"/>
      <c r="Q55" s="236"/>
      <c r="R55" s="236"/>
      <c r="S55" s="236"/>
      <c r="T55" s="236"/>
      <c r="U55" s="236"/>
      <c r="V55" s="236"/>
      <c r="W55" s="236"/>
      <c r="X55" s="237"/>
      <c r="Y55" s="236"/>
      <c r="Z55" s="236"/>
      <c r="AA55" s="236"/>
      <c r="AB55" s="236"/>
      <c r="AC55" s="236"/>
      <c r="AD55" s="105"/>
      <c r="AE55" s="105"/>
      <c r="AF55" s="105"/>
      <c r="AG55" s="105"/>
      <c r="AH55" s="105"/>
      <c r="AI55" s="105"/>
      <c r="AJ55" s="105"/>
      <c r="AK55" s="105"/>
      <c r="AL55" s="105"/>
      <c r="AM55" s="105"/>
      <c r="AN55" s="105"/>
      <c r="AO55" s="105"/>
      <c r="AP55" s="105"/>
      <c r="AQ55" s="105"/>
      <c r="AR55" s="105"/>
    </row>
    <row r="56" spans="1:44" s="137" customFormat="1">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7"/>
      <c r="Y56" s="236"/>
      <c r="Z56" s="236"/>
      <c r="AA56" s="236"/>
      <c r="AB56" s="236"/>
      <c r="AC56" s="236"/>
      <c r="AD56" s="105"/>
      <c r="AE56" s="105"/>
      <c r="AF56" s="105"/>
      <c r="AG56" s="105"/>
      <c r="AH56" s="105"/>
      <c r="AI56" s="105"/>
      <c r="AJ56" s="105"/>
      <c r="AK56" s="105"/>
      <c r="AL56" s="105"/>
      <c r="AM56" s="105"/>
      <c r="AN56" s="105"/>
      <c r="AO56" s="105"/>
      <c r="AP56" s="105"/>
      <c r="AQ56" s="105"/>
      <c r="AR56" s="105"/>
    </row>
    <row r="57" spans="1:44" s="137" customFormat="1">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7"/>
      <c r="Y57" s="236"/>
      <c r="Z57" s="236"/>
      <c r="AA57" s="236"/>
      <c r="AB57" s="236"/>
      <c r="AC57" s="236"/>
      <c r="AD57" s="105"/>
      <c r="AE57" s="105"/>
      <c r="AF57" s="105"/>
      <c r="AG57" s="105"/>
      <c r="AH57" s="105"/>
      <c r="AI57" s="105"/>
      <c r="AJ57" s="105"/>
      <c r="AK57" s="105"/>
      <c r="AL57" s="105"/>
      <c r="AM57" s="105"/>
      <c r="AN57" s="105"/>
      <c r="AO57" s="105"/>
      <c r="AP57" s="105"/>
      <c r="AQ57" s="105"/>
      <c r="AR57" s="105"/>
    </row>
    <row r="58" spans="1:44" s="137" customFormat="1">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7"/>
      <c r="Y58" s="236"/>
      <c r="Z58" s="236"/>
      <c r="AA58" s="236"/>
      <c r="AB58" s="236"/>
      <c r="AC58" s="236"/>
      <c r="AD58" s="105"/>
      <c r="AE58" s="105"/>
      <c r="AF58" s="105"/>
      <c r="AG58" s="105"/>
      <c r="AH58" s="105"/>
      <c r="AI58" s="105"/>
      <c r="AJ58" s="105"/>
      <c r="AK58" s="105"/>
      <c r="AL58" s="105"/>
      <c r="AM58" s="105"/>
      <c r="AN58" s="105"/>
      <c r="AO58" s="105"/>
      <c r="AP58" s="105"/>
      <c r="AQ58" s="105"/>
      <c r="AR58" s="105"/>
    </row>
    <row r="59" spans="1:44" s="137" customFormat="1">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7"/>
      <c r="Y59" s="236"/>
      <c r="Z59" s="236"/>
      <c r="AA59" s="236"/>
      <c r="AB59" s="236"/>
      <c r="AC59" s="236"/>
      <c r="AD59" s="105"/>
      <c r="AE59" s="105"/>
      <c r="AF59" s="105"/>
      <c r="AG59" s="105"/>
      <c r="AH59" s="105"/>
      <c r="AI59" s="105"/>
      <c r="AJ59" s="105"/>
      <c r="AK59" s="105"/>
      <c r="AL59" s="105"/>
      <c r="AM59" s="105"/>
      <c r="AN59" s="105"/>
      <c r="AO59" s="105"/>
      <c r="AP59" s="105"/>
      <c r="AQ59" s="105"/>
      <c r="AR59" s="105"/>
    </row>
    <row r="60" spans="1:44" s="137" customFormat="1">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7"/>
      <c r="Y60" s="236"/>
      <c r="Z60" s="236"/>
      <c r="AA60" s="236"/>
      <c r="AB60" s="236"/>
      <c r="AC60" s="236"/>
      <c r="AD60" s="105"/>
      <c r="AE60" s="105"/>
      <c r="AF60" s="105"/>
      <c r="AG60" s="105"/>
      <c r="AH60" s="105"/>
      <c r="AI60" s="105"/>
      <c r="AJ60" s="105"/>
      <c r="AK60" s="105"/>
      <c r="AL60" s="105"/>
      <c r="AM60" s="105"/>
      <c r="AN60" s="105"/>
      <c r="AO60" s="105"/>
      <c r="AP60" s="105"/>
      <c r="AQ60" s="105"/>
      <c r="AR60" s="105"/>
    </row>
    <row r="61" spans="1:44" s="137" customFormat="1">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7"/>
      <c r="Y61" s="236"/>
      <c r="Z61" s="236"/>
      <c r="AA61" s="236"/>
      <c r="AB61" s="236"/>
      <c r="AC61" s="236"/>
      <c r="AD61" s="105"/>
      <c r="AE61" s="105"/>
      <c r="AF61" s="105"/>
      <c r="AG61" s="105"/>
      <c r="AH61" s="105"/>
      <c r="AI61" s="105"/>
      <c r="AJ61" s="105"/>
      <c r="AK61" s="105"/>
      <c r="AL61" s="105"/>
      <c r="AM61" s="105"/>
      <c r="AN61" s="105"/>
      <c r="AO61" s="105"/>
      <c r="AP61" s="105"/>
      <c r="AQ61" s="105"/>
      <c r="AR61" s="105"/>
    </row>
    <row r="62" spans="1:44" s="137" customFormat="1">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36"/>
      <c r="Z62" s="236"/>
      <c r="AA62" s="236"/>
      <c r="AB62" s="236"/>
      <c r="AC62" s="236"/>
      <c r="AD62" s="105"/>
      <c r="AE62" s="105"/>
      <c r="AF62" s="105"/>
      <c r="AG62" s="105"/>
      <c r="AH62" s="105"/>
      <c r="AI62" s="105"/>
      <c r="AJ62" s="105"/>
      <c r="AK62" s="105"/>
      <c r="AL62" s="105"/>
      <c r="AM62" s="105"/>
      <c r="AN62" s="105"/>
      <c r="AO62" s="105"/>
      <c r="AP62" s="105"/>
      <c r="AQ62" s="105"/>
      <c r="AR62" s="105"/>
    </row>
    <row r="63" spans="1:44" s="137" customFormat="1">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7"/>
      <c r="Y63" s="236"/>
      <c r="Z63" s="236"/>
      <c r="AA63" s="236"/>
      <c r="AB63" s="236"/>
      <c r="AC63" s="236"/>
      <c r="AD63" s="105"/>
      <c r="AE63" s="105"/>
      <c r="AF63" s="105"/>
      <c r="AG63" s="105"/>
      <c r="AH63" s="105"/>
      <c r="AI63" s="105"/>
      <c r="AJ63" s="105"/>
      <c r="AK63" s="105"/>
      <c r="AL63" s="105"/>
      <c r="AM63" s="105"/>
      <c r="AN63" s="105"/>
      <c r="AO63" s="105"/>
      <c r="AP63" s="105"/>
      <c r="AQ63" s="105"/>
      <c r="AR63" s="105"/>
    </row>
    <row r="64" spans="1:44" s="137" customFormat="1">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7"/>
      <c r="Y64" s="236"/>
      <c r="Z64" s="236"/>
      <c r="AA64" s="236"/>
      <c r="AB64" s="236"/>
      <c r="AC64" s="236"/>
      <c r="AD64" s="105"/>
      <c r="AE64" s="105"/>
      <c r="AF64" s="105"/>
      <c r="AG64" s="105"/>
      <c r="AH64" s="105"/>
      <c r="AI64" s="105"/>
      <c r="AJ64" s="105"/>
      <c r="AK64" s="105"/>
      <c r="AL64" s="105"/>
      <c r="AM64" s="105"/>
      <c r="AN64" s="105"/>
      <c r="AO64" s="105"/>
      <c r="AP64" s="105"/>
      <c r="AQ64" s="105"/>
      <c r="AR64" s="105"/>
    </row>
    <row r="65" spans="1:44" s="137" customFormat="1">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7"/>
      <c r="Y65" s="236"/>
      <c r="Z65" s="236"/>
      <c r="AA65" s="236"/>
      <c r="AB65" s="236"/>
      <c r="AC65" s="236"/>
      <c r="AD65" s="105"/>
      <c r="AE65" s="105"/>
      <c r="AF65" s="105"/>
      <c r="AG65" s="105"/>
      <c r="AH65" s="105"/>
      <c r="AI65" s="105"/>
      <c r="AJ65" s="105"/>
      <c r="AK65" s="105"/>
      <c r="AL65" s="105"/>
      <c r="AM65" s="105"/>
      <c r="AN65" s="105"/>
      <c r="AO65" s="105"/>
      <c r="AP65" s="105"/>
      <c r="AQ65" s="105"/>
      <c r="AR65" s="105"/>
    </row>
    <row r="66" spans="1:44" s="137" customFormat="1">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36"/>
      <c r="Z66" s="236"/>
      <c r="AA66" s="236"/>
      <c r="AB66" s="236"/>
      <c r="AC66" s="236"/>
      <c r="AD66" s="105"/>
      <c r="AE66" s="105"/>
      <c r="AF66" s="105"/>
      <c r="AG66" s="105"/>
      <c r="AH66" s="105"/>
      <c r="AI66" s="105"/>
      <c r="AJ66" s="105"/>
      <c r="AK66" s="105"/>
      <c r="AL66" s="105"/>
      <c r="AM66" s="105"/>
      <c r="AN66" s="105"/>
      <c r="AO66" s="105"/>
      <c r="AP66" s="105"/>
      <c r="AQ66" s="105"/>
      <c r="AR66" s="105"/>
    </row>
    <row r="67" spans="1:44" s="137" customFormat="1">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7"/>
      <c r="Y67" s="236"/>
      <c r="Z67" s="236"/>
      <c r="AA67" s="236"/>
      <c r="AB67" s="236"/>
      <c r="AC67" s="236"/>
      <c r="AD67" s="105"/>
      <c r="AE67" s="105"/>
      <c r="AF67" s="105"/>
      <c r="AG67" s="105"/>
      <c r="AH67" s="105"/>
      <c r="AI67" s="105"/>
      <c r="AJ67" s="105"/>
      <c r="AK67" s="105"/>
      <c r="AL67" s="105"/>
      <c r="AM67" s="105"/>
      <c r="AN67" s="105"/>
      <c r="AO67" s="105"/>
      <c r="AP67" s="105"/>
      <c r="AQ67" s="105"/>
      <c r="AR67" s="105"/>
    </row>
    <row r="68" spans="1:44" s="137" customFormat="1">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7"/>
      <c r="Y68" s="236"/>
      <c r="Z68" s="236"/>
      <c r="AA68" s="236"/>
      <c r="AB68" s="236"/>
      <c r="AC68" s="236"/>
      <c r="AD68" s="105"/>
      <c r="AE68" s="105"/>
      <c r="AF68" s="105"/>
      <c r="AG68" s="105"/>
      <c r="AH68" s="105"/>
      <c r="AI68" s="105"/>
      <c r="AJ68" s="105"/>
      <c r="AK68" s="105"/>
      <c r="AL68" s="105"/>
      <c r="AM68" s="105"/>
      <c r="AN68" s="105"/>
      <c r="AO68" s="105"/>
      <c r="AP68" s="105"/>
      <c r="AQ68" s="105"/>
      <c r="AR68" s="105"/>
    </row>
    <row r="69" spans="1:44" s="137" customFormat="1">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7"/>
      <c r="Y69" s="236"/>
      <c r="Z69" s="236"/>
      <c r="AA69" s="236"/>
      <c r="AB69" s="236"/>
      <c r="AC69" s="236"/>
      <c r="AD69" s="105"/>
      <c r="AE69" s="105"/>
      <c r="AF69" s="105"/>
      <c r="AG69" s="105"/>
      <c r="AH69" s="105"/>
      <c r="AI69" s="105"/>
      <c r="AJ69" s="105"/>
      <c r="AK69" s="105"/>
      <c r="AL69" s="105"/>
      <c r="AM69" s="105"/>
      <c r="AN69" s="105"/>
      <c r="AO69" s="105"/>
      <c r="AP69" s="105"/>
      <c r="AQ69" s="105"/>
      <c r="AR69" s="105"/>
    </row>
    <row r="70" spans="1:44">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36"/>
      <c r="Z70" s="236"/>
      <c r="AA70" s="236"/>
      <c r="AB70" s="236"/>
      <c r="AC70" s="236"/>
      <c r="AD70" s="105"/>
      <c r="AE70" s="105"/>
      <c r="AF70" s="105"/>
      <c r="AG70" s="105"/>
      <c r="AH70" s="105"/>
      <c r="AI70" s="105"/>
      <c r="AJ70" s="105"/>
      <c r="AK70" s="105"/>
      <c r="AL70" s="105"/>
      <c r="AM70" s="105"/>
      <c r="AN70" s="105"/>
      <c r="AO70" s="105"/>
      <c r="AP70" s="105"/>
      <c r="AQ70" s="105"/>
      <c r="AR70" s="105"/>
    </row>
    <row r="71" spans="1:44">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7"/>
      <c r="Y71" s="236"/>
      <c r="Z71" s="236"/>
      <c r="AA71" s="236"/>
      <c r="AB71" s="236"/>
      <c r="AC71" s="236"/>
      <c r="AD71" s="105"/>
      <c r="AE71" s="105"/>
      <c r="AF71" s="105"/>
      <c r="AG71" s="105"/>
      <c r="AH71" s="105"/>
      <c r="AI71" s="105"/>
      <c r="AJ71" s="105"/>
      <c r="AK71" s="105"/>
      <c r="AL71" s="105"/>
      <c r="AM71" s="105"/>
      <c r="AN71" s="105"/>
      <c r="AO71" s="105"/>
      <c r="AP71" s="105"/>
      <c r="AQ71" s="105"/>
      <c r="AR71" s="105"/>
    </row>
    <row r="72" spans="1:44">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7"/>
      <c r="Y72" s="236"/>
      <c r="Z72" s="236"/>
      <c r="AA72" s="236"/>
      <c r="AB72" s="236"/>
      <c r="AC72" s="236"/>
      <c r="AD72" s="105"/>
      <c r="AE72" s="105"/>
      <c r="AF72" s="105"/>
      <c r="AG72" s="105"/>
      <c r="AH72" s="105"/>
      <c r="AI72" s="105"/>
      <c r="AJ72" s="105"/>
      <c r="AK72" s="105"/>
      <c r="AL72" s="105"/>
      <c r="AM72" s="105"/>
      <c r="AN72" s="105"/>
      <c r="AO72" s="105"/>
      <c r="AP72" s="105"/>
      <c r="AQ72" s="105"/>
      <c r="AR72" s="105"/>
    </row>
    <row r="73" spans="1:44">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7"/>
      <c r="Y73" s="236"/>
      <c r="Z73" s="236"/>
      <c r="AA73" s="236"/>
      <c r="AB73" s="236"/>
      <c r="AC73" s="236"/>
      <c r="AD73" s="105"/>
      <c r="AE73" s="105"/>
      <c r="AF73" s="105"/>
      <c r="AG73" s="105"/>
      <c r="AH73" s="105"/>
      <c r="AI73" s="105"/>
      <c r="AJ73" s="105"/>
      <c r="AK73" s="105"/>
      <c r="AL73" s="105"/>
      <c r="AM73" s="105"/>
      <c r="AN73" s="105"/>
      <c r="AO73" s="105"/>
      <c r="AP73" s="105"/>
      <c r="AQ73" s="105"/>
      <c r="AR73" s="105"/>
    </row>
    <row r="74" spans="1:44">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36"/>
      <c r="Z74" s="236"/>
      <c r="AA74" s="236"/>
      <c r="AB74" s="236"/>
      <c r="AC74" s="236"/>
      <c r="AD74" s="105"/>
      <c r="AE74" s="105"/>
      <c r="AF74" s="105"/>
      <c r="AG74" s="105"/>
      <c r="AH74" s="105"/>
      <c r="AI74" s="105"/>
      <c r="AJ74" s="105"/>
      <c r="AK74" s="105"/>
      <c r="AL74" s="105"/>
      <c r="AM74" s="105"/>
      <c r="AN74" s="105"/>
      <c r="AO74" s="105"/>
      <c r="AP74" s="105"/>
      <c r="AQ74" s="105"/>
      <c r="AR74" s="105"/>
    </row>
    <row r="75" spans="1:44">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7"/>
      <c r="Y75" s="236"/>
      <c r="Z75" s="236"/>
      <c r="AA75" s="236"/>
      <c r="AB75" s="236"/>
      <c r="AC75" s="236"/>
      <c r="AD75" s="105"/>
      <c r="AE75" s="105"/>
      <c r="AF75" s="105"/>
      <c r="AG75" s="105"/>
      <c r="AH75" s="105"/>
      <c r="AI75" s="105"/>
      <c r="AJ75" s="105"/>
      <c r="AK75" s="105"/>
      <c r="AL75" s="105"/>
      <c r="AM75" s="105"/>
      <c r="AN75" s="105"/>
      <c r="AO75" s="105"/>
      <c r="AP75" s="105"/>
      <c r="AQ75" s="105"/>
      <c r="AR75" s="105"/>
    </row>
    <row r="76" spans="1:44">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7"/>
      <c r="Y76" s="236"/>
      <c r="Z76" s="236"/>
      <c r="AA76" s="236"/>
      <c r="AB76" s="236"/>
      <c r="AC76" s="236"/>
      <c r="AD76" s="105"/>
      <c r="AE76" s="105"/>
      <c r="AF76" s="105"/>
      <c r="AG76" s="105"/>
      <c r="AH76" s="105"/>
      <c r="AI76" s="105"/>
      <c r="AJ76" s="105"/>
      <c r="AK76" s="105"/>
      <c r="AL76" s="105"/>
      <c r="AM76" s="105"/>
      <c r="AN76" s="105"/>
      <c r="AO76" s="105"/>
      <c r="AP76" s="105"/>
      <c r="AQ76" s="105"/>
      <c r="AR76" s="105"/>
    </row>
    <row r="77" spans="1:44">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7"/>
      <c r="Y77" s="236"/>
      <c r="Z77" s="236"/>
      <c r="AA77" s="236"/>
      <c r="AB77" s="236"/>
      <c r="AC77" s="236"/>
      <c r="AD77" s="105"/>
      <c r="AE77" s="105"/>
      <c r="AF77" s="105"/>
      <c r="AG77" s="105"/>
      <c r="AH77" s="105"/>
      <c r="AI77" s="105"/>
      <c r="AJ77" s="105"/>
      <c r="AK77" s="105"/>
      <c r="AL77" s="105"/>
      <c r="AM77" s="105"/>
      <c r="AN77" s="105"/>
      <c r="AO77" s="105"/>
      <c r="AP77" s="105"/>
      <c r="AQ77" s="105"/>
      <c r="AR77" s="105"/>
    </row>
    <row r="78" spans="1:44">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36"/>
      <c r="Z78" s="236"/>
      <c r="AA78" s="236"/>
      <c r="AB78" s="236"/>
      <c r="AC78" s="236"/>
      <c r="AD78" s="105"/>
      <c r="AE78" s="105"/>
      <c r="AF78" s="105"/>
      <c r="AG78" s="105"/>
      <c r="AH78" s="105"/>
      <c r="AI78" s="105"/>
      <c r="AJ78" s="105"/>
      <c r="AK78" s="105"/>
      <c r="AL78" s="105"/>
      <c r="AM78" s="105"/>
      <c r="AN78" s="105"/>
      <c r="AO78" s="105"/>
      <c r="AP78" s="105"/>
      <c r="AQ78" s="105"/>
      <c r="AR78" s="105"/>
    </row>
    <row r="79" spans="1:44">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7"/>
      <c r="Y79" s="236"/>
      <c r="Z79" s="236"/>
      <c r="AA79" s="236"/>
      <c r="AB79" s="236"/>
      <c r="AC79" s="236"/>
      <c r="AD79" s="105"/>
      <c r="AE79" s="105"/>
      <c r="AF79" s="105"/>
      <c r="AG79" s="105"/>
      <c r="AH79" s="105"/>
      <c r="AI79" s="105"/>
      <c r="AJ79" s="105"/>
      <c r="AK79" s="105"/>
      <c r="AL79" s="105"/>
      <c r="AM79" s="105"/>
      <c r="AN79" s="105"/>
      <c r="AO79" s="105"/>
      <c r="AP79" s="105"/>
      <c r="AQ79" s="105"/>
      <c r="AR79" s="105"/>
    </row>
    <row r="80" spans="1:44">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7"/>
      <c r="Y80" s="236"/>
      <c r="Z80" s="236"/>
      <c r="AA80" s="236"/>
      <c r="AB80" s="236"/>
      <c r="AC80" s="236"/>
      <c r="AD80" s="105"/>
      <c r="AE80" s="105"/>
      <c r="AF80" s="105"/>
      <c r="AG80" s="105"/>
      <c r="AH80" s="105"/>
      <c r="AI80" s="105"/>
      <c r="AJ80" s="105"/>
      <c r="AK80" s="105"/>
      <c r="AL80" s="105"/>
      <c r="AM80" s="105"/>
      <c r="AN80" s="105"/>
      <c r="AO80" s="105"/>
      <c r="AP80" s="105"/>
      <c r="AQ80" s="105"/>
      <c r="AR80" s="105"/>
    </row>
    <row r="81" spans="1:44">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7"/>
      <c r="Y81" s="236"/>
      <c r="Z81" s="236"/>
      <c r="AA81" s="236"/>
      <c r="AB81" s="236"/>
      <c r="AC81" s="236"/>
      <c r="AD81" s="105"/>
      <c r="AE81" s="105"/>
      <c r="AF81" s="105"/>
      <c r="AG81" s="105"/>
      <c r="AH81" s="105"/>
      <c r="AI81" s="105"/>
      <c r="AJ81" s="105"/>
      <c r="AK81" s="105"/>
      <c r="AL81" s="105"/>
      <c r="AM81" s="105"/>
      <c r="AN81" s="105"/>
      <c r="AO81" s="105"/>
      <c r="AP81" s="105"/>
      <c r="AQ81" s="105"/>
      <c r="AR81" s="105"/>
    </row>
    <row r="82" spans="1:44">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7"/>
      <c r="Y82" s="236"/>
      <c r="Z82" s="236"/>
      <c r="AA82" s="236"/>
      <c r="AB82" s="236"/>
      <c r="AC82" s="236"/>
      <c r="AD82" s="105"/>
      <c r="AE82" s="105"/>
      <c r="AF82" s="105"/>
      <c r="AG82" s="105"/>
      <c r="AH82" s="105"/>
      <c r="AI82" s="105"/>
      <c r="AJ82" s="105"/>
      <c r="AK82" s="105"/>
      <c r="AL82" s="105"/>
      <c r="AM82" s="105"/>
      <c r="AN82" s="105"/>
      <c r="AO82" s="105"/>
      <c r="AP82" s="105"/>
      <c r="AQ82" s="105"/>
      <c r="AR82" s="105"/>
    </row>
    <row r="83" spans="1:44">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7"/>
      <c r="Y83" s="236"/>
      <c r="Z83" s="236"/>
      <c r="AA83" s="236"/>
      <c r="AB83" s="236"/>
      <c r="AC83" s="236"/>
      <c r="AD83" s="105"/>
      <c r="AE83" s="105"/>
      <c r="AF83" s="105"/>
      <c r="AG83" s="105"/>
      <c r="AH83" s="105"/>
      <c r="AI83" s="105"/>
      <c r="AJ83" s="105"/>
      <c r="AK83" s="105"/>
      <c r="AL83" s="105"/>
      <c r="AM83" s="105"/>
      <c r="AN83" s="105"/>
      <c r="AO83" s="105"/>
      <c r="AP83" s="105"/>
      <c r="AQ83" s="105"/>
      <c r="AR83" s="105"/>
    </row>
    <row r="84" spans="1:44">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7"/>
      <c r="Y84" s="236"/>
      <c r="Z84" s="236"/>
      <c r="AA84" s="236"/>
      <c r="AB84" s="236"/>
      <c r="AC84" s="236"/>
      <c r="AD84" s="105"/>
      <c r="AE84" s="105"/>
      <c r="AF84" s="105"/>
      <c r="AG84" s="105"/>
      <c r="AH84" s="105"/>
      <c r="AI84" s="105"/>
      <c r="AJ84" s="105"/>
      <c r="AK84" s="105"/>
      <c r="AL84" s="105"/>
      <c r="AM84" s="105"/>
      <c r="AN84" s="105"/>
      <c r="AO84" s="105"/>
      <c r="AP84" s="105"/>
      <c r="AQ84" s="105"/>
      <c r="AR84" s="105"/>
    </row>
    <row r="85" spans="1:44">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7"/>
      <c r="Y85" s="236"/>
      <c r="Z85" s="236"/>
      <c r="AA85" s="236"/>
      <c r="AB85" s="236"/>
      <c r="AC85" s="236"/>
      <c r="AD85" s="105"/>
      <c r="AE85" s="105"/>
      <c r="AF85" s="105"/>
      <c r="AG85" s="105"/>
      <c r="AH85" s="105"/>
      <c r="AI85" s="105"/>
      <c r="AJ85" s="105"/>
      <c r="AK85" s="105"/>
      <c r="AL85" s="105"/>
      <c r="AM85" s="105"/>
      <c r="AN85" s="105"/>
      <c r="AO85" s="105"/>
      <c r="AP85" s="105"/>
      <c r="AQ85" s="105"/>
      <c r="AR85" s="105"/>
    </row>
    <row r="86" spans="1:44">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36"/>
      <c r="Z86" s="236"/>
      <c r="AA86" s="236"/>
      <c r="AB86" s="236"/>
      <c r="AC86" s="236"/>
      <c r="AD86" s="105"/>
      <c r="AE86" s="105"/>
      <c r="AF86" s="105"/>
      <c r="AG86" s="105"/>
      <c r="AH86" s="105"/>
      <c r="AI86" s="105"/>
      <c r="AJ86" s="105"/>
      <c r="AK86" s="105"/>
      <c r="AL86" s="105"/>
      <c r="AM86" s="105"/>
      <c r="AN86" s="105"/>
      <c r="AO86" s="105"/>
      <c r="AP86" s="105"/>
      <c r="AQ86" s="105"/>
      <c r="AR86" s="105"/>
    </row>
    <row r="87" spans="1:44">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7"/>
      <c r="Y87" s="236"/>
      <c r="Z87" s="236"/>
      <c r="AA87" s="236"/>
      <c r="AB87" s="236"/>
      <c r="AC87" s="236"/>
      <c r="AD87" s="105"/>
      <c r="AE87" s="105"/>
      <c r="AF87" s="105"/>
      <c r="AG87" s="105"/>
      <c r="AH87" s="105"/>
      <c r="AI87" s="105"/>
      <c r="AJ87" s="105"/>
      <c r="AK87" s="105"/>
      <c r="AL87" s="105"/>
      <c r="AM87" s="105"/>
      <c r="AN87" s="105"/>
      <c r="AO87" s="105"/>
      <c r="AP87" s="105"/>
      <c r="AQ87" s="105"/>
      <c r="AR87" s="105"/>
    </row>
    <row r="88" spans="1:44">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7"/>
      <c r="Y88" s="236"/>
      <c r="Z88" s="236"/>
      <c r="AA88" s="236"/>
      <c r="AB88" s="236"/>
      <c r="AC88" s="236"/>
      <c r="AD88" s="105"/>
      <c r="AE88" s="105"/>
      <c r="AF88" s="105"/>
      <c r="AG88" s="105"/>
      <c r="AH88" s="105"/>
      <c r="AI88" s="105"/>
      <c r="AJ88" s="105"/>
      <c r="AK88" s="105"/>
      <c r="AL88" s="105"/>
      <c r="AM88" s="105"/>
      <c r="AN88" s="105"/>
      <c r="AO88" s="105"/>
      <c r="AP88" s="105"/>
      <c r="AQ88" s="105"/>
      <c r="AR88" s="105"/>
    </row>
    <row r="89" spans="1:44">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7"/>
      <c r="Y89" s="236"/>
      <c r="Z89" s="236"/>
      <c r="AA89" s="236"/>
      <c r="AB89" s="236"/>
      <c r="AC89" s="236"/>
      <c r="AD89" s="105"/>
      <c r="AE89" s="105"/>
      <c r="AF89" s="105"/>
      <c r="AG89" s="105"/>
      <c r="AH89" s="105"/>
      <c r="AI89" s="105"/>
      <c r="AJ89" s="105"/>
      <c r="AK89" s="105"/>
      <c r="AL89" s="105"/>
      <c r="AM89" s="105"/>
      <c r="AN89" s="105"/>
      <c r="AO89" s="105"/>
      <c r="AP89" s="105"/>
      <c r="AQ89" s="105"/>
      <c r="AR89" s="105"/>
    </row>
    <row r="90" spans="1:44">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7"/>
      <c r="Y90" s="236"/>
      <c r="Z90" s="236"/>
      <c r="AA90" s="236"/>
      <c r="AB90" s="236"/>
      <c r="AC90" s="236"/>
      <c r="AD90" s="105"/>
      <c r="AE90" s="105"/>
      <c r="AF90" s="105"/>
      <c r="AG90" s="105"/>
      <c r="AH90" s="105"/>
      <c r="AI90" s="105"/>
      <c r="AJ90" s="105"/>
      <c r="AK90" s="105"/>
      <c r="AL90" s="105"/>
      <c r="AM90" s="105"/>
      <c r="AN90" s="105"/>
      <c r="AO90" s="105"/>
      <c r="AP90" s="105"/>
      <c r="AQ90" s="105"/>
      <c r="AR90" s="105"/>
    </row>
    <row r="91" spans="1:44">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7"/>
      <c r="Y91" s="236"/>
      <c r="Z91" s="236"/>
      <c r="AA91" s="236"/>
      <c r="AB91" s="236"/>
      <c r="AC91" s="236"/>
      <c r="AD91" s="105"/>
      <c r="AE91" s="105"/>
      <c r="AF91" s="105"/>
      <c r="AG91" s="105"/>
      <c r="AH91" s="105"/>
      <c r="AI91" s="105"/>
      <c r="AJ91" s="105"/>
      <c r="AK91" s="105"/>
      <c r="AL91" s="105"/>
      <c r="AM91" s="105"/>
      <c r="AN91" s="105"/>
      <c r="AO91" s="105"/>
      <c r="AP91" s="105"/>
      <c r="AQ91" s="105"/>
      <c r="AR91" s="105"/>
    </row>
    <row r="92" spans="1:44">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7"/>
      <c r="Y92" s="236"/>
      <c r="Z92" s="236"/>
      <c r="AA92" s="236"/>
      <c r="AB92" s="236"/>
      <c r="AC92" s="236"/>
      <c r="AD92" s="105"/>
      <c r="AE92" s="105"/>
      <c r="AF92" s="105"/>
      <c r="AG92" s="105"/>
      <c r="AH92" s="105"/>
      <c r="AI92" s="105"/>
      <c r="AJ92" s="105"/>
      <c r="AK92" s="105"/>
      <c r="AL92" s="105"/>
      <c r="AM92" s="105"/>
      <c r="AN92" s="105"/>
      <c r="AO92" s="105"/>
      <c r="AP92" s="105"/>
      <c r="AQ92" s="105"/>
      <c r="AR92" s="105"/>
    </row>
    <row r="93" spans="1:44">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7"/>
      <c r="Y93" s="236"/>
      <c r="Z93" s="236"/>
      <c r="AA93" s="236"/>
      <c r="AB93" s="236"/>
      <c r="AC93" s="236"/>
      <c r="AD93" s="105"/>
      <c r="AE93" s="105"/>
      <c r="AF93" s="105"/>
      <c r="AG93" s="105"/>
      <c r="AH93" s="105"/>
      <c r="AI93" s="105"/>
      <c r="AJ93" s="105"/>
      <c r="AK93" s="105"/>
      <c r="AL93" s="105"/>
      <c r="AM93" s="105"/>
      <c r="AN93" s="105"/>
      <c r="AO93" s="105"/>
      <c r="AP93" s="105"/>
      <c r="AQ93" s="105"/>
      <c r="AR93" s="105"/>
    </row>
    <row r="94" spans="1:44">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7"/>
      <c r="Y94" s="236"/>
      <c r="Z94" s="236"/>
      <c r="AA94" s="236"/>
      <c r="AB94" s="236"/>
      <c r="AC94" s="236"/>
      <c r="AD94" s="105"/>
      <c r="AE94" s="105"/>
      <c r="AF94" s="105"/>
      <c r="AG94" s="105"/>
      <c r="AH94" s="105"/>
      <c r="AI94" s="105"/>
      <c r="AJ94" s="105"/>
      <c r="AK94" s="105"/>
      <c r="AL94" s="105"/>
      <c r="AM94" s="105"/>
      <c r="AN94" s="105"/>
      <c r="AO94" s="105"/>
      <c r="AP94" s="105"/>
      <c r="AQ94" s="105"/>
      <c r="AR94" s="105"/>
    </row>
    <row r="95" spans="1:44">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7"/>
      <c r="Y95" s="236"/>
      <c r="Z95" s="236"/>
      <c r="AA95" s="236"/>
      <c r="AB95" s="236"/>
      <c r="AC95" s="236"/>
      <c r="AD95" s="105"/>
      <c r="AE95" s="105"/>
      <c r="AF95" s="105"/>
      <c r="AG95" s="105"/>
      <c r="AH95" s="105"/>
      <c r="AI95" s="105"/>
      <c r="AJ95" s="105"/>
      <c r="AK95" s="105"/>
      <c r="AL95" s="105"/>
      <c r="AM95" s="105"/>
      <c r="AN95" s="105"/>
      <c r="AO95" s="105"/>
      <c r="AP95" s="105"/>
      <c r="AQ95" s="105"/>
      <c r="AR95" s="105"/>
    </row>
    <row r="96" spans="1:44">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7"/>
      <c r="Y96" s="236"/>
      <c r="Z96" s="236"/>
      <c r="AA96" s="236"/>
      <c r="AB96" s="236"/>
      <c r="AC96" s="236"/>
      <c r="AD96" s="105"/>
      <c r="AE96" s="105"/>
      <c r="AF96" s="105"/>
      <c r="AG96" s="105"/>
      <c r="AH96" s="105"/>
      <c r="AI96" s="105"/>
      <c r="AJ96" s="105"/>
      <c r="AK96" s="105"/>
      <c r="AL96" s="105"/>
      <c r="AM96" s="105"/>
      <c r="AN96" s="105"/>
      <c r="AO96" s="105"/>
      <c r="AP96" s="105"/>
      <c r="AQ96" s="105"/>
      <c r="AR96" s="105"/>
    </row>
    <row r="97" spans="1:44">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7"/>
      <c r="Y97" s="236"/>
      <c r="Z97" s="236"/>
      <c r="AA97" s="236"/>
      <c r="AB97" s="236"/>
      <c r="AC97" s="236"/>
      <c r="AD97" s="105"/>
      <c r="AE97" s="105"/>
      <c r="AF97" s="105"/>
      <c r="AG97" s="105"/>
      <c r="AH97" s="105"/>
      <c r="AI97" s="105"/>
      <c r="AJ97" s="105"/>
      <c r="AK97" s="105"/>
      <c r="AL97" s="105"/>
      <c r="AM97" s="105"/>
      <c r="AN97" s="105"/>
      <c r="AO97" s="105"/>
      <c r="AP97" s="105"/>
      <c r="AQ97" s="105"/>
      <c r="AR97" s="105"/>
    </row>
    <row r="98" spans="1:44">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7"/>
      <c r="Y98" s="236"/>
      <c r="Z98" s="236"/>
      <c r="AA98" s="236"/>
      <c r="AB98" s="236"/>
      <c r="AC98" s="236"/>
      <c r="AD98" s="105"/>
      <c r="AE98" s="105"/>
      <c r="AF98" s="105"/>
      <c r="AG98" s="105"/>
      <c r="AH98" s="105"/>
      <c r="AI98" s="105"/>
      <c r="AJ98" s="105"/>
      <c r="AK98" s="105"/>
      <c r="AL98" s="105"/>
      <c r="AM98" s="105"/>
      <c r="AN98" s="105"/>
      <c r="AO98" s="105"/>
      <c r="AP98" s="105"/>
      <c r="AQ98" s="105"/>
      <c r="AR98" s="105"/>
    </row>
    <row r="99" spans="1:44">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7"/>
      <c r="Y99" s="236"/>
      <c r="Z99" s="236"/>
      <c r="AA99" s="236"/>
      <c r="AB99" s="236"/>
      <c r="AC99" s="236"/>
      <c r="AD99" s="105"/>
      <c r="AE99" s="105"/>
      <c r="AF99" s="105"/>
      <c r="AG99" s="105"/>
      <c r="AH99" s="105"/>
      <c r="AI99" s="105"/>
      <c r="AJ99" s="105"/>
      <c r="AK99" s="105"/>
      <c r="AL99" s="105"/>
      <c r="AM99" s="105"/>
      <c r="AN99" s="105"/>
      <c r="AO99" s="105"/>
      <c r="AP99" s="105"/>
      <c r="AQ99" s="105"/>
      <c r="AR99" s="105"/>
    </row>
    <row r="100" spans="1:44">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7"/>
      <c r="Y100" s="236"/>
      <c r="Z100" s="236"/>
      <c r="AA100" s="236"/>
      <c r="AB100" s="236"/>
      <c r="AC100" s="236"/>
      <c r="AD100" s="105"/>
      <c r="AE100" s="105"/>
      <c r="AF100" s="105"/>
      <c r="AG100" s="105"/>
      <c r="AH100" s="105"/>
      <c r="AI100" s="105"/>
      <c r="AJ100" s="105"/>
      <c r="AK100" s="105"/>
      <c r="AL100" s="105"/>
      <c r="AM100" s="105"/>
      <c r="AN100" s="105"/>
      <c r="AO100" s="105"/>
      <c r="AP100" s="105"/>
      <c r="AQ100" s="105"/>
      <c r="AR100" s="105"/>
    </row>
    <row r="101" spans="1:44">
      <c r="A101" s="236"/>
      <c r="B101" s="236"/>
      <c r="C101" s="236"/>
      <c r="D101" s="236"/>
      <c r="E101" s="236"/>
      <c r="F101" s="236"/>
      <c r="G101" s="236"/>
      <c r="H101" s="236"/>
      <c r="I101" s="236"/>
      <c r="J101" s="236"/>
      <c r="K101" s="236"/>
      <c r="L101" s="236"/>
      <c r="M101" s="236"/>
      <c r="N101" s="236"/>
      <c r="O101" s="236"/>
      <c r="P101" s="236"/>
      <c r="R101" s="236"/>
      <c r="S101" s="236"/>
      <c r="T101" s="236"/>
      <c r="U101" s="236"/>
      <c r="V101" s="236"/>
      <c r="W101" s="236"/>
      <c r="X101" s="237"/>
      <c r="Y101" s="236"/>
      <c r="Z101" s="236"/>
      <c r="AA101" s="236"/>
      <c r="AB101" s="236"/>
      <c r="AC101" s="236"/>
      <c r="AD101" s="105"/>
      <c r="AE101" s="105"/>
      <c r="AF101" s="105"/>
      <c r="AG101" s="105"/>
      <c r="AH101" s="105"/>
      <c r="AI101" s="105"/>
      <c r="AJ101" s="105"/>
      <c r="AK101" s="105"/>
      <c r="AL101" s="105"/>
      <c r="AM101" s="105"/>
      <c r="AN101" s="105"/>
      <c r="AO101" s="105"/>
      <c r="AP101" s="105"/>
      <c r="AQ101" s="105"/>
      <c r="AR101" s="105"/>
    </row>
    <row r="102" spans="1:44">
      <c r="A102" s="236"/>
      <c r="B102" s="236"/>
      <c r="C102" s="236"/>
      <c r="D102" s="236"/>
      <c r="E102" s="236"/>
      <c r="F102" s="236"/>
      <c r="G102" s="236"/>
      <c r="H102" s="236"/>
      <c r="I102" s="236"/>
      <c r="J102" s="236"/>
      <c r="K102" s="236"/>
      <c r="L102" s="236"/>
      <c r="M102" s="236"/>
      <c r="N102" s="236"/>
      <c r="O102" s="236"/>
      <c r="P102" s="236"/>
      <c r="R102" s="236"/>
      <c r="S102" s="236"/>
      <c r="T102" s="236"/>
      <c r="U102" s="236"/>
      <c r="V102" s="236"/>
      <c r="W102" s="236"/>
      <c r="X102" s="237"/>
      <c r="Y102" s="236"/>
      <c r="Z102" s="236"/>
      <c r="AA102" s="236"/>
      <c r="AB102" s="236"/>
      <c r="AC102" s="236"/>
      <c r="AD102" s="105"/>
      <c r="AE102" s="105"/>
      <c r="AF102" s="105"/>
      <c r="AG102" s="105"/>
      <c r="AH102" s="105"/>
      <c r="AI102" s="105"/>
      <c r="AJ102" s="105"/>
      <c r="AK102" s="105"/>
      <c r="AL102" s="105"/>
      <c r="AM102" s="105"/>
      <c r="AN102" s="105"/>
      <c r="AO102" s="105"/>
      <c r="AP102" s="105"/>
      <c r="AQ102" s="105"/>
      <c r="AR102" s="105"/>
    </row>
  </sheetData>
  <sheetProtection algorithmName="SHA-512" hashValue="HH4Zwz78yjedfECad+UkyqX/KtNr8C9YwoUwwTGdL7BfQ6vmbSqvVChPRHzSK81E58qdB5lt7HbDs1VLqG3P3w==" saltValue="dFHiOtLXNnjYZzcOybHlZw==" spinCount="100000" sheet="1" objects="1" scenarios="1" selectLockedCells="1" selectUnlockedCells="1"/>
  <mergeCells count="48">
    <mergeCell ref="A14:G15"/>
    <mergeCell ref="H14:O14"/>
    <mergeCell ref="A1:Q4"/>
    <mergeCell ref="A5:E5"/>
    <mergeCell ref="AB5:AJ5"/>
    <mergeCell ref="A6:E6"/>
    <mergeCell ref="AB6:AJ6"/>
    <mergeCell ref="A7:E7"/>
    <mergeCell ref="AB7:AJ7"/>
    <mergeCell ref="A8:E8"/>
    <mergeCell ref="AB10:AD10"/>
    <mergeCell ref="AE10:AG10"/>
    <mergeCell ref="AH10:AJ10"/>
    <mergeCell ref="A11:O12"/>
    <mergeCell ref="F24:G24"/>
    <mergeCell ref="A16:E16"/>
    <mergeCell ref="F16:G16"/>
    <mergeCell ref="F17:G17"/>
    <mergeCell ref="A18:E18"/>
    <mergeCell ref="F18:G18"/>
    <mergeCell ref="A19:E19"/>
    <mergeCell ref="F19:G19"/>
    <mergeCell ref="A20:E20"/>
    <mergeCell ref="F20:G20"/>
    <mergeCell ref="A22:G22"/>
    <mergeCell ref="A23:E23"/>
    <mergeCell ref="F23:G23"/>
    <mergeCell ref="A25:E25"/>
    <mergeCell ref="F25:G25"/>
    <mergeCell ref="A26:E26"/>
    <mergeCell ref="F26:G26"/>
    <mergeCell ref="A27:E27"/>
    <mergeCell ref="F27:G27"/>
    <mergeCell ref="A28:E28"/>
    <mergeCell ref="F28:G28"/>
    <mergeCell ref="C31:G31"/>
    <mergeCell ref="A32:J32"/>
    <mergeCell ref="R32:S32"/>
    <mergeCell ref="B38:Q39"/>
    <mergeCell ref="B40:P40"/>
    <mergeCell ref="B41:P42"/>
    <mergeCell ref="X32:Y32"/>
    <mergeCell ref="N34:O34"/>
    <mergeCell ref="R35:S35"/>
    <mergeCell ref="V35:W35"/>
    <mergeCell ref="X35:Y35"/>
    <mergeCell ref="B37:P37"/>
    <mergeCell ref="V32:W32"/>
  </mergeCells>
  <conditionalFormatting sqref="R30:R42 V30:W42 N34:N36">
    <cfRule type="expression" dxfId="56" priority="1" stopIfTrue="1">
      <formula>N30=0</formula>
    </cfRule>
  </conditionalFormatting>
  <pageMargins left="0.74803149606299213" right="0.19685039370078741" top="0.39370078740157483" bottom="0.39370078740157483" header="0.19685039370078741" footer="0.19685039370078741"/>
  <pageSetup paperSize="9" scale="91"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BF0D3-7783-4E1B-9E52-B773ABC7931A}">
  <sheetPr>
    <tabColor rgb="FFC00000"/>
  </sheetPr>
  <dimension ref="B1:R114"/>
  <sheetViews>
    <sheetView topLeftCell="A79" zoomScaleNormal="100" workbookViewId="0">
      <selection activeCell="E102" sqref="E102"/>
    </sheetView>
  </sheetViews>
  <sheetFormatPr defaultColWidth="8.7109375" defaultRowHeight="12.75"/>
  <cols>
    <col min="1" max="1" width="8.7109375" style="624"/>
    <col min="2" max="2" width="28.7109375" style="624" customWidth="1"/>
    <col min="3" max="4" width="12.28515625" style="624" customWidth="1"/>
    <col min="5" max="5" width="10.5703125" style="624" customWidth="1"/>
    <col min="6" max="6" width="13.28515625" style="624" customWidth="1"/>
    <col min="7" max="7" width="17.5703125" style="635" customWidth="1"/>
    <col min="8" max="8" width="10.7109375" style="635" customWidth="1"/>
    <col min="9" max="9" width="22.5703125" style="624" customWidth="1"/>
    <col min="10" max="10" width="13.7109375" style="624" customWidth="1"/>
    <col min="11" max="11" width="43.7109375" style="624" customWidth="1"/>
    <col min="12" max="12" width="8.7109375" style="624"/>
    <col min="13" max="13" width="8.7109375" style="624" customWidth="1"/>
    <col min="14" max="14" width="8.7109375" style="624"/>
    <col min="15" max="15" width="10.7109375" style="624" bestFit="1" customWidth="1"/>
    <col min="16" max="16384" width="8.7109375" style="624"/>
  </cols>
  <sheetData>
    <row r="1" spans="2:18">
      <c r="G1" s="625"/>
      <c r="H1" s="625"/>
      <c r="I1" s="626"/>
    </row>
    <row r="2" spans="2:18">
      <c r="B2" s="627" t="s">
        <v>22</v>
      </c>
      <c r="C2" s="628" t="s">
        <v>1</v>
      </c>
      <c r="D2" s="628"/>
      <c r="E2" s="628"/>
      <c r="F2" s="628"/>
      <c r="G2" s="629"/>
      <c r="H2" s="629"/>
      <c r="I2" s="630"/>
      <c r="J2" s="631" t="s">
        <v>23</v>
      </c>
      <c r="K2" s="632" t="str">
        <f>'Emiss. Const. Offsh.'!$I$2</f>
        <v>PRJ-001030</v>
      </c>
    </row>
    <row r="3" spans="2:18">
      <c r="B3" s="633" t="s">
        <v>24</v>
      </c>
      <c r="C3" s="628" t="s">
        <v>5</v>
      </c>
      <c r="D3" s="634"/>
      <c r="E3" s="634"/>
      <c r="F3" s="634"/>
      <c r="J3" s="636" t="s">
        <v>25</v>
      </c>
      <c r="K3" s="637"/>
    </row>
    <row r="4" spans="2:18" ht="12.6" customHeight="1">
      <c r="B4" s="633" t="s">
        <v>26</v>
      </c>
      <c r="C4" s="634" t="s">
        <v>96</v>
      </c>
      <c r="D4" s="634"/>
      <c r="E4" s="634"/>
      <c r="F4" s="634"/>
      <c r="J4" s="636" t="s">
        <v>27</v>
      </c>
      <c r="K4" s="638" t="s">
        <v>223</v>
      </c>
    </row>
    <row r="5" spans="2:18">
      <c r="B5" s="639" t="s">
        <v>98</v>
      </c>
      <c r="C5" s="640"/>
      <c r="D5" s="640"/>
      <c r="E5" s="640"/>
      <c r="F5" s="640"/>
      <c r="J5" s="641"/>
      <c r="K5" s="642"/>
    </row>
    <row r="6" spans="2:18">
      <c r="B6" s="639"/>
      <c r="C6" s="640"/>
      <c r="D6" s="640"/>
      <c r="E6" s="640"/>
      <c r="F6" s="640"/>
      <c r="J6" s="641"/>
      <c r="K6" s="642"/>
    </row>
    <row r="7" spans="2:18">
      <c r="B7" s="643" t="s">
        <v>99</v>
      </c>
      <c r="C7" s="626"/>
      <c r="D7" s="626"/>
      <c r="E7" s="644"/>
      <c r="F7" s="644"/>
      <c r="G7" s="625"/>
      <c r="H7" s="625"/>
      <c r="I7" s="626"/>
      <c r="J7" s="645" t="s">
        <v>28</v>
      </c>
      <c r="K7" s="646"/>
    </row>
    <row r="8" spans="2:18">
      <c r="B8" s="633"/>
      <c r="C8" s="702"/>
      <c r="D8" s="702"/>
      <c r="E8" s="702"/>
      <c r="F8" s="702"/>
      <c r="G8" s="636"/>
      <c r="H8" s="636"/>
      <c r="I8" s="634"/>
      <c r="J8" s="634"/>
      <c r="K8" s="638"/>
    </row>
    <row r="9" spans="2:18" ht="15.75">
      <c r="B9" s="703" t="s">
        <v>224</v>
      </c>
      <c r="E9" s="704"/>
      <c r="F9" s="704"/>
      <c r="G9" s="705"/>
      <c r="H9" s="705"/>
      <c r="I9" s="704"/>
      <c r="J9" s="704"/>
      <c r="K9" s="706"/>
    </row>
    <row r="10" spans="2:18" ht="15.75" thickBot="1">
      <c r="B10" s="707" t="s">
        <v>225</v>
      </c>
      <c r="C10" s="704"/>
      <c r="D10" s="704"/>
      <c r="E10" s="704"/>
      <c r="F10" s="704"/>
      <c r="G10" s="705"/>
      <c r="H10" s="705"/>
      <c r="I10" s="704"/>
      <c r="J10" s="704"/>
      <c r="K10" s="706"/>
    </row>
    <row r="11" spans="2:18" ht="12.75" customHeight="1">
      <c r="B11" s="888" t="s">
        <v>106</v>
      </c>
      <c r="C11" s="888" t="s">
        <v>107</v>
      </c>
      <c r="D11" s="980" t="s">
        <v>226</v>
      </c>
      <c r="E11" s="888" t="s">
        <v>108</v>
      </c>
      <c r="F11" s="888" t="s">
        <v>109</v>
      </c>
      <c r="G11" s="898" t="s">
        <v>227</v>
      </c>
      <c r="H11" s="977" t="s">
        <v>228</v>
      </c>
      <c r="I11" s="888" t="s">
        <v>111</v>
      </c>
      <c r="J11" s="888" t="s">
        <v>112</v>
      </c>
      <c r="K11" s="888" t="s">
        <v>113</v>
      </c>
    </row>
    <row r="12" spans="2:18" ht="12.75" customHeight="1">
      <c r="B12" s="889"/>
      <c r="C12" s="889"/>
      <c r="D12" s="981"/>
      <c r="E12" s="889"/>
      <c r="F12" s="889"/>
      <c r="G12" s="882"/>
      <c r="H12" s="978"/>
      <c r="I12" s="889"/>
      <c r="J12" s="889"/>
      <c r="K12" s="889"/>
    </row>
    <row r="13" spans="2:18" ht="13.5" customHeight="1" thickBot="1">
      <c r="B13" s="889"/>
      <c r="C13" s="889"/>
      <c r="D13" s="981"/>
      <c r="E13" s="889"/>
      <c r="F13" s="889"/>
      <c r="G13" s="882"/>
      <c r="H13" s="979"/>
      <c r="I13" s="889"/>
      <c r="J13" s="889"/>
      <c r="K13" s="889"/>
    </row>
    <row r="14" spans="2:18" ht="13.5" thickBot="1">
      <c r="B14" s="755" t="s">
        <v>229</v>
      </c>
      <c r="C14" s="755" t="s">
        <v>229</v>
      </c>
      <c r="D14" s="655" t="s">
        <v>230</v>
      </c>
      <c r="E14" s="755" t="s">
        <v>231</v>
      </c>
      <c r="F14" s="755" t="s">
        <v>232</v>
      </c>
      <c r="G14" s="756">
        <v>0.5</v>
      </c>
      <c r="H14" s="757" t="s">
        <v>233</v>
      </c>
      <c r="I14" s="755" t="s">
        <v>105</v>
      </c>
      <c r="J14" s="755" t="s">
        <v>234</v>
      </c>
      <c r="K14" s="758" t="s">
        <v>235</v>
      </c>
      <c r="Q14" s="759"/>
    </row>
    <row r="15" spans="2:18" ht="13.5" thickBot="1">
      <c r="B15" s="755" t="s">
        <v>236</v>
      </c>
      <c r="C15" s="755" t="s">
        <v>237</v>
      </c>
      <c r="D15" s="655" t="s">
        <v>238</v>
      </c>
      <c r="E15" s="755" t="s">
        <v>231</v>
      </c>
      <c r="F15" s="755" t="s">
        <v>232</v>
      </c>
      <c r="G15" s="756">
        <v>0.5</v>
      </c>
      <c r="H15" s="757" t="s">
        <v>239</v>
      </c>
      <c r="I15" s="755" t="s">
        <v>105</v>
      </c>
      <c r="J15" s="760" t="s">
        <v>234</v>
      </c>
      <c r="K15" s="758"/>
      <c r="M15" s="624" t="s">
        <v>240</v>
      </c>
      <c r="N15" s="624">
        <v>2100</v>
      </c>
      <c r="O15" s="624" t="s">
        <v>241</v>
      </c>
      <c r="P15" s="624" t="s">
        <v>242</v>
      </c>
    </row>
    <row r="16" spans="2:18" ht="13.5" thickBot="1">
      <c r="B16" s="755" t="s">
        <v>243</v>
      </c>
      <c r="C16" s="755" t="s">
        <v>244</v>
      </c>
      <c r="D16" s="655" t="s">
        <v>245</v>
      </c>
      <c r="E16" s="755" t="s">
        <v>231</v>
      </c>
      <c r="F16" s="755" t="s">
        <v>232</v>
      </c>
      <c r="G16" s="761">
        <v>1</v>
      </c>
      <c r="H16" s="757" t="s">
        <v>246</v>
      </c>
      <c r="I16" s="755" t="s">
        <v>105</v>
      </c>
      <c r="J16" s="760" t="s">
        <v>234</v>
      </c>
      <c r="K16" s="758" t="s">
        <v>235</v>
      </c>
      <c r="M16" s="624" t="s">
        <v>247</v>
      </c>
      <c r="N16" s="624">
        <v>0.83</v>
      </c>
      <c r="O16" s="624" t="s">
        <v>241</v>
      </c>
      <c r="P16" s="624" t="s">
        <v>242</v>
      </c>
      <c r="R16" s="624" t="s">
        <v>248</v>
      </c>
    </row>
    <row r="17" spans="2:11" ht="115.5" thickBot="1">
      <c r="B17" s="755" t="s">
        <v>249</v>
      </c>
      <c r="C17" s="755" t="s">
        <v>250</v>
      </c>
      <c r="D17" s="655" t="s">
        <v>245</v>
      </c>
      <c r="E17" s="755" t="s">
        <v>231</v>
      </c>
      <c r="F17" s="755" t="s">
        <v>232</v>
      </c>
      <c r="G17" s="658">
        <v>3500</v>
      </c>
      <c r="H17" s="757" t="s">
        <v>246</v>
      </c>
      <c r="I17" s="755" t="s">
        <v>105</v>
      </c>
      <c r="J17" s="760" t="s">
        <v>234</v>
      </c>
      <c r="K17" s="656" t="s">
        <v>251</v>
      </c>
    </row>
    <row r="18" spans="2:11" ht="39" thickBot="1">
      <c r="B18" s="755" t="s">
        <v>252</v>
      </c>
      <c r="C18" s="755" t="s">
        <v>253</v>
      </c>
      <c r="D18" s="655"/>
      <c r="E18" s="755" t="s">
        <v>231</v>
      </c>
      <c r="F18" s="755" t="s">
        <v>232</v>
      </c>
      <c r="G18" s="761">
        <v>148</v>
      </c>
      <c r="H18" s="757" t="s">
        <v>246</v>
      </c>
      <c r="I18" s="755" t="s">
        <v>105</v>
      </c>
      <c r="J18" s="760" t="s">
        <v>234</v>
      </c>
      <c r="K18" s="758" t="s">
        <v>254</v>
      </c>
    </row>
    <row r="19" spans="2:11" ht="39" thickBot="1">
      <c r="B19" s="755" t="s">
        <v>252</v>
      </c>
      <c r="C19" s="755" t="s">
        <v>255</v>
      </c>
      <c r="D19" s="655"/>
      <c r="E19" s="755" t="s">
        <v>231</v>
      </c>
      <c r="F19" s="755" t="s">
        <v>232</v>
      </c>
      <c r="G19" s="761">
        <v>74</v>
      </c>
      <c r="H19" s="757" t="s">
        <v>246</v>
      </c>
      <c r="I19" s="755" t="s">
        <v>105</v>
      </c>
      <c r="J19" s="760" t="s">
        <v>234</v>
      </c>
      <c r="K19" s="758" t="s">
        <v>254</v>
      </c>
    </row>
    <row r="20" spans="2:11" ht="39" thickBot="1">
      <c r="B20" s="655" t="s">
        <v>256</v>
      </c>
      <c r="C20" s="655" t="s">
        <v>257</v>
      </c>
      <c r="D20" s="655" t="s">
        <v>258</v>
      </c>
      <c r="E20" s="655" t="s">
        <v>259</v>
      </c>
      <c r="F20" s="655" t="s">
        <v>232</v>
      </c>
      <c r="G20" s="762">
        <v>0.02</v>
      </c>
      <c r="H20" s="659" t="s">
        <v>260</v>
      </c>
      <c r="I20" s="763" t="s">
        <v>105</v>
      </c>
      <c r="J20" s="763" t="s">
        <v>234</v>
      </c>
      <c r="K20" s="758"/>
    </row>
    <row r="21" spans="2:11" ht="26.25" thickBot="1">
      <c r="B21" s="655" t="s">
        <v>261</v>
      </c>
      <c r="C21" s="655" t="s">
        <v>262</v>
      </c>
      <c r="D21" s="655" t="s">
        <v>263</v>
      </c>
      <c r="E21" s="655" t="s">
        <v>259</v>
      </c>
      <c r="F21" s="655" t="s">
        <v>119</v>
      </c>
      <c r="G21" s="658">
        <v>10</v>
      </c>
      <c r="H21" s="764" t="s">
        <v>260</v>
      </c>
      <c r="I21" s="655" t="s">
        <v>105</v>
      </c>
      <c r="J21" s="763" t="s">
        <v>234</v>
      </c>
      <c r="K21" s="758"/>
    </row>
    <row r="22" spans="2:11" ht="26.25" thickBot="1">
      <c r="B22" s="755" t="s">
        <v>264</v>
      </c>
      <c r="C22" s="755" t="s">
        <v>264</v>
      </c>
      <c r="D22" s="655" t="s">
        <v>265</v>
      </c>
      <c r="E22" s="755" t="s">
        <v>259</v>
      </c>
      <c r="F22" s="755" t="s">
        <v>119</v>
      </c>
      <c r="G22" s="761">
        <f>450*0.5/1000*240</f>
        <v>54</v>
      </c>
      <c r="H22" s="757" t="s">
        <v>233</v>
      </c>
      <c r="I22" s="755" t="s">
        <v>104</v>
      </c>
      <c r="J22" s="755" t="s">
        <v>234</v>
      </c>
      <c r="K22" s="758" t="s">
        <v>266</v>
      </c>
    </row>
    <row r="23" spans="2:11" ht="13.5" thickBot="1">
      <c r="B23" s="755" t="s">
        <v>267</v>
      </c>
      <c r="C23" s="755" t="s">
        <v>268</v>
      </c>
      <c r="D23" s="655" t="s">
        <v>269</v>
      </c>
      <c r="E23" s="755" t="s">
        <v>259</v>
      </c>
      <c r="F23" s="755" t="s">
        <v>119</v>
      </c>
      <c r="G23" s="761">
        <v>10</v>
      </c>
      <c r="H23" s="757" t="s">
        <v>260</v>
      </c>
      <c r="I23" s="755" t="s">
        <v>105</v>
      </c>
      <c r="J23" s="755" t="s">
        <v>234</v>
      </c>
      <c r="K23" s="758"/>
    </row>
    <row r="24" spans="2:11" ht="26.25" thickBot="1">
      <c r="B24" s="755" t="s">
        <v>270</v>
      </c>
      <c r="C24" s="755" t="s">
        <v>271</v>
      </c>
      <c r="D24" s="655" t="s">
        <v>272</v>
      </c>
      <c r="E24" s="755" t="s">
        <v>259</v>
      </c>
      <c r="F24" s="755" t="s">
        <v>119</v>
      </c>
      <c r="G24" s="761">
        <v>15</v>
      </c>
      <c r="H24" s="757" t="s">
        <v>233</v>
      </c>
      <c r="I24" s="755" t="s">
        <v>105</v>
      </c>
      <c r="J24" s="755" t="s">
        <v>234</v>
      </c>
      <c r="K24" s="758" t="s">
        <v>235</v>
      </c>
    </row>
    <row r="25" spans="2:11" ht="26.25" thickBot="1">
      <c r="B25" s="755" t="s">
        <v>273</v>
      </c>
      <c r="C25" s="755" t="s">
        <v>271</v>
      </c>
      <c r="D25" s="655"/>
      <c r="E25" s="755" t="s">
        <v>274</v>
      </c>
      <c r="F25" s="755" t="s">
        <v>119</v>
      </c>
      <c r="G25" s="761">
        <v>5</v>
      </c>
      <c r="H25" s="757" t="s">
        <v>233</v>
      </c>
      <c r="I25" s="755" t="s">
        <v>105</v>
      </c>
      <c r="J25" s="755" t="s">
        <v>234</v>
      </c>
      <c r="K25" s="758" t="s">
        <v>235</v>
      </c>
    </row>
    <row r="26" spans="2:11" ht="13.5" thickBot="1">
      <c r="B26" s="755" t="s">
        <v>275</v>
      </c>
      <c r="C26" s="755" t="s">
        <v>276</v>
      </c>
      <c r="D26" s="655" t="s">
        <v>277</v>
      </c>
      <c r="E26" s="755" t="s">
        <v>259</v>
      </c>
      <c r="F26" s="755" t="s">
        <v>119</v>
      </c>
      <c r="G26" s="761">
        <v>5</v>
      </c>
      <c r="H26" s="765" t="s">
        <v>233</v>
      </c>
      <c r="I26" s="755" t="s">
        <v>105</v>
      </c>
      <c r="J26" s="755" t="s">
        <v>234</v>
      </c>
      <c r="K26" s="758"/>
    </row>
    <row r="27" spans="2:11" ht="13.5" thickBot="1">
      <c r="B27" s="755" t="s">
        <v>278</v>
      </c>
      <c r="C27" s="755" t="s">
        <v>276</v>
      </c>
      <c r="D27" s="655" t="s">
        <v>279</v>
      </c>
      <c r="E27" s="755" t="s">
        <v>259</v>
      </c>
      <c r="F27" s="755" t="s">
        <v>119</v>
      </c>
      <c r="G27" s="761">
        <v>3</v>
      </c>
      <c r="H27" s="755" t="s">
        <v>233</v>
      </c>
      <c r="I27" s="755" t="s">
        <v>105</v>
      </c>
      <c r="J27" s="755" t="s">
        <v>234</v>
      </c>
      <c r="K27" s="755"/>
    </row>
    <row r="28" spans="2:11" ht="26.25" thickBot="1">
      <c r="B28" s="755" t="s">
        <v>280</v>
      </c>
      <c r="C28" s="755" t="s">
        <v>281</v>
      </c>
      <c r="D28" s="655" t="s">
        <v>282</v>
      </c>
      <c r="E28" s="755" t="s">
        <v>259</v>
      </c>
      <c r="F28" s="755" t="s">
        <v>119</v>
      </c>
      <c r="G28" s="761">
        <v>3</v>
      </c>
      <c r="H28" s="766" t="s">
        <v>233</v>
      </c>
      <c r="I28" s="755" t="s">
        <v>105</v>
      </c>
      <c r="J28" s="755" t="s">
        <v>234</v>
      </c>
      <c r="K28" s="767" t="s">
        <v>283</v>
      </c>
    </row>
    <row r="29" spans="2:11" ht="13.5" thickBot="1">
      <c r="B29" s="755" t="s">
        <v>284</v>
      </c>
      <c r="C29" s="755" t="s">
        <v>276</v>
      </c>
      <c r="D29" s="655" t="s">
        <v>277</v>
      </c>
      <c r="E29" s="755" t="s">
        <v>259</v>
      </c>
      <c r="F29" s="755" t="s">
        <v>119</v>
      </c>
      <c r="G29" s="761">
        <v>600</v>
      </c>
      <c r="H29" s="768" t="s">
        <v>233</v>
      </c>
      <c r="I29" s="755" t="s">
        <v>105</v>
      </c>
      <c r="J29" s="755" t="s">
        <v>234</v>
      </c>
      <c r="K29" s="767" t="s">
        <v>235</v>
      </c>
    </row>
    <row r="30" spans="2:11" ht="13.5" thickBot="1">
      <c r="B30" s="755" t="s">
        <v>285</v>
      </c>
      <c r="C30" s="755" t="s">
        <v>276</v>
      </c>
      <c r="D30" s="655" t="s">
        <v>277</v>
      </c>
      <c r="E30" s="755" t="s">
        <v>259</v>
      </c>
      <c r="F30" s="755" t="s">
        <v>119</v>
      </c>
      <c r="G30" s="761">
        <v>600</v>
      </c>
      <c r="H30" s="757" t="s">
        <v>233</v>
      </c>
      <c r="I30" s="755" t="s">
        <v>105</v>
      </c>
      <c r="J30" s="760" t="s">
        <v>234</v>
      </c>
      <c r="K30" s="758" t="s">
        <v>235</v>
      </c>
    </row>
    <row r="31" spans="2:11" ht="39" thickBot="1">
      <c r="B31" s="755" t="s">
        <v>286</v>
      </c>
      <c r="C31" s="755" t="s">
        <v>276</v>
      </c>
      <c r="D31" s="655" t="s">
        <v>277</v>
      </c>
      <c r="E31" s="755" t="s">
        <v>259</v>
      </c>
      <c r="F31" s="755" t="s">
        <v>119</v>
      </c>
      <c r="G31" s="761">
        <v>200</v>
      </c>
      <c r="H31" s="757" t="s">
        <v>233</v>
      </c>
      <c r="I31" s="755" t="s">
        <v>105</v>
      </c>
      <c r="J31" s="760" t="s">
        <v>234</v>
      </c>
      <c r="K31" s="758" t="s">
        <v>235</v>
      </c>
    </row>
    <row r="32" spans="2:11" ht="26.25" thickBot="1">
      <c r="B32" s="755" t="s">
        <v>287</v>
      </c>
      <c r="C32" s="755" t="s">
        <v>276</v>
      </c>
      <c r="D32" s="655" t="s">
        <v>277</v>
      </c>
      <c r="E32" s="755" t="s">
        <v>259</v>
      </c>
      <c r="F32" s="755" t="s">
        <v>119</v>
      </c>
      <c r="G32" s="761">
        <v>20</v>
      </c>
      <c r="H32" s="757" t="s">
        <v>233</v>
      </c>
      <c r="I32" s="755" t="s">
        <v>105</v>
      </c>
      <c r="J32" s="760" t="s">
        <v>234</v>
      </c>
      <c r="K32" s="758" t="s">
        <v>235</v>
      </c>
    </row>
    <row r="33" spans="2:11" ht="39" thickBot="1">
      <c r="B33" s="755" t="s">
        <v>288</v>
      </c>
      <c r="C33" s="755" t="s">
        <v>276</v>
      </c>
      <c r="D33" s="655" t="s">
        <v>277</v>
      </c>
      <c r="E33" s="755" t="s">
        <v>259</v>
      </c>
      <c r="F33" s="755" t="s">
        <v>119</v>
      </c>
      <c r="G33" s="761">
        <v>500</v>
      </c>
      <c r="H33" s="757" t="s">
        <v>233</v>
      </c>
      <c r="I33" s="755" t="s">
        <v>105</v>
      </c>
      <c r="J33" s="760" t="s">
        <v>234</v>
      </c>
      <c r="K33" s="758"/>
    </row>
    <row r="34" spans="2:11" ht="13.5" thickBot="1">
      <c r="B34" s="755" t="s">
        <v>289</v>
      </c>
      <c r="C34" s="755" t="s">
        <v>289</v>
      </c>
      <c r="D34" s="655" t="s">
        <v>290</v>
      </c>
      <c r="E34" s="755" t="s">
        <v>259</v>
      </c>
      <c r="F34" s="755" t="s">
        <v>232</v>
      </c>
      <c r="G34" s="756">
        <v>0.1</v>
      </c>
      <c r="H34" s="757" t="s">
        <v>260</v>
      </c>
      <c r="I34" s="755" t="s">
        <v>105</v>
      </c>
      <c r="J34" s="760" t="s">
        <v>234</v>
      </c>
      <c r="K34" s="758"/>
    </row>
    <row r="35" spans="2:11" ht="26.25" thickBot="1">
      <c r="B35" s="755" t="s">
        <v>291</v>
      </c>
      <c r="C35" s="755" t="s">
        <v>292</v>
      </c>
      <c r="D35" s="655" t="s">
        <v>293</v>
      </c>
      <c r="E35" s="755" t="s">
        <v>259</v>
      </c>
      <c r="F35" s="755" t="s">
        <v>119</v>
      </c>
      <c r="G35" s="761">
        <v>3270</v>
      </c>
      <c r="H35" s="757" t="s">
        <v>246</v>
      </c>
      <c r="I35" s="755" t="s">
        <v>105</v>
      </c>
      <c r="J35" s="760" t="s">
        <v>234</v>
      </c>
      <c r="K35" s="758"/>
    </row>
    <row r="36" spans="2:11" ht="26.25" thickBot="1">
      <c r="B36" s="755" t="s">
        <v>294</v>
      </c>
      <c r="C36" s="755" t="s">
        <v>295</v>
      </c>
      <c r="D36" s="655" t="s">
        <v>293</v>
      </c>
      <c r="E36" s="755" t="s">
        <v>259</v>
      </c>
      <c r="F36" s="755" t="s">
        <v>119</v>
      </c>
      <c r="G36" s="761">
        <v>4030</v>
      </c>
      <c r="H36" s="757" t="s">
        <v>246</v>
      </c>
      <c r="I36" s="755" t="s">
        <v>105</v>
      </c>
      <c r="J36" s="760" t="s">
        <v>234</v>
      </c>
      <c r="K36" s="758"/>
    </row>
    <row r="37" spans="2:11" ht="26.25" thickBot="1">
      <c r="B37" s="755" t="s">
        <v>296</v>
      </c>
      <c r="C37" s="755" t="s">
        <v>292</v>
      </c>
      <c r="D37" s="655" t="s">
        <v>293</v>
      </c>
      <c r="E37" s="755" t="s">
        <v>259</v>
      </c>
      <c r="F37" s="755" t="s">
        <v>119</v>
      </c>
      <c r="G37" s="761">
        <v>40950</v>
      </c>
      <c r="H37" s="757" t="s">
        <v>246</v>
      </c>
      <c r="I37" s="755" t="s">
        <v>105</v>
      </c>
      <c r="J37" s="760" t="s">
        <v>234</v>
      </c>
      <c r="K37" s="758"/>
    </row>
    <row r="38" spans="2:11">
      <c r="B38" s="633"/>
      <c r="C38" s="702"/>
      <c r="D38" s="702"/>
      <c r="E38" s="702"/>
      <c r="F38" s="702"/>
      <c r="G38" s="636"/>
      <c r="H38" s="636"/>
      <c r="I38" s="634"/>
      <c r="J38" s="634"/>
      <c r="K38" s="638"/>
    </row>
    <row r="39" spans="2:11" ht="15.75">
      <c r="B39" s="703" t="s">
        <v>297</v>
      </c>
      <c r="E39" s="704"/>
      <c r="F39" s="704"/>
      <c r="G39" s="705"/>
      <c r="H39" s="705"/>
      <c r="I39" s="704"/>
      <c r="J39" s="704"/>
      <c r="K39" s="706"/>
    </row>
    <row r="40" spans="2:11" ht="15.75" thickBot="1">
      <c r="B40" s="707" t="s">
        <v>225</v>
      </c>
      <c r="C40" s="704"/>
      <c r="D40" s="704"/>
      <c r="E40" s="704"/>
      <c r="F40" s="704"/>
      <c r="G40" s="705"/>
      <c r="H40" s="705"/>
      <c r="I40" s="704"/>
      <c r="J40" s="704"/>
      <c r="K40" s="706"/>
    </row>
    <row r="41" spans="2:11">
      <c r="B41" s="888" t="s">
        <v>106</v>
      </c>
      <c r="C41" s="888" t="s">
        <v>107</v>
      </c>
      <c r="D41" s="888" t="s">
        <v>226</v>
      </c>
      <c r="E41" s="888" t="s">
        <v>108</v>
      </c>
      <c r="F41" s="888" t="s">
        <v>109</v>
      </c>
      <c r="G41" s="898" t="s">
        <v>227</v>
      </c>
      <c r="H41" s="977" t="s">
        <v>228</v>
      </c>
      <c r="I41" s="888" t="s">
        <v>111</v>
      </c>
      <c r="J41" s="888" t="s">
        <v>112</v>
      </c>
      <c r="K41" s="888" t="s">
        <v>113</v>
      </c>
    </row>
    <row r="42" spans="2:11">
      <c r="B42" s="889"/>
      <c r="C42" s="889"/>
      <c r="D42" s="889"/>
      <c r="E42" s="889"/>
      <c r="F42" s="889"/>
      <c r="G42" s="882"/>
      <c r="H42" s="978"/>
      <c r="I42" s="889"/>
      <c r="J42" s="889"/>
      <c r="K42" s="889"/>
    </row>
    <row r="43" spans="2:11" ht="13.5" thickBot="1">
      <c r="B43" s="889"/>
      <c r="C43" s="889"/>
      <c r="D43" s="889"/>
      <c r="E43" s="889"/>
      <c r="F43" s="889"/>
      <c r="G43" s="882"/>
      <c r="H43" s="979"/>
      <c r="I43" s="889"/>
      <c r="J43" s="889"/>
      <c r="K43" s="889"/>
    </row>
    <row r="44" spans="2:11" ht="26.25" thickBot="1">
      <c r="B44" s="755" t="s">
        <v>298</v>
      </c>
      <c r="C44" s="755" t="s">
        <v>299</v>
      </c>
      <c r="D44" s="655" t="s">
        <v>245</v>
      </c>
      <c r="E44" s="755" t="s">
        <v>231</v>
      </c>
      <c r="F44" s="755" t="s">
        <v>232</v>
      </c>
      <c r="G44" s="761">
        <v>10</v>
      </c>
      <c r="H44" s="757" t="s">
        <v>246</v>
      </c>
      <c r="I44" s="755" t="s">
        <v>105</v>
      </c>
      <c r="J44" s="760" t="s">
        <v>234</v>
      </c>
      <c r="K44" s="758"/>
    </row>
    <row r="45" spans="2:11" ht="13.5" thickBot="1">
      <c r="B45" s="655" t="s">
        <v>229</v>
      </c>
      <c r="C45" s="655" t="s">
        <v>229</v>
      </c>
      <c r="D45" s="655" t="s">
        <v>230</v>
      </c>
      <c r="E45" s="655" t="s">
        <v>231</v>
      </c>
      <c r="F45" s="655" t="s">
        <v>232</v>
      </c>
      <c r="G45" s="769">
        <v>0.5</v>
      </c>
      <c r="H45" s="764" t="s">
        <v>233</v>
      </c>
      <c r="I45" s="655" t="s">
        <v>105</v>
      </c>
      <c r="J45" s="655" t="s">
        <v>234</v>
      </c>
      <c r="K45" s="656"/>
    </row>
    <row r="46" spans="2:11" ht="39" thickBot="1">
      <c r="B46" s="755" t="s">
        <v>264</v>
      </c>
      <c r="C46" s="755" t="s">
        <v>264</v>
      </c>
      <c r="D46" s="655" t="s">
        <v>265</v>
      </c>
      <c r="E46" s="755" t="s">
        <v>259</v>
      </c>
      <c r="F46" s="755" t="s">
        <v>119</v>
      </c>
      <c r="G46" s="762">
        <f>70*0.5/1000*500</f>
        <v>17.5</v>
      </c>
      <c r="H46" s="755" t="s">
        <v>233</v>
      </c>
      <c r="I46" s="755" t="s">
        <v>104</v>
      </c>
      <c r="J46" s="760" t="s">
        <v>234</v>
      </c>
      <c r="K46" s="755" t="s">
        <v>300</v>
      </c>
    </row>
    <row r="47" spans="2:11" ht="51.75" thickBot="1">
      <c r="B47" s="755" t="s">
        <v>301</v>
      </c>
      <c r="C47" s="755" t="s">
        <v>292</v>
      </c>
      <c r="D47" s="655" t="s">
        <v>293</v>
      </c>
      <c r="E47" s="755" t="s">
        <v>259</v>
      </c>
      <c r="F47" s="755" t="s">
        <v>119</v>
      </c>
      <c r="G47" s="761">
        <v>2900</v>
      </c>
      <c r="H47" s="755" t="s">
        <v>246</v>
      </c>
      <c r="I47" s="755" t="s">
        <v>105</v>
      </c>
      <c r="J47" s="755" t="s">
        <v>234</v>
      </c>
      <c r="K47" s="755"/>
    </row>
    <row r="48" spans="2:11" ht="39" thickBot="1">
      <c r="B48" s="755" t="s">
        <v>302</v>
      </c>
      <c r="C48" s="755" t="s">
        <v>292</v>
      </c>
      <c r="D48" s="655" t="s">
        <v>293</v>
      </c>
      <c r="E48" s="755" t="s">
        <v>259</v>
      </c>
      <c r="F48" s="755" t="s">
        <v>119</v>
      </c>
      <c r="G48" s="761">
        <v>4500</v>
      </c>
      <c r="H48" s="755" t="s">
        <v>246</v>
      </c>
      <c r="I48" s="755" t="s">
        <v>105</v>
      </c>
      <c r="J48" s="755" t="s">
        <v>234</v>
      </c>
      <c r="K48" s="755"/>
    </row>
    <row r="49" spans="2:13" ht="13.5" thickBot="1">
      <c r="B49" s="655" t="s">
        <v>267</v>
      </c>
      <c r="C49" s="655" t="s">
        <v>268</v>
      </c>
      <c r="D49" s="655" t="s">
        <v>269</v>
      </c>
      <c r="E49" s="655" t="s">
        <v>259</v>
      </c>
      <c r="F49" s="655" t="s">
        <v>119</v>
      </c>
      <c r="G49" s="658">
        <v>10</v>
      </c>
      <c r="H49" s="655" t="s">
        <v>260</v>
      </c>
      <c r="I49" s="655" t="s">
        <v>105</v>
      </c>
      <c r="J49" s="655" t="s">
        <v>234</v>
      </c>
      <c r="K49" s="755"/>
    </row>
    <row r="50" spans="2:13" ht="13.5" thickBot="1">
      <c r="B50" s="655" t="s">
        <v>280</v>
      </c>
      <c r="C50" s="655" t="s">
        <v>281</v>
      </c>
      <c r="D50" s="655" t="s">
        <v>282</v>
      </c>
      <c r="E50" s="655" t="s">
        <v>259</v>
      </c>
      <c r="F50" s="655" t="s">
        <v>119</v>
      </c>
      <c r="G50" s="658">
        <v>3</v>
      </c>
      <c r="H50" s="655" t="s">
        <v>260</v>
      </c>
      <c r="I50" s="655" t="s">
        <v>105</v>
      </c>
      <c r="J50" s="655" t="s">
        <v>234</v>
      </c>
      <c r="K50" s="755"/>
    </row>
    <row r="51" spans="2:13" ht="13.5" thickBot="1">
      <c r="B51" s="655" t="s">
        <v>289</v>
      </c>
      <c r="C51" s="655" t="s">
        <v>289</v>
      </c>
      <c r="D51" s="655" t="s">
        <v>290</v>
      </c>
      <c r="E51" s="655" t="s">
        <v>259</v>
      </c>
      <c r="F51" s="655" t="s">
        <v>232</v>
      </c>
      <c r="G51" s="769">
        <v>0.1</v>
      </c>
      <c r="H51" s="764" t="s">
        <v>260</v>
      </c>
      <c r="I51" s="655" t="s">
        <v>105</v>
      </c>
      <c r="J51" s="763" t="s">
        <v>234</v>
      </c>
      <c r="K51" s="755"/>
    </row>
    <row r="52" spans="2:13" ht="26.25" thickBot="1">
      <c r="B52" s="655" t="s">
        <v>261</v>
      </c>
      <c r="C52" s="655" t="s">
        <v>262</v>
      </c>
      <c r="D52" s="655" t="s">
        <v>263</v>
      </c>
      <c r="E52" s="655" t="s">
        <v>259</v>
      </c>
      <c r="F52" s="655" t="s">
        <v>119</v>
      </c>
      <c r="G52" s="658">
        <v>10</v>
      </c>
      <c r="H52" s="764" t="s">
        <v>260</v>
      </c>
      <c r="I52" s="655" t="s">
        <v>105</v>
      </c>
      <c r="J52" s="763" t="s">
        <v>234</v>
      </c>
      <c r="K52" s="755"/>
    </row>
    <row r="53" spans="2:13" ht="13.5" thickBot="1">
      <c r="B53" s="755" t="s">
        <v>303</v>
      </c>
      <c r="C53" s="755" t="s">
        <v>295</v>
      </c>
      <c r="D53" s="755"/>
      <c r="E53" s="755" t="s">
        <v>259</v>
      </c>
      <c r="F53" s="755" t="s">
        <v>119</v>
      </c>
      <c r="G53" s="761">
        <v>5000</v>
      </c>
      <c r="H53" s="757" t="s">
        <v>246</v>
      </c>
      <c r="I53" s="755" t="s">
        <v>105</v>
      </c>
      <c r="J53" s="760" t="s">
        <v>234</v>
      </c>
      <c r="K53" s="758" t="s">
        <v>304</v>
      </c>
    </row>
    <row r="54" spans="2:13">
      <c r="B54" s="633"/>
      <c r="C54" s="702"/>
      <c r="D54" s="702"/>
      <c r="E54" s="702"/>
      <c r="F54" s="702"/>
      <c r="G54" s="636"/>
      <c r="H54" s="636"/>
      <c r="I54" s="634"/>
      <c r="J54" s="634"/>
      <c r="K54" s="638"/>
    </row>
    <row r="55" spans="2:13" ht="15.75">
      <c r="B55" s="703" t="s">
        <v>191</v>
      </c>
      <c r="E55" s="704"/>
      <c r="F55" s="704"/>
      <c r="G55" s="705"/>
      <c r="H55" s="705"/>
      <c r="I55" s="704"/>
      <c r="J55" s="704"/>
      <c r="K55" s="706"/>
    </row>
    <row r="56" spans="2:13" ht="15.75" thickBot="1">
      <c r="B56" s="707" t="s">
        <v>225</v>
      </c>
      <c r="C56" s="704"/>
      <c r="D56" s="704"/>
      <c r="E56" s="704"/>
      <c r="F56" s="704"/>
      <c r="G56" s="705"/>
      <c r="H56" s="705"/>
      <c r="I56" s="704"/>
      <c r="J56" s="704"/>
      <c r="K56" s="706"/>
    </row>
    <row r="57" spans="2:13">
      <c r="B57" s="888" t="s">
        <v>106</v>
      </c>
      <c r="C57" s="888" t="s">
        <v>107</v>
      </c>
      <c r="D57" s="980" t="s">
        <v>226</v>
      </c>
      <c r="E57" s="888" t="s">
        <v>108</v>
      </c>
      <c r="F57" s="888" t="s">
        <v>109</v>
      </c>
      <c r="G57" s="898" t="s">
        <v>227</v>
      </c>
      <c r="H57" s="977" t="s">
        <v>228</v>
      </c>
      <c r="I57" s="888" t="s">
        <v>111</v>
      </c>
      <c r="J57" s="888" t="s">
        <v>112</v>
      </c>
      <c r="K57" s="888" t="s">
        <v>113</v>
      </c>
    </row>
    <row r="58" spans="2:13">
      <c r="B58" s="889"/>
      <c r="C58" s="889"/>
      <c r="D58" s="981"/>
      <c r="E58" s="889"/>
      <c r="F58" s="889"/>
      <c r="G58" s="882"/>
      <c r="H58" s="978"/>
      <c r="I58" s="889"/>
      <c r="J58" s="889"/>
      <c r="K58" s="889"/>
    </row>
    <row r="59" spans="2:13" ht="13.5" thickBot="1">
      <c r="B59" s="889"/>
      <c r="C59" s="889"/>
      <c r="D59" s="981"/>
      <c r="E59" s="889"/>
      <c r="F59" s="889"/>
      <c r="G59" s="882"/>
      <c r="H59" s="979"/>
      <c r="I59" s="889"/>
      <c r="J59" s="889"/>
      <c r="K59" s="889"/>
    </row>
    <row r="60" spans="2:13" ht="13.5" thickBot="1">
      <c r="B60" s="655" t="s">
        <v>229</v>
      </c>
      <c r="C60" s="655" t="s">
        <v>229</v>
      </c>
      <c r="D60" s="655" t="s">
        <v>230</v>
      </c>
      <c r="E60" s="655" t="s">
        <v>231</v>
      </c>
      <c r="F60" s="655" t="s">
        <v>232</v>
      </c>
      <c r="G60" s="769">
        <v>0.5</v>
      </c>
      <c r="H60" s="764" t="s">
        <v>233</v>
      </c>
      <c r="I60" s="655" t="s">
        <v>105</v>
      </c>
      <c r="J60" s="655" t="s">
        <v>234</v>
      </c>
      <c r="K60" s="656"/>
    </row>
    <row r="61" spans="2:13" ht="77.25" thickBot="1">
      <c r="B61" s="755" t="s">
        <v>305</v>
      </c>
      <c r="C61" s="755" t="s">
        <v>306</v>
      </c>
      <c r="D61" s="655" t="s">
        <v>307</v>
      </c>
      <c r="E61" s="755" t="s">
        <v>259</v>
      </c>
      <c r="F61" s="755" t="s">
        <v>232</v>
      </c>
      <c r="G61" s="658">
        <v>6250</v>
      </c>
      <c r="H61" s="757" t="s">
        <v>246</v>
      </c>
      <c r="I61" s="755" t="s">
        <v>105</v>
      </c>
      <c r="J61" s="760" t="s">
        <v>308</v>
      </c>
      <c r="K61" s="758" t="s">
        <v>309</v>
      </c>
    </row>
    <row r="62" spans="2:13" ht="26.25" thickBot="1">
      <c r="B62" s="755" t="s">
        <v>264</v>
      </c>
      <c r="C62" s="755" t="s">
        <v>264</v>
      </c>
      <c r="D62" s="655" t="s">
        <v>265</v>
      </c>
      <c r="E62" s="755" t="s">
        <v>259</v>
      </c>
      <c r="F62" s="755" t="s">
        <v>119</v>
      </c>
      <c r="G62" s="756">
        <v>77.599999999999994</v>
      </c>
      <c r="H62" s="755" t="s">
        <v>233</v>
      </c>
      <c r="I62" s="755" t="s">
        <v>104</v>
      </c>
      <c r="J62" s="760" t="s">
        <v>234</v>
      </c>
      <c r="K62" s="755" t="s">
        <v>310</v>
      </c>
      <c r="M62" s="624">
        <f>194*0.5*800</f>
        <v>77600</v>
      </c>
    </row>
    <row r="63" spans="2:13" ht="39" thickBot="1">
      <c r="B63" s="755" t="s">
        <v>311</v>
      </c>
      <c r="C63" s="755" t="s">
        <v>299</v>
      </c>
      <c r="D63" s="655" t="s">
        <v>245</v>
      </c>
      <c r="E63" s="755" t="s">
        <v>259</v>
      </c>
      <c r="F63" s="755" t="s">
        <v>119</v>
      </c>
      <c r="G63" s="761">
        <v>31300</v>
      </c>
      <c r="H63" s="755" t="s">
        <v>246</v>
      </c>
      <c r="I63" s="755" t="s">
        <v>105</v>
      </c>
      <c r="J63" s="755" t="s">
        <v>312</v>
      </c>
      <c r="K63" s="755" t="s">
        <v>313</v>
      </c>
    </row>
    <row r="64" spans="2:13" ht="77.25" thickBot="1">
      <c r="B64" s="755" t="s">
        <v>314</v>
      </c>
      <c r="C64" s="755" t="s">
        <v>299</v>
      </c>
      <c r="D64" s="655" t="s">
        <v>245</v>
      </c>
      <c r="E64" s="755" t="s">
        <v>231</v>
      </c>
      <c r="F64" s="755" t="s">
        <v>232</v>
      </c>
      <c r="G64" s="658">
        <v>61480</v>
      </c>
      <c r="H64" s="755" t="s">
        <v>246</v>
      </c>
      <c r="I64" s="755" t="s">
        <v>105</v>
      </c>
      <c r="J64" s="755" t="s">
        <v>315</v>
      </c>
      <c r="K64" s="755" t="s">
        <v>316</v>
      </c>
    </row>
    <row r="65" spans="2:11" ht="26.25" thickBot="1">
      <c r="B65" s="755" t="s">
        <v>317</v>
      </c>
      <c r="C65" s="755" t="s">
        <v>318</v>
      </c>
      <c r="D65" s="655" t="s">
        <v>319</v>
      </c>
      <c r="E65" s="755" t="s">
        <v>259</v>
      </c>
      <c r="F65" s="755" t="s">
        <v>232</v>
      </c>
      <c r="G65" s="761">
        <v>7</v>
      </c>
      <c r="H65" s="757" t="s">
        <v>233</v>
      </c>
      <c r="I65" s="755" t="s">
        <v>105</v>
      </c>
      <c r="J65" s="760" t="s">
        <v>234</v>
      </c>
      <c r="K65" s="758" t="s">
        <v>320</v>
      </c>
    </row>
    <row r="66" spans="2:11" ht="39" thickBot="1">
      <c r="B66" s="755" t="s">
        <v>321</v>
      </c>
      <c r="C66" s="755" t="s">
        <v>276</v>
      </c>
      <c r="D66" s="655" t="s">
        <v>322</v>
      </c>
      <c r="E66" s="755" t="s">
        <v>259</v>
      </c>
      <c r="F66" s="755" t="s">
        <v>119</v>
      </c>
      <c r="G66" s="761">
        <v>250</v>
      </c>
      <c r="H66" s="757" t="s">
        <v>233</v>
      </c>
      <c r="I66" s="755" t="s">
        <v>105</v>
      </c>
      <c r="J66" s="760" t="s">
        <v>234</v>
      </c>
      <c r="K66" s="758" t="s">
        <v>323</v>
      </c>
    </row>
    <row r="67" spans="2:11" ht="13.5" thickBot="1">
      <c r="B67" s="755" t="s">
        <v>271</v>
      </c>
      <c r="C67" s="755" t="s">
        <v>271</v>
      </c>
      <c r="D67" s="655" t="s">
        <v>245</v>
      </c>
      <c r="E67" s="755" t="s">
        <v>259</v>
      </c>
      <c r="F67" s="755" t="s">
        <v>119</v>
      </c>
      <c r="G67" s="761">
        <v>100</v>
      </c>
      <c r="H67" s="757" t="s">
        <v>324</v>
      </c>
      <c r="I67" s="755" t="s">
        <v>105</v>
      </c>
      <c r="J67" s="760" t="s">
        <v>234</v>
      </c>
      <c r="K67" s="755" t="s">
        <v>325</v>
      </c>
    </row>
    <row r="68" spans="2:11" ht="26.25" thickBot="1">
      <c r="B68" s="755" t="s">
        <v>271</v>
      </c>
      <c r="C68" s="755" t="s">
        <v>271</v>
      </c>
      <c r="D68" s="655" t="s">
        <v>245</v>
      </c>
      <c r="E68" s="755" t="s">
        <v>259</v>
      </c>
      <c r="F68" s="755" t="s">
        <v>119</v>
      </c>
      <c r="G68" s="761">
        <v>2000</v>
      </c>
      <c r="H68" s="757" t="s">
        <v>324</v>
      </c>
      <c r="I68" s="755" t="s">
        <v>105</v>
      </c>
      <c r="J68" s="760" t="s">
        <v>234</v>
      </c>
      <c r="K68" s="755" t="s">
        <v>326</v>
      </c>
    </row>
    <row r="69" spans="2:11" ht="13.5" thickBot="1">
      <c r="B69" s="755" t="s">
        <v>267</v>
      </c>
      <c r="C69" s="755" t="s">
        <v>268</v>
      </c>
      <c r="D69" s="655" t="s">
        <v>269</v>
      </c>
      <c r="E69" s="755" t="s">
        <v>259</v>
      </c>
      <c r="F69" s="755" t="s">
        <v>119</v>
      </c>
      <c r="G69" s="761">
        <v>10</v>
      </c>
      <c r="H69" s="757" t="s">
        <v>260</v>
      </c>
      <c r="I69" s="755" t="s">
        <v>105</v>
      </c>
      <c r="J69" s="760" t="s">
        <v>234</v>
      </c>
      <c r="K69" s="755"/>
    </row>
    <row r="70" spans="2:11" ht="13.5" thickBot="1">
      <c r="B70" s="655" t="s">
        <v>289</v>
      </c>
      <c r="C70" s="655" t="s">
        <v>289</v>
      </c>
      <c r="D70" s="655" t="s">
        <v>290</v>
      </c>
      <c r="E70" s="655" t="s">
        <v>259</v>
      </c>
      <c r="F70" s="655" t="s">
        <v>232</v>
      </c>
      <c r="G70" s="769">
        <v>0.1</v>
      </c>
      <c r="H70" s="764" t="s">
        <v>260</v>
      </c>
      <c r="I70" s="655" t="s">
        <v>105</v>
      </c>
      <c r="J70" s="763" t="s">
        <v>234</v>
      </c>
      <c r="K70" s="755"/>
    </row>
    <row r="71" spans="2:11" ht="26.25" thickBot="1">
      <c r="B71" s="755" t="s">
        <v>270</v>
      </c>
      <c r="C71" s="755" t="s">
        <v>271</v>
      </c>
      <c r="D71" s="755"/>
      <c r="E71" s="755" t="s">
        <v>259</v>
      </c>
      <c r="F71" s="755" t="s">
        <v>119</v>
      </c>
      <c r="G71" s="761">
        <v>10</v>
      </c>
      <c r="H71" s="757" t="s">
        <v>233</v>
      </c>
      <c r="I71" s="755" t="s">
        <v>105</v>
      </c>
      <c r="J71" s="760" t="s">
        <v>234</v>
      </c>
      <c r="K71" s="755"/>
    </row>
    <row r="72" spans="2:11" ht="26.25" thickBot="1">
      <c r="B72" s="755" t="s">
        <v>273</v>
      </c>
      <c r="C72" s="755" t="s">
        <v>271</v>
      </c>
      <c r="D72" s="755"/>
      <c r="E72" s="755" t="s">
        <v>274</v>
      </c>
      <c r="F72" s="755" t="s">
        <v>119</v>
      </c>
      <c r="G72" s="761">
        <v>15</v>
      </c>
      <c r="H72" s="757" t="s">
        <v>233</v>
      </c>
      <c r="I72" s="755" t="s">
        <v>105</v>
      </c>
      <c r="J72" s="760" t="s">
        <v>234</v>
      </c>
      <c r="K72" s="755"/>
    </row>
    <row r="73" spans="2:11" ht="13.5" thickBot="1">
      <c r="B73" s="755" t="s">
        <v>327</v>
      </c>
      <c r="C73" s="755" t="s">
        <v>276</v>
      </c>
      <c r="D73" s="655" t="s">
        <v>322</v>
      </c>
      <c r="E73" s="755" t="s">
        <v>259</v>
      </c>
      <c r="F73" s="755" t="s">
        <v>119</v>
      </c>
      <c r="G73" s="658">
        <v>10</v>
      </c>
      <c r="H73" s="757" t="s">
        <v>260</v>
      </c>
      <c r="I73" s="755" t="s">
        <v>105</v>
      </c>
      <c r="J73" s="760" t="s">
        <v>234</v>
      </c>
      <c r="K73" s="755"/>
    </row>
    <row r="74" spans="2:11" ht="13.5" thickBot="1">
      <c r="B74" s="755" t="s">
        <v>278</v>
      </c>
      <c r="C74" s="755" t="s">
        <v>276</v>
      </c>
      <c r="D74" s="755"/>
      <c r="E74" s="755" t="s">
        <v>259</v>
      </c>
      <c r="F74" s="755" t="s">
        <v>119</v>
      </c>
      <c r="G74" s="761">
        <v>5</v>
      </c>
      <c r="H74" s="757" t="s">
        <v>260</v>
      </c>
      <c r="I74" s="755" t="s">
        <v>105</v>
      </c>
      <c r="J74" s="760" t="s">
        <v>234</v>
      </c>
      <c r="K74" s="755"/>
    </row>
    <row r="75" spans="2:11" ht="26.25" thickBot="1">
      <c r="B75" s="655" t="s">
        <v>261</v>
      </c>
      <c r="C75" s="655" t="s">
        <v>262</v>
      </c>
      <c r="D75" s="655" t="s">
        <v>263</v>
      </c>
      <c r="E75" s="655" t="s">
        <v>259</v>
      </c>
      <c r="F75" s="655" t="s">
        <v>119</v>
      </c>
      <c r="G75" s="658">
        <v>10</v>
      </c>
      <c r="H75" s="764" t="s">
        <v>260</v>
      </c>
      <c r="I75" s="655" t="s">
        <v>105</v>
      </c>
      <c r="J75" s="763" t="s">
        <v>234</v>
      </c>
      <c r="K75" s="755"/>
    </row>
    <row r="76" spans="2:11" ht="39" thickBot="1">
      <c r="B76" s="655" t="s">
        <v>256</v>
      </c>
      <c r="C76" s="655" t="s">
        <v>257</v>
      </c>
      <c r="D76" s="655" t="s">
        <v>258</v>
      </c>
      <c r="E76" s="655" t="s">
        <v>259</v>
      </c>
      <c r="F76" s="655" t="s">
        <v>232</v>
      </c>
      <c r="G76" s="762">
        <v>0.02</v>
      </c>
      <c r="H76" s="659" t="s">
        <v>260</v>
      </c>
      <c r="I76" s="763" t="s">
        <v>105</v>
      </c>
      <c r="J76" s="763" t="s">
        <v>234</v>
      </c>
      <c r="K76" s="758"/>
    </row>
    <row r="77" spans="2:11" ht="13.5" thickBot="1">
      <c r="B77" s="755" t="s">
        <v>280</v>
      </c>
      <c r="C77" s="755" t="s">
        <v>281</v>
      </c>
      <c r="D77" s="655" t="s">
        <v>282</v>
      </c>
      <c r="E77" s="755" t="s">
        <v>259</v>
      </c>
      <c r="F77" s="755" t="s">
        <v>119</v>
      </c>
      <c r="G77" s="761">
        <v>3</v>
      </c>
      <c r="H77" s="757" t="s">
        <v>260</v>
      </c>
      <c r="I77" s="755" t="s">
        <v>105</v>
      </c>
      <c r="J77" s="760" t="s">
        <v>234</v>
      </c>
      <c r="K77" s="755"/>
    </row>
    <row r="78" spans="2:11">
      <c r="B78" s="633"/>
      <c r="C78" s="702"/>
      <c r="D78" s="702"/>
      <c r="E78" s="702"/>
      <c r="F78" s="702"/>
      <c r="G78" s="702"/>
      <c r="H78" s="636"/>
      <c r="I78" s="634"/>
      <c r="J78" s="634"/>
      <c r="K78" s="638"/>
    </row>
    <row r="79" spans="2:11" ht="15.75">
      <c r="B79" s="703" t="s">
        <v>328</v>
      </c>
      <c r="E79" s="704"/>
      <c r="F79" s="704"/>
      <c r="G79" s="636"/>
      <c r="H79" s="705"/>
      <c r="I79" s="704"/>
      <c r="J79" s="704"/>
      <c r="K79" s="706"/>
    </row>
    <row r="80" spans="2:11" ht="15.75" thickBot="1">
      <c r="B80" s="707" t="s">
        <v>225</v>
      </c>
      <c r="C80" s="704"/>
      <c r="D80" s="704"/>
      <c r="E80" s="704"/>
      <c r="F80" s="704"/>
      <c r="G80" s="705"/>
      <c r="H80" s="705"/>
      <c r="I80" s="704"/>
      <c r="J80" s="704"/>
      <c r="K80" s="706"/>
    </row>
    <row r="81" spans="2:11">
      <c r="B81" s="888" t="s">
        <v>106</v>
      </c>
      <c r="C81" s="888" t="s">
        <v>107</v>
      </c>
      <c r="D81" s="980" t="s">
        <v>226</v>
      </c>
      <c r="E81" s="888" t="s">
        <v>108</v>
      </c>
      <c r="F81" s="888" t="s">
        <v>109</v>
      </c>
      <c r="G81" s="977" t="s">
        <v>227</v>
      </c>
      <c r="H81" s="977" t="s">
        <v>228</v>
      </c>
      <c r="I81" s="888" t="s">
        <v>111</v>
      </c>
      <c r="J81" s="888" t="s">
        <v>112</v>
      </c>
      <c r="K81" s="888" t="s">
        <v>113</v>
      </c>
    </row>
    <row r="82" spans="2:11" ht="13.15" customHeight="1">
      <c r="B82" s="889"/>
      <c r="C82" s="889"/>
      <c r="D82" s="981"/>
      <c r="E82" s="889"/>
      <c r="F82" s="889"/>
      <c r="G82" s="978"/>
      <c r="H82" s="978"/>
      <c r="I82" s="889"/>
      <c r="J82" s="889"/>
      <c r="K82" s="889"/>
    </row>
    <row r="83" spans="2:11" ht="13.5" customHeight="1" thickBot="1">
      <c r="B83" s="889"/>
      <c r="C83" s="889"/>
      <c r="D83" s="981"/>
      <c r="E83" s="889"/>
      <c r="F83" s="889"/>
      <c r="G83" s="979"/>
      <c r="H83" s="979"/>
      <c r="I83" s="889"/>
      <c r="J83" s="889"/>
      <c r="K83" s="889"/>
    </row>
    <row r="84" spans="2:11" ht="18.600000000000001" customHeight="1" thickBot="1">
      <c r="B84" s="655" t="s">
        <v>229</v>
      </c>
      <c r="C84" s="655" t="s">
        <v>229</v>
      </c>
      <c r="D84" s="655" t="s">
        <v>329</v>
      </c>
      <c r="E84" s="655" t="s">
        <v>231</v>
      </c>
      <c r="F84" s="655" t="s">
        <v>232</v>
      </c>
      <c r="G84" s="769">
        <v>0.5</v>
      </c>
      <c r="H84" s="764" t="s">
        <v>233</v>
      </c>
      <c r="I84" s="655" t="s">
        <v>105</v>
      </c>
      <c r="J84" s="655" t="s">
        <v>234</v>
      </c>
      <c r="K84" s="656"/>
    </row>
    <row r="85" spans="2:11" ht="26.25" thickBot="1">
      <c r="B85" s="755" t="s">
        <v>264</v>
      </c>
      <c r="C85" s="755" t="s">
        <v>264</v>
      </c>
      <c r="D85" s="655" t="s">
        <v>265</v>
      </c>
      <c r="E85" s="755" t="s">
        <v>259</v>
      </c>
      <c r="F85" s="755" t="s">
        <v>119</v>
      </c>
      <c r="G85" s="770">
        <f>40*0.5/1000*60</f>
        <v>1.2</v>
      </c>
      <c r="H85" s="755" t="s">
        <v>233</v>
      </c>
      <c r="I85" s="755" t="s">
        <v>104</v>
      </c>
      <c r="J85" s="760" t="s">
        <v>234</v>
      </c>
      <c r="K85" s="755" t="s">
        <v>330</v>
      </c>
    </row>
    <row r="86" spans="2:11" ht="13.5" thickBot="1">
      <c r="B86" s="655" t="s">
        <v>289</v>
      </c>
      <c r="C86" s="655" t="s">
        <v>289</v>
      </c>
      <c r="D86" s="655" t="s">
        <v>290</v>
      </c>
      <c r="E86" s="655" t="s">
        <v>259</v>
      </c>
      <c r="F86" s="655" t="s">
        <v>232</v>
      </c>
      <c r="G86" s="769">
        <v>0.1</v>
      </c>
      <c r="H86" s="764" t="s">
        <v>260</v>
      </c>
      <c r="I86" s="655" t="s">
        <v>105</v>
      </c>
      <c r="J86" s="763" t="s">
        <v>234</v>
      </c>
      <c r="K86" s="755"/>
    </row>
    <row r="87" spans="2:11" ht="13.5" thickBot="1">
      <c r="B87" s="755" t="s">
        <v>267</v>
      </c>
      <c r="C87" s="755" t="s">
        <v>268</v>
      </c>
      <c r="D87" s="655" t="s">
        <v>269</v>
      </c>
      <c r="E87" s="755" t="s">
        <v>259</v>
      </c>
      <c r="F87" s="755" t="s">
        <v>119</v>
      </c>
      <c r="G87" s="658">
        <v>2</v>
      </c>
      <c r="H87" s="755" t="s">
        <v>260</v>
      </c>
      <c r="I87" s="755" t="s">
        <v>104</v>
      </c>
      <c r="J87" s="760" t="s">
        <v>234</v>
      </c>
      <c r="K87" s="755"/>
    </row>
    <row r="88" spans="2:11" ht="13.5" thickBot="1">
      <c r="B88" s="755" t="s">
        <v>275</v>
      </c>
      <c r="C88" s="755" t="s">
        <v>276</v>
      </c>
      <c r="D88" s="755"/>
      <c r="E88" s="755" t="s">
        <v>259</v>
      </c>
      <c r="F88" s="755" t="s">
        <v>119</v>
      </c>
      <c r="G88" s="761">
        <v>5</v>
      </c>
      <c r="H88" s="755" t="s">
        <v>260</v>
      </c>
      <c r="I88" s="755" t="s">
        <v>105</v>
      </c>
      <c r="J88" s="755" t="s">
        <v>234</v>
      </c>
      <c r="K88" s="755"/>
    </row>
    <row r="89" spans="2:11" ht="26.25" thickBot="1">
      <c r="B89" s="655" t="s">
        <v>261</v>
      </c>
      <c r="C89" s="655" t="s">
        <v>262</v>
      </c>
      <c r="D89" s="655" t="s">
        <v>263</v>
      </c>
      <c r="E89" s="655" t="s">
        <v>259</v>
      </c>
      <c r="F89" s="655" t="s">
        <v>119</v>
      </c>
      <c r="G89" s="658">
        <v>3</v>
      </c>
      <c r="H89" s="764" t="s">
        <v>260</v>
      </c>
      <c r="I89" s="655" t="s">
        <v>105</v>
      </c>
      <c r="J89" s="763" t="s">
        <v>234</v>
      </c>
      <c r="K89" s="755"/>
    </row>
    <row r="90" spans="2:11" ht="39" thickBot="1">
      <c r="B90" s="655" t="s">
        <v>256</v>
      </c>
      <c r="C90" s="655" t="s">
        <v>257</v>
      </c>
      <c r="D90" s="655" t="s">
        <v>258</v>
      </c>
      <c r="E90" s="655" t="s">
        <v>259</v>
      </c>
      <c r="F90" s="655" t="s">
        <v>232</v>
      </c>
      <c r="G90" s="771">
        <v>5.0000000000000001E-3</v>
      </c>
      <c r="H90" s="659" t="s">
        <v>260</v>
      </c>
      <c r="I90" s="763" t="s">
        <v>105</v>
      </c>
      <c r="J90" s="763" t="s">
        <v>234</v>
      </c>
      <c r="K90" s="758"/>
    </row>
    <row r="91" spans="2:11" ht="13.5" thickBot="1">
      <c r="B91" s="655" t="s">
        <v>276</v>
      </c>
      <c r="C91" s="755" t="s">
        <v>276</v>
      </c>
      <c r="D91" s="655" t="s">
        <v>322</v>
      </c>
      <c r="E91" s="755" t="s">
        <v>259</v>
      </c>
      <c r="F91" s="755" t="s">
        <v>119</v>
      </c>
      <c r="G91" s="658">
        <v>10</v>
      </c>
      <c r="H91" s="755" t="s">
        <v>260</v>
      </c>
      <c r="I91" s="755" t="s">
        <v>105</v>
      </c>
      <c r="J91" s="760" t="s">
        <v>234</v>
      </c>
      <c r="K91" s="755"/>
    </row>
    <row r="92" spans="2:11" ht="13.5" thickBot="1">
      <c r="B92" s="755" t="s">
        <v>280</v>
      </c>
      <c r="C92" s="755" t="s">
        <v>281</v>
      </c>
      <c r="D92" s="655" t="s">
        <v>282</v>
      </c>
      <c r="E92" s="755" t="s">
        <v>259</v>
      </c>
      <c r="F92" s="755" t="s">
        <v>119</v>
      </c>
      <c r="G92" s="658">
        <v>2</v>
      </c>
      <c r="H92" s="755" t="s">
        <v>260</v>
      </c>
      <c r="I92" s="755" t="s">
        <v>105</v>
      </c>
      <c r="J92" s="760" t="s">
        <v>234</v>
      </c>
      <c r="K92" s="758"/>
    </row>
    <row r="93" spans="2:11">
      <c r="B93" s="633"/>
      <c r="C93" s="702"/>
      <c r="D93" s="702"/>
      <c r="E93" s="702"/>
      <c r="F93" s="702"/>
      <c r="H93" s="636"/>
      <c r="I93" s="634"/>
      <c r="J93" s="634"/>
      <c r="K93" s="638"/>
    </row>
    <row r="94" spans="2:11" ht="15.75">
      <c r="B94" s="703" t="s">
        <v>331</v>
      </c>
      <c r="E94" s="704"/>
      <c r="F94" s="704"/>
      <c r="G94" s="636"/>
      <c r="H94" s="705"/>
      <c r="I94" s="704"/>
      <c r="J94" s="704"/>
      <c r="K94" s="706"/>
    </row>
    <row r="95" spans="2:11" ht="15.75" thickBot="1">
      <c r="B95" s="707" t="s">
        <v>225</v>
      </c>
      <c r="C95" s="704"/>
      <c r="D95" s="704"/>
      <c r="E95" s="704"/>
      <c r="F95" s="704"/>
      <c r="G95" s="705"/>
      <c r="H95" s="705"/>
      <c r="I95" s="704"/>
      <c r="J95" s="704"/>
      <c r="K95" s="706"/>
    </row>
    <row r="96" spans="2:11">
      <c r="B96" s="888" t="s">
        <v>106</v>
      </c>
      <c r="C96" s="888" t="s">
        <v>107</v>
      </c>
      <c r="D96" s="980" t="s">
        <v>226</v>
      </c>
      <c r="E96" s="888" t="s">
        <v>108</v>
      </c>
      <c r="F96" s="888" t="s">
        <v>109</v>
      </c>
      <c r="G96" s="977" t="s">
        <v>227</v>
      </c>
      <c r="H96" s="977" t="s">
        <v>228</v>
      </c>
      <c r="I96" s="888" t="s">
        <v>111</v>
      </c>
      <c r="J96" s="888" t="s">
        <v>112</v>
      </c>
      <c r="K96" s="888" t="s">
        <v>113</v>
      </c>
    </row>
    <row r="97" spans="2:11">
      <c r="B97" s="889"/>
      <c r="C97" s="889"/>
      <c r="D97" s="981"/>
      <c r="E97" s="889"/>
      <c r="F97" s="889"/>
      <c r="G97" s="978"/>
      <c r="H97" s="978"/>
      <c r="I97" s="889"/>
      <c r="J97" s="889"/>
      <c r="K97" s="889"/>
    </row>
    <row r="98" spans="2:11" ht="13.5" thickBot="1">
      <c r="B98" s="889"/>
      <c r="C98" s="889"/>
      <c r="D98" s="981"/>
      <c r="E98" s="889"/>
      <c r="F98" s="889"/>
      <c r="G98" s="979"/>
      <c r="H98" s="979"/>
      <c r="I98" s="889"/>
      <c r="J98" s="889"/>
      <c r="K98" s="889"/>
    </row>
    <row r="99" spans="2:11" ht="13.5" thickBot="1">
      <c r="B99" s="655" t="s">
        <v>229</v>
      </c>
      <c r="C99" s="655" t="s">
        <v>229</v>
      </c>
      <c r="D99" s="655" t="s">
        <v>329</v>
      </c>
      <c r="E99" s="655" t="s">
        <v>231</v>
      </c>
      <c r="F99" s="655" t="s">
        <v>232</v>
      </c>
      <c r="G99" s="769">
        <v>2</v>
      </c>
      <c r="H99" s="764" t="s">
        <v>233</v>
      </c>
      <c r="I99" s="655" t="s">
        <v>105</v>
      </c>
      <c r="J99" s="655" t="s">
        <v>234</v>
      </c>
      <c r="K99" s="656"/>
    </row>
    <row r="100" spans="2:11" ht="26.25" thickBot="1">
      <c r="B100" s="755" t="s">
        <v>264</v>
      </c>
      <c r="C100" s="755" t="s">
        <v>264</v>
      </c>
      <c r="D100" s="755"/>
      <c r="E100" s="755" t="s">
        <v>259</v>
      </c>
      <c r="F100" s="755" t="s">
        <v>119</v>
      </c>
      <c r="G100" s="770">
        <f>6*0.5/1000*365.25</f>
        <v>1.09575</v>
      </c>
      <c r="H100" s="755" t="s">
        <v>332</v>
      </c>
      <c r="I100" s="755" t="s">
        <v>104</v>
      </c>
      <c r="J100" s="760" t="s">
        <v>234</v>
      </c>
      <c r="K100" s="755" t="s">
        <v>333</v>
      </c>
    </row>
    <row r="101" spans="2:11" ht="39" thickBot="1">
      <c r="B101" s="655" t="s">
        <v>256</v>
      </c>
      <c r="C101" s="655" t="s">
        <v>257</v>
      </c>
      <c r="D101" s="655" t="s">
        <v>258</v>
      </c>
      <c r="E101" s="655" t="s">
        <v>259</v>
      </c>
      <c r="F101" s="655" t="s">
        <v>232</v>
      </c>
      <c r="G101" s="762">
        <v>0.01</v>
      </c>
      <c r="H101" s="659" t="s">
        <v>260</v>
      </c>
      <c r="I101" s="763" t="s">
        <v>105</v>
      </c>
      <c r="J101" s="763" t="s">
        <v>234</v>
      </c>
      <c r="K101" s="758"/>
    </row>
    <row r="102" spans="2:11" ht="26.25" thickBot="1">
      <c r="B102" s="655" t="s">
        <v>261</v>
      </c>
      <c r="C102" s="655" t="s">
        <v>262</v>
      </c>
      <c r="D102" s="655" t="s">
        <v>263</v>
      </c>
      <c r="E102" s="655" t="s">
        <v>259</v>
      </c>
      <c r="F102" s="655" t="s">
        <v>119</v>
      </c>
      <c r="G102" s="658">
        <v>1</v>
      </c>
      <c r="H102" s="764" t="s">
        <v>260</v>
      </c>
      <c r="I102" s="655" t="s">
        <v>105</v>
      </c>
      <c r="J102" s="763" t="s">
        <v>234</v>
      </c>
      <c r="K102" s="755"/>
    </row>
    <row r="103" spans="2:11" ht="13.5" thickBot="1">
      <c r="B103" s="655" t="s">
        <v>289</v>
      </c>
      <c r="C103" s="655" t="s">
        <v>289</v>
      </c>
      <c r="D103" s="655" t="s">
        <v>290</v>
      </c>
      <c r="E103" s="655" t="s">
        <v>259</v>
      </c>
      <c r="F103" s="655" t="s">
        <v>232</v>
      </c>
      <c r="G103" s="762">
        <v>0.05</v>
      </c>
      <c r="H103" s="764" t="s">
        <v>260</v>
      </c>
      <c r="I103" s="655" t="s">
        <v>105</v>
      </c>
      <c r="J103" s="763" t="s">
        <v>234</v>
      </c>
      <c r="K103" s="755"/>
    </row>
    <row r="104" spans="2:11" ht="13.5" thickBot="1">
      <c r="B104" s="655" t="s">
        <v>267</v>
      </c>
      <c r="C104" s="655" t="s">
        <v>268</v>
      </c>
      <c r="D104" s="655" t="s">
        <v>269</v>
      </c>
      <c r="E104" s="655" t="s">
        <v>259</v>
      </c>
      <c r="F104" s="655" t="s">
        <v>119</v>
      </c>
      <c r="G104" s="658">
        <v>1</v>
      </c>
      <c r="H104" s="655" t="s">
        <v>260</v>
      </c>
      <c r="I104" s="655" t="s">
        <v>104</v>
      </c>
      <c r="J104" s="763" t="s">
        <v>234</v>
      </c>
      <c r="K104" s="655"/>
    </row>
    <row r="105" spans="2:11" ht="13.5" thickBot="1">
      <c r="B105" s="655" t="s">
        <v>280</v>
      </c>
      <c r="C105" s="655" t="s">
        <v>281</v>
      </c>
      <c r="D105" s="655" t="s">
        <v>282</v>
      </c>
      <c r="E105" s="655" t="s">
        <v>259</v>
      </c>
      <c r="F105" s="655" t="s">
        <v>119</v>
      </c>
      <c r="G105" s="658">
        <v>2</v>
      </c>
      <c r="H105" s="655" t="s">
        <v>260</v>
      </c>
      <c r="I105" s="655" t="s">
        <v>105</v>
      </c>
      <c r="J105" s="763" t="s">
        <v>234</v>
      </c>
      <c r="K105" s="656"/>
    </row>
    <row r="106" spans="2:11" ht="13.5" thickBot="1">
      <c r="B106" s="655" t="s">
        <v>276</v>
      </c>
      <c r="C106" s="655" t="s">
        <v>276</v>
      </c>
      <c r="D106" s="655" t="s">
        <v>322</v>
      </c>
      <c r="E106" s="655" t="s">
        <v>259</v>
      </c>
      <c r="F106" s="655" t="s">
        <v>119</v>
      </c>
      <c r="G106" s="658">
        <v>15</v>
      </c>
      <c r="H106" s="764" t="s">
        <v>260</v>
      </c>
      <c r="I106" s="655" t="s">
        <v>105</v>
      </c>
      <c r="J106" s="763" t="s">
        <v>234</v>
      </c>
      <c r="K106" s="655"/>
    </row>
    <row r="107" spans="2:11" ht="26.25" thickBot="1">
      <c r="B107" s="755" t="s">
        <v>334</v>
      </c>
      <c r="C107" s="755" t="s">
        <v>318</v>
      </c>
      <c r="D107" s="755"/>
      <c r="E107" s="755" t="s">
        <v>259</v>
      </c>
      <c r="F107" s="755" t="s">
        <v>232</v>
      </c>
      <c r="G107" s="761">
        <v>20</v>
      </c>
      <c r="H107" s="755" t="s">
        <v>246</v>
      </c>
      <c r="I107" s="755" t="s">
        <v>105</v>
      </c>
      <c r="J107" s="760" t="s">
        <v>234</v>
      </c>
      <c r="K107" s="755" t="s">
        <v>335</v>
      </c>
    </row>
    <row r="108" spans="2:11">
      <c r="B108" s="633"/>
      <c r="C108" s="702"/>
      <c r="D108" s="702"/>
      <c r="E108" s="702"/>
      <c r="F108" s="702"/>
      <c r="G108" s="624"/>
      <c r="H108" s="636"/>
      <c r="I108" s="634"/>
      <c r="J108" s="634"/>
      <c r="K108" s="638"/>
    </row>
    <row r="109" spans="2:11" ht="15.75">
      <c r="B109" s="703" t="s">
        <v>336</v>
      </c>
      <c r="E109" s="704"/>
      <c r="F109" s="704"/>
      <c r="G109" s="636"/>
      <c r="H109" s="705"/>
      <c r="I109" s="704"/>
      <c r="J109" s="704"/>
      <c r="K109" s="706"/>
    </row>
    <row r="110" spans="2:11" ht="15.75" thickBot="1">
      <c r="B110" s="707" t="s">
        <v>225</v>
      </c>
      <c r="C110" s="704"/>
      <c r="D110" s="704"/>
      <c r="E110" s="704"/>
      <c r="F110" s="704"/>
      <c r="G110" s="705"/>
      <c r="H110" s="705"/>
      <c r="I110" s="704"/>
      <c r="J110" s="704"/>
      <c r="K110" s="706"/>
    </row>
    <row r="111" spans="2:11">
      <c r="B111" s="888" t="s">
        <v>106</v>
      </c>
      <c r="C111" s="888" t="s">
        <v>107</v>
      </c>
      <c r="D111" s="980" t="s">
        <v>226</v>
      </c>
      <c r="E111" s="888" t="s">
        <v>108</v>
      </c>
      <c r="F111" s="888" t="s">
        <v>109</v>
      </c>
      <c r="G111" s="977" t="s">
        <v>227</v>
      </c>
      <c r="H111" s="977" t="s">
        <v>228</v>
      </c>
      <c r="I111" s="888" t="s">
        <v>111</v>
      </c>
      <c r="J111" s="888" t="s">
        <v>112</v>
      </c>
      <c r="K111" s="888" t="s">
        <v>113</v>
      </c>
    </row>
    <row r="112" spans="2:11">
      <c r="B112" s="889"/>
      <c r="C112" s="889"/>
      <c r="D112" s="981"/>
      <c r="E112" s="889"/>
      <c r="F112" s="889"/>
      <c r="G112" s="978"/>
      <c r="H112" s="978"/>
      <c r="I112" s="889"/>
      <c r="J112" s="889"/>
      <c r="K112" s="889"/>
    </row>
    <row r="113" spans="2:11" ht="13.5" thickBot="1">
      <c r="B113" s="889"/>
      <c r="C113" s="889"/>
      <c r="D113" s="981"/>
      <c r="E113" s="889"/>
      <c r="F113" s="889"/>
      <c r="G113" s="979"/>
      <c r="H113" s="979"/>
      <c r="I113" s="889"/>
      <c r="J113" s="889"/>
      <c r="K113" s="889"/>
    </row>
    <row r="114" spans="2:11" ht="141" thickBot="1">
      <c r="B114" s="755" t="s">
        <v>337</v>
      </c>
      <c r="C114" s="755" t="s">
        <v>338</v>
      </c>
      <c r="D114" s="755"/>
      <c r="E114" s="755" t="s">
        <v>259</v>
      </c>
      <c r="F114" s="755" t="s">
        <v>232</v>
      </c>
      <c r="G114" s="770">
        <v>25</v>
      </c>
      <c r="H114" s="755" t="s">
        <v>339</v>
      </c>
      <c r="I114" s="755" t="s">
        <v>105</v>
      </c>
      <c r="J114" s="760" t="s">
        <v>234</v>
      </c>
      <c r="K114" s="755" t="s">
        <v>340</v>
      </c>
    </row>
  </sheetData>
  <sheetProtection algorithmName="SHA-512" hashValue="NZlfZ+O2pQ9QHdFb7LWG/SHiLrq+VIbv23g7/+SDNivsqtDVJVMiIxIWjRWoCLaasfhk2ZLGV2eud+GkpYFSCg==" saltValue="OzRE0w5iQKv3D6tMIrhUCQ==" spinCount="100000" sheet="1" objects="1" scenarios="1" selectLockedCells="1" selectUnlockedCells="1"/>
  <mergeCells count="60">
    <mergeCell ref="B81:B83"/>
    <mergeCell ref="C81:C83"/>
    <mergeCell ref="H96:H98"/>
    <mergeCell ref="I96:I98"/>
    <mergeCell ref="J96:J98"/>
    <mergeCell ref="I81:I83"/>
    <mergeCell ref="J81:J83"/>
    <mergeCell ref="H81:H83"/>
    <mergeCell ref="H57:H59"/>
    <mergeCell ref="I57:I59"/>
    <mergeCell ref="K81:K83"/>
    <mergeCell ref="B111:B113"/>
    <mergeCell ref="C111:C113"/>
    <mergeCell ref="E111:E113"/>
    <mergeCell ref="F111:F113"/>
    <mergeCell ref="H111:H113"/>
    <mergeCell ref="I111:I113"/>
    <mergeCell ref="J111:J113"/>
    <mergeCell ref="K111:K113"/>
    <mergeCell ref="B96:B98"/>
    <mergeCell ref="C96:C98"/>
    <mergeCell ref="E96:E98"/>
    <mergeCell ref="K96:K98"/>
    <mergeCell ref="J57:J59"/>
    <mergeCell ref="K57:K59"/>
    <mergeCell ref="B41:B43"/>
    <mergeCell ref="C41:C43"/>
    <mergeCell ref="E41:E43"/>
    <mergeCell ref="B57:B59"/>
    <mergeCell ref="C57:C59"/>
    <mergeCell ref="E57:E59"/>
    <mergeCell ref="F57:F59"/>
    <mergeCell ref="G57:G59"/>
    <mergeCell ref="F41:F43"/>
    <mergeCell ref="G41:G43"/>
    <mergeCell ref="H41:H43"/>
    <mergeCell ref="I41:I43"/>
    <mergeCell ref="J41:J43"/>
    <mergeCell ref="K41:K43"/>
    <mergeCell ref="D41:D43"/>
    <mergeCell ref="J11:J13"/>
    <mergeCell ref="K11:K13"/>
    <mergeCell ref="B11:B13"/>
    <mergeCell ref="C11:C13"/>
    <mergeCell ref="E11:E13"/>
    <mergeCell ref="F11:F13"/>
    <mergeCell ref="G11:G13"/>
    <mergeCell ref="I11:I13"/>
    <mergeCell ref="H11:H13"/>
    <mergeCell ref="D11:D13"/>
    <mergeCell ref="G111:G113"/>
    <mergeCell ref="D111:D113"/>
    <mergeCell ref="D57:D59"/>
    <mergeCell ref="D81:D83"/>
    <mergeCell ref="G81:G83"/>
    <mergeCell ref="D96:D98"/>
    <mergeCell ref="G96:G98"/>
    <mergeCell ref="E81:E83"/>
    <mergeCell ref="F81:F83"/>
    <mergeCell ref="F96:F98"/>
  </mergeCells>
  <pageMargins left="0.7" right="0.7" top="0.75" bottom="0.75" header="0.3" footer="0.3"/>
  <pageSetup paperSize="9" orientation="portrait" r:id="rId1"/>
  <headerFooter>
    <oddFooter>&amp;C_x000D_&amp;1#&amp;"Calibri"&amp;10&amp;K000000 Internal</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092A7-6CFB-49A5-9EC7-05F98FFC78DE}">
  <sheetPr>
    <tabColor rgb="FF00B0F0"/>
    <pageSetUpPr fitToPage="1"/>
  </sheetPr>
  <dimension ref="A1:AR103"/>
  <sheetViews>
    <sheetView showGridLines="0" view="pageBreakPreview" zoomScaleNormal="100" zoomScaleSheetLayoutView="100" workbookViewId="0">
      <selection sqref="A1:P4"/>
    </sheetView>
  </sheetViews>
  <sheetFormatPr defaultColWidth="9.28515625" defaultRowHeight="11.25"/>
  <cols>
    <col min="1" max="4" width="3.5703125" style="137" customWidth="1"/>
    <col min="5" max="5" width="2.5703125" style="137" customWidth="1"/>
    <col min="6" max="7" width="3.5703125" style="137" customWidth="1"/>
    <col min="8" max="11" width="10" style="137" customWidth="1"/>
    <col min="12" max="12" width="9.28515625" style="137" customWidth="1"/>
    <col min="13" max="13" width="11.28515625" style="137" customWidth="1"/>
    <col min="14" max="14" width="10.42578125" style="137" customWidth="1"/>
    <col min="15" max="15" width="7.28515625" style="137" customWidth="1"/>
    <col min="16" max="16" width="1.42578125" style="137" customWidth="1"/>
    <col min="17" max="22" width="8" style="137" customWidth="1"/>
    <col min="23" max="23" width="8" style="134" customWidth="1"/>
    <col min="24" max="29" width="8" style="137" customWidth="1"/>
    <col min="30" max="35" width="8" style="136" customWidth="1"/>
    <col min="36" max="16384" width="9.28515625" style="136"/>
  </cols>
  <sheetData>
    <row r="1" spans="1:43" s="129" customFormat="1" ht="14.25" customHeight="1">
      <c r="A1" s="1517" t="s">
        <v>21</v>
      </c>
      <c r="B1" s="1518"/>
      <c r="C1" s="1518"/>
      <c r="D1" s="1518"/>
      <c r="E1" s="1518"/>
      <c r="F1" s="1518"/>
      <c r="G1" s="1518"/>
      <c r="H1" s="1518"/>
      <c r="I1" s="1518"/>
      <c r="J1" s="1518"/>
      <c r="K1" s="1518"/>
      <c r="L1" s="1518"/>
      <c r="M1" s="1518"/>
      <c r="N1" s="1518"/>
      <c r="O1" s="1518"/>
      <c r="P1" s="1519"/>
      <c r="Q1" s="127"/>
      <c r="R1" s="127"/>
      <c r="S1" s="127"/>
      <c r="T1" s="127"/>
      <c r="U1" s="127"/>
      <c r="V1" s="127"/>
      <c r="W1" s="128"/>
      <c r="X1" s="127"/>
      <c r="Y1" s="127"/>
      <c r="Z1" s="127"/>
      <c r="AA1" s="127"/>
      <c r="AB1" s="127"/>
      <c r="AC1" s="127"/>
      <c r="AD1" s="127"/>
      <c r="AE1" s="127"/>
      <c r="AF1" s="127"/>
      <c r="AG1" s="127"/>
      <c r="AH1" s="127"/>
      <c r="AI1" s="127"/>
      <c r="AJ1" s="56"/>
      <c r="AK1" s="56"/>
      <c r="AL1" s="56"/>
      <c r="AM1" s="56"/>
      <c r="AN1" s="56"/>
      <c r="AO1" s="56"/>
      <c r="AP1" s="56"/>
      <c r="AQ1" s="56"/>
    </row>
    <row r="2" spans="1:43" s="129" customFormat="1" ht="14.25" customHeight="1">
      <c r="A2" s="1520"/>
      <c r="B2" s="1521"/>
      <c r="C2" s="1521"/>
      <c r="D2" s="1521"/>
      <c r="E2" s="1521"/>
      <c r="F2" s="1521"/>
      <c r="G2" s="1521"/>
      <c r="H2" s="1521"/>
      <c r="I2" s="1521"/>
      <c r="J2" s="1521"/>
      <c r="K2" s="1521"/>
      <c r="L2" s="1521"/>
      <c r="M2" s="1521"/>
      <c r="N2" s="1521"/>
      <c r="O2" s="1521"/>
      <c r="P2" s="1522"/>
      <c r="Q2" s="127"/>
      <c r="R2" s="127"/>
      <c r="S2" s="127"/>
      <c r="T2" s="127"/>
      <c r="U2" s="127"/>
      <c r="V2" s="127"/>
      <c r="W2" s="128"/>
      <c r="X2" s="127"/>
      <c r="Y2" s="127"/>
      <c r="Z2" s="127"/>
      <c r="AA2" s="127"/>
      <c r="AB2" s="127"/>
      <c r="AC2" s="127"/>
      <c r="AD2" s="127"/>
      <c r="AE2" s="127"/>
      <c r="AF2" s="127"/>
      <c r="AG2" s="127"/>
      <c r="AH2" s="127"/>
      <c r="AI2" s="127"/>
      <c r="AJ2" s="56"/>
      <c r="AK2" s="56"/>
      <c r="AL2" s="56"/>
      <c r="AM2" s="56"/>
      <c r="AN2" s="56"/>
      <c r="AO2" s="56"/>
      <c r="AP2" s="56"/>
      <c r="AQ2" s="56"/>
    </row>
    <row r="3" spans="1:43" s="129" customFormat="1" ht="14.25" customHeight="1">
      <c r="A3" s="1520"/>
      <c r="B3" s="1521"/>
      <c r="C3" s="1521"/>
      <c r="D3" s="1521"/>
      <c r="E3" s="1521"/>
      <c r="F3" s="1521"/>
      <c r="G3" s="1521"/>
      <c r="H3" s="1521"/>
      <c r="I3" s="1521"/>
      <c r="J3" s="1521"/>
      <c r="K3" s="1521"/>
      <c r="L3" s="1521"/>
      <c r="M3" s="1521"/>
      <c r="N3" s="1521"/>
      <c r="O3" s="1521"/>
      <c r="P3" s="1522"/>
      <c r="Q3" s="127"/>
      <c r="R3" s="127"/>
      <c r="S3" s="127"/>
      <c r="T3" s="127"/>
      <c r="U3" s="127"/>
      <c r="V3" s="127"/>
      <c r="W3" s="128"/>
      <c r="X3" s="127"/>
      <c r="Y3" s="127"/>
      <c r="Z3" s="127"/>
      <c r="AA3" s="127"/>
      <c r="AB3" s="127"/>
      <c r="AC3" s="127"/>
      <c r="AD3" s="127"/>
      <c r="AE3" s="127"/>
      <c r="AF3" s="127"/>
      <c r="AG3" s="127"/>
      <c r="AH3" s="127"/>
      <c r="AI3" s="127"/>
      <c r="AJ3" s="56"/>
      <c r="AK3" s="56"/>
      <c r="AL3" s="56"/>
      <c r="AM3" s="56"/>
      <c r="AN3" s="56"/>
      <c r="AO3" s="56"/>
      <c r="AP3" s="56"/>
      <c r="AQ3" s="56"/>
    </row>
    <row r="4" spans="1:43" s="129" customFormat="1" ht="14.25" customHeight="1">
      <c r="A4" s="1523"/>
      <c r="B4" s="1524"/>
      <c r="C4" s="1524"/>
      <c r="D4" s="1524"/>
      <c r="E4" s="1524"/>
      <c r="F4" s="1524"/>
      <c r="G4" s="1524"/>
      <c r="H4" s="1524"/>
      <c r="I4" s="1524"/>
      <c r="J4" s="1524"/>
      <c r="K4" s="1524"/>
      <c r="L4" s="1524"/>
      <c r="M4" s="1524"/>
      <c r="N4" s="1524"/>
      <c r="O4" s="1524"/>
      <c r="P4" s="1525"/>
      <c r="Q4" s="127"/>
      <c r="R4" s="127"/>
      <c r="S4" s="127"/>
      <c r="T4" s="127"/>
      <c r="U4" s="127"/>
      <c r="V4" s="127"/>
      <c r="W4" s="128"/>
      <c r="X4" s="127"/>
      <c r="Y4" s="127"/>
      <c r="Z4" s="127"/>
      <c r="AA4" s="127"/>
      <c r="AB4" s="127"/>
      <c r="AC4" s="127"/>
      <c r="AD4" s="127"/>
      <c r="AE4" s="127"/>
      <c r="AF4" s="127"/>
      <c r="AG4" s="127"/>
      <c r="AH4" s="127"/>
      <c r="AI4" s="127"/>
      <c r="AJ4" s="56"/>
      <c r="AK4" s="56"/>
      <c r="AL4" s="56"/>
      <c r="AM4" s="56"/>
      <c r="AN4" s="56"/>
      <c r="AO4" s="56"/>
      <c r="AP4" s="56"/>
      <c r="AQ4" s="56"/>
    </row>
    <row r="5" spans="1:43" ht="15" customHeight="1">
      <c r="A5" s="1167" t="s">
        <v>22</v>
      </c>
      <c r="B5" s="1168"/>
      <c r="C5" s="1168"/>
      <c r="D5" s="1168"/>
      <c r="E5" s="1168"/>
      <c r="F5" s="27" t="str">
        <f>'Emiss. Ops'!$C$2</f>
        <v>OMVP</v>
      </c>
      <c r="G5" s="27"/>
      <c r="H5" s="27"/>
      <c r="I5" s="27"/>
      <c r="J5" s="27"/>
      <c r="K5" s="130"/>
      <c r="L5" s="130"/>
      <c r="M5" s="131" t="s">
        <v>23</v>
      </c>
      <c r="N5" s="27" t="str">
        <f>'DT H'!$O$5</f>
        <v>PRJ-001030</v>
      </c>
      <c r="O5" s="27"/>
      <c r="P5" s="226"/>
      <c r="Q5" s="31"/>
      <c r="R5" s="31"/>
      <c r="S5" s="31"/>
      <c r="T5" s="31"/>
      <c r="U5" s="31"/>
      <c r="V5" s="31"/>
      <c r="X5" s="135"/>
      <c r="Y5" s="135"/>
      <c r="Z5" s="135"/>
      <c r="AA5" s="1494"/>
      <c r="AB5" s="1494"/>
      <c r="AC5" s="1494"/>
      <c r="AD5" s="1494"/>
      <c r="AE5" s="1494"/>
      <c r="AF5" s="1494"/>
      <c r="AG5" s="1494"/>
      <c r="AH5" s="1494"/>
      <c r="AI5" s="1494"/>
      <c r="AJ5" s="105"/>
    </row>
    <row r="6" spans="1:43" ht="15" customHeight="1">
      <c r="A6" s="1171" t="s">
        <v>24</v>
      </c>
      <c r="B6" s="1172"/>
      <c r="C6" s="1172"/>
      <c r="D6" s="1172"/>
      <c r="E6" s="1172"/>
      <c r="F6" s="30" t="str">
        <f>'Emiss. Ops'!$C$3</f>
        <v>OMV Neptun BAT Study &amp; ESIA</v>
      </c>
      <c r="G6" s="31"/>
      <c r="H6" s="31"/>
      <c r="I6" s="31"/>
      <c r="J6" s="31"/>
      <c r="M6" s="138" t="s">
        <v>25</v>
      </c>
      <c r="N6" s="31"/>
      <c r="O6" s="31"/>
      <c r="P6" s="32"/>
      <c r="Q6" s="31"/>
      <c r="R6" s="31"/>
      <c r="S6" s="31"/>
      <c r="T6" s="31"/>
      <c r="U6" s="31"/>
      <c r="V6" s="31"/>
      <c r="X6" s="135"/>
      <c r="Y6" s="135"/>
      <c r="Z6" s="135"/>
      <c r="AA6" s="1494"/>
      <c r="AB6" s="1494"/>
      <c r="AC6" s="1494"/>
      <c r="AD6" s="1494"/>
      <c r="AE6" s="1494"/>
      <c r="AF6" s="1494"/>
      <c r="AG6" s="1494"/>
      <c r="AH6" s="1494"/>
      <c r="AI6" s="1494"/>
      <c r="AJ6" s="105"/>
    </row>
    <row r="7" spans="1:43" ht="15" customHeight="1">
      <c r="A7" s="1171" t="s">
        <v>26</v>
      </c>
      <c r="B7" s="1172"/>
      <c r="C7" s="1172"/>
      <c r="D7" s="1172"/>
      <c r="E7" s="1172"/>
      <c r="F7" s="30" t="str">
        <f>'Emiss. Ops'!$C$4</f>
        <v>Emissions Inventory</v>
      </c>
      <c r="G7" s="31"/>
      <c r="H7" s="31"/>
      <c r="I7" s="31"/>
      <c r="J7" s="31"/>
      <c r="M7" s="139" t="s">
        <v>27</v>
      </c>
      <c r="N7" s="30" t="s">
        <v>191</v>
      </c>
      <c r="P7" s="31"/>
      <c r="Q7" s="31"/>
      <c r="R7" s="31"/>
      <c r="S7" s="31"/>
      <c r="T7" s="31"/>
      <c r="U7" s="31"/>
      <c r="V7" s="31"/>
      <c r="X7" s="135"/>
      <c r="Y7" s="135"/>
      <c r="Z7" s="135"/>
      <c r="AA7" s="1494"/>
      <c r="AB7" s="1494"/>
      <c r="AC7" s="1494"/>
      <c r="AD7" s="1494"/>
      <c r="AE7" s="1494"/>
      <c r="AF7" s="1494"/>
      <c r="AG7" s="1494"/>
      <c r="AH7" s="1494"/>
      <c r="AI7" s="1494"/>
      <c r="AJ7" s="105"/>
    </row>
    <row r="8" spans="1:43" ht="14.25" customHeight="1">
      <c r="A8" s="1171" t="s">
        <v>98</v>
      </c>
      <c r="B8" s="1172"/>
      <c r="C8" s="1172"/>
      <c r="D8" s="1172"/>
      <c r="E8" s="1172"/>
      <c r="F8" s="140"/>
      <c r="G8" s="140"/>
      <c r="H8" s="140"/>
      <c r="I8" s="140"/>
      <c r="J8" s="140"/>
      <c r="K8" s="140"/>
      <c r="L8" s="140"/>
      <c r="M8" s="138" t="s">
        <v>28</v>
      </c>
      <c r="N8" s="140"/>
      <c r="O8" s="140"/>
      <c r="P8" s="141"/>
      <c r="X8" s="142"/>
      <c r="Y8" s="142"/>
      <c r="Z8" s="142"/>
      <c r="AA8" s="142"/>
      <c r="AB8" s="142"/>
      <c r="AC8" s="142"/>
      <c r="AD8" s="142"/>
      <c r="AE8" s="142"/>
      <c r="AF8" s="142"/>
      <c r="AG8" s="142"/>
      <c r="AH8" s="142"/>
      <c r="AI8" s="142"/>
      <c r="AJ8" s="105"/>
    </row>
    <row r="9" spans="1:43" ht="12" customHeight="1">
      <c r="A9" s="143"/>
      <c r="B9" s="144"/>
      <c r="C9" s="144"/>
      <c r="D9" s="144"/>
      <c r="E9" s="144"/>
      <c r="F9" s="140"/>
      <c r="G9" s="140"/>
      <c r="H9" s="140"/>
      <c r="I9" s="140"/>
      <c r="J9" s="140"/>
      <c r="K9" s="140"/>
      <c r="L9" s="140"/>
      <c r="M9" s="140"/>
      <c r="N9" s="140"/>
      <c r="O9" s="140"/>
      <c r="P9" s="141"/>
      <c r="X9" s="142"/>
      <c r="Y9" s="142"/>
      <c r="Z9" s="142"/>
      <c r="AA9" s="142"/>
      <c r="AB9" s="142"/>
      <c r="AC9" s="142"/>
      <c r="AD9" s="142"/>
      <c r="AE9" s="142"/>
      <c r="AF9" s="142"/>
      <c r="AG9" s="142"/>
      <c r="AH9" s="142"/>
      <c r="AI9" s="142"/>
      <c r="AJ9" s="105"/>
    </row>
    <row r="10" spans="1:43" s="129" customFormat="1" ht="15" customHeight="1">
      <c r="A10" s="145" t="s">
        <v>99</v>
      </c>
      <c r="B10" s="146"/>
      <c r="C10" s="146"/>
      <c r="D10" s="146"/>
      <c r="E10" s="146"/>
      <c r="F10" s="146"/>
      <c r="G10" s="146"/>
      <c r="H10" s="146"/>
      <c r="I10" s="147"/>
      <c r="J10" s="147"/>
      <c r="K10" s="148"/>
      <c r="L10" s="147"/>
      <c r="M10" s="147"/>
      <c r="N10" s="147"/>
      <c r="O10" s="147"/>
      <c r="P10" s="149"/>
      <c r="W10" s="150"/>
      <c r="X10" s="135"/>
      <c r="Y10" s="135"/>
      <c r="Z10" s="135"/>
      <c r="AA10" s="1526"/>
      <c r="AB10" s="1526"/>
      <c r="AC10" s="1526"/>
      <c r="AD10" s="1527"/>
      <c r="AE10" s="1527"/>
      <c r="AF10" s="1527"/>
      <c r="AG10" s="1494"/>
      <c r="AH10" s="1494"/>
      <c r="AI10" s="1494"/>
      <c r="AJ10" s="56"/>
    </row>
    <row r="11" spans="1:43" s="129" customFormat="1" ht="14.25" customHeight="1">
      <c r="A11" s="1117" t="s">
        <v>188</v>
      </c>
      <c r="B11" s="1118"/>
      <c r="C11" s="1118"/>
      <c r="D11" s="1118"/>
      <c r="E11" s="1118"/>
      <c r="F11" s="1118"/>
      <c r="G11" s="1118"/>
      <c r="H11" s="1118"/>
      <c r="I11" s="1118"/>
      <c r="J11" s="1118"/>
      <c r="K11" s="1118"/>
      <c r="L11" s="1118"/>
      <c r="M11" s="1118"/>
      <c r="N11" s="1118"/>
      <c r="O11" s="1118"/>
      <c r="P11" s="152"/>
      <c r="Q11" s="127"/>
      <c r="R11" s="127"/>
      <c r="S11" s="127"/>
      <c r="T11" s="127"/>
      <c r="U11" s="127"/>
      <c r="V11" s="127"/>
      <c r="W11" s="128"/>
      <c r="X11" s="127"/>
      <c r="Y11" s="127"/>
      <c r="Z11" s="127"/>
      <c r="AA11" s="127"/>
      <c r="AB11" s="127"/>
      <c r="AC11" s="127"/>
      <c r="AD11" s="127"/>
      <c r="AE11" s="127"/>
      <c r="AF11" s="127"/>
      <c r="AG11" s="127"/>
      <c r="AH11" s="127"/>
      <c r="AI11" s="127"/>
      <c r="AJ11" s="56"/>
      <c r="AK11" s="56"/>
      <c r="AL11" s="56"/>
      <c r="AM11" s="56"/>
      <c r="AN11" s="56"/>
      <c r="AO11" s="56"/>
      <c r="AP11" s="56"/>
      <c r="AQ11" s="56"/>
    </row>
    <row r="12" spans="1:43" s="129" customFormat="1" ht="14.25" customHeight="1">
      <c r="A12" s="1149"/>
      <c r="B12" s="1150"/>
      <c r="C12" s="1150"/>
      <c r="D12" s="1150"/>
      <c r="E12" s="1150"/>
      <c r="F12" s="1150"/>
      <c r="G12" s="1150"/>
      <c r="H12" s="1150"/>
      <c r="I12" s="1150"/>
      <c r="J12" s="1150"/>
      <c r="K12" s="1150"/>
      <c r="L12" s="1150"/>
      <c r="M12" s="1150"/>
      <c r="N12" s="1150"/>
      <c r="O12" s="1150"/>
      <c r="P12" s="154"/>
      <c r="Q12" s="127"/>
      <c r="R12" s="127"/>
      <c r="S12" s="127"/>
      <c r="T12" s="127"/>
      <c r="U12" s="127"/>
      <c r="V12" s="127"/>
      <c r="W12" s="128"/>
      <c r="X12" s="127"/>
      <c r="Y12" s="127"/>
      <c r="Z12" s="127"/>
      <c r="AA12" s="127"/>
      <c r="AB12" s="127"/>
      <c r="AC12" s="127"/>
      <c r="AD12" s="127"/>
      <c r="AE12" s="127"/>
      <c r="AF12" s="127"/>
      <c r="AG12" s="127"/>
      <c r="AH12" s="127"/>
      <c r="AI12" s="127"/>
      <c r="AJ12" s="56"/>
      <c r="AK12" s="56"/>
      <c r="AL12" s="56"/>
      <c r="AM12" s="56"/>
      <c r="AN12" s="56"/>
      <c r="AO12" s="56"/>
      <c r="AP12" s="56"/>
      <c r="AQ12" s="56"/>
    </row>
    <row r="13" spans="1:43" s="129" customFormat="1" ht="14.25" customHeight="1">
      <c r="A13" s="155"/>
      <c r="B13" s="156"/>
      <c r="C13" s="156"/>
      <c r="D13" s="156"/>
      <c r="E13" s="156"/>
      <c r="F13" s="156"/>
      <c r="G13" s="156"/>
      <c r="H13" s="156"/>
      <c r="I13" s="156"/>
      <c r="J13" s="156"/>
      <c r="K13" s="156"/>
      <c r="L13" s="156"/>
      <c r="M13" s="156"/>
      <c r="N13" s="156"/>
      <c r="O13" s="156"/>
      <c r="P13" s="157"/>
      <c r="Q13" s="127"/>
      <c r="R13" s="127"/>
      <c r="S13" s="127"/>
      <c r="T13" s="127"/>
      <c r="U13" s="127"/>
      <c r="V13" s="127"/>
      <c r="W13" s="128"/>
      <c r="X13" s="127"/>
      <c r="Y13" s="127"/>
      <c r="Z13" s="127"/>
      <c r="AA13" s="127"/>
      <c r="AB13" s="127"/>
      <c r="AC13" s="127"/>
      <c r="AD13" s="127"/>
      <c r="AE13" s="127"/>
      <c r="AF13" s="127"/>
      <c r="AG13" s="127"/>
      <c r="AH13" s="127"/>
      <c r="AI13" s="127"/>
      <c r="AJ13" s="56"/>
      <c r="AK13" s="56"/>
      <c r="AL13" s="56"/>
      <c r="AM13" s="56"/>
      <c r="AN13" s="56"/>
      <c r="AO13" s="56"/>
      <c r="AP13" s="56"/>
      <c r="AQ13" s="56"/>
    </row>
    <row r="14" spans="1:43" s="129" customFormat="1" ht="33.75" customHeight="1">
      <c r="A14" s="1117" t="s">
        <v>589</v>
      </c>
      <c r="B14" s="1118"/>
      <c r="C14" s="1118"/>
      <c r="D14" s="1118"/>
      <c r="E14" s="1118"/>
      <c r="F14" s="1118"/>
      <c r="G14" s="1119"/>
      <c r="H14" s="1515" t="s">
        <v>773</v>
      </c>
      <c r="I14" s="1516"/>
      <c r="J14" s="1516"/>
      <c r="K14" s="1516"/>
      <c r="L14" s="1516"/>
      <c r="M14" s="1516"/>
      <c r="N14" s="1516"/>
      <c r="O14" s="1516"/>
      <c r="P14" s="141"/>
      <c r="Q14" s="142"/>
      <c r="W14" s="150"/>
      <c r="AB14" s="142"/>
      <c r="AC14" s="142"/>
      <c r="AJ14" s="56"/>
      <c r="AK14" s="56"/>
      <c r="AL14" s="56"/>
      <c r="AM14" s="56"/>
      <c r="AN14" s="56"/>
      <c r="AO14" s="56"/>
      <c r="AP14" s="56"/>
      <c r="AQ14" s="56"/>
    </row>
    <row r="15" spans="1:43" s="129" customFormat="1" ht="34.5" customHeight="1">
      <c r="A15" s="1149"/>
      <c r="B15" s="1150"/>
      <c r="C15" s="1150"/>
      <c r="D15" s="1150"/>
      <c r="E15" s="1150"/>
      <c r="F15" s="1150"/>
      <c r="G15" s="1151"/>
      <c r="H15" s="158"/>
      <c r="I15" s="158" t="s">
        <v>774</v>
      </c>
      <c r="J15" s="405"/>
      <c r="K15" s="159"/>
      <c r="L15" s="159"/>
      <c r="M15" s="159"/>
      <c r="N15" s="159"/>
      <c r="O15" s="159"/>
      <c r="P15" s="141"/>
      <c r="Q15" s="142"/>
      <c r="W15" s="150"/>
      <c r="AB15" s="142"/>
      <c r="AC15" s="142"/>
      <c r="AJ15" s="56"/>
      <c r="AK15" s="56"/>
      <c r="AL15" s="56"/>
      <c r="AM15" s="56"/>
      <c r="AN15" s="56"/>
      <c r="AO15" s="56"/>
      <c r="AP15" s="56"/>
      <c r="AQ15" s="56"/>
    </row>
    <row r="16" spans="1:43" s="129" customFormat="1" ht="14.25" customHeight="1">
      <c r="A16" s="1499" t="s">
        <v>393</v>
      </c>
      <c r="B16" s="1500"/>
      <c r="C16" s="1500"/>
      <c r="D16" s="1500"/>
      <c r="E16" s="1500"/>
      <c r="F16" s="1510" t="s">
        <v>775</v>
      </c>
      <c r="G16" s="1511"/>
      <c r="H16" s="161"/>
      <c r="I16" s="406">
        <v>7.22E-2</v>
      </c>
      <c r="J16" s="162"/>
      <c r="K16" s="162"/>
      <c r="L16" s="162"/>
      <c r="M16" s="162"/>
      <c r="N16" s="162"/>
      <c r="O16" s="162"/>
      <c r="P16" s="141"/>
      <c r="Q16" s="142"/>
      <c r="R16" s="164"/>
      <c r="S16" s="165"/>
      <c r="T16" s="165"/>
      <c r="U16" s="165"/>
      <c r="V16" s="165"/>
      <c r="W16" s="165"/>
      <c r="X16" s="165"/>
      <c r="Y16" s="165"/>
      <c r="Z16" s="165"/>
      <c r="AB16" s="142"/>
      <c r="AC16" s="142"/>
      <c r="AJ16" s="56"/>
      <c r="AK16" s="56"/>
      <c r="AL16" s="56"/>
      <c r="AM16" s="56"/>
      <c r="AN16" s="56"/>
      <c r="AO16" s="56"/>
      <c r="AP16" s="56"/>
      <c r="AQ16" s="56"/>
    </row>
    <row r="17" spans="1:44" s="129" customFormat="1" ht="14.25" customHeight="1">
      <c r="A17" s="168" t="s">
        <v>115</v>
      </c>
      <c r="B17" s="169"/>
      <c r="C17" s="169"/>
      <c r="D17" s="169"/>
      <c r="E17" s="169"/>
      <c r="F17" s="1510" t="s">
        <v>775</v>
      </c>
      <c r="G17" s="1511"/>
      <c r="H17" s="161"/>
      <c r="I17" s="407">
        <v>3.8400000000000001E-3</v>
      </c>
      <c r="J17" s="162"/>
      <c r="K17" s="162"/>
      <c r="L17" s="162"/>
      <c r="M17" s="162"/>
      <c r="N17" s="162"/>
      <c r="O17" s="162"/>
      <c r="P17" s="141"/>
      <c r="Q17" s="142"/>
      <c r="R17" s="165"/>
      <c r="S17" s="165"/>
      <c r="T17" s="165"/>
      <c r="U17" s="165"/>
      <c r="V17" s="165"/>
      <c r="W17" s="165"/>
      <c r="X17" s="165"/>
      <c r="Y17" s="165"/>
      <c r="Z17" s="165"/>
      <c r="AA17" s="142"/>
      <c r="AB17" s="142"/>
      <c r="AC17" s="142"/>
      <c r="AJ17" s="56"/>
      <c r="AK17" s="56"/>
      <c r="AL17" s="56"/>
      <c r="AM17" s="56"/>
      <c r="AN17" s="56"/>
      <c r="AO17" s="56"/>
      <c r="AP17" s="56"/>
      <c r="AQ17" s="56"/>
    </row>
    <row r="18" spans="1:44" s="129" customFormat="1" ht="14.25" customHeight="1">
      <c r="A18" s="1499" t="s">
        <v>123</v>
      </c>
      <c r="B18" s="1500"/>
      <c r="C18" s="1500"/>
      <c r="D18" s="1500"/>
      <c r="E18" s="1500"/>
      <c r="F18" s="1510" t="s">
        <v>775</v>
      </c>
      <c r="G18" s="1511"/>
      <c r="H18" s="161"/>
      <c r="I18" s="407">
        <v>1.75E-3</v>
      </c>
      <c r="J18" s="162"/>
      <c r="K18" s="162"/>
      <c r="L18" s="162"/>
      <c r="M18" s="162"/>
      <c r="N18" s="162"/>
      <c r="O18" s="162"/>
      <c r="P18" s="141"/>
      <c r="Q18" s="142"/>
      <c r="R18" s="165"/>
      <c r="S18" s="165"/>
      <c r="T18" s="166"/>
      <c r="U18" s="167"/>
      <c r="V18" s="166"/>
      <c r="W18" s="166"/>
      <c r="X18" s="166"/>
      <c r="Y18" s="166"/>
      <c r="Z18" s="166"/>
      <c r="AA18" s="142"/>
      <c r="AB18" s="142"/>
      <c r="AC18" s="142"/>
      <c r="AJ18" s="56"/>
      <c r="AK18" s="56"/>
      <c r="AL18" s="56"/>
      <c r="AM18" s="56"/>
      <c r="AN18" s="56"/>
      <c r="AO18" s="56"/>
      <c r="AP18" s="56"/>
      <c r="AQ18" s="56"/>
    </row>
    <row r="19" spans="1:44" s="129" customFormat="1" ht="14.25" customHeight="1">
      <c r="A19" s="1499" t="s">
        <v>124</v>
      </c>
      <c r="B19" s="1500"/>
      <c r="C19" s="1500"/>
      <c r="D19" s="1500"/>
      <c r="E19" s="1500"/>
      <c r="F19" s="1510" t="s">
        <v>775</v>
      </c>
      <c r="G19" s="1511"/>
      <c r="H19" s="161"/>
      <c r="I19" s="407">
        <v>1.82E-3</v>
      </c>
      <c r="J19" s="162"/>
      <c r="K19" s="162"/>
      <c r="L19" s="162"/>
      <c r="M19" s="162"/>
      <c r="N19" s="162"/>
      <c r="O19" s="162"/>
      <c r="P19" s="141"/>
      <c r="Q19" s="142"/>
      <c r="R19" s="165"/>
      <c r="S19" s="165"/>
      <c r="T19" s="170"/>
      <c r="U19" s="170"/>
      <c r="V19" s="170"/>
      <c r="W19" s="170"/>
      <c r="X19" s="170"/>
      <c r="Y19" s="170"/>
      <c r="Z19" s="170"/>
      <c r="AA19" s="142"/>
      <c r="AB19" s="142"/>
      <c r="AC19" s="142"/>
      <c r="AJ19" s="56"/>
      <c r="AK19" s="56"/>
      <c r="AL19" s="56"/>
      <c r="AM19" s="56"/>
      <c r="AN19" s="56"/>
      <c r="AO19" s="56"/>
      <c r="AP19" s="56"/>
      <c r="AQ19" s="56"/>
    </row>
    <row r="20" spans="1:44" s="129" customFormat="1" ht="14.25" customHeight="1">
      <c r="A20" s="1499" t="s">
        <v>126</v>
      </c>
      <c r="B20" s="1500"/>
      <c r="C20" s="1500"/>
      <c r="D20" s="1500"/>
      <c r="E20" s="1500"/>
      <c r="F20" s="1510" t="s">
        <v>775</v>
      </c>
      <c r="G20" s="1511"/>
      <c r="H20" s="173"/>
      <c r="I20" s="161">
        <v>3.206</v>
      </c>
      <c r="J20" s="172"/>
      <c r="K20" s="162"/>
      <c r="L20" s="162"/>
      <c r="M20" s="162"/>
      <c r="N20" s="162"/>
      <c r="O20" s="162"/>
      <c r="P20" s="141"/>
      <c r="Q20" s="142"/>
      <c r="R20" s="165"/>
      <c r="S20" s="165"/>
      <c r="T20" s="170"/>
      <c r="U20" s="170"/>
      <c r="V20" s="170"/>
      <c r="W20" s="170"/>
      <c r="X20" s="170"/>
      <c r="Y20" s="170"/>
      <c r="Z20" s="170"/>
      <c r="AA20" s="142"/>
      <c r="AB20" s="142"/>
      <c r="AC20" s="142"/>
      <c r="AJ20" s="56"/>
      <c r="AK20" s="56"/>
      <c r="AL20" s="56"/>
      <c r="AM20" s="56"/>
      <c r="AN20" s="56"/>
      <c r="AO20" s="56"/>
      <c r="AP20" s="56"/>
      <c r="AQ20" s="56"/>
    </row>
    <row r="21" spans="1:44" s="129" customFormat="1" ht="14.25" customHeight="1">
      <c r="A21" s="175"/>
      <c r="B21" s="176"/>
      <c r="C21" s="176"/>
      <c r="D21" s="176"/>
      <c r="E21" s="176"/>
      <c r="F21" s="177"/>
      <c r="G21" s="177"/>
      <c r="H21" s="178"/>
      <c r="I21" s="179"/>
      <c r="J21" s="180"/>
      <c r="K21" s="179"/>
      <c r="L21" s="179"/>
      <c r="M21" s="179"/>
      <c r="N21" s="179"/>
      <c r="O21" s="179"/>
      <c r="P21" s="141"/>
      <c r="Q21" s="142"/>
      <c r="R21" s="165"/>
      <c r="S21" s="165"/>
      <c r="T21" s="170"/>
      <c r="U21" s="170"/>
      <c r="V21" s="170"/>
      <c r="W21" s="170"/>
      <c r="X21" s="170"/>
      <c r="Y21" s="170"/>
      <c r="Z21" s="170"/>
      <c r="AA21" s="142"/>
      <c r="AB21" s="142"/>
      <c r="AC21" s="142"/>
      <c r="AJ21" s="56"/>
      <c r="AK21" s="56"/>
      <c r="AL21" s="56"/>
      <c r="AM21" s="56"/>
      <c r="AN21" s="56"/>
      <c r="AO21" s="56"/>
      <c r="AP21" s="56"/>
      <c r="AQ21" s="56"/>
    </row>
    <row r="22" spans="1:44" s="129" customFormat="1" ht="50.25" customHeight="1">
      <c r="A22" s="1512" t="s">
        <v>776</v>
      </c>
      <c r="B22" s="1513"/>
      <c r="C22" s="1513"/>
      <c r="D22" s="1513"/>
      <c r="E22" s="1513"/>
      <c r="F22" s="1513"/>
      <c r="G22" s="1514"/>
      <c r="H22" s="408" t="s">
        <v>856</v>
      </c>
      <c r="I22" s="408" t="s">
        <v>877</v>
      </c>
      <c r="J22" s="408" t="s">
        <v>878</v>
      </c>
      <c r="K22" s="408" t="s">
        <v>879</v>
      </c>
      <c r="L22" s="408" t="s">
        <v>663</v>
      </c>
      <c r="M22" s="214"/>
      <c r="N22" s="214"/>
      <c r="O22" s="214"/>
      <c r="P22" s="185"/>
      <c r="Q22" s="186"/>
      <c r="R22" s="1498"/>
      <c r="S22" s="1497"/>
      <c r="T22" s="1497"/>
      <c r="U22" s="1497"/>
      <c r="V22" s="1497"/>
      <c r="W22" s="1497"/>
      <c r="X22" s="1497"/>
      <c r="Y22" s="1497"/>
      <c r="Z22" s="170"/>
      <c r="AA22" s="186"/>
      <c r="AB22" s="186"/>
      <c r="AC22" s="186"/>
      <c r="AD22" s="186"/>
      <c r="AE22" s="186"/>
      <c r="AF22" s="186"/>
      <c r="AG22" s="186"/>
      <c r="AH22" s="186"/>
      <c r="AI22" s="186"/>
    </row>
    <row r="23" spans="1:44" s="129" customFormat="1" ht="14.25" customHeight="1">
      <c r="A23" s="1499" t="s">
        <v>779</v>
      </c>
      <c r="B23" s="1500"/>
      <c r="C23" s="1500"/>
      <c r="D23" s="1500"/>
      <c r="E23" s="1500"/>
      <c r="F23" s="409"/>
      <c r="G23" s="307"/>
      <c r="H23" s="181">
        <v>800</v>
      </c>
      <c r="I23" s="191">
        <v>60</v>
      </c>
      <c r="J23" s="191">
        <v>800</v>
      </c>
      <c r="K23" s="191">
        <v>60</v>
      </c>
      <c r="L23" s="191"/>
      <c r="M23" s="214"/>
      <c r="N23" s="214"/>
      <c r="O23" s="214"/>
      <c r="P23" s="185"/>
      <c r="Q23" s="186"/>
      <c r="R23" s="142"/>
      <c r="S23" s="410"/>
      <c r="T23" s="410"/>
      <c r="U23" s="410"/>
      <c r="V23" s="410"/>
      <c r="W23" s="410"/>
      <c r="X23" s="410"/>
      <c r="Y23" s="410"/>
      <c r="Z23" s="170"/>
      <c r="AA23" s="186"/>
      <c r="AB23" s="186"/>
      <c r="AC23" s="186"/>
      <c r="AD23" s="186"/>
      <c r="AE23" s="186"/>
      <c r="AF23" s="186"/>
      <c r="AG23" s="186"/>
      <c r="AH23" s="186"/>
      <c r="AI23" s="186"/>
    </row>
    <row r="24" spans="1:44" s="129" customFormat="1" ht="14.25" customHeight="1">
      <c r="A24" s="1499" t="s">
        <v>780</v>
      </c>
      <c r="B24" s="1500"/>
      <c r="C24" s="1500"/>
      <c r="D24" s="1500"/>
      <c r="E24" s="1500"/>
      <c r="F24" s="1502" t="s">
        <v>781</v>
      </c>
      <c r="G24" s="1503"/>
      <c r="H24" s="181">
        <v>35</v>
      </c>
      <c r="I24" s="191">
        <v>35</v>
      </c>
      <c r="J24" s="191">
        <v>35</v>
      </c>
      <c r="K24" s="191">
        <v>35</v>
      </c>
      <c r="L24" s="191"/>
      <c r="M24" s="214"/>
      <c r="N24" s="214"/>
      <c r="O24" s="214"/>
      <c r="P24" s="185"/>
      <c r="Q24" s="186"/>
      <c r="R24" s="142"/>
      <c r="S24" s="410"/>
      <c r="T24" s="410"/>
      <c r="U24" s="410"/>
      <c r="V24" s="410"/>
      <c r="W24" s="410"/>
      <c r="X24" s="410"/>
      <c r="Y24" s="410"/>
      <c r="Z24" s="170"/>
      <c r="AA24" s="186"/>
      <c r="AB24" s="186"/>
      <c r="AC24" s="186"/>
      <c r="AD24" s="186"/>
      <c r="AE24" s="186"/>
      <c r="AF24" s="186"/>
      <c r="AG24" s="186"/>
      <c r="AH24" s="186"/>
      <c r="AI24" s="186"/>
    </row>
    <row r="25" spans="1:44" s="129" customFormat="1" ht="14.25" customHeight="1">
      <c r="A25" s="168" t="s">
        <v>780</v>
      </c>
      <c r="B25" s="169"/>
      <c r="C25" s="169"/>
      <c r="D25" s="169"/>
      <c r="E25" s="169"/>
      <c r="F25" s="187"/>
      <c r="G25" s="411" t="s">
        <v>233</v>
      </c>
      <c r="H25" s="181">
        <f>H23*H24*2</f>
        <v>56000</v>
      </c>
      <c r="I25" s="191">
        <f>I23*I24*1.5</f>
        <v>3150</v>
      </c>
      <c r="J25" s="191">
        <f>J23*J24*2.5</f>
        <v>70000</v>
      </c>
      <c r="K25" s="191">
        <f>K23*K24</f>
        <v>2100</v>
      </c>
      <c r="L25" s="191">
        <f t="shared" ref="L25:L30" si="0">SUM(H25:K25)</f>
        <v>131250</v>
      </c>
      <c r="M25" s="214"/>
      <c r="N25" s="214"/>
      <c r="O25" s="214"/>
      <c r="P25" s="185"/>
      <c r="Q25" s="186"/>
      <c r="R25" s="142"/>
      <c r="S25" s="410"/>
      <c r="T25" s="410"/>
      <c r="U25" s="410"/>
      <c r="V25" s="410"/>
      <c r="W25" s="410"/>
      <c r="X25" s="410"/>
      <c r="Y25" s="410"/>
      <c r="Z25" s="170"/>
      <c r="AA25" s="186"/>
      <c r="AB25" s="186"/>
      <c r="AC25" s="186"/>
      <c r="AD25" s="186"/>
      <c r="AE25" s="186"/>
      <c r="AF25" s="186"/>
      <c r="AG25" s="186"/>
      <c r="AH25" s="186"/>
      <c r="AI25" s="186"/>
    </row>
    <row r="26" spans="1:44" s="129" customFormat="1" ht="14.25" customHeight="1">
      <c r="A26" s="1499" t="s">
        <v>393</v>
      </c>
      <c r="B26" s="1500"/>
      <c r="C26" s="1500"/>
      <c r="D26" s="1500"/>
      <c r="E26" s="1500"/>
      <c r="F26" s="1502" t="s">
        <v>332</v>
      </c>
      <c r="G26" s="1503"/>
      <c r="H26" s="191">
        <f>H25*$I$16</f>
        <v>4043.2</v>
      </c>
      <c r="I26" s="191">
        <f>I25*$I$16</f>
        <v>227.43</v>
      </c>
      <c r="J26" s="191">
        <f>J25*$I$16</f>
        <v>5054</v>
      </c>
      <c r="K26" s="191">
        <f>K25*$I$16</f>
        <v>151.62</v>
      </c>
      <c r="L26" s="191">
        <f t="shared" si="0"/>
        <v>9476.2500000000018</v>
      </c>
      <c r="M26" s="214"/>
      <c r="N26" s="214"/>
      <c r="O26" s="214"/>
      <c r="P26" s="204"/>
      <c r="Q26" s="205"/>
      <c r="R26" s="1504"/>
      <c r="S26" s="1497"/>
      <c r="T26" s="1497"/>
      <c r="U26" s="1497"/>
      <c r="V26" s="1497"/>
      <c r="W26" s="1497"/>
      <c r="X26" s="1497"/>
      <c r="Y26" s="1497"/>
      <c r="Z26" s="142"/>
      <c r="AA26" s="216"/>
      <c r="AB26" s="216"/>
      <c r="AC26" s="216"/>
      <c r="AD26" s="216"/>
      <c r="AE26" s="205"/>
      <c r="AF26" s="205"/>
      <c r="AG26" s="205"/>
      <c r="AH26" s="205"/>
      <c r="AI26" s="205"/>
      <c r="AJ26" s="142"/>
      <c r="AK26" s="56"/>
      <c r="AL26" s="56"/>
      <c r="AM26" s="56"/>
      <c r="AN26" s="56"/>
      <c r="AO26" s="56"/>
      <c r="AP26" s="56"/>
      <c r="AQ26" s="56"/>
      <c r="AR26" s="56"/>
    </row>
    <row r="27" spans="1:44" s="129" customFormat="1" ht="14.25" customHeight="1">
      <c r="A27" s="168" t="s">
        <v>115</v>
      </c>
      <c r="B27" s="169"/>
      <c r="C27" s="169"/>
      <c r="D27" s="169"/>
      <c r="E27" s="169"/>
      <c r="F27" s="1502" t="s">
        <v>332</v>
      </c>
      <c r="G27" s="1503"/>
      <c r="H27" s="191">
        <f>H25*$I$17</f>
        <v>215.04</v>
      </c>
      <c r="I27" s="191">
        <f>I25*$I$17</f>
        <v>12.096</v>
      </c>
      <c r="J27" s="191">
        <f>J25*$I$17</f>
        <v>268.8</v>
      </c>
      <c r="K27" s="191">
        <f>K25*$I$17</f>
        <v>8.0640000000000001</v>
      </c>
      <c r="L27" s="191">
        <f t="shared" si="0"/>
        <v>504.00000000000006</v>
      </c>
      <c r="M27" s="214"/>
      <c r="N27" s="214"/>
      <c r="O27" s="214"/>
      <c r="P27" s="208"/>
      <c r="Q27" s="209"/>
      <c r="R27" s="1504"/>
      <c r="S27" s="1497"/>
      <c r="T27" s="1497"/>
      <c r="U27" s="1497"/>
      <c r="V27" s="1497"/>
      <c r="W27" s="1497"/>
      <c r="X27" s="1497"/>
      <c r="Y27" s="1497"/>
      <c r="Z27" s="142"/>
      <c r="AA27" s="216"/>
      <c r="AB27" s="216"/>
      <c r="AC27" s="216"/>
      <c r="AD27" s="216"/>
      <c r="AE27" s="209"/>
      <c r="AF27" s="209"/>
      <c r="AG27" s="209"/>
      <c r="AH27" s="209"/>
      <c r="AI27" s="209"/>
      <c r="AJ27" s="142"/>
      <c r="AK27" s="56"/>
      <c r="AL27" s="56"/>
      <c r="AM27" s="56"/>
      <c r="AN27" s="56"/>
      <c r="AO27" s="56"/>
      <c r="AP27" s="56"/>
      <c r="AQ27" s="56"/>
      <c r="AR27" s="56"/>
    </row>
    <row r="28" spans="1:44" s="129" customFormat="1" ht="14.25" customHeight="1">
      <c r="A28" s="1499" t="s">
        <v>123</v>
      </c>
      <c r="B28" s="1500"/>
      <c r="C28" s="1500"/>
      <c r="D28" s="1500"/>
      <c r="E28" s="1500"/>
      <c r="F28" s="1502" t="s">
        <v>332</v>
      </c>
      <c r="G28" s="1503"/>
      <c r="H28" s="191">
        <f>H25*$I$18</f>
        <v>98</v>
      </c>
      <c r="I28" s="191">
        <f>I25*$I$18</f>
        <v>5.5125000000000002</v>
      </c>
      <c r="J28" s="191">
        <f>J25*$I$18</f>
        <v>122.5</v>
      </c>
      <c r="K28" s="191">
        <f>K25*$I$18</f>
        <v>3.6750000000000003</v>
      </c>
      <c r="L28" s="191">
        <f t="shared" si="0"/>
        <v>229.6875</v>
      </c>
      <c r="M28" s="214"/>
      <c r="N28" s="214"/>
      <c r="O28" s="214"/>
      <c r="P28" s="208"/>
      <c r="Q28" s="209"/>
      <c r="R28" s="1505"/>
      <c r="S28" s="1506"/>
      <c r="T28" s="1506"/>
      <c r="U28" s="1506"/>
      <c r="V28" s="1506"/>
      <c r="W28" s="1506"/>
      <c r="X28" s="1506"/>
      <c r="Y28" s="1506"/>
      <c r="Z28" s="142"/>
      <c r="AA28" s="216"/>
      <c r="AB28" s="216"/>
      <c r="AC28" s="216"/>
      <c r="AD28" s="216"/>
      <c r="AE28" s="209"/>
      <c r="AF28" s="209"/>
      <c r="AG28" s="209"/>
      <c r="AH28" s="209"/>
      <c r="AI28" s="209"/>
      <c r="AJ28" s="142"/>
      <c r="AK28" s="56"/>
      <c r="AL28" s="56"/>
      <c r="AM28" s="56"/>
      <c r="AN28" s="56"/>
      <c r="AO28" s="56"/>
      <c r="AP28" s="56"/>
      <c r="AQ28" s="56"/>
      <c r="AR28" s="56"/>
    </row>
    <row r="29" spans="1:44" s="129" customFormat="1" ht="14.25" customHeight="1">
      <c r="A29" s="1499" t="s">
        <v>124</v>
      </c>
      <c r="B29" s="1500"/>
      <c r="C29" s="1500"/>
      <c r="D29" s="1500"/>
      <c r="E29" s="1500"/>
      <c r="F29" s="1502" t="s">
        <v>332</v>
      </c>
      <c r="G29" s="1503"/>
      <c r="H29" s="191">
        <f>H25*$I$19</f>
        <v>101.92</v>
      </c>
      <c r="I29" s="191">
        <f>I25*$I$19</f>
        <v>5.7329999999999997</v>
      </c>
      <c r="J29" s="191">
        <f>J25*$I$19</f>
        <v>127.4</v>
      </c>
      <c r="K29" s="191">
        <f>K25*$I$19</f>
        <v>3.8220000000000001</v>
      </c>
      <c r="L29" s="191">
        <f t="shared" si="0"/>
        <v>238.875</v>
      </c>
      <c r="M29" s="214"/>
      <c r="N29" s="214"/>
      <c r="O29" s="214"/>
      <c r="P29" s="208"/>
      <c r="Q29" s="209"/>
      <c r="R29" s="1506"/>
      <c r="S29" s="1506"/>
      <c r="T29" s="1506"/>
      <c r="U29" s="1506"/>
      <c r="V29" s="1506"/>
      <c r="W29" s="1506"/>
      <c r="X29" s="1506"/>
      <c r="Y29" s="1506"/>
      <c r="Z29" s="142"/>
      <c r="AA29" s="216"/>
      <c r="AB29" s="216"/>
      <c r="AC29" s="216"/>
      <c r="AD29" s="216"/>
      <c r="AE29" s="209"/>
      <c r="AF29" s="209"/>
      <c r="AG29" s="209"/>
      <c r="AH29" s="209"/>
      <c r="AI29" s="209"/>
      <c r="AJ29" s="142"/>
      <c r="AK29" s="56"/>
      <c r="AL29" s="56"/>
      <c r="AM29" s="56"/>
      <c r="AN29" s="56"/>
      <c r="AO29" s="56"/>
      <c r="AP29" s="56"/>
      <c r="AQ29" s="56"/>
      <c r="AR29" s="56"/>
    </row>
    <row r="30" spans="1:44" s="129" customFormat="1" ht="14.25" customHeight="1">
      <c r="A30" s="1499" t="s">
        <v>126</v>
      </c>
      <c r="B30" s="1500"/>
      <c r="C30" s="1500"/>
      <c r="D30" s="1500"/>
      <c r="E30" s="1500"/>
      <c r="F30" s="1502" t="s">
        <v>332</v>
      </c>
      <c r="G30" s="1503"/>
      <c r="H30" s="191">
        <f>H25*$I$20</f>
        <v>179536</v>
      </c>
      <c r="I30" s="191">
        <f>I25*$I$20</f>
        <v>10098.9</v>
      </c>
      <c r="J30" s="191">
        <f>J25*$I$20</f>
        <v>224420</v>
      </c>
      <c r="K30" s="191">
        <f>K25*$I$20</f>
        <v>6732.6</v>
      </c>
      <c r="L30" s="191">
        <f t="shared" si="0"/>
        <v>420787.5</v>
      </c>
      <c r="M30" s="214"/>
      <c r="N30" s="214"/>
      <c r="O30" s="214"/>
      <c r="P30" s="208"/>
      <c r="Q30" s="209"/>
      <c r="R30" s="1507"/>
      <c r="S30" s="1507"/>
      <c r="T30" s="1507"/>
      <c r="U30" s="1507"/>
      <c r="V30" s="1507"/>
      <c r="W30" s="1507"/>
      <c r="X30" s="1507"/>
      <c r="Y30" s="1507"/>
      <c r="Z30" s="186"/>
      <c r="AA30" s="209"/>
      <c r="AB30" s="209"/>
      <c r="AC30" s="209"/>
      <c r="AD30" s="209"/>
      <c r="AE30" s="209"/>
      <c r="AF30" s="209"/>
      <c r="AG30" s="209"/>
      <c r="AH30" s="209"/>
      <c r="AI30" s="209"/>
      <c r="AJ30" s="142"/>
      <c r="AK30" s="56"/>
      <c r="AL30" s="56"/>
      <c r="AM30" s="56"/>
      <c r="AN30" s="56"/>
      <c r="AO30" s="56"/>
      <c r="AP30" s="56"/>
      <c r="AQ30" s="56"/>
      <c r="AR30" s="56"/>
    </row>
    <row r="31" spans="1:44" s="129" customFormat="1" ht="14.25" customHeight="1">
      <c r="A31" s="1508"/>
      <c r="B31" s="1509"/>
      <c r="C31" s="1509"/>
      <c r="D31" s="1509"/>
      <c r="E31" s="1509"/>
      <c r="F31" s="1495"/>
      <c r="G31" s="1495"/>
      <c r="H31" s="214" t="s">
        <v>869</v>
      </c>
      <c r="I31" s="214"/>
      <c r="J31" s="214" t="s">
        <v>869</v>
      </c>
      <c r="K31" s="214"/>
      <c r="L31" s="214"/>
      <c r="M31" s="214"/>
      <c r="N31" s="214"/>
      <c r="O31" s="214"/>
      <c r="P31" s="215"/>
      <c r="Q31" s="216"/>
      <c r="R31" s="216"/>
      <c r="S31" s="216"/>
      <c r="T31" s="216"/>
      <c r="U31" s="216"/>
      <c r="V31" s="216"/>
      <c r="W31" s="412"/>
      <c r="X31" s="216"/>
      <c r="Y31" s="216"/>
      <c r="Z31" s="216"/>
      <c r="AA31" s="216"/>
      <c r="AB31" s="216"/>
      <c r="AC31" s="216"/>
      <c r="AD31" s="216"/>
      <c r="AE31" s="216"/>
      <c r="AF31" s="216"/>
      <c r="AG31" s="216"/>
      <c r="AH31" s="216"/>
      <c r="AI31" s="216"/>
      <c r="AJ31" s="142"/>
      <c r="AK31" s="56"/>
      <c r="AL31" s="56"/>
      <c r="AM31" s="56"/>
      <c r="AN31" s="56"/>
      <c r="AO31" s="56"/>
      <c r="AP31" s="56"/>
      <c r="AQ31" s="56"/>
      <c r="AR31" s="56"/>
    </row>
    <row r="32" spans="1:44" s="129" customFormat="1" ht="14.25" customHeight="1">
      <c r="A32" s="217"/>
      <c r="B32" s="218"/>
      <c r="C32" s="31"/>
      <c r="D32" s="218"/>
      <c r="E32" s="218"/>
      <c r="F32" s="334"/>
      <c r="G32" s="334"/>
      <c r="H32" s="31"/>
      <c r="I32" s="31"/>
      <c r="J32" s="214"/>
      <c r="K32" s="214"/>
      <c r="L32" s="214"/>
      <c r="M32" s="214"/>
      <c r="N32" s="214"/>
      <c r="O32" s="214"/>
      <c r="P32" s="215"/>
      <c r="Q32" s="216"/>
      <c r="R32" s="216"/>
      <c r="S32" s="216"/>
      <c r="T32" s="216"/>
      <c r="U32" s="216"/>
      <c r="V32" s="216"/>
      <c r="W32" s="412"/>
      <c r="X32" s="216"/>
      <c r="Y32" s="216"/>
      <c r="Z32" s="216"/>
      <c r="AA32" s="216"/>
      <c r="AB32" s="216"/>
      <c r="AC32" s="216"/>
      <c r="AD32" s="216"/>
      <c r="AE32" s="216"/>
      <c r="AF32" s="216"/>
      <c r="AG32" s="216"/>
      <c r="AH32" s="216"/>
      <c r="AI32" s="216"/>
      <c r="AJ32" s="142"/>
      <c r="AK32" s="56"/>
      <c r="AL32" s="56"/>
      <c r="AM32" s="56"/>
      <c r="AN32" s="56"/>
      <c r="AO32" s="56"/>
      <c r="AP32" s="56"/>
      <c r="AQ32" s="56"/>
      <c r="AR32" s="56"/>
    </row>
    <row r="33" spans="1:43" s="129" customFormat="1" ht="14.25" customHeight="1">
      <c r="A33" s="219"/>
      <c r="B33" s="139"/>
      <c r="C33" s="31"/>
      <c r="D33" s="218"/>
      <c r="E33" s="218"/>
      <c r="F33" s="334"/>
      <c r="G33" s="334"/>
      <c r="H33" s="31"/>
      <c r="I33" s="31"/>
      <c r="J33" s="156"/>
      <c r="K33" s="156"/>
      <c r="L33" s="156"/>
      <c r="M33" s="156"/>
      <c r="N33" s="156"/>
      <c r="O33" s="156"/>
      <c r="P33" s="32"/>
      <c r="Q33" s="220"/>
      <c r="R33" s="220"/>
      <c r="U33" s="220"/>
      <c r="V33" s="220"/>
      <c r="W33" s="150"/>
      <c r="X33" s="150"/>
      <c r="AI33" s="142"/>
      <c r="AJ33" s="56"/>
      <c r="AK33" s="56"/>
      <c r="AL33" s="56"/>
      <c r="AM33" s="56"/>
      <c r="AN33" s="56"/>
      <c r="AO33" s="56"/>
      <c r="AP33" s="56"/>
      <c r="AQ33" s="56"/>
    </row>
    <row r="34" spans="1:43" s="129" customFormat="1" ht="14.25" customHeight="1">
      <c r="A34" s="221"/>
      <c r="B34" s="140"/>
      <c r="C34" s="1496" t="s">
        <v>782</v>
      </c>
      <c r="D34" s="1497"/>
      <c r="E34" s="1497"/>
      <c r="F34" s="1497"/>
      <c r="G34" s="1497"/>
      <c r="H34" s="140">
        <v>860</v>
      </c>
      <c r="I34" s="140" t="s">
        <v>783</v>
      </c>
      <c r="J34" s="140" t="s">
        <v>784</v>
      </c>
      <c r="K34" s="31"/>
      <c r="L34" s="31"/>
      <c r="M34" s="31"/>
      <c r="N34" s="222"/>
      <c r="O34" s="222"/>
      <c r="P34" s="32"/>
      <c r="Q34" s="220"/>
      <c r="R34" s="220"/>
      <c r="U34" s="220"/>
      <c r="V34" s="220"/>
      <c r="W34" s="150"/>
      <c r="X34" s="150"/>
      <c r="AI34" s="142"/>
      <c r="AJ34" s="56"/>
      <c r="AK34" s="56"/>
      <c r="AL34" s="56"/>
      <c r="AM34" s="56"/>
      <c r="AN34" s="56"/>
      <c r="AO34" s="56"/>
      <c r="AP34" s="56"/>
      <c r="AQ34" s="56"/>
    </row>
    <row r="35" spans="1:43" s="129" customFormat="1" ht="14.25" customHeight="1">
      <c r="A35" s="1501"/>
      <c r="B35" s="1181"/>
      <c r="C35" s="1181"/>
      <c r="D35" s="1181"/>
      <c r="E35" s="1181"/>
      <c r="F35" s="1181"/>
      <c r="G35" s="1181"/>
      <c r="H35" s="1181"/>
      <c r="I35" s="1181"/>
      <c r="J35" s="1181"/>
      <c r="K35" s="31"/>
      <c r="L35" s="31"/>
      <c r="M35" s="31"/>
      <c r="N35" s="222"/>
      <c r="O35" s="222"/>
      <c r="P35" s="32"/>
      <c r="Q35" s="1493"/>
      <c r="R35" s="1493"/>
      <c r="U35" s="1493"/>
      <c r="V35" s="1493"/>
      <c r="W35" s="1494"/>
      <c r="X35" s="1494"/>
      <c r="AI35" s="142"/>
      <c r="AJ35" s="56"/>
      <c r="AK35" s="56"/>
      <c r="AL35" s="56"/>
      <c r="AM35" s="56"/>
      <c r="AN35" s="56"/>
      <c r="AO35" s="56"/>
      <c r="AP35" s="56"/>
      <c r="AQ35" s="56"/>
    </row>
    <row r="36" spans="1:43" s="129" customFormat="1" ht="14.25" customHeight="1">
      <c r="A36" s="223"/>
      <c r="B36" s="147"/>
      <c r="C36" s="31"/>
      <c r="D36" s="31"/>
      <c r="E36" s="31"/>
      <c r="F36" s="31"/>
      <c r="G36" s="31"/>
      <c r="H36" s="31"/>
      <c r="I36" s="31"/>
      <c r="J36" s="31"/>
      <c r="K36" s="31"/>
      <c r="L36" s="31"/>
      <c r="M36" s="31"/>
      <c r="N36" s="222"/>
      <c r="O36" s="222"/>
      <c r="P36" s="32"/>
      <c r="Q36" s="220"/>
      <c r="R36" s="220"/>
      <c r="U36" s="220"/>
      <c r="V36" s="220"/>
      <c r="W36" s="150"/>
      <c r="X36" s="150"/>
      <c r="AI36" s="142"/>
      <c r="AJ36" s="56"/>
      <c r="AK36" s="56"/>
      <c r="AL36" s="56"/>
      <c r="AM36" s="56"/>
      <c r="AN36" s="56"/>
      <c r="AO36" s="56"/>
      <c r="AP36" s="56"/>
      <c r="AQ36" s="56"/>
    </row>
    <row r="37" spans="1:43" s="129" customFormat="1" ht="14.25" customHeight="1">
      <c r="A37" s="224" t="s">
        <v>678</v>
      </c>
      <c r="B37" s="31"/>
      <c r="C37" s="27"/>
      <c r="D37" s="27"/>
      <c r="E37" s="27"/>
      <c r="F37" s="27"/>
      <c r="G37" s="27"/>
      <c r="H37" s="27"/>
      <c r="I37" s="27"/>
      <c r="J37" s="27"/>
      <c r="K37" s="27"/>
      <c r="L37" s="27"/>
      <c r="M37" s="27"/>
      <c r="N37" s="1491"/>
      <c r="O37" s="1491"/>
      <c r="P37" s="226"/>
      <c r="Q37" s="220"/>
      <c r="R37" s="220"/>
      <c r="U37" s="220"/>
      <c r="V37" s="220"/>
      <c r="W37" s="150"/>
      <c r="X37" s="150"/>
      <c r="AJ37" s="56"/>
      <c r="AK37" s="56"/>
      <c r="AL37" s="56"/>
      <c r="AM37" s="56"/>
      <c r="AN37" s="56"/>
      <c r="AO37" s="56"/>
      <c r="AP37" s="56"/>
      <c r="AQ37" s="56"/>
    </row>
    <row r="38" spans="1:43" s="129" customFormat="1" ht="14.25" customHeight="1">
      <c r="A38" s="227" t="s">
        <v>31</v>
      </c>
      <c r="B38" s="31" t="s">
        <v>785</v>
      </c>
      <c r="C38" s="31"/>
      <c r="D38" s="31"/>
      <c r="E38" s="31"/>
      <c r="F38" s="31"/>
      <c r="G38" s="31"/>
      <c r="H38" s="31"/>
      <c r="I38" s="31"/>
      <c r="J38" s="31"/>
      <c r="K38" s="31"/>
      <c r="L38" s="31"/>
      <c r="M38" s="31"/>
      <c r="N38" s="222"/>
      <c r="O38" s="222"/>
      <c r="P38" s="32"/>
      <c r="Q38" s="1492"/>
      <c r="R38" s="1492"/>
      <c r="U38" s="1493"/>
      <c r="V38" s="1493"/>
      <c r="W38" s="1494"/>
      <c r="X38" s="1494"/>
      <c r="AJ38" s="56"/>
      <c r="AK38" s="56"/>
      <c r="AL38" s="56"/>
      <c r="AM38" s="56"/>
      <c r="AN38" s="56"/>
      <c r="AO38" s="56"/>
      <c r="AP38" s="56"/>
      <c r="AQ38" s="56"/>
    </row>
    <row r="39" spans="1:43" s="129" customFormat="1" ht="14.25" customHeight="1">
      <c r="A39" s="227" t="s">
        <v>33</v>
      </c>
      <c r="B39" s="31" t="s">
        <v>786</v>
      </c>
      <c r="C39" s="31"/>
      <c r="D39" s="31"/>
      <c r="E39" s="31"/>
      <c r="F39" s="31"/>
      <c r="G39" s="31"/>
      <c r="H39" s="31"/>
      <c r="I39" s="31"/>
      <c r="J39" s="31"/>
      <c r="K39" s="31"/>
      <c r="L39" s="31"/>
      <c r="M39" s="31"/>
      <c r="N39" s="222"/>
      <c r="O39" s="222"/>
      <c r="P39" s="32"/>
      <c r="Q39" s="228"/>
      <c r="R39" s="228"/>
      <c r="U39" s="220"/>
      <c r="V39" s="220"/>
      <c r="W39" s="150"/>
      <c r="X39" s="150"/>
      <c r="AJ39" s="56"/>
      <c r="AK39" s="56"/>
      <c r="AL39" s="56"/>
      <c r="AM39" s="56"/>
      <c r="AN39" s="56"/>
      <c r="AO39" s="56"/>
      <c r="AP39" s="56"/>
      <c r="AQ39" s="56"/>
    </row>
    <row r="40" spans="1:43" s="129" customFormat="1" ht="14.25" customHeight="1">
      <c r="A40" s="227" t="s">
        <v>752</v>
      </c>
      <c r="B40" s="1489" t="s">
        <v>190</v>
      </c>
      <c r="C40" s="1490"/>
      <c r="D40" s="1490"/>
      <c r="E40" s="1490"/>
      <c r="F40" s="1490"/>
      <c r="G40" s="1490"/>
      <c r="H40" s="1490"/>
      <c r="I40" s="1490"/>
      <c r="J40" s="1490"/>
      <c r="K40" s="1490"/>
      <c r="L40" s="1490"/>
      <c r="M40" s="1490"/>
      <c r="N40" s="1490"/>
      <c r="O40" s="1490"/>
      <c r="P40" s="231"/>
      <c r="Q40" s="228"/>
      <c r="R40" s="228"/>
      <c r="U40" s="220"/>
      <c r="V40" s="220"/>
      <c r="W40" s="150"/>
      <c r="X40" s="150"/>
      <c r="AJ40" s="56"/>
      <c r="AK40" s="56"/>
      <c r="AL40" s="56"/>
      <c r="AM40" s="56"/>
      <c r="AN40" s="56"/>
      <c r="AO40" s="56"/>
      <c r="AP40" s="56"/>
      <c r="AQ40" s="56"/>
    </row>
    <row r="41" spans="1:43" s="129" customFormat="1" ht="14.25" customHeight="1">
      <c r="A41" s="227" t="s">
        <v>787</v>
      </c>
      <c r="B41" s="1489" t="s">
        <v>788</v>
      </c>
      <c r="C41" s="1490"/>
      <c r="D41" s="1490"/>
      <c r="E41" s="1490"/>
      <c r="F41" s="1490"/>
      <c r="G41" s="1490"/>
      <c r="H41" s="1490"/>
      <c r="I41" s="1490"/>
      <c r="J41" s="1490"/>
      <c r="K41" s="1490"/>
      <c r="L41" s="1490"/>
      <c r="M41" s="1490"/>
      <c r="N41" s="1490"/>
      <c r="O41" s="1490"/>
      <c r="P41" s="231"/>
      <c r="Q41" s="228"/>
      <c r="R41" s="228"/>
      <c r="U41" s="220"/>
      <c r="V41" s="220"/>
      <c r="W41" s="150"/>
      <c r="X41" s="150"/>
      <c r="AJ41" s="56"/>
      <c r="AK41" s="56"/>
      <c r="AL41" s="56"/>
      <c r="AM41" s="56"/>
      <c r="AN41" s="56"/>
      <c r="AO41" s="56"/>
      <c r="AP41" s="56"/>
      <c r="AQ41" s="56"/>
    </row>
    <row r="42" spans="1:43" s="129" customFormat="1" ht="14.25" customHeight="1">
      <c r="A42" s="227" t="s">
        <v>819</v>
      </c>
      <c r="B42" s="1489" t="s">
        <v>880</v>
      </c>
      <c r="C42" s="1490"/>
      <c r="D42" s="1490"/>
      <c r="E42" s="1490"/>
      <c r="F42" s="1490"/>
      <c r="G42" s="1490"/>
      <c r="H42" s="1490"/>
      <c r="I42" s="1490"/>
      <c r="J42" s="1490"/>
      <c r="K42" s="1490"/>
      <c r="L42" s="1490"/>
      <c r="M42" s="1490"/>
      <c r="N42" s="1490"/>
      <c r="O42" s="1490"/>
      <c r="P42" s="231"/>
      <c r="Q42" s="228"/>
      <c r="R42" s="228"/>
      <c r="U42" s="220"/>
      <c r="V42" s="220"/>
      <c r="W42" s="150"/>
      <c r="X42" s="150"/>
      <c r="AJ42" s="56"/>
      <c r="AK42" s="56"/>
      <c r="AL42" s="56"/>
      <c r="AM42" s="56"/>
      <c r="AN42" s="56"/>
      <c r="AO42" s="56"/>
      <c r="AP42" s="56"/>
      <c r="AQ42" s="56"/>
    </row>
    <row r="43" spans="1:43" s="129" customFormat="1" ht="14.25" customHeight="1">
      <c r="A43" s="227" t="s">
        <v>875</v>
      </c>
      <c r="B43" s="1489" t="s">
        <v>881</v>
      </c>
      <c r="C43" s="1490"/>
      <c r="D43" s="1490"/>
      <c r="E43" s="1490"/>
      <c r="F43" s="1490"/>
      <c r="G43" s="1490"/>
      <c r="H43" s="1490"/>
      <c r="I43" s="1490"/>
      <c r="J43" s="1490"/>
      <c r="K43" s="1490"/>
      <c r="L43" s="1490"/>
      <c r="M43" s="1490"/>
      <c r="N43" s="1490"/>
      <c r="O43" s="1490"/>
      <c r="P43" s="32"/>
      <c r="Q43" s="228"/>
      <c r="R43" s="228"/>
      <c r="U43" s="220"/>
      <c r="V43" s="220"/>
      <c r="W43" s="150"/>
      <c r="X43" s="150"/>
      <c r="AJ43" s="56"/>
      <c r="AK43" s="56"/>
      <c r="AL43" s="56"/>
      <c r="AM43" s="56"/>
      <c r="AN43" s="56"/>
      <c r="AO43" s="56"/>
      <c r="AP43" s="56"/>
      <c r="AQ43" s="56"/>
    </row>
    <row r="44" spans="1:43" ht="14.25" customHeight="1">
      <c r="A44" s="227" t="s">
        <v>882</v>
      </c>
      <c r="B44" s="1489"/>
      <c r="C44" s="1490"/>
      <c r="D44" s="1490"/>
      <c r="E44" s="1490"/>
      <c r="F44" s="1490"/>
      <c r="G44" s="1490"/>
      <c r="H44" s="1490"/>
      <c r="I44" s="1490"/>
      <c r="J44" s="1490"/>
      <c r="K44" s="1490"/>
      <c r="L44" s="1490"/>
      <c r="M44" s="1490"/>
      <c r="N44" s="1490"/>
      <c r="O44" s="1490"/>
      <c r="P44" s="234"/>
      <c r="Q44" s="136"/>
      <c r="R44" s="136"/>
      <c r="S44" s="136"/>
      <c r="T44" s="136"/>
      <c r="U44" s="136"/>
      <c r="V44" s="136"/>
      <c r="W44" s="235"/>
      <c r="X44" s="136"/>
      <c r="Y44" s="136"/>
      <c r="Z44" s="136"/>
      <c r="AA44" s="136"/>
      <c r="AB44" s="136"/>
      <c r="AC44" s="136"/>
      <c r="AJ44" s="105"/>
      <c r="AK44" s="105"/>
      <c r="AL44" s="105"/>
      <c r="AM44" s="105"/>
      <c r="AN44" s="105"/>
      <c r="AO44" s="105"/>
      <c r="AP44" s="105"/>
      <c r="AQ44" s="105"/>
    </row>
    <row r="45" spans="1:43">
      <c r="A45" s="236"/>
      <c r="B45" s="236"/>
      <c r="C45" s="236"/>
      <c r="D45" s="236"/>
      <c r="E45" s="236"/>
      <c r="F45" s="236"/>
      <c r="G45" s="236"/>
      <c r="H45" s="236"/>
      <c r="I45" s="236"/>
      <c r="J45" s="236"/>
      <c r="K45" s="236"/>
      <c r="L45" s="236"/>
      <c r="M45" s="236"/>
      <c r="N45" s="236"/>
      <c r="O45" s="236"/>
      <c r="P45" s="236"/>
      <c r="Q45" s="236"/>
      <c r="R45" s="236"/>
      <c r="S45" s="236"/>
      <c r="T45" s="236"/>
      <c r="U45" s="236"/>
      <c r="V45" s="236"/>
      <c r="W45" s="237"/>
      <c r="X45" s="236"/>
      <c r="Y45" s="236"/>
      <c r="Z45" s="236"/>
      <c r="AA45" s="236"/>
      <c r="AB45" s="136"/>
      <c r="AC45" s="136"/>
      <c r="AJ45" s="105"/>
      <c r="AK45" s="105"/>
      <c r="AL45" s="105"/>
      <c r="AM45" s="105"/>
      <c r="AN45" s="105"/>
      <c r="AO45" s="105"/>
      <c r="AP45" s="105"/>
      <c r="AQ45" s="105"/>
    </row>
    <row r="46" spans="1:43">
      <c r="A46" s="236"/>
      <c r="B46" s="236"/>
      <c r="C46" s="236"/>
      <c r="D46" s="236"/>
      <c r="E46" s="236"/>
      <c r="F46" s="236"/>
      <c r="G46" s="236"/>
      <c r="H46" s="236"/>
      <c r="I46" s="236"/>
      <c r="J46" s="236"/>
      <c r="K46" s="236"/>
      <c r="L46" s="236"/>
      <c r="M46" s="236"/>
      <c r="N46" s="236"/>
      <c r="O46" s="236"/>
      <c r="P46" s="236"/>
      <c r="Q46" s="236"/>
      <c r="R46" s="236"/>
      <c r="S46" s="236"/>
      <c r="T46" s="236"/>
      <c r="U46" s="236"/>
      <c r="V46" s="236"/>
      <c r="W46" s="237"/>
      <c r="X46" s="236"/>
      <c r="Y46" s="236"/>
      <c r="Z46" s="236"/>
      <c r="AA46" s="236"/>
      <c r="AB46" s="236"/>
      <c r="AC46" s="236"/>
      <c r="AD46" s="105"/>
      <c r="AE46" s="105"/>
      <c r="AF46" s="105"/>
      <c r="AG46" s="105"/>
      <c r="AH46" s="105"/>
      <c r="AI46" s="105"/>
      <c r="AJ46" s="105"/>
      <c r="AK46" s="105"/>
      <c r="AL46" s="105"/>
      <c r="AM46" s="105"/>
      <c r="AN46" s="105"/>
      <c r="AO46" s="105"/>
      <c r="AP46" s="105"/>
      <c r="AQ46" s="105"/>
    </row>
    <row r="47" spans="1:43">
      <c r="A47" s="236"/>
      <c r="B47" s="236"/>
      <c r="C47" s="236"/>
      <c r="D47" s="236"/>
      <c r="E47" s="236"/>
      <c r="F47" s="236"/>
      <c r="G47" s="236"/>
      <c r="H47" s="236"/>
      <c r="I47" s="236"/>
      <c r="J47" s="236"/>
      <c r="K47" s="236"/>
      <c r="L47" s="236"/>
      <c r="M47" s="236"/>
      <c r="N47" s="236"/>
      <c r="O47" s="236"/>
      <c r="P47" s="236"/>
      <c r="Q47" s="236"/>
      <c r="R47" s="236"/>
      <c r="S47" s="236"/>
      <c r="T47" s="236"/>
      <c r="U47" s="236"/>
      <c r="V47" s="236"/>
      <c r="W47" s="237"/>
      <c r="X47" s="236"/>
      <c r="Y47" s="236"/>
      <c r="Z47" s="236"/>
      <c r="AA47" s="236"/>
      <c r="AB47" s="236"/>
      <c r="AC47" s="105"/>
      <c r="AD47" s="105"/>
      <c r="AE47" s="105"/>
      <c r="AF47" s="105"/>
      <c r="AG47" s="105"/>
      <c r="AH47" s="105"/>
      <c r="AI47" s="105"/>
      <c r="AJ47" s="105"/>
      <c r="AK47" s="105"/>
      <c r="AL47" s="105"/>
      <c r="AM47" s="105"/>
      <c r="AN47" s="105"/>
      <c r="AO47" s="105"/>
      <c r="AP47" s="105"/>
      <c r="AQ47" s="105"/>
    </row>
    <row r="48" spans="1:43">
      <c r="A48" s="236"/>
      <c r="B48" s="236"/>
      <c r="C48" s="236"/>
      <c r="D48" s="236"/>
      <c r="E48" s="236"/>
      <c r="F48" s="236"/>
      <c r="G48" s="236"/>
      <c r="H48" s="236"/>
      <c r="I48" s="236"/>
      <c r="J48" s="236"/>
      <c r="K48" s="236"/>
      <c r="L48" s="236"/>
      <c r="M48" s="236"/>
      <c r="N48" s="236"/>
      <c r="O48" s="236"/>
      <c r="P48" s="236"/>
      <c r="Q48" s="236"/>
      <c r="R48" s="236"/>
      <c r="S48" s="236"/>
      <c r="T48" s="236"/>
      <c r="U48" s="236"/>
      <c r="V48" s="236"/>
      <c r="W48" s="237"/>
      <c r="X48" s="236"/>
      <c r="Y48" s="236"/>
      <c r="Z48" s="236"/>
      <c r="AA48" s="236"/>
      <c r="AB48" s="236"/>
      <c r="AC48" s="105"/>
      <c r="AD48" s="105"/>
      <c r="AE48" s="105"/>
      <c r="AF48" s="105"/>
      <c r="AG48" s="105"/>
      <c r="AH48" s="105"/>
      <c r="AI48" s="105"/>
      <c r="AJ48" s="105"/>
      <c r="AK48" s="105"/>
      <c r="AL48" s="105"/>
      <c r="AM48" s="105"/>
      <c r="AN48" s="105"/>
      <c r="AO48" s="105"/>
      <c r="AP48" s="105"/>
      <c r="AQ48" s="105"/>
    </row>
    <row r="49" spans="1:43">
      <c r="A49" s="236"/>
      <c r="B49" s="236"/>
      <c r="C49" s="236"/>
      <c r="D49" s="236"/>
      <c r="E49" s="236"/>
      <c r="F49" s="236"/>
      <c r="G49" s="236"/>
      <c r="H49" s="236"/>
      <c r="I49" s="236"/>
      <c r="J49" s="236"/>
      <c r="K49" s="236"/>
      <c r="L49" s="236"/>
      <c r="M49" s="236"/>
      <c r="N49" s="236"/>
      <c r="O49" s="236"/>
      <c r="P49" s="236"/>
      <c r="Q49" s="236"/>
      <c r="R49" s="236"/>
      <c r="S49" s="236"/>
      <c r="T49" s="236"/>
      <c r="U49" s="236"/>
      <c r="V49" s="236"/>
      <c r="W49" s="237"/>
      <c r="X49" s="236"/>
      <c r="Y49" s="236"/>
      <c r="Z49" s="236"/>
      <c r="AA49" s="236"/>
      <c r="AB49" s="236"/>
      <c r="AC49" s="105"/>
      <c r="AD49" s="105"/>
      <c r="AE49" s="105"/>
      <c r="AF49" s="105"/>
      <c r="AG49" s="105"/>
      <c r="AH49" s="105"/>
      <c r="AI49" s="105"/>
      <c r="AJ49" s="105"/>
      <c r="AK49" s="105"/>
      <c r="AL49" s="105"/>
      <c r="AM49" s="105"/>
      <c r="AN49" s="105"/>
      <c r="AO49" s="105"/>
      <c r="AP49" s="105"/>
      <c r="AQ49" s="105"/>
    </row>
    <row r="50" spans="1:43">
      <c r="A50" s="236"/>
      <c r="B50" s="236"/>
      <c r="C50" s="236"/>
      <c r="D50" s="236"/>
      <c r="E50" s="236"/>
      <c r="F50" s="236"/>
      <c r="G50" s="236"/>
      <c r="H50" s="236"/>
      <c r="I50" s="236"/>
      <c r="J50" s="236"/>
      <c r="K50" s="236"/>
      <c r="L50" s="236"/>
      <c r="M50" s="236"/>
      <c r="N50" s="236"/>
      <c r="O50" s="236"/>
      <c r="P50" s="236"/>
      <c r="Q50" s="236"/>
      <c r="R50" s="236"/>
      <c r="S50" s="236"/>
      <c r="T50" s="236"/>
      <c r="U50" s="236"/>
      <c r="V50" s="236"/>
      <c r="W50" s="237"/>
      <c r="X50" s="236"/>
      <c r="Y50" s="236"/>
      <c r="Z50" s="236"/>
      <c r="AA50" s="236"/>
      <c r="AB50" s="236"/>
      <c r="AC50" s="105"/>
      <c r="AD50" s="105"/>
      <c r="AE50" s="105"/>
      <c r="AF50" s="105"/>
      <c r="AG50" s="105"/>
      <c r="AH50" s="105"/>
      <c r="AI50" s="105"/>
      <c r="AJ50" s="105"/>
      <c r="AK50" s="105"/>
      <c r="AL50" s="105"/>
      <c r="AM50" s="105"/>
      <c r="AN50" s="105"/>
      <c r="AO50" s="105"/>
      <c r="AP50" s="105"/>
      <c r="AQ50" s="105"/>
    </row>
    <row r="51" spans="1:43">
      <c r="A51" s="236"/>
      <c r="B51" s="236"/>
      <c r="C51" s="236"/>
      <c r="D51" s="236"/>
      <c r="E51" s="236"/>
      <c r="F51" s="236"/>
      <c r="G51" s="236"/>
      <c r="H51" s="236"/>
      <c r="I51" s="236"/>
      <c r="J51" s="236"/>
      <c r="K51" s="236"/>
      <c r="L51" s="236"/>
      <c r="M51" s="236"/>
      <c r="N51" s="236"/>
      <c r="O51" s="236"/>
      <c r="P51" s="236"/>
      <c r="Q51" s="236"/>
      <c r="R51" s="236"/>
      <c r="S51" s="236"/>
      <c r="T51" s="236"/>
      <c r="U51" s="236"/>
      <c r="V51" s="236"/>
      <c r="W51" s="237"/>
      <c r="X51" s="236"/>
      <c r="Y51" s="236"/>
      <c r="Z51" s="236"/>
      <c r="AA51" s="236"/>
      <c r="AB51" s="236"/>
      <c r="AC51" s="105"/>
      <c r="AD51" s="105"/>
      <c r="AE51" s="105"/>
      <c r="AF51" s="105"/>
      <c r="AG51" s="105"/>
      <c r="AH51" s="105"/>
      <c r="AI51" s="105"/>
      <c r="AJ51" s="105"/>
      <c r="AK51" s="105"/>
      <c r="AL51" s="105"/>
      <c r="AM51" s="105"/>
      <c r="AN51" s="105"/>
      <c r="AO51" s="105"/>
      <c r="AP51" s="105"/>
      <c r="AQ51" s="105"/>
    </row>
    <row r="52" spans="1:43">
      <c r="A52" s="236"/>
      <c r="B52" s="236"/>
      <c r="C52" s="236"/>
      <c r="D52" s="236"/>
      <c r="E52" s="236"/>
      <c r="F52" s="236"/>
      <c r="G52" s="236"/>
      <c r="H52" s="236"/>
      <c r="I52" s="236"/>
      <c r="J52" s="236"/>
      <c r="K52" s="236"/>
      <c r="L52" s="236"/>
      <c r="M52" s="236"/>
      <c r="N52" s="236"/>
      <c r="O52" s="236"/>
      <c r="P52" s="236"/>
      <c r="Q52" s="236"/>
      <c r="R52" s="236"/>
      <c r="S52" s="236"/>
      <c r="T52" s="236"/>
      <c r="U52" s="236"/>
      <c r="V52" s="236"/>
      <c r="W52" s="237"/>
      <c r="X52" s="236"/>
      <c r="Y52" s="236"/>
      <c r="Z52" s="236"/>
      <c r="AA52" s="236"/>
      <c r="AB52" s="236"/>
      <c r="AC52" s="105"/>
      <c r="AD52" s="105"/>
      <c r="AE52" s="105"/>
      <c r="AF52" s="105"/>
      <c r="AG52" s="105"/>
      <c r="AH52" s="105"/>
      <c r="AI52" s="105"/>
      <c r="AJ52" s="105"/>
      <c r="AK52" s="105"/>
      <c r="AL52" s="105"/>
      <c r="AM52" s="105"/>
      <c r="AN52" s="105"/>
      <c r="AO52" s="105"/>
      <c r="AP52" s="105"/>
      <c r="AQ52" s="105"/>
    </row>
    <row r="53" spans="1:43">
      <c r="A53" s="236"/>
      <c r="B53" s="236"/>
      <c r="C53" s="236"/>
      <c r="D53" s="236"/>
      <c r="E53" s="236"/>
      <c r="F53" s="236"/>
      <c r="G53" s="236"/>
      <c r="H53" s="236"/>
      <c r="I53" s="236"/>
      <c r="J53" s="236"/>
      <c r="K53" s="236"/>
      <c r="L53" s="236"/>
      <c r="M53" s="236"/>
      <c r="N53" s="236"/>
      <c r="O53" s="236"/>
      <c r="P53" s="236"/>
      <c r="Q53" s="236"/>
      <c r="R53" s="236"/>
      <c r="S53" s="236"/>
      <c r="T53" s="236"/>
      <c r="U53" s="236"/>
      <c r="V53" s="236"/>
      <c r="W53" s="237"/>
      <c r="X53" s="236"/>
      <c r="Y53" s="236"/>
      <c r="Z53" s="236"/>
      <c r="AA53" s="236"/>
      <c r="AB53" s="236"/>
      <c r="AC53" s="105"/>
      <c r="AD53" s="105"/>
      <c r="AE53" s="105"/>
      <c r="AF53" s="105"/>
      <c r="AG53" s="105"/>
      <c r="AH53" s="105"/>
      <c r="AI53" s="105"/>
      <c r="AJ53" s="105"/>
      <c r="AK53" s="105"/>
      <c r="AL53" s="105"/>
      <c r="AM53" s="105"/>
      <c r="AN53" s="105"/>
      <c r="AO53" s="105"/>
      <c r="AP53" s="105"/>
      <c r="AQ53" s="105"/>
    </row>
    <row r="54" spans="1:43">
      <c r="A54" s="236"/>
      <c r="B54" s="236"/>
      <c r="C54" s="236"/>
      <c r="D54" s="236"/>
      <c r="E54" s="236"/>
      <c r="F54" s="236"/>
      <c r="G54" s="236"/>
      <c r="H54" s="236"/>
      <c r="I54" s="236"/>
      <c r="J54" s="236"/>
      <c r="K54" s="236"/>
      <c r="L54" s="236"/>
      <c r="M54" s="236"/>
      <c r="N54" s="236"/>
      <c r="O54" s="236"/>
      <c r="P54" s="236"/>
      <c r="Q54" s="236"/>
      <c r="R54" s="236"/>
      <c r="S54" s="236"/>
      <c r="T54" s="236"/>
      <c r="U54" s="236"/>
      <c r="V54" s="236"/>
      <c r="W54" s="237"/>
      <c r="X54" s="236"/>
      <c r="Y54" s="236"/>
      <c r="Z54" s="236"/>
      <c r="AA54" s="236"/>
      <c r="AB54" s="236"/>
      <c r="AC54" s="105"/>
      <c r="AD54" s="105"/>
      <c r="AE54" s="105"/>
      <c r="AF54" s="105"/>
      <c r="AG54" s="105"/>
      <c r="AH54" s="105"/>
      <c r="AI54" s="105"/>
      <c r="AJ54" s="105"/>
      <c r="AK54" s="105"/>
      <c r="AL54" s="105"/>
      <c r="AM54" s="105"/>
      <c r="AN54" s="105"/>
      <c r="AO54" s="105"/>
      <c r="AP54" s="105"/>
      <c r="AQ54" s="105"/>
    </row>
    <row r="55" spans="1:43" s="137" customFormat="1">
      <c r="A55" s="236"/>
      <c r="B55" s="236"/>
      <c r="C55" s="236"/>
      <c r="D55" s="236"/>
      <c r="E55" s="236"/>
      <c r="F55" s="236"/>
      <c r="G55" s="236"/>
      <c r="H55" s="236"/>
      <c r="I55" s="236"/>
      <c r="J55" s="236"/>
      <c r="K55" s="236"/>
      <c r="L55" s="236"/>
      <c r="M55" s="236"/>
      <c r="N55" s="236"/>
      <c r="O55" s="236"/>
      <c r="P55" s="236"/>
      <c r="Q55" s="236"/>
      <c r="R55" s="236"/>
      <c r="S55" s="236"/>
      <c r="T55" s="236"/>
      <c r="U55" s="236"/>
      <c r="V55" s="236"/>
      <c r="W55" s="237"/>
      <c r="X55" s="236"/>
      <c r="Y55" s="236"/>
      <c r="Z55" s="236"/>
      <c r="AA55" s="236"/>
      <c r="AB55" s="236"/>
      <c r="AC55" s="105"/>
      <c r="AD55" s="105"/>
      <c r="AE55" s="105"/>
      <c r="AF55" s="105"/>
      <c r="AG55" s="105"/>
      <c r="AH55" s="105"/>
      <c r="AI55" s="105"/>
      <c r="AJ55" s="105"/>
      <c r="AK55" s="105"/>
      <c r="AL55" s="105"/>
      <c r="AM55" s="105"/>
      <c r="AN55" s="105"/>
      <c r="AO55" s="105"/>
      <c r="AP55" s="105"/>
      <c r="AQ55" s="105"/>
    </row>
    <row r="56" spans="1:43" s="137" customFormat="1">
      <c r="A56" s="236"/>
      <c r="B56" s="236"/>
      <c r="C56" s="236"/>
      <c r="D56" s="236"/>
      <c r="E56" s="236"/>
      <c r="F56" s="236"/>
      <c r="G56" s="236"/>
      <c r="H56" s="236"/>
      <c r="I56" s="236"/>
      <c r="J56" s="236"/>
      <c r="K56" s="236"/>
      <c r="L56" s="236"/>
      <c r="M56" s="236"/>
      <c r="N56" s="236"/>
      <c r="O56" s="236"/>
      <c r="P56" s="236"/>
      <c r="Q56" s="236"/>
      <c r="R56" s="236"/>
      <c r="S56" s="236"/>
      <c r="T56" s="236"/>
      <c r="U56" s="236"/>
      <c r="V56" s="236"/>
      <c r="W56" s="237"/>
      <c r="X56" s="236"/>
      <c r="Y56" s="236"/>
      <c r="Z56" s="236"/>
      <c r="AA56" s="236"/>
      <c r="AB56" s="236"/>
      <c r="AC56" s="105"/>
      <c r="AD56" s="105"/>
      <c r="AE56" s="105"/>
      <c r="AF56" s="105"/>
      <c r="AG56" s="105"/>
      <c r="AH56" s="105"/>
      <c r="AI56" s="105"/>
      <c r="AJ56" s="105"/>
      <c r="AK56" s="105"/>
      <c r="AL56" s="105"/>
      <c r="AM56" s="105"/>
      <c r="AN56" s="105"/>
      <c r="AO56" s="105"/>
      <c r="AP56" s="105"/>
      <c r="AQ56" s="105"/>
    </row>
    <row r="57" spans="1:43" s="137" customFormat="1">
      <c r="A57" s="236"/>
      <c r="B57" s="236"/>
      <c r="C57" s="236"/>
      <c r="D57" s="236"/>
      <c r="E57" s="236"/>
      <c r="F57" s="236"/>
      <c r="G57" s="236"/>
      <c r="H57" s="236"/>
      <c r="I57" s="236"/>
      <c r="J57" s="236"/>
      <c r="K57" s="236"/>
      <c r="L57" s="236"/>
      <c r="M57" s="236"/>
      <c r="N57" s="236"/>
      <c r="O57" s="236"/>
      <c r="P57" s="236"/>
      <c r="Q57" s="236"/>
      <c r="R57" s="236"/>
      <c r="S57" s="236"/>
      <c r="T57" s="236"/>
      <c r="U57" s="236"/>
      <c r="V57" s="236"/>
      <c r="W57" s="237"/>
      <c r="X57" s="236"/>
      <c r="Y57" s="236"/>
      <c r="Z57" s="236"/>
      <c r="AA57" s="236"/>
      <c r="AB57" s="236"/>
      <c r="AC57" s="105"/>
      <c r="AD57" s="105"/>
      <c r="AE57" s="105"/>
      <c r="AF57" s="105"/>
      <c r="AG57" s="105"/>
      <c r="AH57" s="105"/>
      <c r="AI57" s="105"/>
      <c r="AJ57" s="105"/>
      <c r="AK57" s="105"/>
      <c r="AL57" s="105"/>
      <c r="AM57" s="105"/>
      <c r="AN57" s="105"/>
      <c r="AO57" s="105"/>
      <c r="AP57" s="105"/>
      <c r="AQ57" s="105"/>
    </row>
    <row r="58" spans="1:43" s="137" customFormat="1">
      <c r="A58" s="236"/>
      <c r="B58" s="236"/>
      <c r="C58" s="236"/>
      <c r="D58" s="236"/>
      <c r="E58" s="236"/>
      <c r="F58" s="236"/>
      <c r="G58" s="236"/>
      <c r="H58" s="236"/>
      <c r="I58" s="236"/>
      <c r="J58" s="236"/>
      <c r="K58" s="236"/>
      <c r="L58" s="236"/>
      <c r="M58" s="236"/>
      <c r="N58" s="236"/>
      <c r="O58" s="236"/>
      <c r="P58" s="236"/>
      <c r="Q58" s="236"/>
      <c r="R58" s="236"/>
      <c r="S58" s="236"/>
      <c r="T58" s="236"/>
      <c r="U58" s="236"/>
      <c r="V58" s="236"/>
      <c r="W58" s="237"/>
      <c r="X58" s="236"/>
      <c r="Y58" s="236"/>
      <c r="Z58" s="236"/>
      <c r="AA58" s="236"/>
      <c r="AB58" s="236"/>
      <c r="AC58" s="105"/>
      <c r="AD58" s="105"/>
      <c r="AE58" s="105"/>
      <c r="AF58" s="105"/>
      <c r="AG58" s="105"/>
      <c r="AH58" s="105"/>
      <c r="AI58" s="105"/>
      <c r="AJ58" s="105"/>
      <c r="AK58" s="105"/>
      <c r="AL58" s="105"/>
      <c r="AM58" s="105"/>
      <c r="AN58" s="105"/>
      <c r="AO58" s="105"/>
      <c r="AP58" s="105"/>
      <c r="AQ58" s="105"/>
    </row>
    <row r="59" spans="1:43" s="137" customFormat="1">
      <c r="A59" s="236"/>
      <c r="B59" s="236"/>
      <c r="C59" s="236"/>
      <c r="D59" s="236"/>
      <c r="E59" s="236"/>
      <c r="F59" s="236"/>
      <c r="G59" s="236"/>
      <c r="H59" s="236"/>
      <c r="I59" s="236"/>
      <c r="J59" s="236"/>
      <c r="K59" s="236"/>
      <c r="L59" s="236"/>
      <c r="M59" s="236"/>
      <c r="N59" s="236"/>
      <c r="O59" s="236"/>
      <c r="P59" s="236"/>
      <c r="Q59" s="236"/>
      <c r="R59" s="236"/>
      <c r="S59" s="236"/>
      <c r="T59" s="236"/>
      <c r="U59" s="236"/>
      <c r="V59" s="236"/>
      <c r="W59" s="237"/>
      <c r="X59" s="236"/>
      <c r="Y59" s="236"/>
      <c r="Z59" s="236"/>
      <c r="AA59" s="236"/>
      <c r="AB59" s="236"/>
      <c r="AC59" s="105"/>
      <c r="AD59" s="105"/>
      <c r="AE59" s="105"/>
      <c r="AF59" s="105"/>
      <c r="AG59" s="105"/>
      <c r="AH59" s="105"/>
      <c r="AI59" s="105"/>
      <c r="AJ59" s="105"/>
      <c r="AK59" s="105"/>
      <c r="AL59" s="105"/>
      <c r="AM59" s="105"/>
      <c r="AN59" s="105"/>
      <c r="AO59" s="105"/>
      <c r="AP59" s="105"/>
      <c r="AQ59" s="105"/>
    </row>
    <row r="60" spans="1:43" s="137" customFormat="1">
      <c r="A60" s="236"/>
      <c r="B60" s="236"/>
      <c r="C60" s="236"/>
      <c r="D60" s="236"/>
      <c r="E60" s="236"/>
      <c r="F60" s="236"/>
      <c r="G60" s="236"/>
      <c r="H60" s="236"/>
      <c r="I60" s="236"/>
      <c r="J60" s="236"/>
      <c r="K60" s="236"/>
      <c r="L60" s="236"/>
      <c r="M60" s="236"/>
      <c r="N60" s="236"/>
      <c r="O60" s="236"/>
      <c r="P60" s="236"/>
      <c r="Q60" s="236"/>
      <c r="R60" s="236"/>
      <c r="S60" s="236"/>
      <c r="T60" s="236"/>
      <c r="U60" s="236"/>
      <c r="V60" s="236"/>
      <c r="W60" s="237"/>
      <c r="X60" s="236"/>
      <c r="Y60" s="236"/>
      <c r="Z60" s="236"/>
      <c r="AA60" s="236"/>
      <c r="AB60" s="236"/>
      <c r="AC60" s="105"/>
      <c r="AD60" s="105"/>
      <c r="AE60" s="105"/>
      <c r="AF60" s="105"/>
      <c r="AG60" s="105"/>
      <c r="AH60" s="105"/>
      <c r="AI60" s="105"/>
      <c r="AJ60" s="105"/>
      <c r="AK60" s="105"/>
      <c r="AL60" s="105"/>
      <c r="AM60" s="105"/>
      <c r="AN60" s="105"/>
      <c r="AO60" s="105"/>
      <c r="AP60" s="105"/>
      <c r="AQ60" s="105"/>
    </row>
    <row r="61" spans="1:43" s="137" customFormat="1">
      <c r="A61" s="236"/>
      <c r="B61" s="236"/>
      <c r="C61" s="236"/>
      <c r="D61" s="236"/>
      <c r="E61" s="236"/>
      <c r="F61" s="236"/>
      <c r="G61" s="236"/>
      <c r="H61" s="236"/>
      <c r="I61" s="236"/>
      <c r="J61" s="236"/>
      <c r="K61" s="236"/>
      <c r="L61" s="236"/>
      <c r="M61" s="236"/>
      <c r="N61" s="236"/>
      <c r="O61" s="236"/>
      <c r="P61" s="236"/>
      <c r="Q61" s="236"/>
      <c r="R61" s="236"/>
      <c r="S61" s="236"/>
      <c r="T61" s="236"/>
      <c r="U61" s="236"/>
      <c r="V61" s="236"/>
      <c r="W61" s="237"/>
      <c r="X61" s="236"/>
      <c r="Y61" s="236"/>
      <c r="Z61" s="236"/>
      <c r="AA61" s="236"/>
      <c r="AB61" s="236"/>
      <c r="AC61" s="105"/>
      <c r="AD61" s="105"/>
      <c r="AE61" s="105"/>
      <c r="AF61" s="105"/>
      <c r="AG61" s="105"/>
      <c r="AH61" s="105"/>
      <c r="AI61" s="105"/>
      <c r="AJ61" s="105"/>
      <c r="AK61" s="105"/>
      <c r="AL61" s="105"/>
      <c r="AM61" s="105"/>
      <c r="AN61" s="105"/>
      <c r="AO61" s="105"/>
      <c r="AP61" s="105"/>
      <c r="AQ61" s="105"/>
    </row>
    <row r="62" spans="1:43" s="137" customFormat="1">
      <c r="A62" s="236"/>
      <c r="B62" s="236"/>
      <c r="C62" s="236"/>
      <c r="D62" s="236"/>
      <c r="E62" s="236"/>
      <c r="F62" s="236"/>
      <c r="G62" s="236"/>
      <c r="H62" s="236"/>
      <c r="I62" s="236"/>
      <c r="J62" s="236"/>
      <c r="K62" s="236"/>
      <c r="L62" s="236"/>
      <c r="M62" s="236"/>
      <c r="N62" s="236"/>
      <c r="O62" s="236"/>
      <c r="P62" s="236"/>
      <c r="Q62" s="236"/>
      <c r="R62" s="236"/>
      <c r="S62" s="236"/>
      <c r="T62" s="236"/>
      <c r="U62" s="236"/>
      <c r="V62" s="236"/>
      <c r="W62" s="237"/>
      <c r="X62" s="236"/>
      <c r="Y62" s="236"/>
      <c r="Z62" s="236"/>
      <c r="AA62" s="236"/>
      <c r="AB62" s="236"/>
      <c r="AC62" s="105"/>
      <c r="AD62" s="105"/>
      <c r="AE62" s="105"/>
      <c r="AF62" s="105"/>
      <c r="AG62" s="105"/>
      <c r="AH62" s="105"/>
      <c r="AI62" s="105"/>
      <c r="AJ62" s="105"/>
      <c r="AK62" s="105"/>
      <c r="AL62" s="105"/>
      <c r="AM62" s="105"/>
      <c r="AN62" s="105"/>
      <c r="AO62" s="105"/>
      <c r="AP62" s="105"/>
      <c r="AQ62" s="105"/>
    </row>
    <row r="63" spans="1:43" s="137" customFormat="1">
      <c r="A63" s="236"/>
      <c r="B63" s="236"/>
      <c r="C63" s="236"/>
      <c r="D63" s="236"/>
      <c r="E63" s="236"/>
      <c r="F63" s="236"/>
      <c r="G63" s="236"/>
      <c r="H63" s="236"/>
      <c r="I63" s="236"/>
      <c r="J63" s="236"/>
      <c r="K63" s="236"/>
      <c r="L63" s="236"/>
      <c r="M63" s="236"/>
      <c r="N63" s="236"/>
      <c r="O63" s="236"/>
      <c r="P63" s="236"/>
      <c r="Q63" s="236"/>
      <c r="R63" s="236"/>
      <c r="S63" s="236"/>
      <c r="T63" s="236"/>
      <c r="U63" s="236"/>
      <c r="V63" s="236"/>
      <c r="W63" s="237"/>
      <c r="X63" s="236"/>
      <c r="Y63" s="236"/>
      <c r="Z63" s="236"/>
      <c r="AA63" s="236"/>
      <c r="AB63" s="236"/>
      <c r="AC63" s="105"/>
      <c r="AD63" s="105"/>
      <c r="AE63" s="105"/>
      <c r="AF63" s="105"/>
      <c r="AG63" s="105"/>
      <c r="AH63" s="105"/>
      <c r="AI63" s="105"/>
      <c r="AJ63" s="105"/>
      <c r="AK63" s="105"/>
      <c r="AL63" s="105"/>
      <c r="AM63" s="105"/>
      <c r="AN63" s="105"/>
      <c r="AO63" s="105"/>
      <c r="AP63" s="105"/>
      <c r="AQ63" s="105"/>
    </row>
    <row r="64" spans="1:43" s="137" customFormat="1">
      <c r="A64" s="236"/>
      <c r="B64" s="236"/>
      <c r="C64" s="236"/>
      <c r="D64" s="236"/>
      <c r="E64" s="236"/>
      <c r="F64" s="236"/>
      <c r="G64" s="236"/>
      <c r="H64" s="236"/>
      <c r="I64" s="236"/>
      <c r="J64" s="236"/>
      <c r="K64" s="236"/>
      <c r="L64" s="236"/>
      <c r="M64" s="236"/>
      <c r="N64" s="236"/>
      <c r="O64" s="236"/>
      <c r="P64" s="236"/>
      <c r="Q64" s="236"/>
      <c r="R64" s="236"/>
      <c r="S64" s="236"/>
      <c r="T64" s="236"/>
      <c r="U64" s="236"/>
      <c r="V64" s="236"/>
      <c r="W64" s="237"/>
      <c r="X64" s="236"/>
      <c r="Y64" s="236"/>
      <c r="Z64" s="236"/>
      <c r="AA64" s="236"/>
      <c r="AB64" s="236"/>
      <c r="AC64" s="105"/>
      <c r="AD64" s="105"/>
      <c r="AE64" s="105"/>
      <c r="AF64" s="105"/>
      <c r="AG64" s="105"/>
      <c r="AH64" s="105"/>
      <c r="AI64" s="105"/>
      <c r="AJ64" s="105"/>
      <c r="AK64" s="105"/>
      <c r="AL64" s="105"/>
      <c r="AM64" s="105"/>
      <c r="AN64" s="105"/>
      <c r="AO64" s="105"/>
      <c r="AP64" s="105"/>
      <c r="AQ64" s="105"/>
    </row>
    <row r="65" spans="1:43" s="137" customFormat="1">
      <c r="A65" s="236"/>
      <c r="B65" s="236"/>
      <c r="C65" s="236"/>
      <c r="D65" s="236"/>
      <c r="E65" s="236"/>
      <c r="F65" s="236"/>
      <c r="G65" s="236"/>
      <c r="H65" s="236"/>
      <c r="I65" s="236"/>
      <c r="J65" s="236"/>
      <c r="K65" s="236"/>
      <c r="L65" s="236"/>
      <c r="M65" s="236"/>
      <c r="N65" s="236"/>
      <c r="O65" s="236"/>
      <c r="P65" s="236"/>
      <c r="Q65" s="236"/>
      <c r="R65" s="236"/>
      <c r="S65" s="236"/>
      <c r="T65" s="236"/>
      <c r="U65" s="236"/>
      <c r="V65" s="236"/>
      <c r="W65" s="237"/>
      <c r="X65" s="236"/>
      <c r="Y65" s="236"/>
      <c r="Z65" s="236"/>
      <c r="AA65" s="236"/>
      <c r="AB65" s="236"/>
      <c r="AC65" s="105"/>
      <c r="AD65" s="105"/>
      <c r="AE65" s="105"/>
      <c r="AF65" s="105"/>
      <c r="AG65" s="105"/>
      <c r="AH65" s="105"/>
      <c r="AI65" s="105"/>
      <c r="AJ65" s="105"/>
      <c r="AK65" s="105"/>
      <c r="AL65" s="105"/>
      <c r="AM65" s="105"/>
      <c r="AN65" s="105"/>
      <c r="AO65" s="105"/>
      <c r="AP65" s="105"/>
      <c r="AQ65" s="105"/>
    </row>
    <row r="66" spans="1:43" s="137" customFormat="1">
      <c r="A66" s="236"/>
      <c r="B66" s="236"/>
      <c r="C66" s="236"/>
      <c r="D66" s="236"/>
      <c r="E66" s="236"/>
      <c r="F66" s="236"/>
      <c r="G66" s="236"/>
      <c r="H66" s="236"/>
      <c r="I66" s="236"/>
      <c r="J66" s="236"/>
      <c r="K66" s="236"/>
      <c r="L66" s="236"/>
      <c r="M66" s="236"/>
      <c r="N66" s="236"/>
      <c r="O66" s="236"/>
      <c r="P66" s="236"/>
      <c r="Q66" s="236"/>
      <c r="R66" s="236"/>
      <c r="S66" s="236"/>
      <c r="T66" s="236"/>
      <c r="U66" s="236"/>
      <c r="V66" s="236"/>
      <c r="W66" s="237"/>
      <c r="X66" s="236"/>
      <c r="Y66" s="236"/>
      <c r="Z66" s="236"/>
      <c r="AA66" s="236"/>
      <c r="AB66" s="236"/>
      <c r="AC66" s="105"/>
      <c r="AD66" s="105"/>
      <c r="AE66" s="105"/>
      <c r="AF66" s="105"/>
      <c r="AG66" s="105"/>
      <c r="AH66" s="105"/>
      <c r="AI66" s="105"/>
      <c r="AJ66" s="105"/>
      <c r="AK66" s="105"/>
      <c r="AL66" s="105"/>
      <c r="AM66" s="105"/>
      <c r="AN66" s="105"/>
      <c r="AO66" s="105"/>
      <c r="AP66" s="105"/>
      <c r="AQ66" s="105"/>
    </row>
    <row r="67" spans="1:43" s="137" customFormat="1">
      <c r="A67" s="236"/>
      <c r="B67" s="236"/>
      <c r="C67" s="236"/>
      <c r="D67" s="236"/>
      <c r="E67" s="236"/>
      <c r="F67" s="236"/>
      <c r="G67" s="236"/>
      <c r="H67" s="236"/>
      <c r="I67" s="236"/>
      <c r="J67" s="236"/>
      <c r="K67" s="236"/>
      <c r="L67" s="236"/>
      <c r="M67" s="236"/>
      <c r="N67" s="236"/>
      <c r="O67" s="236"/>
      <c r="P67" s="236"/>
      <c r="Q67" s="236"/>
      <c r="R67" s="236"/>
      <c r="S67" s="236"/>
      <c r="T67" s="236"/>
      <c r="U67" s="236"/>
      <c r="V67" s="236"/>
      <c r="W67" s="237"/>
      <c r="X67" s="236"/>
      <c r="Y67" s="236"/>
      <c r="Z67" s="236"/>
      <c r="AA67" s="236"/>
      <c r="AB67" s="236"/>
      <c r="AC67" s="105"/>
      <c r="AD67" s="105"/>
      <c r="AE67" s="105"/>
      <c r="AF67" s="105"/>
      <c r="AG67" s="105"/>
      <c r="AH67" s="105"/>
      <c r="AI67" s="105"/>
      <c r="AJ67" s="105"/>
      <c r="AK67" s="105"/>
      <c r="AL67" s="105"/>
      <c r="AM67" s="105"/>
      <c r="AN67" s="105"/>
      <c r="AO67" s="105"/>
      <c r="AP67" s="105"/>
      <c r="AQ67" s="105"/>
    </row>
    <row r="68" spans="1:43" s="137" customFormat="1">
      <c r="A68" s="236"/>
      <c r="B68" s="236"/>
      <c r="C68" s="236"/>
      <c r="D68" s="236"/>
      <c r="E68" s="236"/>
      <c r="F68" s="236"/>
      <c r="G68" s="236"/>
      <c r="H68" s="236"/>
      <c r="I68" s="236"/>
      <c r="J68" s="236"/>
      <c r="K68" s="236"/>
      <c r="L68" s="236"/>
      <c r="M68" s="236"/>
      <c r="N68" s="236"/>
      <c r="O68" s="236"/>
      <c r="P68" s="236"/>
      <c r="Q68" s="236"/>
      <c r="R68" s="236"/>
      <c r="S68" s="236"/>
      <c r="T68" s="236"/>
      <c r="U68" s="236"/>
      <c r="V68" s="236"/>
      <c r="W68" s="237"/>
      <c r="X68" s="236"/>
      <c r="Y68" s="236"/>
      <c r="Z68" s="236"/>
      <c r="AA68" s="236"/>
      <c r="AB68" s="236"/>
      <c r="AC68" s="105"/>
      <c r="AD68" s="105"/>
      <c r="AE68" s="105"/>
      <c r="AF68" s="105"/>
      <c r="AG68" s="105"/>
      <c r="AH68" s="105"/>
      <c r="AI68" s="105"/>
      <c r="AJ68" s="105"/>
      <c r="AK68" s="105"/>
      <c r="AL68" s="105"/>
      <c r="AM68" s="105"/>
      <c r="AN68" s="105"/>
      <c r="AO68" s="105"/>
      <c r="AP68" s="105"/>
      <c r="AQ68" s="105"/>
    </row>
    <row r="69" spans="1:43" s="137" customFormat="1">
      <c r="A69" s="236"/>
      <c r="B69" s="236"/>
      <c r="C69" s="236"/>
      <c r="D69" s="236"/>
      <c r="E69" s="236"/>
      <c r="F69" s="236"/>
      <c r="G69" s="236"/>
      <c r="H69" s="236"/>
      <c r="I69" s="236"/>
      <c r="J69" s="236"/>
      <c r="K69" s="236"/>
      <c r="L69" s="236"/>
      <c r="M69" s="236"/>
      <c r="N69" s="236"/>
      <c r="O69" s="236"/>
      <c r="P69" s="236"/>
      <c r="Q69" s="236"/>
      <c r="R69" s="236"/>
      <c r="S69" s="236"/>
      <c r="T69" s="236"/>
      <c r="U69" s="236"/>
      <c r="V69" s="236"/>
      <c r="W69" s="237"/>
      <c r="X69" s="236"/>
      <c r="Y69" s="236"/>
      <c r="Z69" s="236"/>
      <c r="AA69" s="236"/>
      <c r="AB69" s="236"/>
      <c r="AC69" s="105"/>
      <c r="AD69" s="105"/>
      <c r="AE69" s="105"/>
      <c r="AF69" s="105"/>
      <c r="AG69" s="105"/>
      <c r="AH69" s="105"/>
      <c r="AI69" s="105"/>
      <c r="AJ69" s="105"/>
      <c r="AK69" s="105"/>
      <c r="AL69" s="105"/>
      <c r="AM69" s="105"/>
      <c r="AN69" s="105"/>
      <c r="AO69" s="105"/>
      <c r="AP69" s="105"/>
      <c r="AQ69" s="105"/>
    </row>
    <row r="70" spans="1:43" s="137" customFormat="1">
      <c r="A70" s="236"/>
      <c r="B70" s="236"/>
      <c r="C70" s="236"/>
      <c r="D70" s="236"/>
      <c r="E70" s="236"/>
      <c r="F70" s="236"/>
      <c r="G70" s="236"/>
      <c r="H70" s="236"/>
      <c r="I70" s="236"/>
      <c r="J70" s="236"/>
      <c r="K70" s="236"/>
      <c r="L70" s="236"/>
      <c r="M70" s="236"/>
      <c r="N70" s="236"/>
      <c r="O70" s="236"/>
      <c r="P70" s="236"/>
      <c r="Q70" s="236"/>
      <c r="R70" s="236"/>
      <c r="S70" s="236"/>
      <c r="T70" s="236"/>
      <c r="U70" s="236"/>
      <c r="V70" s="236"/>
      <c r="W70" s="237"/>
      <c r="X70" s="236"/>
      <c r="Y70" s="236"/>
      <c r="Z70" s="236"/>
      <c r="AA70" s="236"/>
      <c r="AB70" s="236"/>
      <c r="AC70" s="105"/>
      <c r="AD70" s="105"/>
      <c r="AE70" s="105"/>
      <c r="AF70" s="105"/>
      <c r="AG70" s="105"/>
      <c r="AH70" s="105"/>
      <c r="AI70" s="105"/>
      <c r="AJ70" s="105"/>
      <c r="AK70" s="105"/>
      <c r="AL70" s="105"/>
      <c r="AM70" s="105"/>
      <c r="AN70" s="105"/>
      <c r="AO70" s="105"/>
      <c r="AP70" s="105"/>
      <c r="AQ70" s="105"/>
    </row>
    <row r="71" spans="1:43">
      <c r="A71" s="236"/>
      <c r="B71" s="236"/>
      <c r="C71" s="236"/>
      <c r="D71" s="236"/>
      <c r="E71" s="236"/>
      <c r="F71" s="236"/>
      <c r="G71" s="236"/>
      <c r="H71" s="236"/>
      <c r="I71" s="236"/>
      <c r="J71" s="236"/>
      <c r="K71" s="236"/>
      <c r="L71" s="236"/>
      <c r="M71" s="236"/>
      <c r="N71" s="236"/>
      <c r="O71" s="236"/>
      <c r="P71" s="236"/>
      <c r="Q71" s="236"/>
      <c r="R71" s="236"/>
      <c r="S71" s="236"/>
      <c r="T71" s="236"/>
      <c r="U71" s="236"/>
      <c r="V71" s="236"/>
      <c r="W71" s="237"/>
      <c r="X71" s="236"/>
      <c r="Y71" s="236"/>
      <c r="Z71" s="236"/>
      <c r="AA71" s="236"/>
      <c r="AB71" s="236"/>
      <c r="AC71" s="105"/>
      <c r="AD71" s="105"/>
      <c r="AE71" s="105"/>
      <c r="AF71" s="105"/>
      <c r="AG71" s="105"/>
      <c r="AH71" s="105"/>
      <c r="AI71" s="105"/>
      <c r="AJ71" s="105"/>
      <c r="AK71" s="105"/>
      <c r="AL71" s="105"/>
      <c r="AM71" s="105"/>
      <c r="AN71" s="105"/>
      <c r="AO71" s="105"/>
      <c r="AP71" s="105"/>
      <c r="AQ71" s="105"/>
    </row>
    <row r="72" spans="1:43">
      <c r="A72" s="236"/>
      <c r="B72" s="236"/>
      <c r="C72" s="236"/>
      <c r="D72" s="236"/>
      <c r="E72" s="236"/>
      <c r="F72" s="236"/>
      <c r="G72" s="236"/>
      <c r="H72" s="236"/>
      <c r="I72" s="236"/>
      <c r="J72" s="236"/>
      <c r="K72" s="236"/>
      <c r="L72" s="236"/>
      <c r="M72" s="236"/>
      <c r="N72" s="236"/>
      <c r="O72" s="236"/>
      <c r="P72" s="236"/>
      <c r="Q72" s="236"/>
      <c r="R72" s="236"/>
      <c r="S72" s="236"/>
      <c r="T72" s="236"/>
      <c r="U72" s="236"/>
      <c r="V72" s="236"/>
      <c r="W72" s="237"/>
      <c r="X72" s="236"/>
      <c r="Y72" s="236"/>
      <c r="Z72" s="236"/>
      <c r="AA72" s="236"/>
      <c r="AB72" s="236"/>
      <c r="AC72" s="105"/>
      <c r="AD72" s="105"/>
      <c r="AE72" s="105"/>
      <c r="AF72" s="105"/>
      <c r="AG72" s="105"/>
      <c r="AH72" s="105"/>
      <c r="AI72" s="105"/>
      <c r="AJ72" s="105"/>
      <c r="AK72" s="105"/>
      <c r="AL72" s="105"/>
      <c r="AM72" s="105"/>
      <c r="AN72" s="105"/>
      <c r="AO72" s="105"/>
      <c r="AP72" s="105"/>
      <c r="AQ72" s="105"/>
    </row>
    <row r="73" spans="1:43">
      <c r="A73" s="236"/>
      <c r="B73" s="236"/>
      <c r="C73" s="236"/>
      <c r="D73" s="236"/>
      <c r="E73" s="236"/>
      <c r="F73" s="236"/>
      <c r="G73" s="236"/>
      <c r="H73" s="236"/>
      <c r="I73" s="236"/>
      <c r="J73" s="236"/>
      <c r="K73" s="236"/>
      <c r="L73" s="236"/>
      <c r="M73" s="236"/>
      <c r="N73" s="236"/>
      <c r="O73" s="236"/>
      <c r="P73" s="236"/>
      <c r="Q73" s="236"/>
      <c r="R73" s="236"/>
      <c r="S73" s="236"/>
      <c r="T73" s="236"/>
      <c r="U73" s="236"/>
      <c r="V73" s="236"/>
      <c r="W73" s="237"/>
      <c r="X73" s="236"/>
      <c r="Y73" s="236"/>
      <c r="Z73" s="236"/>
      <c r="AA73" s="236"/>
      <c r="AB73" s="236"/>
      <c r="AC73" s="105"/>
      <c r="AD73" s="105"/>
      <c r="AE73" s="105"/>
      <c r="AF73" s="105"/>
      <c r="AG73" s="105"/>
      <c r="AH73" s="105"/>
      <c r="AI73" s="105"/>
      <c r="AJ73" s="105"/>
      <c r="AK73" s="105"/>
      <c r="AL73" s="105"/>
      <c r="AM73" s="105"/>
      <c r="AN73" s="105"/>
      <c r="AO73" s="105"/>
      <c r="AP73" s="105"/>
      <c r="AQ73" s="105"/>
    </row>
    <row r="74" spans="1:43">
      <c r="A74" s="236"/>
      <c r="B74" s="236"/>
      <c r="C74" s="236"/>
      <c r="D74" s="236"/>
      <c r="E74" s="236"/>
      <c r="F74" s="236"/>
      <c r="G74" s="236"/>
      <c r="H74" s="236"/>
      <c r="I74" s="236"/>
      <c r="J74" s="236"/>
      <c r="K74" s="236"/>
      <c r="L74" s="236"/>
      <c r="M74" s="236"/>
      <c r="N74" s="236"/>
      <c r="O74" s="236"/>
      <c r="P74" s="236"/>
      <c r="Q74" s="236"/>
      <c r="R74" s="236"/>
      <c r="S74" s="236"/>
      <c r="T74" s="236"/>
      <c r="U74" s="236"/>
      <c r="V74" s="236"/>
      <c r="W74" s="237"/>
      <c r="X74" s="236"/>
      <c r="Y74" s="236"/>
      <c r="Z74" s="236"/>
      <c r="AA74" s="236"/>
      <c r="AB74" s="236"/>
      <c r="AC74" s="105"/>
      <c r="AD74" s="105"/>
      <c r="AE74" s="105"/>
      <c r="AF74" s="105"/>
      <c r="AG74" s="105"/>
      <c r="AH74" s="105"/>
      <c r="AI74" s="105"/>
      <c r="AJ74" s="105"/>
      <c r="AK74" s="105"/>
      <c r="AL74" s="105"/>
      <c r="AM74" s="105"/>
      <c r="AN74" s="105"/>
      <c r="AO74" s="105"/>
      <c r="AP74" s="105"/>
      <c r="AQ74" s="105"/>
    </row>
    <row r="75" spans="1:43">
      <c r="A75" s="236"/>
      <c r="B75" s="236"/>
      <c r="C75" s="236"/>
      <c r="D75" s="236"/>
      <c r="E75" s="236"/>
      <c r="F75" s="236"/>
      <c r="G75" s="236"/>
      <c r="H75" s="236"/>
      <c r="I75" s="236"/>
      <c r="J75" s="236"/>
      <c r="K75" s="236"/>
      <c r="L75" s="236"/>
      <c r="M75" s="236"/>
      <c r="N75" s="236"/>
      <c r="O75" s="236"/>
      <c r="P75" s="236"/>
      <c r="Q75" s="236"/>
      <c r="R75" s="236"/>
      <c r="S75" s="236"/>
      <c r="T75" s="236"/>
      <c r="U75" s="236"/>
      <c r="V75" s="236"/>
      <c r="W75" s="237"/>
      <c r="X75" s="236"/>
      <c r="Y75" s="236"/>
      <c r="Z75" s="236"/>
      <c r="AA75" s="236"/>
      <c r="AB75" s="236"/>
      <c r="AC75" s="105"/>
      <c r="AD75" s="105"/>
      <c r="AE75" s="105"/>
      <c r="AF75" s="105"/>
      <c r="AG75" s="105"/>
      <c r="AH75" s="105"/>
      <c r="AI75" s="105"/>
      <c r="AJ75" s="105"/>
      <c r="AK75" s="105"/>
      <c r="AL75" s="105"/>
      <c r="AM75" s="105"/>
      <c r="AN75" s="105"/>
      <c r="AO75" s="105"/>
      <c r="AP75" s="105"/>
      <c r="AQ75" s="105"/>
    </row>
    <row r="76" spans="1:43">
      <c r="A76" s="236"/>
      <c r="B76" s="236"/>
      <c r="C76" s="236"/>
      <c r="D76" s="236"/>
      <c r="E76" s="236"/>
      <c r="F76" s="236"/>
      <c r="G76" s="236"/>
      <c r="H76" s="236"/>
      <c r="I76" s="236"/>
      <c r="J76" s="236"/>
      <c r="K76" s="236"/>
      <c r="L76" s="236"/>
      <c r="M76" s="236"/>
      <c r="N76" s="236"/>
      <c r="O76" s="236"/>
      <c r="P76" s="236"/>
      <c r="Q76" s="236"/>
      <c r="R76" s="236"/>
      <c r="S76" s="236"/>
      <c r="T76" s="236"/>
      <c r="U76" s="236"/>
      <c r="V76" s="236"/>
      <c r="W76" s="237"/>
      <c r="X76" s="236"/>
      <c r="Y76" s="236"/>
      <c r="Z76" s="236"/>
      <c r="AA76" s="236"/>
      <c r="AB76" s="236"/>
      <c r="AC76" s="105"/>
      <c r="AD76" s="105"/>
      <c r="AE76" s="105"/>
      <c r="AF76" s="105"/>
      <c r="AG76" s="105"/>
      <c r="AH76" s="105"/>
      <c r="AI76" s="105"/>
      <c r="AJ76" s="105"/>
      <c r="AK76" s="105"/>
      <c r="AL76" s="105"/>
      <c r="AM76" s="105"/>
      <c r="AN76" s="105"/>
      <c r="AO76" s="105"/>
      <c r="AP76" s="105"/>
      <c r="AQ76" s="105"/>
    </row>
    <row r="77" spans="1:43">
      <c r="A77" s="236"/>
      <c r="B77" s="236"/>
      <c r="C77" s="236"/>
      <c r="D77" s="236"/>
      <c r="E77" s="236"/>
      <c r="F77" s="236"/>
      <c r="G77" s="236"/>
      <c r="H77" s="236"/>
      <c r="I77" s="236"/>
      <c r="J77" s="236"/>
      <c r="K77" s="236"/>
      <c r="L77" s="236"/>
      <c r="M77" s="236"/>
      <c r="N77" s="236"/>
      <c r="O77" s="236"/>
      <c r="P77" s="236"/>
      <c r="Q77" s="236"/>
      <c r="R77" s="236"/>
      <c r="S77" s="236"/>
      <c r="T77" s="236"/>
      <c r="U77" s="236"/>
      <c r="V77" s="236"/>
      <c r="W77" s="237"/>
      <c r="X77" s="236"/>
      <c r="Y77" s="236"/>
      <c r="Z77" s="236"/>
      <c r="AA77" s="236"/>
      <c r="AB77" s="236"/>
      <c r="AC77" s="105"/>
      <c r="AD77" s="105"/>
      <c r="AE77" s="105"/>
      <c r="AF77" s="105"/>
      <c r="AG77" s="105"/>
      <c r="AH77" s="105"/>
      <c r="AI77" s="105"/>
      <c r="AJ77" s="105"/>
      <c r="AK77" s="105"/>
      <c r="AL77" s="105"/>
      <c r="AM77" s="105"/>
      <c r="AN77" s="105"/>
      <c r="AO77" s="105"/>
      <c r="AP77" s="105"/>
      <c r="AQ77" s="105"/>
    </row>
    <row r="78" spans="1:43">
      <c r="A78" s="236"/>
      <c r="B78" s="236"/>
      <c r="C78" s="236"/>
      <c r="D78" s="236"/>
      <c r="E78" s="236"/>
      <c r="F78" s="236"/>
      <c r="G78" s="236"/>
      <c r="H78" s="236"/>
      <c r="I78" s="236"/>
      <c r="J78" s="236"/>
      <c r="K78" s="236"/>
      <c r="L78" s="236"/>
      <c r="M78" s="236"/>
      <c r="N78" s="236"/>
      <c r="O78" s="236"/>
      <c r="P78" s="236"/>
      <c r="Q78" s="236"/>
      <c r="R78" s="236"/>
      <c r="S78" s="236"/>
      <c r="T78" s="236"/>
      <c r="U78" s="236"/>
      <c r="V78" s="236"/>
      <c r="W78" s="237"/>
      <c r="X78" s="236"/>
      <c r="Y78" s="236"/>
      <c r="Z78" s="236"/>
      <c r="AA78" s="236"/>
      <c r="AB78" s="236"/>
      <c r="AC78" s="105"/>
      <c r="AD78" s="105"/>
      <c r="AE78" s="105"/>
      <c r="AF78" s="105"/>
      <c r="AG78" s="105"/>
      <c r="AH78" s="105"/>
      <c r="AI78" s="105"/>
      <c r="AJ78" s="105"/>
      <c r="AK78" s="105"/>
      <c r="AL78" s="105"/>
      <c r="AM78" s="105"/>
      <c r="AN78" s="105"/>
      <c r="AO78" s="105"/>
      <c r="AP78" s="105"/>
      <c r="AQ78" s="105"/>
    </row>
    <row r="79" spans="1:43">
      <c r="A79" s="236"/>
      <c r="B79" s="236"/>
      <c r="C79" s="236"/>
      <c r="D79" s="236"/>
      <c r="E79" s="236"/>
      <c r="F79" s="236"/>
      <c r="G79" s="236"/>
      <c r="H79" s="236"/>
      <c r="I79" s="236"/>
      <c r="J79" s="236"/>
      <c r="K79" s="236"/>
      <c r="L79" s="236"/>
      <c r="M79" s="236"/>
      <c r="N79" s="236"/>
      <c r="O79" s="236"/>
      <c r="P79" s="236"/>
      <c r="Q79" s="236"/>
      <c r="R79" s="236"/>
      <c r="S79" s="236"/>
      <c r="T79" s="236"/>
      <c r="U79" s="236"/>
      <c r="V79" s="236"/>
      <c r="W79" s="237"/>
      <c r="X79" s="236"/>
      <c r="Y79" s="236"/>
      <c r="Z79" s="236"/>
      <c r="AA79" s="236"/>
      <c r="AB79" s="236"/>
      <c r="AC79" s="105"/>
      <c r="AD79" s="105"/>
      <c r="AE79" s="105"/>
      <c r="AF79" s="105"/>
      <c r="AG79" s="105"/>
      <c r="AH79" s="105"/>
      <c r="AI79" s="105"/>
      <c r="AJ79" s="105"/>
      <c r="AK79" s="105"/>
      <c r="AL79" s="105"/>
      <c r="AM79" s="105"/>
      <c r="AN79" s="105"/>
      <c r="AO79" s="105"/>
      <c r="AP79" s="105"/>
      <c r="AQ79" s="105"/>
    </row>
    <row r="80" spans="1:43">
      <c r="A80" s="236"/>
      <c r="B80" s="236"/>
      <c r="C80" s="236"/>
      <c r="D80" s="236"/>
      <c r="E80" s="236"/>
      <c r="F80" s="236"/>
      <c r="G80" s="236"/>
      <c r="H80" s="236"/>
      <c r="I80" s="236"/>
      <c r="J80" s="236"/>
      <c r="K80" s="236"/>
      <c r="L80" s="236"/>
      <c r="M80" s="236"/>
      <c r="N80" s="236"/>
      <c r="O80" s="236"/>
      <c r="P80" s="236"/>
      <c r="Q80" s="236"/>
      <c r="R80" s="236"/>
      <c r="S80" s="236"/>
      <c r="T80" s="236"/>
      <c r="U80" s="236"/>
      <c r="V80" s="236"/>
      <c r="W80" s="237"/>
      <c r="X80" s="236"/>
      <c r="Y80" s="236"/>
      <c r="Z80" s="236"/>
      <c r="AA80" s="236"/>
      <c r="AB80" s="236"/>
      <c r="AC80" s="105"/>
      <c r="AD80" s="105"/>
      <c r="AE80" s="105"/>
      <c r="AF80" s="105"/>
      <c r="AG80" s="105"/>
      <c r="AH80" s="105"/>
      <c r="AI80" s="105"/>
      <c r="AJ80" s="105"/>
      <c r="AK80" s="105"/>
      <c r="AL80" s="105"/>
      <c r="AM80" s="105"/>
      <c r="AN80" s="105"/>
      <c r="AO80" s="105"/>
      <c r="AP80" s="105"/>
      <c r="AQ80" s="105"/>
    </row>
    <row r="81" spans="1:43">
      <c r="A81" s="236"/>
      <c r="B81" s="236"/>
      <c r="C81" s="236"/>
      <c r="D81" s="236"/>
      <c r="E81" s="236"/>
      <c r="F81" s="236"/>
      <c r="G81" s="236"/>
      <c r="H81" s="236"/>
      <c r="I81" s="236"/>
      <c r="J81" s="236"/>
      <c r="K81" s="236"/>
      <c r="L81" s="236"/>
      <c r="M81" s="236"/>
      <c r="N81" s="236"/>
      <c r="O81" s="236"/>
      <c r="P81" s="236"/>
      <c r="Q81" s="236"/>
      <c r="R81" s="236"/>
      <c r="S81" s="236"/>
      <c r="T81" s="236"/>
      <c r="U81" s="236"/>
      <c r="V81" s="236"/>
      <c r="W81" s="237"/>
      <c r="X81" s="236"/>
      <c r="Y81" s="236"/>
      <c r="Z81" s="236"/>
      <c r="AA81" s="236"/>
      <c r="AB81" s="236"/>
      <c r="AC81" s="105"/>
      <c r="AD81" s="105"/>
      <c r="AE81" s="105"/>
      <c r="AF81" s="105"/>
      <c r="AG81" s="105"/>
      <c r="AH81" s="105"/>
      <c r="AI81" s="105"/>
      <c r="AJ81" s="105"/>
      <c r="AK81" s="105"/>
      <c r="AL81" s="105"/>
      <c r="AM81" s="105"/>
      <c r="AN81" s="105"/>
      <c r="AO81" s="105"/>
      <c r="AP81" s="105"/>
      <c r="AQ81" s="105"/>
    </row>
    <row r="82" spans="1:43">
      <c r="A82" s="236"/>
      <c r="B82" s="236"/>
      <c r="C82" s="236"/>
      <c r="D82" s="236"/>
      <c r="E82" s="236"/>
      <c r="F82" s="236"/>
      <c r="G82" s="236"/>
      <c r="H82" s="236"/>
      <c r="I82" s="236"/>
      <c r="J82" s="236"/>
      <c r="K82" s="236"/>
      <c r="L82" s="236"/>
      <c r="M82" s="236"/>
      <c r="N82" s="236"/>
      <c r="O82" s="236"/>
      <c r="P82" s="236"/>
      <c r="Q82" s="236"/>
      <c r="R82" s="236"/>
      <c r="S82" s="236"/>
      <c r="T82" s="236"/>
      <c r="U82" s="236"/>
      <c r="V82" s="236"/>
      <c r="W82" s="237"/>
      <c r="X82" s="236"/>
      <c r="Y82" s="236"/>
      <c r="Z82" s="236"/>
      <c r="AA82" s="236"/>
      <c r="AB82" s="236"/>
      <c r="AC82" s="105"/>
      <c r="AD82" s="105"/>
      <c r="AE82" s="105"/>
      <c r="AF82" s="105"/>
      <c r="AG82" s="105"/>
      <c r="AH82" s="105"/>
      <c r="AI82" s="105"/>
      <c r="AJ82" s="105"/>
      <c r="AK82" s="105"/>
      <c r="AL82" s="105"/>
      <c r="AM82" s="105"/>
      <c r="AN82" s="105"/>
      <c r="AO82" s="105"/>
      <c r="AP82" s="105"/>
      <c r="AQ82" s="105"/>
    </row>
    <row r="83" spans="1:43">
      <c r="A83" s="236"/>
      <c r="B83" s="236"/>
      <c r="C83" s="236"/>
      <c r="D83" s="236"/>
      <c r="E83" s="236"/>
      <c r="F83" s="236"/>
      <c r="G83" s="236"/>
      <c r="H83" s="236"/>
      <c r="I83" s="236"/>
      <c r="J83" s="236"/>
      <c r="K83" s="236"/>
      <c r="L83" s="236"/>
      <c r="M83" s="236"/>
      <c r="N83" s="236"/>
      <c r="O83" s="236"/>
      <c r="P83" s="236"/>
      <c r="Q83" s="236"/>
      <c r="R83" s="236"/>
      <c r="S83" s="236"/>
      <c r="T83" s="236"/>
      <c r="U83" s="236"/>
      <c r="V83" s="236"/>
      <c r="W83" s="237"/>
      <c r="X83" s="236"/>
      <c r="Y83" s="236"/>
      <c r="Z83" s="236"/>
      <c r="AA83" s="236"/>
      <c r="AB83" s="236"/>
      <c r="AC83" s="105"/>
      <c r="AD83" s="105"/>
      <c r="AE83" s="105"/>
      <c r="AF83" s="105"/>
      <c r="AG83" s="105"/>
      <c r="AH83" s="105"/>
      <c r="AI83" s="105"/>
      <c r="AJ83" s="105"/>
      <c r="AK83" s="105"/>
      <c r="AL83" s="105"/>
      <c r="AM83" s="105"/>
      <c r="AN83" s="105"/>
      <c r="AO83" s="105"/>
      <c r="AP83" s="105"/>
      <c r="AQ83" s="105"/>
    </row>
    <row r="84" spans="1:43">
      <c r="A84" s="236"/>
      <c r="B84" s="236"/>
      <c r="C84" s="236"/>
      <c r="D84" s="236"/>
      <c r="E84" s="236"/>
      <c r="F84" s="236"/>
      <c r="G84" s="236"/>
      <c r="H84" s="236"/>
      <c r="I84" s="236"/>
      <c r="J84" s="236"/>
      <c r="K84" s="236"/>
      <c r="L84" s="236"/>
      <c r="M84" s="236"/>
      <c r="N84" s="236"/>
      <c r="O84" s="236"/>
      <c r="P84" s="236"/>
      <c r="Q84" s="236"/>
      <c r="R84" s="236"/>
      <c r="S84" s="236"/>
      <c r="T84" s="236"/>
      <c r="U84" s="236"/>
      <c r="V84" s="236"/>
      <c r="W84" s="237"/>
      <c r="X84" s="236"/>
      <c r="Y84" s="236"/>
      <c r="Z84" s="236"/>
      <c r="AA84" s="236"/>
      <c r="AB84" s="236"/>
      <c r="AC84" s="105"/>
      <c r="AD84" s="105"/>
      <c r="AE84" s="105"/>
      <c r="AF84" s="105"/>
      <c r="AG84" s="105"/>
      <c r="AH84" s="105"/>
      <c r="AI84" s="105"/>
      <c r="AJ84" s="105"/>
      <c r="AK84" s="105"/>
      <c r="AL84" s="105"/>
      <c r="AM84" s="105"/>
      <c r="AN84" s="105"/>
      <c r="AO84" s="105"/>
      <c r="AP84" s="105"/>
      <c r="AQ84" s="105"/>
    </row>
    <row r="85" spans="1:43">
      <c r="A85" s="236"/>
      <c r="B85" s="236"/>
      <c r="C85" s="236"/>
      <c r="D85" s="236"/>
      <c r="E85" s="236"/>
      <c r="F85" s="236"/>
      <c r="G85" s="236"/>
      <c r="H85" s="236"/>
      <c r="I85" s="236"/>
      <c r="J85" s="236"/>
      <c r="K85" s="236"/>
      <c r="L85" s="236"/>
      <c r="M85" s="236"/>
      <c r="N85" s="236"/>
      <c r="O85" s="236"/>
      <c r="P85" s="236"/>
      <c r="Q85" s="236"/>
      <c r="R85" s="236"/>
      <c r="S85" s="236"/>
      <c r="T85" s="236"/>
      <c r="U85" s="236"/>
      <c r="V85" s="236"/>
      <c r="W85" s="237"/>
      <c r="X85" s="236"/>
      <c r="Y85" s="236"/>
      <c r="Z85" s="236"/>
      <c r="AA85" s="236"/>
      <c r="AB85" s="236"/>
      <c r="AC85" s="105"/>
      <c r="AD85" s="105"/>
      <c r="AE85" s="105"/>
      <c r="AF85" s="105"/>
      <c r="AG85" s="105"/>
      <c r="AH85" s="105"/>
      <c r="AI85" s="105"/>
      <c r="AJ85" s="105"/>
      <c r="AK85" s="105"/>
      <c r="AL85" s="105"/>
      <c r="AM85" s="105"/>
      <c r="AN85" s="105"/>
      <c r="AO85" s="105"/>
      <c r="AP85" s="105"/>
      <c r="AQ85" s="105"/>
    </row>
    <row r="86" spans="1:43">
      <c r="A86" s="236"/>
      <c r="B86" s="236"/>
      <c r="C86" s="236"/>
      <c r="D86" s="236"/>
      <c r="E86" s="236"/>
      <c r="F86" s="236"/>
      <c r="G86" s="236"/>
      <c r="H86" s="236"/>
      <c r="I86" s="236"/>
      <c r="J86" s="236"/>
      <c r="K86" s="236"/>
      <c r="L86" s="236"/>
      <c r="M86" s="236"/>
      <c r="N86" s="236"/>
      <c r="O86" s="236"/>
      <c r="P86" s="236"/>
      <c r="Q86" s="236"/>
      <c r="R86" s="236"/>
      <c r="S86" s="236"/>
      <c r="T86" s="236"/>
      <c r="U86" s="236"/>
      <c r="V86" s="236"/>
      <c r="W86" s="237"/>
      <c r="X86" s="236"/>
      <c r="Y86" s="236"/>
      <c r="Z86" s="236"/>
      <c r="AA86" s="236"/>
      <c r="AB86" s="236"/>
      <c r="AC86" s="105"/>
      <c r="AD86" s="105"/>
      <c r="AE86" s="105"/>
      <c r="AF86" s="105"/>
      <c r="AG86" s="105"/>
      <c r="AH86" s="105"/>
      <c r="AI86" s="105"/>
      <c r="AJ86" s="105"/>
      <c r="AK86" s="105"/>
      <c r="AL86" s="105"/>
      <c r="AM86" s="105"/>
      <c r="AN86" s="105"/>
      <c r="AO86" s="105"/>
      <c r="AP86" s="105"/>
      <c r="AQ86" s="105"/>
    </row>
    <row r="87" spans="1:43">
      <c r="A87" s="236"/>
      <c r="B87" s="236"/>
      <c r="C87" s="236"/>
      <c r="D87" s="236"/>
      <c r="E87" s="236"/>
      <c r="F87" s="236"/>
      <c r="G87" s="236"/>
      <c r="H87" s="236"/>
      <c r="I87" s="236"/>
      <c r="J87" s="236"/>
      <c r="K87" s="236"/>
      <c r="L87" s="236"/>
      <c r="M87" s="236"/>
      <c r="N87" s="236"/>
      <c r="O87" s="236"/>
      <c r="P87" s="236"/>
      <c r="Q87" s="236"/>
      <c r="R87" s="236"/>
      <c r="S87" s="236"/>
      <c r="T87" s="236"/>
      <c r="U87" s="236"/>
      <c r="V87" s="236"/>
      <c r="W87" s="237"/>
      <c r="X87" s="236"/>
      <c r="Y87" s="236"/>
      <c r="Z87" s="236"/>
      <c r="AA87" s="236"/>
      <c r="AB87" s="236"/>
      <c r="AC87" s="105"/>
      <c r="AD87" s="105"/>
      <c r="AE87" s="105"/>
      <c r="AF87" s="105"/>
      <c r="AG87" s="105"/>
      <c r="AH87" s="105"/>
      <c r="AI87" s="105"/>
      <c r="AJ87" s="105"/>
      <c r="AK87" s="105"/>
      <c r="AL87" s="105"/>
      <c r="AM87" s="105"/>
      <c r="AN87" s="105"/>
      <c r="AO87" s="105"/>
      <c r="AP87" s="105"/>
      <c r="AQ87" s="105"/>
    </row>
    <row r="88" spans="1:43">
      <c r="A88" s="236"/>
      <c r="B88" s="236"/>
      <c r="C88" s="236"/>
      <c r="D88" s="236"/>
      <c r="E88" s="236"/>
      <c r="F88" s="236"/>
      <c r="G88" s="236"/>
      <c r="H88" s="236"/>
      <c r="I88" s="236"/>
      <c r="J88" s="236"/>
      <c r="K88" s="236"/>
      <c r="L88" s="236"/>
      <c r="M88" s="236"/>
      <c r="N88" s="236"/>
      <c r="O88" s="236"/>
      <c r="P88" s="236"/>
      <c r="Q88" s="236"/>
      <c r="R88" s="236"/>
      <c r="S88" s="236"/>
      <c r="T88" s="236"/>
      <c r="U88" s="236"/>
      <c r="V88" s="236"/>
      <c r="W88" s="237"/>
      <c r="X88" s="236"/>
      <c r="Y88" s="236"/>
      <c r="Z88" s="236"/>
      <c r="AA88" s="236"/>
      <c r="AB88" s="236"/>
      <c r="AC88" s="105"/>
      <c r="AD88" s="105"/>
      <c r="AE88" s="105"/>
      <c r="AF88" s="105"/>
      <c r="AG88" s="105"/>
      <c r="AH88" s="105"/>
      <c r="AI88" s="105"/>
      <c r="AJ88" s="105"/>
      <c r="AK88" s="105"/>
      <c r="AL88" s="105"/>
      <c r="AM88" s="105"/>
      <c r="AN88" s="105"/>
      <c r="AO88" s="105"/>
      <c r="AP88" s="105"/>
      <c r="AQ88" s="105"/>
    </row>
    <row r="89" spans="1:43">
      <c r="A89" s="236"/>
      <c r="B89" s="236"/>
      <c r="C89" s="236"/>
      <c r="D89" s="236"/>
      <c r="E89" s="236"/>
      <c r="F89" s="236"/>
      <c r="G89" s="236"/>
      <c r="H89" s="236"/>
      <c r="I89" s="236"/>
      <c r="J89" s="236"/>
      <c r="K89" s="236"/>
      <c r="L89" s="236"/>
      <c r="M89" s="236"/>
      <c r="N89" s="236"/>
      <c r="O89" s="236"/>
      <c r="P89" s="236"/>
      <c r="Q89" s="236"/>
      <c r="R89" s="236"/>
      <c r="S89" s="236"/>
      <c r="T89" s="236"/>
      <c r="U89" s="236"/>
      <c r="V89" s="236"/>
      <c r="W89" s="237"/>
      <c r="X89" s="236"/>
      <c r="Y89" s="236"/>
      <c r="Z89" s="236"/>
      <c r="AA89" s="236"/>
      <c r="AB89" s="236"/>
      <c r="AC89" s="105"/>
      <c r="AD89" s="105"/>
      <c r="AE89" s="105"/>
      <c r="AF89" s="105"/>
      <c r="AG89" s="105"/>
      <c r="AH89" s="105"/>
      <c r="AI89" s="105"/>
      <c r="AJ89" s="105"/>
      <c r="AK89" s="105"/>
      <c r="AL89" s="105"/>
      <c r="AM89" s="105"/>
      <c r="AN89" s="105"/>
      <c r="AO89" s="105"/>
      <c r="AP89" s="105"/>
      <c r="AQ89" s="105"/>
    </row>
    <row r="90" spans="1:43">
      <c r="A90" s="236"/>
      <c r="B90" s="236"/>
      <c r="C90" s="236"/>
      <c r="D90" s="236"/>
      <c r="E90" s="236"/>
      <c r="F90" s="236"/>
      <c r="G90" s="236"/>
      <c r="H90" s="236"/>
      <c r="I90" s="236"/>
      <c r="J90" s="236"/>
      <c r="K90" s="236"/>
      <c r="L90" s="236"/>
      <c r="M90" s="236"/>
      <c r="N90" s="236"/>
      <c r="O90" s="236"/>
      <c r="P90" s="236"/>
      <c r="Q90" s="236"/>
      <c r="R90" s="236"/>
      <c r="S90" s="236"/>
      <c r="T90" s="236"/>
      <c r="U90" s="236"/>
      <c r="V90" s="236"/>
      <c r="W90" s="237"/>
      <c r="X90" s="236"/>
      <c r="Y90" s="236"/>
      <c r="Z90" s="236"/>
      <c r="AA90" s="236"/>
      <c r="AB90" s="236"/>
      <c r="AC90" s="105"/>
      <c r="AD90" s="105"/>
      <c r="AE90" s="105"/>
      <c r="AF90" s="105"/>
      <c r="AG90" s="105"/>
      <c r="AH90" s="105"/>
      <c r="AI90" s="105"/>
      <c r="AJ90" s="105"/>
      <c r="AK90" s="105"/>
      <c r="AL90" s="105"/>
      <c r="AM90" s="105"/>
      <c r="AN90" s="105"/>
      <c r="AO90" s="105"/>
      <c r="AP90" s="105"/>
      <c r="AQ90" s="105"/>
    </row>
    <row r="91" spans="1:43">
      <c r="A91" s="236"/>
      <c r="B91" s="236"/>
      <c r="C91" s="236"/>
      <c r="D91" s="236"/>
      <c r="E91" s="236"/>
      <c r="F91" s="236"/>
      <c r="G91" s="236"/>
      <c r="H91" s="236"/>
      <c r="I91" s="236"/>
      <c r="J91" s="236"/>
      <c r="K91" s="236"/>
      <c r="L91" s="236"/>
      <c r="M91" s="236"/>
      <c r="N91" s="236"/>
      <c r="O91" s="236"/>
      <c r="P91" s="236"/>
      <c r="Q91" s="236"/>
      <c r="R91" s="236"/>
      <c r="S91" s="236"/>
      <c r="T91" s="236"/>
      <c r="U91" s="236"/>
      <c r="V91" s="236"/>
      <c r="W91" s="237"/>
      <c r="X91" s="236"/>
      <c r="Y91" s="236"/>
      <c r="Z91" s="236"/>
      <c r="AA91" s="236"/>
      <c r="AB91" s="236"/>
      <c r="AC91" s="105"/>
      <c r="AD91" s="105"/>
      <c r="AE91" s="105"/>
      <c r="AF91" s="105"/>
      <c r="AG91" s="105"/>
      <c r="AH91" s="105"/>
      <c r="AI91" s="105"/>
      <c r="AJ91" s="105"/>
      <c r="AK91" s="105"/>
      <c r="AL91" s="105"/>
      <c r="AM91" s="105"/>
      <c r="AN91" s="105"/>
      <c r="AO91" s="105"/>
      <c r="AP91" s="105"/>
      <c r="AQ91" s="105"/>
    </row>
    <row r="92" spans="1:43">
      <c r="A92" s="236"/>
      <c r="B92" s="236"/>
      <c r="C92" s="236"/>
      <c r="D92" s="236"/>
      <c r="E92" s="236"/>
      <c r="F92" s="236"/>
      <c r="G92" s="236"/>
      <c r="H92" s="236"/>
      <c r="I92" s="236"/>
      <c r="J92" s="236"/>
      <c r="K92" s="236"/>
      <c r="L92" s="236"/>
      <c r="M92" s="236"/>
      <c r="N92" s="236"/>
      <c r="O92" s="236"/>
      <c r="P92" s="236"/>
      <c r="Q92" s="236"/>
      <c r="R92" s="236"/>
      <c r="S92" s="236"/>
      <c r="T92" s="236"/>
      <c r="U92" s="236"/>
      <c r="V92" s="236"/>
      <c r="W92" s="237"/>
      <c r="X92" s="236"/>
      <c r="Y92" s="236"/>
      <c r="Z92" s="236"/>
      <c r="AA92" s="236"/>
      <c r="AB92" s="236"/>
      <c r="AC92" s="105"/>
      <c r="AD92" s="105"/>
      <c r="AE92" s="105"/>
      <c r="AF92" s="105"/>
      <c r="AG92" s="105"/>
      <c r="AH92" s="105"/>
      <c r="AI92" s="105"/>
      <c r="AJ92" s="105"/>
      <c r="AK92" s="105"/>
      <c r="AL92" s="105"/>
      <c r="AM92" s="105"/>
      <c r="AN92" s="105"/>
      <c r="AO92" s="105"/>
      <c r="AP92" s="105"/>
      <c r="AQ92" s="105"/>
    </row>
    <row r="93" spans="1:43">
      <c r="A93" s="236"/>
      <c r="B93" s="236"/>
      <c r="C93" s="236"/>
      <c r="D93" s="236"/>
      <c r="E93" s="236"/>
      <c r="F93" s="236"/>
      <c r="G93" s="236"/>
      <c r="H93" s="236"/>
      <c r="I93" s="236"/>
      <c r="J93" s="236"/>
      <c r="K93" s="236"/>
      <c r="L93" s="236"/>
      <c r="M93" s="236"/>
      <c r="N93" s="236"/>
      <c r="O93" s="236"/>
      <c r="P93" s="236"/>
      <c r="Q93" s="236"/>
      <c r="R93" s="236"/>
      <c r="S93" s="236"/>
      <c r="T93" s="236"/>
      <c r="U93" s="236"/>
      <c r="V93" s="236"/>
      <c r="W93" s="237"/>
      <c r="X93" s="236"/>
      <c r="Y93" s="236"/>
      <c r="Z93" s="236"/>
      <c r="AA93" s="236"/>
      <c r="AB93" s="236"/>
      <c r="AC93" s="105"/>
      <c r="AD93" s="105"/>
      <c r="AE93" s="105"/>
      <c r="AF93" s="105"/>
      <c r="AG93" s="105"/>
      <c r="AH93" s="105"/>
      <c r="AI93" s="105"/>
      <c r="AJ93" s="105"/>
      <c r="AK93" s="105"/>
      <c r="AL93" s="105"/>
      <c r="AM93" s="105"/>
      <c r="AN93" s="105"/>
      <c r="AO93" s="105"/>
      <c r="AP93" s="105"/>
      <c r="AQ93" s="105"/>
    </row>
    <row r="94" spans="1:43">
      <c r="A94" s="236"/>
      <c r="B94" s="236"/>
      <c r="C94" s="236"/>
      <c r="D94" s="236"/>
      <c r="E94" s="236"/>
      <c r="F94" s="236"/>
      <c r="G94" s="236"/>
      <c r="H94" s="236"/>
      <c r="I94" s="236"/>
      <c r="J94" s="236"/>
      <c r="K94" s="236"/>
      <c r="L94" s="236"/>
      <c r="M94" s="236"/>
      <c r="N94" s="236"/>
      <c r="O94" s="236"/>
      <c r="P94" s="236"/>
      <c r="Q94" s="236"/>
      <c r="R94" s="236"/>
      <c r="S94" s="236"/>
      <c r="T94" s="236"/>
      <c r="U94" s="236"/>
      <c r="V94" s="236"/>
      <c r="W94" s="237"/>
      <c r="X94" s="236"/>
      <c r="Y94" s="236"/>
      <c r="Z94" s="236"/>
      <c r="AA94" s="236"/>
      <c r="AB94" s="236"/>
      <c r="AC94" s="105"/>
      <c r="AD94" s="105"/>
      <c r="AE94" s="105"/>
      <c r="AF94" s="105"/>
      <c r="AG94" s="105"/>
      <c r="AH94" s="105"/>
      <c r="AI94" s="105"/>
      <c r="AJ94" s="105"/>
      <c r="AK94" s="105"/>
      <c r="AL94" s="105"/>
      <c r="AM94" s="105"/>
      <c r="AN94" s="105"/>
      <c r="AO94" s="105"/>
      <c r="AP94" s="105"/>
      <c r="AQ94" s="105"/>
    </row>
    <row r="95" spans="1:43">
      <c r="A95" s="236"/>
      <c r="B95" s="236"/>
      <c r="C95" s="236"/>
      <c r="D95" s="236"/>
      <c r="E95" s="236"/>
      <c r="F95" s="236"/>
      <c r="G95" s="236"/>
      <c r="H95" s="236"/>
      <c r="I95" s="236"/>
      <c r="J95" s="236"/>
      <c r="K95" s="236"/>
      <c r="L95" s="236"/>
      <c r="M95" s="236"/>
      <c r="N95" s="236"/>
      <c r="O95" s="236"/>
      <c r="P95" s="236"/>
      <c r="Q95" s="236"/>
      <c r="R95" s="236"/>
      <c r="S95" s="236"/>
      <c r="T95" s="236"/>
      <c r="U95" s="236"/>
      <c r="V95" s="236"/>
      <c r="W95" s="237"/>
      <c r="X95" s="236"/>
      <c r="Y95" s="236"/>
      <c r="Z95" s="236"/>
      <c r="AA95" s="236"/>
      <c r="AB95" s="236"/>
      <c r="AC95" s="105"/>
      <c r="AD95" s="105"/>
      <c r="AE95" s="105"/>
      <c r="AF95" s="105"/>
      <c r="AG95" s="105"/>
      <c r="AH95" s="105"/>
      <c r="AI95" s="105"/>
      <c r="AJ95" s="105"/>
      <c r="AK95" s="105"/>
      <c r="AL95" s="105"/>
      <c r="AM95" s="105"/>
      <c r="AN95" s="105"/>
      <c r="AO95" s="105"/>
      <c r="AP95" s="105"/>
      <c r="AQ95" s="105"/>
    </row>
    <row r="96" spans="1:43">
      <c r="A96" s="236"/>
      <c r="B96" s="236"/>
      <c r="C96" s="236"/>
      <c r="D96" s="236"/>
      <c r="E96" s="236"/>
      <c r="F96" s="236"/>
      <c r="G96" s="236"/>
      <c r="H96" s="236"/>
      <c r="I96" s="236"/>
      <c r="J96" s="236"/>
      <c r="K96" s="236"/>
      <c r="L96" s="236"/>
      <c r="M96" s="236"/>
      <c r="N96" s="236"/>
      <c r="O96" s="236"/>
      <c r="P96" s="236"/>
      <c r="Q96" s="236"/>
      <c r="R96" s="236"/>
      <c r="S96" s="236"/>
      <c r="T96" s="236"/>
      <c r="U96" s="236"/>
      <c r="V96" s="236"/>
      <c r="W96" s="237"/>
      <c r="X96" s="236"/>
      <c r="Y96" s="236"/>
      <c r="Z96" s="236"/>
      <c r="AA96" s="236"/>
      <c r="AB96" s="236"/>
      <c r="AC96" s="105"/>
      <c r="AD96" s="105"/>
      <c r="AE96" s="105"/>
      <c r="AF96" s="105"/>
      <c r="AG96" s="105"/>
      <c r="AH96" s="105"/>
      <c r="AI96" s="105"/>
      <c r="AJ96" s="105"/>
      <c r="AK96" s="105"/>
      <c r="AL96" s="105"/>
      <c r="AM96" s="105"/>
      <c r="AN96" s="105"/>
      <c r="AO96" s="105"/>
      <c r="AP96" s="105"/>
      <c r="AQ96" s="105"/>
    </row>
    <row r="97" spans="1:43">
      <c r="A97" s="236"/>
      <c r="B97" s="236"/>
      <c r="C97" s="236"/>
      <c r="D97" s="236"/>
      <c r="E97" s="236"/>
      <c r="F97" s="236"/>
      <c r="G97" s="236"/>
      <c r="H97" s="236"/>
      <c r="I97" s="236"/>
      <c r="J97" s="236"/>
      <c r="K97" s="236"/>
      <c r="L97" s="236"/>
      <c r="M97" s="236"/>
      <c r="N97" s="236"/>
      <c r="O97" s="236"/>
      <c r="P97" s="236"/>
      <c r="Q97" s="236"/>
      <c r="R97" s="236"/>
      <c r="S97" s="236"/>
      <c r="T97" s="236"/>
      <c r="U97" s="236"/>
      <c r="V97" s="236"/>
      <c r="W97" s="237"/>
      <c r="X97" s="236"/>
      <c r="Y97" s="236"/>
      <c r="Z97" s="236"/>
      <c r="AA97" s="236"/>
      <c r="AB97" s="236"/>
      <c r="AC97" s="105"/>
      <c r="AD97" s="105"/>
      <c r="AE97" s="105"/>
      <c r="AF97" s="105"/>
      <c r="AG97" s="105"/>
      <c r="AH97" s="105"/>
      <c r="AI97" s="105"/>
      <c r="AJ97" s="105"/>
      <c r="AK97" s="105"/>
      <c r="AL97" s="105"/>
      <c r="AM97" s="105"/>
      <c r="AN97" s="105"/>
      <c r="AO97" s="105"/>
      <c r="AP97" s="105"/>
      <c r="AQ97" s="105"/>
    </row>
    <row r="98" spans="1:43">
      <c r="A98" s="236"/>
      <c r="B98" s="236"/>
      <c r="C98" s="236"/>
      <c r="D98" s="236"/>
      <c r="E98" s="236"/>
      <c r="F98" s="236"/>
      <c r="G98" s="236"/>
      <c r="H98" s="236"/>
      <c r="I98" s="236"/>
      <c r="J98" s="236"/>
      <c r="K98" s="236"/>
      <c r="L98" s="236"/>
      <c r="M98" s="236"/>
      <c r="N98" s="236"/>
      <c r="O98" s="236"/>
      <c r="P98" s="236"/>
      <c r="Q98" s="236"/>
      <c r="R98" s="236"/>
      <c r="S98" s="236"/>
      <c r="T98" s="236"/>
      <c r="U98" s="236"/>
      <c r="V98" s="236"/>
      <c r="W98" s="237"/>
      <c r="X98" s="236"/>
      <c r="Y98" s="236"/>
      <c r="Z98" s="236"/>
      <c r="AA98" s="236"/>
      <c r="AB98" s="236"/>
      <c r="AC98" s="105"/>
      <c r="AD98" s="105"/>
      <c r="AE98" s="105"/>
      <c r="AF98" s="105"/>
      <c r="AG98" s="105"/>
      <c r="AH98" s="105"/>
      <c r="AI98" s="105"/>
      <c r="AJ98" s="105"/>
      <c r="AK98" s="105"/>
      <c r="AL98" s="105"/>
      <c r="AM98" s="105"/>
      <c r="AN98" s="105"/>
      <c r="AO98" s="105"/>
      <c r="AP98" s="105"/>
      <c r="AQ98" s="105"/>
    </row>
    <row r="99" spans="1:43">
      <c r="A99" s="236"/>
      <c r="B99" s="236"/>
      <c r="C99" s="236"/>
      <c r="D99" s="236"/>
      <c r="E99" s="236"/>
      <c r="F99" s="236"/>
      <c r="G99" s="236"/>
      <c r="H99" s="236"/>
      <c r="I99" s="236"/>
      <c r="J99" s="236"/>
      <c r="K99" s="236"/>
      <c r="L99" s="236"/>
      <c r="M99" s="236"/>
      <c r="N99" s="236"/>
      <c r="O99" s="236"/>
      <c r="P99" s="236"/>
      <c r="Q99" s="236"/>
      <c r="R99" s="236"/>
      <c r="S99" s="236"/>
      <c r="T99" s="236"/>
      <c r="U99" s="236"/>
      <c r="V99" s="236"/>
      <c r="W99" s="237"/>
      <c r="X99" s="236"/>
      <c r="Y99" s="236"/>
      <c r="Z99" s="236"/>
      <c r="AA99" s="236"/>
      <c r="AB99" s="236"/>
      <c r="AC99" s="105"/>
      <c r="AD99" s="105"/>
      <c r="AE99" s="105"/>
      <c r="AF99" s="105"/>
      <c r="AG99" s="105"/>
      <c r="AH99" s="105"/>
      <c r="AI99" s="105"/>
      <c r="AJ99" s="105"/>
      <c r="AK99" s="105"/>
      <c r="AL99" s="105"/>
      <c r="AM99" s="105"/>
      <c r="AN99" s="105"/>
      <c r="AO99" s="105"/>
      <c r="AP99" s="105"/>
      <c r="AQ99" s="105"/>
    </row>
    <row r="100" spans="1:43">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7"/>
      <c r="X100" s="236"/>
      <c r="Y100" s="236"/>
      <c r="Z100" s="236"/>
      <c r="AA100" s="236"/>
      <c r="AB100" s="236"/>
      <c r="AC100" s="105"/>
      <c r="AD100" s="105"/>
      <c r="AE100" s="105"/>
      <c r="AF100" s="105"/>
      <c r="AG100" s="105"/>
      <c r="AH100" s="105"/>
      <c r="AI100" s="105"/>
      <c r="AJ100" s="105"/>
      <c r="AK100" s="105"/>
      <c r="AL100" s="105"/>
      <c r="AM100" s="105"/>
      <c r="AN100" s="105"/>
      <c r="AO100" s="105"/>
      <c r="AP100" s="105"/>
      <c r="AQ100" s="105"/>
    </row>
    <row r="101" spans="1:43">
      <c r="A101" s="236"/>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7"/>
      <c r="X101" s="236"/>
      <c r="Y101" s="236"/>
      <c r="Z101" s="236"/>
      <c r="AA101" s="236"/>
      <c r="AB101" s="236"/>
      <c r="AC101" s="105"/>
      <c r="AD101" s="105"/>
      <c r="AE101" s="105"/>
      <c r="AF101" s="105"/>
      <c r="AG101" s="105"/>
      <c r="AH101" s="105"/>
      <c r="AI101" s="105"/>
      <c r="AJ101" s="105"/>
      <c r="AK101" s="105"/>
      <c r="AL101" s="105"/>
      <c r="AM101" s="105"/>
      <c r="AN101" s="105"/>
      <c r="AO101" s="105"/>
      <c r="AP101" s="105"/>
      <c r="AQ101" s="105"/>
    </row>
    <row r="102" spans="1:43">
      <c r="A102" s="236"/>
      <c r="B102" s="236"/>
      <c r="C102" s="236"/>
      <c r="D102" s="236"/>
      <c r="E102" s="236"/>
      <c r="F102" s="236"/>
      <c r="G102" s="236"/>
      <c r="H102" s="236"/>
      <c r="I102" s="236"/>
      <c r="J102" s="236"/>
      <c r="K102" s="236"/>
      <c r="L102" s="236"/>
      <c r="M102" s="236"/>
      <c r="N102" s="236"/>
      <c r="O102" s="236"/>
      <c r="Q102" s="236"/>
      <c r="R102" s="236"/>
      <c r="S102" s="236"/>
      <c r="T102" s="236"/>
      <c r="U102" s="236"/>
      <c r="V102" s="236"/>
      <c r="W102" s="237"/>
      <c r="X102" s="236"/>
      <c r="Y102" s="236"/>
      <c r="Z102" s="236"/>
      <c r="AA102" s="236"/>
      <c r="AB102" s="236"/>
      <c r="AC102" s="105"/>
      <c r="AD102" s="105"/>
      <c r="AE102" s="105"/>
      <c r="AF102" s="105"/>
      <c r="AG102" s="105"/>
      <c r="AH102" s="105"/>
      <c r="AI102" s="105"/>
      <c r="AJ102" s="105"/>
      <c r="AK102" s="105"/>
      <c r="AL102" s="105"/>
      <c r="AM102" s="105"/>
      <c r="AN102" s="105"/>
      <c r="AO102" s="105"/>
      <c r="AP102" s="105"/>
      <c r="AQ102" s="105"/>
    </row>
    <row r="103" spans="1:43">
      <c r="A103" s="236"/>
      <c r="B103" s="236"/>
      <c r="C103" s="236"/>
      <c r="D103" s="236"/>
      <c r="E103" s="236"/>
      <c r="F103" s="236"/>
      <c r="G103" s="236"/>
      <c r="H103" s="236"/>
      <c r="I103" s="236"/>
      <c r="J103" s="236"/>
      <c r="K103" s="236"/>
      <c r="L103" s="236"/>
      <c r="M103" s="236"/>
      <c r="N103" s="236"/>
      <c r="O103" s="236"/>
      <c r="Q103" s="236"/>
      <c r="R103" s="236"/>
      <c r="S103" s="236"/>
      <c r="T103" s="236"/>
      <c r="U103" s="236"/>
      <c r="V103" s="236"/>
      <c r="W103" s="237"/>
      <c r="X103" s="236"/>
      <c r="Y103" s="236"/>
      <c r="Z103" s="236"/>
      <c r="AA103" s="236"/>
      <c r="AB103" s="236"/>
      <c r="AC103" s="105"/>
      <c r="AD103" s="105"/>
      <c r="AE103" s="105"/>
      <c r="AF103" s="105"/>
      <c r="AG103" s="105"/>
      <c r="AH103" s="105"/>
      <c r="AI103" s="105"/>
      <c r="AJ103" s="105"/>
      <c r="AK103" s="105"/>
      <c r="AL103" s="105"/>
      <c r="AM103" s="105"/>
      <c r="AN103" s="105"/>
      <c r="AO103" s="105"/>
      <c r="AP103" s="105"/>
      <c r="AQ103" s="105"/>
    </row>
  </sheetData>
  <sheetProtection algorithmName="SHA-512" hashValue="tgkWkmTRHl1FBRdgkT5RuYQVoyS3RJhAS6pvd2Zb0Gn5wDOuh1bTeqeR4AZ01D6uFu6AzBr8p4I84932soLNbA==" saltValue="7KjDfY+UUEyyEBwdkVBeNA==" spinCount="100000" sheet="1" objects="1" scenarios="1" selectLockedCells="1" selectUnlockedCells="1"/>
  <mergeCells count="56">
    <mergeCell ref="A14:G15"/>
    <mergeCell ref="H14:O14"/>
    <mergeCell ref="A1:P4"/>
    <mergeCell ref="A5:E5"/>
    <mergeCell ref="AA5:AI5"/>
    <mergeCell ref="A6:E6"/>
    <mergeCell ref="AA6:AI6"/>
    <mergeCell ref="A7:E7"/>
    <mergeCell ref="AA7:AI7"/>
    <mergeCell ref="A8:E8"/>
    <mergeCell ref="AA10:AC10"/>
    <mergeCell ref="AD10:AF10"/>
    <mergeCell ref="AG10:AI10"/>
    <mergeCell ref="A11:O12"/>
    <mergeCell ref="A24:E24"/>
    <mergeCell ref="F24:G24"/>
    <mergeCell ref="A16:E16"/>
    <mergeCell ref="F16:G16"/>
    <mergeCell ref="F17:G17"/>
    <mergeCell ref="A18:E18"/>
    <mergeCell ref="F18:G18"/>
    <mergeCell ref="A19:E19"/>
    <mergeCell ref="F19:G19"/>
    <mergeCell ref="A20:E20"/>
    <mergeCell ref="F20:G20"/>
    <mergeCell ref="A22:G22"/>
    <mergeCell ref="R22:Y22"/>
    <mergeCell ref="A23:E23"/>
    <mergeCell ref="A35:J35"/>
    <mergeCell ref="A26:E26"/>
    <mergeCell ref="F26:G26"/>
    <mergeCell ref="R26:Y26"/>
    <mergeCell ref="F27:G27"/>
    <mergeCell ref="R27:Y27"/>
    <mergeCell ref="A28:E28"/>
    <mergeCell ref="F28:G28"/>
    <mergeCell ref="R28:Y30"/>
    <mergeCell ref="A29:E29"/>
    <mergeCell ref="F29:G29"/>
    <mergeCell ref="A30:E30"/>
    <mergeCell ref="F30:G30"/>
    <mergeCell ref="A31:E31"/>
    <mergeCell ref="Q38:R38"/>
    <mergeCell ref="U38:V38"/>
    <mergeCell ref="W38:X38"/>
    <mergeCell ref="B40:O40"/>
    <mergeCell ref="F31:G31"/>
    <mergeCell ref="C34:G34"/>
    <mergeCell ref="Q35:R35"/>
    <mergeCell ref="U35:V35"/>
    <mergeCell ref="W35:X35"/>
    <mergeCell ref="B41:O41"/>
    <mergeCell ref="B43:O43"/>
    <mergeCell ref="B42:O42"/>
    <mergeCell ref="B44:O44"/>
    <mergeCell ref="N37:O37"/>
  </mergeCells>
  <conditionalFormatting sqref="Q33:Q43 U33:V43 N37:N39">
    <cfRule type="expression" dxfId="55" priority="3" stopIfTrue="1">
      <formula>N33=0</formula>
    </cfRule>
  </conditionalFormatting>
  <pageMargins left="0.74803149606299213" right="0.19685039370078741" top="0.39370078740157483" bottom="0.39370078740157483" header="0.19685039370078741" footer="0.19685039370078741"/>
  <pageSetup paperSize="9" scale="90"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F6D49-0C9C-41B1-A029-0DECA6EF13DC}">
  <sheetPr>
    <tabColor rgb="FF7030A0"/>
    <pageSetUpPr fitToPage="1"/>
  </sheetPr>
  <dimension ref="A1:CP125"/>
  <sheetViews>
    <sheetView showGridLines="0" view="pageBreakPreview" zoomScaleNormal="100" zoomScaleSheetLayoutView="100" workbookViewId="0">
      <selection sqref="A1:AK4"/>
    </sheetView>
  </sheetViews>
  <sheetFormatPr defaultColWidth="3.7109375" defaultRowHeight="11.25"/>
  <cols>
    <col min="1" max="6" width="3.7109375" style="404"/>
    <col min="7" max="7" width="4.42578125" style="404" customWidth="1"/>
    <col min="8" max="8" width="4.42578125" style="404" bestFit="1" customWidth="1"/>
    <col min="9" max="11" width="3.7109375" style="404"/>
    <col min="12" max="12" width="5.5703125" style="404" bestFit="1" customWidth="1"/>
    <col min="13" max="14" width="3.7109375" style="404"/>
    <col min="15" max="15" width="6.7109375" style="404" customWidth="1"/>
    <col min="16" max="18" width="3.7109375" style="404"/>
    <col min="19" max="19" width="5.42578125" style="404" customWidth="1"/>
    <col min="20" max="23" width="3.7109375" style="404"/>
    <col min="24" max="24" width="6" style="404" bestFit="1" customWidth="1"/>
    <col min="25" max="37" width="3.7109375" style="404"/>
    <col min="38" max="38" width="9.42578125" style="28" customWidth="1"/>
    <col min="39" max="41" width="6.5703125" style="28" customWidth="1"/>
    <col min="42" max="49" width="10.28515625" style="28" customWidth="1"/>
    <col min="50" max="50" width="6.5703125" style="28" customWidth="1"/>
    <col min="51" max="55" width="3.7109375" style="28"/>
    <col min="56" max="56" width="2.7109375" style="28" customWidth="1"/>
    <col min="57" max="57" width="10.5703125" style="28" customWidth="1"/>
    <col min="58" max="58" width="7.7109375" style="28" customWidth="1"/>
    <col min="59" max="16384" width="3.7109375" style="28"/>
  </cols>
  <sheetData>
    <row r="1" spans="1:94"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59"/>
      <c r="AK1" s="1160"/>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row>
    <row r="2" spans="1:94"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3"/>
      <c r="AL2" s="303"/>
      <c r="AM2" s="303"/>
      <c r="AN2" s="303"/>
      <c r="AO2" s="303"/>
      <c r="AP2" s="303"/>
      <c r="AQ2" s="303"/>
      <c r="AR2" s="303"/>
      <c r="AS2" s="303"/>
      <c r="AT2" s="303"/>
      <c r="AU2" s="303" t="s">
        <v>572</v>
      </c>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row>
    <row r="3" spans="1:94"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3"/>
      <c r="AL3" s="303"/>
      <c r="AM3" s="303"/>
      <c r="AN3" s="303"/>
      <c r="AO3" s="303"/>
      <c r="AP3" s="303"/>
      <c r="AQ3" s="303"/>
      <c r="AR3" s="303"/>
      <c r="AS3" s="303"/>
      <c r="AT3" s="303"/>
      <c r="AV3" s="303" t="s">
        <v>573</v>
      </c>
      <c r="AW3" s="336" t="s">
        <v>574</v>
      </c>
      <c r="AX3" s="303">
        <v>150</v>
      </c>
      <c r="AY3" s="303" t="s">
        <v>575</v>
      </c>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row>
    <row r="4" spans="1:94"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6"/>
      <c r="AL4" s="303"/>
      <c r="AM4" s="303"/>
      <c r="AN4" s="303"/>
      <c r="AO4" s="303"/>
      <c r="AP4" s="337" t="s">
        <v>576</v>
      </c>
      <c r="AQ4" s="337" t="s">
        <v>577</v>
      </c>
      <c r="AR4" s="337" t="s">
        <v>578</v>
      </c>
      <c r="AS4" s="303"/>
      <c r="AT4" s="303"/>
      <c r="AU4" s="303" t="s">
        <v>579</v>
      </c>
      <c r="AV4" s="303">
        <v>20</v>
      </c>
      <c r="AW4" s="303"/>
      <c r="AX4" s="338">
        <f t="shared" ref="AX4:AX9" si="0">AV4/$AX$3</f>
        <v>0.13333333333333333</v>
      </c>
      <c r="AY4" s="303" t="s">
        <v>580</v>
      </c>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row>
    <row r="5" spans="1:94"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27"/>
      <c r="Y5" s="1168" t="s">
        <v>23</v>
      </c>
      <c r="Z5" s="1168"/>
      <c r="AA5" s="1168"/>
      <c r="AB5" s="1168"/>
      <c r="AC5" s="1169" t="str">
        <f>'DT V'!$N$5</f>
        <v>PRJ-001030</v>
      </c>
      <c r="AD5" s="1169"/>
      <c r="AE5" s="1169"/>
      <c r="AF5" s="1169"/>
      <c r="AG5" s="1169"/>
      <c r="AH5" s="1169"/>
      <c r="AI5" s="1169"/>
      <c r="AJ5" s="1169"/>
      <c r="AK5" s="1170"/>
      <c r="AL5" s="339"/>
      <c r="AM5" s="339"/>
      <c r="AN5" s="339"/>
      <c r="AO5" s="339"/>
      <c r="AP5" s="340" t="s">
        <v>386</v>
      </c>
      <c r="AQ5" s="340" t="s">
        <v>581</v>
      </c>
      <c r="AR5" s="337">
        <v>1020</v>
      </c>
      <c r="AS5" s="339"/>
      <c r="AT5" s="339"/>
      <c r="AU5" s="339" t="s">
        <v>115</v>
      </c>
      <c r="AV5" s="339">
        <v>5</v>
      </c>
      <c r="AW5" s="339"/>
      <c r="AX5" s="338">
        <f t="shared" si="0"/>
        <v>3.3333333333333333E-2</v>
      </c>
      <c r="AY5" s="339"/>
      <c r="AZ5" s="339"/>
      <c r="BA5" s="339"/>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row>
    <row r="6" spans="1:94"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30"/>
      <c r="Y6" s="1172" t="s">
        <v>25</v>
      </c>
      <c r="Z6" s="1172"/>
      <c r="AA6" s="1172"/>
      <c r="AB6" s="1172"/>
      <c r="AC6" s="1022"/>
      <c r="AD6" s="1022"/>
      <c r="AE6" s="1022"/>
      <c r="AF6" s="1022"/>
      <c r="AG6" s="1022"/>
      <c r="AH6" s="1022"/>
      <c r="AI6" s="1022"/>
      <c r="AJ6" s="1022"/>
      <c r="AK6" s="1173"/>
      <c r="AL6" s="339"/>
      <c r="AM6" s="339"/>
      <c r="AN6" s="339"/>
      <c r="AO6" s="337"/>
      <c r="AP6" s="340" t="s">
        <v>406</v>
      </c>
      <c r="AQ6" s="340" t="s">
        <v>339</v>
      </c>
      <c r="AR6" s="340">
        <v>0.45400000000000001</v>
      </c>
      <c r="AS6" s="337"/>
      <c r="AT6" s="339"/>
      <c r="AU6" s="339" t="s">
        <v>116</v>
      </c>
      <c r="AV6" s="339">
        <v>7</v>
      </c>
      <c r="AW6" s="339"/>
      <c r="AX6" s="338">
        <f t="shared" si="0"/>
        <v>4.6666666666666669E-2</v>
      </c>
      <c r="AY6" s="339"/>
      <c r="AZ6" s="339"/>
      <c r="BA6" s="339"/>
      <c r="BB6" s="339"/>
      <c r="BC6" s="339"/>
      <c r="BD6" s="339"/>
      <c r="BE6" s="339"/>
      <c r="BF6" s="339"/>
      <c r="BG6" s="339"/>
      <c r="BH6" s="339"/>
      <c r="BI6" s="339"/>
      <c r="BJ6" s="339"/>
      <c r="BK6" s="339"/>
      <c r="BL6" s="339"/>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row>
    <row r="7" spans="1:94"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30"/>
      <c r="Y7" s="1172" t="s">
        <v>27</v>
      </c>
      <c r="Z7" s="1172"/>
      <c r="AA7" s="1172"/>
      <c r="AB7" s="1172"/>
      <c r="AC7" s="30" t="s">
        <v>201</v>
      </c>
      <c r="AD7" s="31"/>
      <c r="AE7" s="31"/>
      <c r="AF7" s="31"/>
      <c r="AG7" s="31"/>
      <c r="AH7" s="31"/>
      <c r="AI7" s="31"/>
      <c r="AJ7" s="31"/>
      <c r="AK7" s="32"/>
      <c r="AL7" s="339"/>
      <c r="AM7" s="339"/>
      <c r="AN7" s="339"/>
      <c r="AO7" s="337"/>
      <c r="AP7" s="340" t="s">
        <v>407</v>
      </c>
      <c r="AQ7" s="340" t="s">
        <v>582</v>
      </c>
      <c r="AR7" s="341">
        <f>0.305^3</f>
        <v>2.8372624999999999E-2</v>
      </c>
      <c r="AS7" s="337"/>
      <c r="AT7" s="339"/>
      <c r="AU7" s="339" t="s">
        <v>124</v>
      </c>
      <c r="AV7" s="339">
        <f>150*1%</f>
        <v>1.5</v>
      </c>
      <c r="AW7" s="339"/>
      <c r="AX7" s="338">
        <f t="shared" si="0"/>
        <v>0.01</v>
      </c>
      <c r="AY7" s="339"/>
      <c r="AZ7" s="339"/>
      <c r="BA7" s="339"/>
      <c r="BB7" s="339"/>
      <c r="BC7" s="339"/>
      <c r="BD7" s="339"/>
      <c r="BE7" s="339"/>
      <c r="BF7" s="339"/>
      <c r="BG7" s="339"/>
      <c r="BH7" s="339"/>
      <c r="BI7" s="339"/>
      <c r="BJ7" s="339"/>
      <c r="BK7" s="339"/>
      <c r="BL7" s="339"/>
      <c r="BM7" s="339"/>
      <c r="BN7" s="339"/>
      <c r="BO7" s="339"/>
      <c r="BP7" s="339"/>
      <c r="BQ7" s="339"/>
      <c r="BR7" s="339"/>
      <c r="BS7" s="339"/>
      <c r="BT7" s="339"/>
      <c r="BU7" s="339"/>
      <c r="BV7" s="339"/>
      <c r="BW7" s="339"/>
      <c r="BX7" s="339"/>
      <c r="BY7" s="339"/>
      <c r="BZ7" s="339"/>
      <c r="CA7" s="339"/>
      <c r="CB7" s="339"/>
      <c r="CC7" s="339"/>
      <c r="CD7" s="339"/>
      <c r="CE7" s="339"/>
      <c r="CF7" s="339"/>
      <c r="CG7" s="339"/>
      <c r="CH7" s="339"/>
      <c r="CI7" s="339"/>
      <c r="CJ7" s="339"/>
      <c r="CK7" s="339"/>
      <c r="CL7" s="339"/>
      <c r="CM7" s="339"/>
      <c r="CN7" s="339"/>
      <c r="CO7" s="339"/>
      <c r="CP7" s="339"/>
    </row>
    <row r="8" spans="1:94"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1"/>
      <c r="AK8" s="1182"/>
      <c r="AL8" s="339"/>
      <c r="AM8" s="339"/>
      <c r="AN8" s="339"/>
      <c r="AO8" s="337"/>
      <c r="AP8" s="340" t="s">
        <v>581</v>
      </c>
      <c r="AQ8" s="340" t="s">
        <v>583</v>
      </c>
      <c r="AR8" s="342">
        <f>AR6/AR7 * ((AN18+273.15)/(AN20+273.15))</f>
        <v>16.912595854908194</v>
      </c>
      <c r="AS8" s="337"/>
      <c r="AT8" s="339"/>
      <c r="AU8" s="339" t="s">
        <v>123</v>
      </c>
      <c r="AV8" s="339">
        <v>1.04</v>
      </c>
      <c r="AW8" s="339"/>
      <c r="AX8" s="338">
        <f t="shared" si="0"/>
        <v>6.9333333333333339E-3</v>
      </c>
      <c r="AY8" s="339"/>
      <c r="AZ8" s="339"/>
      <c r="BA8" s="339"/>
      <c r="BB8" s="339"/>
      <c r="BC8" s="339"/>
      <c r="BD8" s="339"/>
      <c r="BE8" s="339"/>
      <c r="BF8" s="339"/>
      <c r="BG8" s="339"/>
      <c r="BH8" s="339"/>
      <c r="BI8" s="339"/>
      <c r="BJ8" s="339"/>
      <c r="BK8" s="339"/>
      <c r="BL8" s="339"/>
      <c r="BM8" s="339"/>
      <c r="BN8" s="339"/>
      <c r="BO8" s="339"/>
      <c r="BP8" s="339"/>
      <c r="BQ8" s="339"/>
      <c r="BR8" s="339"/>
      <c r="BS8" s="339"/>
      <c r="BT8" s="339"/>
      <c r="BU8" s="339"/>
      <c r="BV8" s="339"/>
      <c r="BW8" s="339"/>
      <c r="BX8" s="339"/>
      <c r="BY8" s="339"/>
      <c r="BZ8" s="339"/>
      <c r="CA8" s="339"/>
      <c r="CB8" s="339"/>
      <c r="CC8" s="339"/>
      <c r="CD8" s="339"/>
      <c r="CE8" s="339"/>
      <c r="CF8" s="339"/>
      <c r="CG8" s="339"/>
      <c r="CH8" s="339"/>
      <c r="CI8" s="339"/>
      <c r="CJ8" s="339"/>
      <c r="CK8" s="339"/>
      <c r="CL8" s="339"/>
      <c r="CM8" s="339"/>
      <c r="CN8" s="339"/>
      <c r="CO8" s="339"/>
      <c r="CP8" s="339"/>
    </row>
    <row r="9" spans="1:94" ht="14.25" customHeight="1">
      <c r="A9" s="1179"/>
      <c r="B9" s="1180"/>
      <c r="C9" s="1180"/>
      <c r="D9" s="1180"/>
      <c r="E9" s="1180"/>
      <c r="F9" s="1180"/>
      <c r="G9" s="1180"/>
      <c r="H9" s="1181"/>
      <c r="I9" s="1181"/>
      <c r="J9" s="1181"/>
      <c r="K9" s="1181"/>
      <c r="L9" s="1181"/>
      <c r="M9" s="1181"/>
      <c r="N9" s="1181"/>
      <c r="O9" s="1181"/>
      <c r="P9" s="1181"/>
      <c r="Q9" s="1181"/>
      <c r="R9" s="1181"/>
      <c r="S9" s="1181"/>
      <c r="T9" s="1181"/>
      <c r="U9" s="1181"/>
      <c r="V9" s="1181"/>
      <c r="W9" s="1181"/>
      <c r="X9" s="1181"/>
      <c r="Y9" s="1181"/>
      <c r="Z9" s="1181"/>
      <c r="AA9" s="1181"/>
      <c r="AB9" s="1181"/>
      <c r="AC9" s="1181"/>
      <c r="AD9" s="1181"/>
      <c r="AE9" s="1181"/>
      <c r="AF9" s="1181"/>
      <c r="AG9" s="1181"/>
      <c r="AH9" s="1181"/>
      <c r="AI9" s="1181"/>
      <c r="AJ9" s="1181"/>
      <c r="AK9" s="1182"/>
      <c r="AL9" s="339"/>
      <c r="AM9" s="339"/>
      <c r="AN9" s="339"/>
      <c r="AO9" s="337"/>
      <c r="AP9" s="337" t="s">
        <v>409</v>
      </c>
      <c r="AQ9" s="337" t="s">
        <v>410</v>
      </c>
      <c r="AR9" s="337">
        <v>947</v>
      </c>
      <c r="AS9" s="337"/>
      <c r="AT9" s="339"/>
      <c r="AU9" s="303" t="s">
        <v>125</v>
      </c>
      <c r="AV9" s="303">
        <v>0.53</v>
      </c>
      <c r="AW9" s="303"/>
      <c r="AX9" s="338">
        <f t="shared" si="0"/>
        <v>3.5333333333333336E-3</v>
      </c>
      <c r="AY9" s="339"/>
      <c r="AZ9" s="339"/>
      <c r="BA9" s="339"/>
      <c r="BB9" s="339"/>
      <c r="BC9" s="339"/>
      <c r="BD9" s="339"/>
      <c r="BE9" s="339"/>
      <c r="BF9" s="339"/>
      <c r="BG9" s="339"/>
      <c r="BH9" s="339"/>
      <c r="BI9" s="339"/>
      <c r="BJ9" s="339"/>
      <c r="BK9" s="339"/>
      <c r="BL9" s="339"/>
      <c r="BM9" s="339"/>
      <c r="BN9" s="339"/>
      <c r="BO9" s="339"/>
      <c r="BP9" s="339"/>
      <c r="BQ9" s="339"/>
      <c r="BR9" s="339"/>
      <c r="BS9" s="339"/>
      <c r="BT9" s="339"/>
      <c r="BU9" s="339"/>
      <c r="BV9" s="339"/>
      <c r="BW9" s="339"/>
      <c r="BX9" s="339"/>
      <c r="BY9" s="339"/>
      <c r="BZ9" s="339"/>
      <c r="CA9" s="339"/>
      <c r="CB9" s="339"/>
      <c r="CC9" s="339"/>
      <c r="CD9" s="339"/>
      <c r="CE9" s="339"/>
      <c r="CF9" s="339"/>
      <c r="CG9" s="339"/>
      <c r="CH9" s="339"/>
      <c r="CI9" s="339"/>
      <c r="CJ9" s="339"/>
      <c r="CK9" s="339"/>
      <c r="CL9" s="339"/>
      <c r="CM9" s="339"/>
      <c r="CN9" s="339"/>
      <c r="CO9" s="339"/>
      <c r="CP9" s="339"/>
    </row>
    <row r="10" spans="1:94" s="23" customFormat="1" ht="15" customHeight="1">
      <c r="A10" s="1174" t="s">
        <v>99</v>
      </c>
      <c r="B10" s="1175"/>
      <c r="C10" s="1175"/>
      <c r="D10" s="1175"/>
      <c r="E10" s="1175"/>
      <c r="F10" s="1175"/>
      <c r="G10" s="1175"/>
      <c r="H10" s="1175"/>
      <c r="I10" s="1090"/>
      <c r="J10" s="1090"/>
      <c r="K10" s="1090"/>
      <c r="L10" s="1090"/>
      <c r="M10" s="1090"/>
      <c r="N10" s="1090"/>
      <c r="O10" s="1090"/>
      <c r="P10" s="1090"/>
      <c r="Q10" s="1090"/>
      <c r="R10" s="1090"/>
      <c r="S10" s="1090"/>
      <c r="T10" s="1090"/>
      <c r="U10" s="1090"/>
      <c r="V10" s="1090"/>
      <c r="W10" s="1090"/>
      <c r="X10" s="1090"/>
      <c r="Y10" s="1175" t="s">
        <v>28</v>
      </c>
      <c r="Z10" s="1175"/>
      <c r="AA10" s="1175"/>
      <c r="AB10" s="1175"/>
      <c r="AC10" s="1176"/>
      <c r="AD10" s="1176"/>
      <c r="AE10" s="1176"/>
      <c r="AF10" s="1177"/>
      <c r="AG10" s="1177"/>
      <c r="AH10" s="1177"/>
      <c r="AI10" s="1085"/>
      <c r="AJ10" s="1085"/>
      <c r="AK10" s="1178"/>
      <c r="AL10" s="303"/>
      <c r="AM10" s="303"/>
      <c r="AN10" s="303"/>
      <c r="AO10" s="340"/>
      <c r="AP10" s="340"/>
      <c r="AQ10" s="340"/>
      <c r="AR10" s="340"/>
      <c r="AS10" s="340"/>
      <c r="AT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c r="BV10" s="303"/>
      <c r="BW10" s="303"/>
      <c r="BX10" s="303"/>
      <c r="BY10" s="303"/>
      <c r="BZ10" s="303"/>
      <c r="CA10" s="303"/>
      <c r="CB10" s="303"/>
      <c r="CC10" s="303"/>
      <c r="CD10" s="303"/>
      <c r="CE10" s="303"/>
      <c r="CF10" s="303"/>
      <c r="CG10" s="303"/>
      <c r="CH10" s="303"/>
      <c r="CI10" s="303"/>
      <c r="CJ10" s="303"/>
      <c r="CK10" s="303"/>
      <c r="CL10" s="303"/>
      <c r="CM10" s="303"/>
      <c r="CN10" s="303"/>
      <c r="CO10" s="303"/>
      <c r="CP10" s="303"/>
    </row>
    <row r="11" spans="1:94" s="23" customFormat="1" ht="14.25" customHeight="1">
      <c r="A11" s="1117" t="s">
        <v>208</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9"/>
      <c r="AL11" s="303"/>
      <c r="AM11" s="303"/>
      <c r="AN11" s="303"/>
      <c r="AO11" s="340"/>
      <c r="AP11" s="340"/>
      <c r="AQ11" s="340"/>
      <c r="AR11" s="340"/>
      <c r="AS11" s="340"/>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row>
    <row r="12" spans="1:94" s="23" customFormat="1" ht="14.25" customHeight="1">
      <c r="A12" s="1149"/>
      <c r="B12" s="1150"/>
      <c r="C12" s="1150"/>
      <c r="D12" s="1150"/>
      <c r="E12" s="1150"/>
      <c r="F12" s="1150"/>
      <c r="G12" s="1150"/>
      <c r="H12" s="1150"/>
      <c r="I12" s="1150"/>
      <c r="J12" s="1150"/>
      <c r="K12" s="1150"/>
      <c r="L12" s="1150"/>
      <c r="M12" s="1150"/>
      <c r="N12" s="1150"/>
      <c r="O12" s="1150"/>
      <c r="P12" s="1150"/>
      <c r="Q12" s="1150"/>
      <c r="R12" s="1150"/>
      <c r="S12" s="1150"/>
      <c r="T12" s="1150"/>
      <c r="U12" s="1150"/>
      <c r="V12" s="1150"/>
      <c r="W12" s="1150"/>
      <c r="X12" s="1150"/>
      <c r="Y12" s="1150"/>
      <c r="Z12" s="1150"/>
      <c r="AA12" s="1150"/>
      <c r="AB12" s="1150"/>
      <c r="AC12" s="1150"/>
      <c r="AD12" s="1150"/>
      <c r="AE12" s="1150"/>
      <c r="AF12" s="1150"/>
      <c r="AG12" s="1150"/>
      <c r="AH12" s="1150"/>
      <c r="AI12" s="1150"/>
      <c r="AJ12" s="1150"/>
      <c r="AK12" s="1151"/>
      <c r="AL12" s="303"/>
      <c r="AM12" s="303"/>
      <c r="AN12" s="303"/>
      <c r="AO12" s="340"/>
      <c r="AP12" s="340" t="s">
        <v>585</v>
      </c>
      <c r="AQ12" s="340">
        <v>150</v>
      </c>
      <c r="AR12" s="343" t="s">
        <v>586</v>
      </c>
      <c r="AS12" s="340"/>
      <c r="AT12" s="303">
        <f>AR16/1000000*AR6/1055/1000000</f>
        <v>5.737756714060031E-17</v>
      </c>
      <c r="AU12" s="303"/>
      <c r="AV12" s="303"/>
      <c r="AW12" s="303"/>
      <c r="AX12" s="303"/>
      <c r="AY12" s="303"/>
      <c r="AZ12" s="303"/>
      <c r="BA12" s="303"/>
      <c r="BB12" s="303"/>
      <c r="BC12" s="303"/>
      <c r="BD12" s="303"/>
      <c r="BE12" s="303"/>
      <c r="BF12" s="303"/>
      <c r="BG12" s="303"/>
      <c r="BH12" s="303"/>
      <c r="BI12" s="303"/>
      <c r="BJ12" s="303"/>
      <c r="BK12" s="303"/>
      <c r="BL12" s="303"/>
      <c r="BM12" s="303"/>
      <c r="BN12" s="303"/>
      <c r="BO12" s="303"/>
      <c r="BP12" s="303"/>
      <c r="BQ12" s="303"/>
      <c r="BR12" s="303"/>
      <c r="BS12" s="303"/>
      <c r="BT12" s="303"/>
      <c r="BU12" s="303"/>
      <c r="BV12" s="303"/>
      <c r="BW12" s="303"/>
      <c r="BX12" s="303"/>
      <c r="BY12" s="303"/>
      <c r="BZ12" s="303"/>
      <c r="CA12" s="303"/>
      <c r="CB12" s="303"/>
      <c r="CC12" s="303"/>
      <c r="CD12" s="303"/>
      <c r="CE12" s="303"/>
      <c r="CF12" s="303"/>
      <c r="CG12" s="303"/>
      <c r="CH12" s="303"/>
      <c r="CI12" s="303"/>
      <c r="CJ12" s="303"/>
      <c r="CK12" s="303"/>
      <c r="CL12" s="303"/>
      <c r="CM12" s="303"/>
      <c r="CN12" s="303"/>
      <c r="CO12" s="303"/>
      <c r="CP12" s="303"/>
    </row>
    <row r="13" spans="1:94" s="23" customFormat="1" ht="14.25" customHeight="1">
      <c r="A13" s="1152" t="s">
        <v>587</v>
      </c>
      <c r="B13" s="1153"/>
      <c r="C13" s="1153"/>
      <c r="D13" s="1153"/>
      <c r="E13" s="1153"/>
      <c r="F13" s="1153"/>
      <c r="G13" s="1154"/>
      <c r="H13" s="1155" t="s">
        <v>588</v>
      </c>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7"/>
      <c r="AL13" s="303"/>
      <c r="AM13" s="303"/>
      <c r="AN13" s="303"/>
      <c r="AO13" s="303"/>
      <c r="AP13" s="303"/>
      <c r="AQ13" s="344">
        <f>AQ12/AR9/1000/0.00379*1000000</f>
        <v>41792.857879207491</v>
      </c>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row>
    <row r="14" spans="1:94" s="23" customFormat="1" ht="14.25" customHeight="1">
      <c r="A14" s="224" t="s">
        <v>589</v>
      </c>
      <c r="B14" s="291"/>
      <c r="C14" s="291"/>
      <c r="D14" s="291"/>
      <c r="E14" s="291"/>
      <c r="F14" s="291"/>
      <c r="G14" s="291"/>
      <c r="H14" s="1117" t="s">
        <v>590</v>
      </c>
      <c r="I14" s="1118"/>
      <c r="J14" s="1119"/>
      <c r="K14" s="1117" t="s">
        <v>591</v>
      </c>
      <c r="L14" s="1118"/>
      <c r="M14" s="1119"/>
      <c r="N14" s="1117" t="s">
        <v>592</v>
      </c>
      <c r="O14" s="1118"/>
      <c r="P14" s="1119"/>
      <c r="Q14" s="1117" t="s">
        <v>400</v>
      </c>
      <c r="R14" s="1118"/>
      <c r="S14" s="1119"/>
      <c r="T14" s="1117" t="s">
        <v>593</v>
      </c>
      <c r="U14" s="1118"/>
      <c r="V14" s="1119"/>
      <c r="W14" s="1117" t="s">
        <v>593</v>
      </c>
      <c r="X14" s="1118"/>
      <c r="Y14" s="1119"/>
      <c r="Z14" s="1117" t="s">
        <v>115</v>
      </c>
      <c r="AA14" s="1118"/>
      <c r="AB14" s="1119"/>
      <c r="AC14" s="1117" t="s">
        <v>115</v>
      </c>
      <c r="AD14" s="1118"/>
      <c r="AE14" s="1119"/>
      <c r="AF14" s="1117" t="s">
        <v>116</v>
      </c>
      <c r="AG14" s="1118"/>
      <c r="AH14" s="1119"/>
      <c r="AI14" s="1117" t="s">
        <v>116</v>
      </c>
      <c r="AJ14" s="1118"/>
      <c r="AK14" s="1119"/>
      <c r="AL14" s="303"/>
      <c r="AM14" s="303"/>
      <c r="AN14" s="303"/>
      <c r="AO14" s="303"/>
      <c r="AP14" s="345" t="s">
        <v>400</v>
      </c>
      <c r="AQ14" s="346"/>
      <c r="AR14" s="345" t="s">
        <v>393</v>
      </c>
      <c r="AS14" s="347"/>
      <c r="AT14" s="348"/>
      <c r="AU14" s="345" t="s">
        <v>115</v>
      </c>
      <c r="AV14" s="347"/>
      <c r="AW14" s="348"/>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row>
    <row r="15" spans="1:94" s="23" customFormat="1" ht="14.25" customHeight="1">
      <c r="A15" s="292"/>
      <c r="B15" s="147"/>
      <c r="C15" s="147"/>
      <c r="D15" s="147"/>
      <c r="E15" s="147"/>
      <c r="F15" s="147"/>
      <c r="G15" s="147"/>
      <c r="H15" s="1089" t="s">
        <v>594</v>
      </c>
      <c r="I15" s="1090"/>
      <c r="J15" s="1091"/>
      <c r="K15" s="1089" t="s">
        <v>595</v>
      </c>
      <c r="L15" s="1090"/>
      <c r="M15" s="1091"/>
      <c r="N15" s="1089" t="s">
        <v>596</v>
      </c>
      <c r="O15" s="1090"/>
      <c r="P15" s="1091"/>
      <c r="Q15" s="1089" t="s">
        <v>597</v>
      </c>
      <c r="R15" s="1090"/>
      <c r="S15" s="1091"/>
      <c r="T15" s="1089" t="s">
        <v>598</v>
      </c>
      <c r="U15" s="1090"/>
      <c r="V15" s="1091"/>
      <c r="W15" s="1089" t="s">
        <v>599</v>
      </c>
      <c r="X15" s="1090"/>
      <c r="Y15" s="1091"/>
      <c r="Z15" s="1089" t="s">
        <v>598</v>
      </c>
      <c r="AA15" s="1090"/>
      <c r="AB15" s="1091"/>
      <c r="AC15" s="1089" t="s">
        <v>599</v>
      </c>
      <c r="AD15" s="1090"/>
      <c r="AE15" s="1091"/>
      <c r="AF15" s="1089" t="s">
        <v>598</v>
      </c>
      <c r="AG15" s="1090"/>
      <c r="AH15" s="1091"/>
      <c r="AI15" s="1089" t="s">
        <v>599</v>
      </c>
      <c r="AJ15" s="1090"/>
      <c r="AK15" s="1091"/>
      <c r="AL15" s="303"/>
      <c r="AM15" s="303"/>
      <c r="AN15" s="303"/>
      <c r="AO15" s="303"/>
      <c r="AP15" s="349" t="s">
        <v>600</v>
      </c>
      <c r="AQ15" s="349" t="s">
        <v>601</v>
      </c>
      <c r="AR15" s="349" t="s">
        <v>386</v>
      </c>
      <c r="AS15" s="350" t="s">
        <v>602</v>
      </c>
      <c r="AT15" s="350" t="s">
        <v>583</v>
      </c>
      <c r="AU15" s="349" t="s">
        <v>386</v>
      </c>
      <c r="AV15" s="350" t="s">
        <v>602</v>
      </c>
      <c r="AW15" s="350" t="s">
        <v>583</v>
      </c>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c r="BZ15" s="303"/>
      <c r="CA15" s="303"/>
      <c r="CB15" s="303"/>
      <c r="CC15" s="303"/>
      <c r="CD15" s="303"/>
      <c r="CE15" s="303"/>
      <c r="CF15" s="303"/>
      <c r="CG15" s="303"/>
      <c r="CH15" s="303"/>
      <c r="CI15" s="303"/>
      <c r="CJ15" s="303"/>
      <c r="CK15" s="303"/>
      <c r="CL15" s="303"/>
      <c r="CM15" s="303"/>
      <c r="CN15" s="303"/>
      <c r="CO15" s="303"/>
      <c r="CP15" s="303"/>
    </row>
    <row r="16" spans="1:94" s="23" customFormat="1" ht="14.25" customHeight="1">
      <c r="A16" s="293" t="s">
        <v>603</v>
      </c>
      <c r="B16" s="294"/>
      <c r="C16" s="294"/>
      <c r="D16" s="294"/>
      <c r="E16" s="294"/>
      <c r="F16" s="294"/>
      <c r="G16" s="295"/>
      <c r="H16" s="1076"/>
      <c r="I16" s="1075"/>
      <c r="J16" s="1077"/>
      <c r="K16" s="1140"/>
      <c r="L16" s="1141"/>
      <c r="M16" s="1142"/>
      <c r="N16" s="1076"/>
      <c r="O16" s="1075"/>
      <c r="P16" s="1077"/>
      <c r="Q16" s="1143">
        <f>'Diesel F'!G20</f>
        <v>44.890193469756099</v>
      </c>
      <c r="R16" s="1144"/>
      <c r="S16" s="1145"/>
      <c r="T16" s="1073">
        <f>'Diesel F'!H5</f>
        <v>55161.599999999999</v>
      </c>
      <c r="U16" s="1109"/>
      <c r="V16" s="1074"/>
      <c r="W16" s="1076" t="s">
        <v>604</v>
      </c>
      <c r="X16" s="1075"/>
      <c r="Y16" s="1077"/>
      <c r="Z16" s="1073">
        <f>'Diesel F'!H6</f>
        <v>14652.3</v>
      </c>
      <c r="AA16" s="1109"/>
      <c r="AB16" s="1074"/>
      <c r="AC16" s="1076" t="s">
        <v>604</v>
      </c>
      <c r="AD16" s="1075"/>
      <c r="AE16" s="1077"/>
      <c r="AF16" s="1146">
        <f>'Diesel F'!H8</f>
        <v>1723.8</v>
      </c>
      <c r="AG16" s="1147"/>
      <c r="AH16" s="1148"/>
      <c r="AI16" s="1076" t="s">
        <v>604</v>
      </c>
      <c r="AJ16" s="1075"/>
      <c r="AK16" s="1077"/>
      <c r="AL16" s="303"/>
      <c r="AM16" s="303" t="s">
        <v>605</v>
      </c>
      <c r="AN16" s="303"/>
      <c r="AO16" s="303"/>
      <c r="AP16" s="351">
        <v>1020</v>
      </c>
      <c r="AQ16" s="352">
        <f>AP16/$AR$9/$AR$7 * ((AN18+273.15)/(AN19+273.15))</f>
        <v>37.956295834166582</v>
      </c>
      <c r="AR16" s="353">
        <f>AX4</f>
        <v>0.13333333333333333</v>
      </c>
      <c r="AS16" s="354">
        <f>AR16*$AR$6/1055.06</f>
        <v>5.7374304146999541E-5</v>
      </c>
      <c r="AT16" s="355">
        <f>AS16*$Q$16*1000000</f>
        <v>2575.543613351439</v>
      </c>
      <c r="AU16" s="356">
        <f>AX5</f>
        <v>3.3333333333333333E-2</v>
      </c>
      <c r="AV16" s="354">
        <f>AU16*$AR$6/1055.06</f>
        <v>1.4343576036749885E-5</v>
      </c>
      <c r="AW16" s="355">
        <f>AV16*$Q$16*1000000</f>
        <v>643.88590333785976</v>
      </c>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3"/>
      <c r="CJ16" s="303"/>
      <c r="CK16" s="303"/>
      <c r="CL16" s="303"/>
      <c r="CM16" s="303"/>
      <c r="CN16" s="303"/>
      <c r="CO16" s="303"/>
      <c r="CP16" s="303"/>
    </row>
    <row r="17" spans="1:94" s="23" customFormat="1" ht="14.25" customHeight="1">
      <c r="A17" s="296" t="s">
        <v>118</v>
      </c>
      <c r="B17" s="297"/>
      <c r="C17" s="297"/>
      <c r="D17" s="297"/>
      <c r="E17" s="297"/>
      <c r="F17" s="297"/>
      <c r="G17" s="298"/>
      <c r="H17" s="1131">
        <v>305.24099999999999</v>
      </c>
      <c r="I17" s="1132"/>
      <c r="J17" s="1133"/>
      <c r="K17" s="1134">
        <v>832.5</v>
      </c>
      <c r="L17" s="1135"/>
      <c r="M17" s="1136"/>
      <c r="N17" s="1137">
        <v>42.588000000000001</v>
      </c>
      <c r="O17" s="1138"/>
      <c r="P17" s="1139"/>
      <c r="Q17" s="1137">
        <v>45.612000000000002</v>
      </c>
      <c r="R17" s="1138"/>
      <c r="S17" s="1139"/>
      <c r="T17" s="1066">
        <f>$Q$17/$Q$16*T16</f>
        <v>56048.564390686515</v>
      </c>
      <c r="U17" s="1110"/>
      <c r="V17" s="1067"/>
      <c r="W17" s="1114">
        <f>T17/1000000/K17</f>
        <v>6.7325602871695514E-5</v>
      </c>
      <c r="X17" s="1115"/>
      <c r="Y17" s="1116"/>
      <c r="Z17" s="1066">
        <f>$Q$17/$Q$16*Z16</f>
        <v>14887.899916276105</v>
      </c>
      <c r="AA17" s="1110"/>
      <c r="AB17" s="1067"/>
      <c r="AC17" s="1114">
        <f>Z17/1000000/K17</f>
        <v>1.7883363262794121E-5</v>
      </c>
      <c r="AD17" s="1115"/>
      <c r="AE17" s="1116"/>
      <c r="AF17" s="1066">
        <f>$Q$17/$Q$16*AF16</f>
        <v>1751.5176372089536</v>
      </c>
      <c r="AG17" s="1110"/>
      <c r="AH17" s="1067"/>
      <c r="AI17" s="1060">
        <f>AF17/1000000/K17</f>
        <v>2.1039250897404848E-6</v>
      </c>
      <c r="AJ17" s="1059"/>
      <c r="AK17" s="1063"/>
      <c r="AL17" s="303"/>
      <c r="AM17" s="24" t="s">
        <v>606</v>
      </c>
      <c r="AN17" s="24">
        <v>60</v>
      </c>
      <c r="AO17" s="23" t="s">
        <v>607</v>
      </c>
      <c r="AP17" s="303"/>
      <c r="AQ17" s="303"/>
      <c r="AR17" s="345" t="s">
        <v>116</v>
      </c>
      <c r="AS17" s="347"/>
      <c r="AT17" s="348"/>
      <c r="AU17" s="345" t="s">
        <v>122</v>
      </c>
      <c r="AV17" s="347"/>
      <c r="AW17" s="348"/>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row>
    <row r="18" spans="1:94" s="23" customFormat="1" ht="14.25" customHeight="1">
      <c r="A18" s="299"/>
      <c r="B18" s="147"/>
      <c r="C18" s="147"/>
      <c r="D18" s="147"/>
      <c r="E18" s="147"/>
      <c r="F18" s="147"/>
      <c r="G18" s="147"/>
      <c r="H18" s="1053"/>
      <c r="I18" s="1032"/>
      <c r="J18" s="1034"/>
      <c r="K18" s="1120"/>
      <c r="L18" s="1121"/>
      <c r="M18" s="1122"/>
      <c r="N18" s="1123"/>
      <c r="O18" s="1069"/>
      <c r="P18" s="1124"/>
      <c r="Q18" s="1125"/>
      <c r="R18" s="1126"/>
      <c r="S18" s="1127"/>
      <c r="T18" s="1086"/>
      <c r="U18" s="1087"/>
      <c r="V18" s="1088"/>
      <c r="W18" s="1089"/>
      <c r="X18" s="1090"/>
      <c r="Y18" s="1091"/>
      <c r="Z18" s="1086"/>
      <c r="AA18" s="1087"/>
      <c r="AB18" s="1088"/>
      <c r="AC18" s="1089"/>
      <c r="AD18" s="1090"/>
      <c r="AE18" s="1091"/>
      <c r="AF18" s="1128"/>
      <c r="AG18" s="1129"/>
      <c r="AH18" s="1130"/>
      <c r="AI18" s="1089"/>
      <c r="AJ18" s="1090"/>
      <c r="AK18" s="1091"/>
      <c r="AL18" s="303"/>
      <c r="AM18" s="24" t="s">
        <v>608</v>
      </c>
      <c r="AN18" s="357">
        <f>(AN17 - 32) * 5/9</f>
        <v>15.555555555555555</v>
      </c>
      <c r="AO18" s="23" t="s">
        <v>609</v>
      </c>
      <c r="AP18" s="303"/>
      <c r="AQ18" s="303"/>
      <c r="AR18" s="349" t="s">
        <v>386</v>
      </c>
      <c r="AS18" s="350" t="s">
        <v>602</v>
      </c>
      <c r="AT18" s="350" t="s">
        <v>583</v>
      </c>
      <c r="AU18" s="349" t="s">
        <v>386</v>
      </c>
      <c r="AV18" s="350" t="s">
        <v>602</v>
      </c>
      <c r="AW18" s="350" t="s">
        <v>583</v>
      </c>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c r="BZ18" s="303"/>
      <c r="CA18" s="303"/>
      <c r="CB18" s="303"/>
      <c r="CC18" s="303"/>
      <c r="CD18" s="303"/>
      <c r="CE18" s="303"/>
      <c r="CF18" s="303"/>
      <c r="CG18" s="303"/>
      <c r="CH18" s="303"/>
      <c r="CI18" s="303"/>
      <c r="CJ18" s="303"/>
      <c r="CK18" s="303"/>
      <c r="CL18" s="303"/>
      <c r="CM18" s="303"/>
      <c r="CN18" s="303"/>
      <c r="CO18" s="303"/>
      <c r="CP18" s="303"/>
    </row>
    <row r="19" spans="1:94" s="23" customFormat="1" ht="14.25" customHeight="1">
      <c r="A19" s="224" t="s">
        <v>589</v>
      </c>
      <c r="B19" s="291"/>
      <c r="C19" s="291"/>
      <c r="D19" s="291"/>
      <c r="E19" s="291"/>
      <c r="F19" s="291"/>
      <c r="G19" s="152"/>
      <c r="H19" s="1117" t="s">
        <v>122</v>
      </c>
      <c r="I19" s="1118"/>
      <c r="J19" s="1119"/>
      <c r="K19" s="1117" t="s">
        <v>122</v>
      </c>
      <c r="L19" s="1118"/>
      <c r="M19" s="1119"/>
      <c r="N19" s="1117" t="s">
        <v>124</v>
      </c>
      <c r="O19" s="1118"/>
      <c r="P19" s="1119"/>
      <c r="Q19" s="1117" t="s">
        <v>124</v>
      </c>
      <c r="R19" s="1118"/>
      <c r="S19" s="1119"/>
      <c r="T19" s="1117" t="s">
        <v>123</v>
      </c>
      <c r="U19" s="1118"/>
      <c r="V19" s="1119"/>
      <c r="W19" s="1117" t="s">
        <v>123</v>
      </c>
      <c r="X19" s="1118"/>
      <c r="Y19" s="1119"/>
      <c r="Z19" s="1117" t="s">
        <v>125</v>
      </c>
      <c r="AA19" s="1118"/>
      <c r="AB19" s="1119"/>
      <c r="AC19" s="1117" t="s">
        <v>125</v>
      </c>
      <c r="AD19" s="1118"/>
      <c r="AE19" s="1119"/>
      <c r="AF19" s="358" t="s">
        <v>610</v>
      </c>
      <c r="AG19" s="31"/>
      <c r="AH19" s="31"/>
      <c r="AI19" s="31"/>
      <c r="AJ19" s="31"/>
      <c r="AK19" s="226"/>
      <c r="AL19" s="303"/>
      <c r="AM19" s="24" t="s">
        <v>611</v>
      </c>
      <c r="AN19" s="24">
        <v>15.6</v>
      </c>
      <c r="AO19" s="23" t="s">
        <v>609</v>
      </c>
      <c r="AP19" s="303"/>
      <c r="AQ19" s="303"/>
      <c r="AR19" s="356">
        <f>AX6</f>
        <v>4.6666666666666669E-2</v>
      </c>
      <c r="AS19" s="354">
        <f>AR19*$AR$6/1055.06</f>
        <v>2.0081006451449841E-5</v>
      </c>
      <c r="AT19" s="355">
        <f>AS19*$Q$16*1000000</f>
        <v>901.44026467300375</v>
      </c>
      <c r="AU19" s="351">
        <v>0.37446000000000002</v>
      </c>
      <c r="AV19" s="354">
        <f>AU19*$AR$6/1055.06</f>
        <v>1.6113286448164087E-4</v>
      </c>
      <c r="AW19" s="355">
        <f>AV19*$Q$16*1000000</f>
        <v>7233.2854609168498</v>
      </c>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c r="BZ19" s="303"/>
      <c r="CA19" s="303"/>
      <c r="CB19" s="303"/>
      <c r="CC19" s="303"/>
      <c r="CD19" s="303"/>
      <c r="CE19" s="303"/>
      <c r="CF19" s="303"/>
      <c r="CG19" s="303"/>
      <c r="CH19" s="303"/>
      <c r="CI19" s="303"/>
      <c r="CJ19" s="303"/>
      <c r="CK19" s="303"/>
      <c r="CL19" s="303"/>
      <c r="CM19" s="303"/>
      <c r="CN19" s="303"/>
      <c r="CO19" s="303"/>
      <c r="CP19" s="303"/>
    </row>
    <row r="20" spans="1:94" s="23" customFormat="1" ht="14.25" customHeight="1">
      <c r="A20" s="292"/>
      <c r="B20" s="147"/>
      <c r="C20" s="147"/>
      <c r="D20" s="147"/>
      <c r="E20" s="147"/>
      <c r="F20" s="147"/>
      <c r="G20" s="149"/>
      <c r="H20" s="1089" t="s">
        <v>598</v>
      </c>
      <c r="I20" s="1090"/>
      <c r="J20" s="1091"/>
      <c r="K20" s="1089" t="s">
        <v>599</v>
      </c>
      <c r="L20" s="1090"/>
      <c r="M20" s="1091"/>
      <c r="N20" s="1089" t="s">
        <v>598</v>
      </c>
      <c r="O20" s="1090"/>
      <c r="P20" s="1091"/>
      <c r="Q20" s="1089" t="s">
        <v>599</v>
      </c>
      <c r="R20" s="1090"/>
      <c r="S20" s="1091"/>
      <c r="T20" s="1089" t="s">
        <v>598</v>
      </c>
      <c r="U20" s="1090"/>
      <c r="V20" s="1091"/>
      <c r="W20" s="1089" t="s">
        <v>599</v>
      </c>
      <c r="X20" s="1090"/>
      <c r="Y20" s="1091"/>
      <c r="Z20" s="1089" t="s">
        <v>598</v>
      </c>
      <c r="AA20" s="1090"/>
      <c r="AB20" s="1091"/>
      <c r="AC20" s="1089" t="s">
        <v>599</v>
      </c>
      <c r="AD20" s="1090"/>
      <c r="AE20" s="1091"/>
      <c r="AF20" s="300"/>
      <c r="AG20" s="301"/>
      <c r="AH20" s="302"/>
      <c r="AI20" s="31"/>
      <c r="AJ20" s="31"/>
      <c r="AK20" s="32"/>
      <c r="AL20" s="303"/>
      <c r="AM20" s="336"/>
      <c r="AN20" s="303"/>
      <c r="AO20" s="303"/>
      <c r="AP20" s="303"/>
      <c r="AQ20" s="303"/>
      <c r="AR20" s="345" t="s">
        <v>123</v>
      </c>
      <c r="AS20" s="347"/>
      <c r="AT20" s="348"/>
      <c r="AU20" s="345" t="s">
        <v>604</v>
      </c>
      <c r="AV20" s="347"/>
      <c r="AW20" s="348"/>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3"/>
      <c r="CA20" s="303"/>
      <c r="CB20" s="303"/>
      <c r="CC20" s="303"/>
      <c r="CD20" s="303"/>
      <c r="CE20" s="303"/>
      <c r="CF20" s="303"/>
      <c r="CG20" s="303"/>
      <c r="CH20" s="303"/>
      <c r="CI20" s="303"/>
      <c r="CJ20" s="303"/>
      <c r="CK20" s="303"/>
      <c r="CL20" s="303"/>
      <c r="CM20" s="303"/>
      <c r="CN20" s="303"/>
      <c r="CO20" s="303"/>
      <c r="CP20" s="303"/>
    </row>
    <row r="21" spans="1:94" s="23" customFormat="1" ht="14.25" customHeight="1">
      <c r="A21" s="293" t="str">
        <f>A16</f>
        <v>Reference Gas</v>
      </c>
      <c r="B21" s="294"/>
      <c r="C21" s="294"/>
      <c r="D21" s="294"/>
      <c r="E21" s="294"/>
      <c r="F21" s="294"/>
      <c r="G21" s="295"/>
      <c r="H21" s="1073"/>
      <c r="I21" s="1109"/>
      <c r="J21" s="1074"/>
      <c r="K21" s="1076" t="s">
        <v>604</v>
      </c>
      <c r="L21" s="1075"/>
      <c r="M21" s="1077"/>
      <c r="N21" s="1073">
        <f>'Diesel F'!H7</f>
        <v>17410.38</v>
      </c>
      <c r="O21" s="1109"/>
      <c r="P21" s="1074"/>
      <c r="Q21" s="1076" t="s">
        <v>604</v>
      </c>
      <c r="R21" s="1075"/>
      <c r="S21" s="1077"/>
      <c r="T21" s="1073"/>
      <c r="U21" s="1109"/>
      <c r="V21" s="1074"/>
      <c r="W21" s="1214" t="s">
        <v>604</v>
      </c>
      <c r="X21" s="1215"/>
      <c r="Y21" s="1216"/>
      <c r="Z21" s="1073"/>
      <c r="AA21" s="1109"/>
      <c r="AB21" s="1074"/>
      <c r="AC21" s="1076" t="s">
        <v>604</v>
      </c>
      <c r="AD21" s="1075"/>
      <c r="AE21" s="1077"/>
      <c r="AF21" s="300"/>
      <c r="AG21" s="31"/>
      <c r="AH21" s="302"/>
      <c r="AI21" s="31"/>
      <c r="AJ21" s="31"/>
      <c r="AK21" s="32"/>
      <c r="AL21" s="303"/>
      <c r="AM21" s="303"/>
      <c r="AN21" s="303"/>
      <c r="AO21" s="303"/>
      <c r="AP21" s="303"/>
      <c r="AQ21" s="303"/>
      <c r="AR21" s="349" t="s">
        <v>386</v>
      </c>
      <c r="AS21" s="350" t="s">
        <v>602</v>
      </c>
      <c r="AT21" s="350" t="s">
        <v>583</v>
      </c>
      <c r="AU21" s="349"/>
      <c r="AV21" s="350"/>
      <c r="AW21" s="350"/>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3"/>
      <c r="CA21" s="303"/>
      <c r="CB21" s="303"/>
      <c r="CC21" s="303"/>
      <c r="CD21" s="303"/>
      <c r="CE21" s="303"/>
      <c r="CF21" s="303"/>
      <c r="CG21" s="303"/>
      <c r="CH21" s="303"/>
      <c r="CI21" s="303"/>
      <c r="CJ21" s="303"/>
      <c r="CK21" s="303"/>
      <c r="CL21" s="303"/>
      <c r="CM21" s="303"/>
      <c r="CN21" s="303"/>
      <c r="CO21" s="303"/>
      <c r="CP21" s="303"/>
    </row>
    <row r="22" spans="1:94" s="23" customFormat="1" ht="14.25" customHeight="1">
      <c r="A22" s="296" t="str">
        <f>A17</f>
        <v>Diesel</v>
      </c>
      <c r="B22" s="297"/>
      <c r="C22" s="297"/>
      <c r="D22" s="297"/>
      <c r="E22" s="297"/>
      <c r="F22" s="297"/>
      <c r="G22" s="298"/>
      <c r="H22" s="1066"/>
      <c r="I22" s="1110"/>
      <c r="J22" s="1067"/>
      <c r="K22" s="1114"/>
      <c r="L22" s="1115"/>
      <c r="M22" s="1116"/>
      <c r="N22" s="1066">
        <f>$Q$17/$Q$16*N21</f>
        <v>17690.328135810432</v>
      </c>
      <c r="O22" s="1110"/>
      <c r="P22" s="1067"/>
      <c r="Q22" s="1114">
        <f>N22/1000000/K17</f>
        <v>2.1249643406378895E-5</v>
      </c>
      <c r="R22" s="1115"/>
      <c r="S22" s="1116"/>
      <c r="T22" s="1099"/>
      <c r="U22" s="1048"/>
      <c r="V22" s="1058"/>
      <c r="W22" s="1211"/>
      <c r="X22" s="1212"/>
      <c r="Y22" s="1213"/>
      <c r="Z22" s="1066"/>
      <c r="AA22" s="1110"/>
      <c r="AB22" s="1067"/>
      <c r="AC22" s="1114"/>
      <c r="AD22" s="1115"/>
      <c r="AE22" s="1116"/>
      <c r="AF22" s="31"/>
      <c r="AG22" s="31"/>
      <c r="AH22" s="31"/>
      <c r="AI22" s="31"/>
      <c r="AJ22" s="31"/>
      <c r="AK22" s="32"/>
      <c r="AL22" s="303"/>
      <c r="AM22" s="303"/>
      <c r="AN22" s="303"/>
      <c r="AO22" s="303"/>
      <c r="AP22" s="303"/>
      <c r="AQ22" s="303"/>
      <c r="AR22" s="356">
        <f>AX8</f>
        <v>6.9333333333333339E-3</v>
      </c>
      <c r="AS22" s="354">
        <f>AR22*$AR$6/1055.06</f>
        <v>2.9834638156439767E-6</v>
      </c>
      <c r="AT22" s="355">
        <f>AS22*$Q$16*1000000</f>
        <v>133.92826789427485</v>
      </c>
      <c r="AU22" s="351"/>
      <c r="AV22" s="359"/>
      <c r="AW22" s="355"/>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row>
    <row r="23" spans="1:94" s="23" customFormat="1" ht="14.25" customHeight="1">
      <c r="A23" s="299"/>
      <c r="B23" s="31"/>
      <c r="C23" s="31"/>
      <c r="D23" s="31"/>
      <c r="E23" s="31"/>
      <c r="F23" s="31"/>
      <c r="G23" s="32"/>
      <c r="H23" s="1045"/>
      <c r="I23" s="1033"/>
      <c r="J23" s="1046"/>
      <c r="K23" s="1089"/>
      <c r="L23" s="1090"/>
      <c r="M23" s="1091"/>
      <c r="N23" s="1045"/>
      <c r="O23" s="1033"/>
      <c r="P23" s="1046"/>
      <c r="Q23" s="1096"/>
      <c r="R23" s="1097"/>
      <c r="S23" s="1098"/>
      <c r="T23" s="1099"/>
      <c r="U23" s="1048"/>
      <c r="V23" s="1058"/>
      <c r="W23" s="1096"/>
      <c r="X23" s="1097"/>
      <c r="Y23" s="1098"/>
      <c r="Z23" s="1086"/>
      <c r="AA23" s="1087"/>
      <c r="AB23" s="1088"/>
      <c r="AC23" s="1089"/>
      <c r="AD23" s="1090"/>
      <c r="AE23" s="1091"/>
      <c r="AF23" s="31"/>
      <c r="AG23" s="31"/>
      <c r="AH23" s="31"/>
      <c r="AI23" s="31"/>
      <c r="AJ23" s="31"/>
      <c r="AK23" s="32"/>
      <c r="AL23" s="303"/>
      <c r="AM23" s="303"/>
      <c r="AN23" s="303"/>
      <c r="AO23" s="303"/>
      <c r="AP23" s="303"/>
      <c r="AQ23" s="303"/>
      <c r="AR23" s="345" t="s">
        <v>124</v>
      </c>
      <c r="AS23" s="347"/>
      <c r="AT23" s="348"/>
      <c r="AU23" s="345" t="s">
        <v>125</v>
      </c>
      <c r="AV23" s="347"/>
      <c r="AW23" s="348"/>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row>
    <row r="24" spans="1:94" s="23" customFormat="1" ht="14.25" customHeight="1">
      <c r="A24" s="224" t="s">
        <v>612</v>
      </c>
      <c r="B24" s="27"/>
      <c r="C24" s="27"/>
      <c r="D24" s="27"/>
      <c r="E24" s="27"/>
      <c r="F24" s="27"/>
      <c r="G24" s="27"/>
      <c r="H24" s="27"/>
      <c r="I24" s="27"/>
      <c r="J24" s="27"/>
      <c r="K24" s="27"/>
      <c r="L24" s="27"/>
      <c r="M24" s="27"/>
      <c r="N24" s="27"/>
      <c r="O24" s="27"/>
      <c r="P24" s="27"/>
      <c r="Q24" s="27"/>
      <c r="R24" s="27"/>
      <c r="S24" s="226"/>
      <c r="T24" s="224" t="s">
        <v>613</v>
      </c>
      <c r="U24" s="27"/>
      <c r="V24" s="27"/>
      <c r="W24" s="27"/>
      <c r="X24" s="27"/>
      <c r="Y24" s="27"/>
      <c r="Z24" s="27"/>
      <c r="AA24" s="27"/>
      <c r="AB24" s="27"/>
      <c r="AC24" s="27"/>
      <c r="AD24" s="27"/>
      <c r="AE24" s="27"/>
      <c r="AF24" s="27"/>
      <c r="AG24" s="27"/>
      <c r="AH24" s="27"/>
      <c r="AI24" s="27"/>
      <c r="AJ24" s="27"/>
      <c r="AK24" s="226"/>
      <c r="AL24" s="303"/>
      <c r="AM24" s="303"/>
      <c r="AN24" s="303"/>
      <c r="AO24" s="303"/>
      <c r="AP24" s="303"/>
      <c r="AQ24" s="303"/>
      <c r="AR24" s="349" t="s">
        <v>386</v>
      </c>
      <c r="AS24" s="350" t="s">
        <v>602</v>
      </c>
      <c r="AT24" s="350" t="s">
        <v>583</v>
      </c>
      <c r="AU24" s="349" t="s">
        <v>386</v>
      </c>
      <c r="AV24" s="350" t="s">
        <v>602</v>
      </c>
      <c r="AW24" s="350" t="s">
        <v>583</v>
      </c>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3"/>
      <c r="CA24" s="303"/>
      <c r="CB24" s="303"/>
      <c r="CC24" s="303"/>
      <c r="CD24" s="303"/>
      <c r="CE24" s="303"/>
      <c r="CF24" s="303"/>
      <c r="CG24" s="303"/>
      <c r="CH24" s="303"/>
      <c r="CI24" s="303"/>
      <c r="CJ24" s="303"/>
      <c r="CK24" s="303"/>
      <c r="CL24" s="303"/>
      <c r="CM24" s="303"/>
      <c r="CN24" s="303"/>
      <c r="CO24" s="303"/>
      <c r="CP24" s="303"/>
    </row>
    <row r="25" spans="1:94" s="23" customFormat="1" ht="14.25" customHeight="1">
      <c r="A25" s="299" t="s">
        <v>614</v>
      </c>
      <c r="B25" s="31"/>
      <c r="C25" s="31"/>
      <c r="D25" s="31"/>
      <c r="E25" s="31"/>
      <c r="F25" s="31"/>
      <c r="G25" s="31"/>
      <c r="H25" s="360">
        <v>0.30499999999999999</v>
      </c>
      <c r="I25" s="31" t="s">
        <v>590</v>
      </c>
      <c r="J25" s="31"/>
      <c r="K25" s="31"/>
      <c r="L25" s="31" t="s">
        <v>615</v>
      </c>
      <c r="M25" s="31"/>
      <c r="N25" s="31"/>
      <c r="O25" s="31"/>
      <c r="P25" s="31"/>
      <c r="Q25" s="31"/>
      <c r="R25" s="31"/>
      <c r="S25" s="32" t="s">
        <v>616</v>
      </c>
      <c r="T25" s="1092" t="str">
        <f>A17</f>
        <v>Diesel</v>
      </c>
      <c r="U25" s="1093"/>
      <c r="V25" s="1093"/>
      <c r="W25" s="1093"/>
      <c r="X25" s="1094">
        <v>58.274999999999999</v>
      </c>
      <c r="Y25" s="1094"/>
      <c r="Z25" s="1094"/>
      <c r="AA25" s="1093" t="s">
        <v>617</v>
      </c>
      <c r="AB25" s="1093"/>
      <c r="AC25" s="1095">
        <f>X25/H17</f>
        <v>0.19091471984431974</v>
      </c>
      <c r="AD25" s="1095"/>
      <c r="AE25" s="1093" t="s">
        <v>618</v>
      </c>
      <c r="AF25" s="1093"/>
      <c r="AG25" s="1093"/>
      <c r="AH25" s="1083">
        <f>X25*N17/3600</f>
        <v>0.68939325000000007</v>
      </c>
      <c r="AI25" s="1083"/>
      <c r="AJ25" s="361" t="s">
        <v>590</v>
      </c>
      <c r="AK25" s="362"/>
      <c r="AL25" s="303"/>
      <c r="AM25" s="363">
        <f>X25*W22</f>
        <v>0</v>
      </c>
      <c r="AN25" s="303"/>
      <c r="AO25" s="303"/>
      <c r="AP25" s="303"/>
      <c r="AQ25" s="303"/>
      <c r="AR25" s="351">
        <f>AX7</f>
        <v>0.01</v>
      </c>
      <c r="AS25" s="354">
        <f>AR25*$AR$6/1055.06</f>
        <v>4.3030728110249664E-6</v>
      </c>
      <c r="AT25" s="355">
        <f>AS25*$Q$16*1000000</f>
        <v>193.16577100135797</v>
      </c>
      <c r="AU25" s="356">
        <f>AX9</f>
        <v>3.5333333333333336E-3</v>
      </c>
      <c r="AV25" s="354">
        <f>AU25*$AR$6/1055.06</f>
        <v>1.5204190598954882E-6</v>
      </c>
      <c r="AW25" s="355">
        <f>AV25*$Q$16*1000000</f>
        <v>68.251905753813148</v>
      </c>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3"/>
      <c r="CA25" s="303"/>
      <c r="CB25" s="303"/>
      <c r="CC25" s="303"/>
      <c r="CD25" s="303"/>
      <c r="CE25" s="303"/>
      <c r="CF25" s="303"/>
      <c r="CG25" s="303"/>
      <c r="CH25" s="303"/>
      <c r="CI25" s="303"/>
      <c r="CJ25" s="303"/>
      <c r="CK25" s="303"/>
      <c r="CL25" s="303"/>
      <c r="CM25" s="303"/>
      <c r="CN25" s="303"/>
      <c r="CO25" s="303"/>
      <c r="CP25" s="303"/>
    </row>
    <row r="26" spans="1:94" s="23" customFormat="1" ht="14.25" customHeight="1">
      <c r="A26" s="292" t="s">
        <v>619</v>
      </c>
      <c r="B26" s="147"/>
      <c r="C26" s="147"/>
      <c r="D26" s="147"/>
      <c r="E26" s="147"/>
      <c r="F26" s="147"/>
      <c r="G26" s="147"/>
      <c r="H26" s="364"/>
      <c r="I26" s="147" t="s">
        <v>590</v>
      </c>
      <c r="J26" s="147"/>
      <c r="K26" s="147"/>
      <c r="L26" s="147"/>
      <c r="M26" s="147"/>
      <c r="N26" s="147"/>
      <c r="O26" s="147"/>
      <c r="P26" s="147"/>
      <c r="Q26" s="147"/>
      <c r="R26" s="147"/>
      <c r="S26" s="149"/>
      <c r="T26" s="1084"/>
      <c r="U26" s="1085"/>
      <c r="V26" s="1022"/>
      <c r="W26" s="1022"/>
      <c r="X26" s="1021"/>
      <c r="Y26" s="1021"/>
      <c r="Z26" s="1021"/>
      <c r="AA26" s="1022"/>
      <c r="AB26" s="1022"/>
      <c r="AC26" s="1021"/>
      <c r="AD26" s="1021"/>
      <c r="AE26" s="1022"/>
      <c r="AF26" s="1022"/>
      <c r="AG26" s="1022"/>
      <c r="AH26" s="1021"/>
      <c r="AI26" s="1021"/>
      <c r="AJ26" s="31"/>
      <c r="AK26" s="32"/>
      <c r="AL26" s="303"/>
      <c r="AM26" s="363">
        <f>W22*SUM(N33:O42)</f>
        <v>0</v>
      </c>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3"/>
      <c r="CA26" s="303"/>
      <c r="CB26" s="303"/>
      <c r="CC26" s="303"/>
      <c r="CD26" s="303"/>
      <c r="CE26" s="303"/>
      <c r="CF26" s="303"/>
      <c r="CG26" s="303"/>
      <c r="CH26" s="303"/>
      <c r="CI26" s="303"/>
      <c r="CJ26" s="303"/>
      <c r="CK26" s="303"/>
      <c r="CL26" s="303"/>
      <c r="CM26" s="303"/>
      <c r="CN26" s="303"/>
      <c r="CO26" s="303"/>
      <c r="CP26" s="303"/>
    </row>
    <row r="27" spans="1:94" s="23" customFormat="1" ht="14.25" customHeight="1">
      <c r="A27" s="1081"/>
      <c r="B27" s="1081"/>
      <c r="C27" s="1081"/>
      <c r="D27" s="1081"/>
      <c r="E27" s="1081"/>
      <c r="F27" s="1042" t="str">
        <f>A17</f>
        <v>Diesel</v>
      </c>
      <c r="G27" s="1043"/>
      <c r="H27" s="1043"/>
      <c r="I27" s="1043"/>
      <c r="J27" s="1043"/>
      <c r="K27" s="1043"/>
      <c r="L27" s="1043"/>
      <c r="M27" s="1043"/>
      <c r="N27" s="1043"/>
      <c r="O27" s="1043"/>
      <c r="P27" s="1043"/>
      <c r="Q27" s="1043"/>
      <c r="R27" s="1043"/>
      <c r="S27" s="1043"/>
      <c r="T27" s="1043"/>
      <c r="U27" s="1080"/>
      <c r="V27" s="31"/>
      <c r="W27" s="31"/>
      <c r="X27" s="270">
        <f>AH25</f>
        <v>0.68939325000000007</v>
      </c>
      <c r="Y27" s="31" t="s">
        <v>590</v>
      </c>
      <c r="Z27" s="31"/>
      <c r="AA27" s="31"/>
      <c r="AB27" s="31"/>
      <c r="AC27" s="31"/>
      <c r="AD27" s="31"/>
      <c r="AE27" s="31"/>
      <c r="AF27" s="31"/>
      <c r="AG27" s="31"/>
      <c r="AH27" s="31"/>
      <c r="AI27" s="31"/>
      <c r="AJ27" s="31"/>
      <c r="AK27" s="32"/>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row>
    <row r="28" spans="1:94" s="23" customFormat="1" ht="14.25" customHeight="1">
      <c r="A28" s="365" t="s">
        <v>620</v>
      </c>
      <c r="B28" s="31"/>
      <c r="C28" s="31"/>
      <c r="D28" s="31"/>
      <c r="E28" s="31"/>
      <c r="F28" s="1082"/>
      <c r="G28" s="1082"/>
      <c r="H28" s="1082"/>
      <c r="I28" s="1082"/>
      <c r="J28" s="1079" t="s">
        <v>120</v>
      </c>
      <c r="K28" s="1079"/>
      <c r="L28" s="1079"/>
      <c r="M28" s="1079"/>
      <c r="N28" s="1082" t="s">
        <v>621</v>
      </c>
      <c r="O28" s="1082"/>
      <c r="P28" s="1079" t="s">
        <v>622</v>
      </c>
      <c r="Q28" s="1079"/>
      <c r="R28" s="1079"/>
      <c r="S28" s="1079"/>
      <c r="T28" s="1079"/>
      <c r="U28" s="1079"/>
      <c r="V28" s="31"/>
      <c r="W28" s="31"/>
      <c r="X28" s="31">
        <v>52</v>
      </c>
      <c r="Y28" s="31" t="s">
        <v>623</v>
      </c>
      <c r="Z28" s="31"/>
      <c r="AA28" s="31"/>
      <c r="AB28" s="31"/>
      <c r="AC28" s="31"/>
      <c r="AD28" s="31"/>
      <c r="AE28" s="31"/>
      <c r="AF28" s="31"/>
      <c r="AG28" s="31"/>
      <c r="AH28" s="31"/>
      <c r="AI28" s="31"/>
      <c r="AJ28" s="31"/>
      <c r="AK28" s="32"/>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row>
    <row r="29" spans="1:94" s="23" customFormat="1" ht="14.25" customHeight="1">
      <c r="A29" s="299"/>
      <c r="B29" s="31"/>
      <c r="C29" s="31"/>
      <c r="D29" s="31"/>
      <c r="E29" s="31"/>
      <c r="F29" s="1082"/>
      <c r="G29" s="1082"/>
      <c r="H29" s="1082"/>
      <c r="I29" s="1082"/>
      <c r="J29" s="1079" t="s">
        <v>624</v>
      </c>
      <c r="K29" s="1079"/>
      <c r="L29" s="1079" t="s">
        <v>625</v>
      </c>
      <c r="M29" s="1079"/>
      <c r="N29" s="1082"/>
      <c r="O29" s="1082"/>
      <c r="P29" s="1079"/>
      <c r="Q29" s="1079"/>
      <c r="R29" s="1079"/>
      <c r="S29" s="1079"/>
      <c r="T29" s="1079"/>
      <c r="U29" s="1079"/>
      <c r="V29" s="31"/>
      <c r="W29" s="31"/>
      <c r="X29" s="31">
        <f>X27*X28</f>
        <v>35.848449000000002</v>
      </c>
      <c r="Y29" s="31" t="s">
        <v>626</v>
      </c>
      <c r="Z29" s="31"/>
      <c r="AA29" s="31"/>
      <c r="AB29" s="31"/>
      <c r="AC29" s="31"/>
      <c r="AD29" s="31"/>
      <c r="AE29" s="31"/>
      <c r="AF29" s="31"/>
      <c r="AG29" s="31"/>
      <c r="AH29" s="31"/>
      <c r="AI29" s="31"/>
      <c r="AJ29" s="31"/>
      <c r="AK29" s="32"/>
      <c r="AL29" s="340"/>
      <c r="AM29" s="366" t="s">
        <v>627</v>
      </c>
      <c r="AN29" s="367"/>
      <c r="AO29" s="367"/>
      <c r="AP29" s="367"/>
      <c r="AQ29" s="367"/>
      <c r="AR29" s="368"/>
      <c r="AS29" s="366" t="s">
        <v>628</v>
      </c>
      <c r="AT29" s="368"/>
      <c r="AU29" s="366" t="s">
        <v>629</v>
      </c>
      <c r="AV29" s="367"/>
      <c r="AW29" s="367"/>
      <c r="AX29" s="368"/>
      <c r="AY29" s="340"/>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3"/>
      <c r="CA29" s="303"/>
      <c r="CB29" s="303"/>
      <c r="CC29" s="303"/>
      <c r="CD29" s="303"/>
      <c r="CE29" s="303"/>
      <c r="CF29" s="303"/>
      <c r="CG29" s="303"/>
      <c r="CH29" s="303"/>
      <c r="CI29" s="303"/>
      <c r="CJ29" s="303"/>
      <c r="CK29" s="303"/>
      <c r="CL29" s="303"/>
      <c r="CM29" s="303"/>
      <c r="CN29" s="303"/>
      <c r="CO29" s="303"/>
      <c r="CP29" s="303"/>
    </row>
    <row r="30" spans="1:94" s="23" customFormat="1" ht="14.25" customHeight="1">
      <c r="A30" s="1078" t="s">
        <v>630</v>
      </c>
      <c r="B30" s="1078"/>
      <c r="C30" s="1078"/>
      <c r="D30" s="1078"/>
      <c r="E30" s="1078"/>
      <c r="F30" s="1079" t="s">
        <v>631</v>
      </c>
      <c r="G30" s="1079"/>
      <c r="H30" s="1079" t="s">
        <v>618</v>
      </c>
      <c r="I30" s="1079"/>
      <c r="J30" s="1080" t="s">
        <v>618</v>
      </c>
      <c r="K30" s="1079"/>
      <c r="L30" s="1079" t="s">
        <v>618</v>
      </c>
      <c r="M30" s="1079"/>
      <c r="N30" s="1079" t="s">
        <v>617</v>
      </c>
      <c r="O30" s="1079"/>
      <c r="P30" s="1079" t="s">
        <v>631</v>
      </c>
      <c r="Q30" s="1079"/>
      <c r="R30" s="1042" t="s">
        <v>618</v>
      </c>
      <c r="S30" s="1080"/>
      <c r="T30" s="1042" t="s">
        <v>617</v>
      </c>
      <c r="U30" s="1080"/>
      <c r="V30" s="31"/>
      <c r="W30" s="31"/>
      <c r="X30" s="31">
        <f>X29*3600/1000</f>
        <v>129.05441640000001</v>
      </c>
      <c r="Y30" s="31" t="s">
        <v>632</v>
      </c>
      <c r="Z30" s="31"/>
      <c r="AA30" s="31"/>
      <c r="AB30" s="31"/>
      <c r="AC30" s="31"/>
      <c r="AD30" s="31"/>
      <c r="AE30" s="31"/>
      <c r="AF30" s="31"/>
      <c r="AG30" s="31"/>
      <c r="AH30" s="31"/>
      <c r="AI30" s="31"/>
      <c r="AJ30" s="31"/>
      <c r="AK30" s="32"/>
      <c r="AL30" s="340"/>
      <c r="AM30" s="369" t="s">
        <v>633</v>
      </c>
      <c r="AN30" s="369" t="s">
        <v>634</v>
      </c>
      <c r="AO30" s="369" t="s">
        <v>635</v>
      </c>
      <c r="AP30" s="369" t="s">
        <v>636</v>
      </c>
      <c r="AQ30" s="369" t="s">
        <v>637</v>
      </c>
      <c r="AR30" s="369" t="s">
        <v>590</v>
      </c>
      <c r="AS30" s="369" t="s">
        <v>428</v>
      </c>
      <c r="AT30" s="369" t="s">
        <v>429</v>
      </c>
      <c r="AU30" s="369" t="s">
        <v>126</v>
      </c>
      <c r="AV30" s="369" t="s">
        <v>431</v>
      </c>
      <c r="AW30" s="369" t="s">
        <v>429</v>
      </c>
      <c r="AX30" s="369" t="s">
        <v>124</v>
      </c>
      <c r="AY30" s="340"/>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3"/>
      <c r="CA30" s="303"/>
      <c r="CB30" s="303"/>
      <c r="CC30" s="303"/>
      <c r="CD30" s="303"/>
      <c r="CE30" s="303"/>
      <c r="CF30" s="303"/>
      <c r="CG30" s="303"/>
      <c r="CH30" s="303"/>
      <c r="CI30" s="303"/>
      <c r="CJ30" s="303"/>
      <c r="CK30" s="303"/>
      <c r="CL30" s="303"/>
      <c r="CM30" s="303"/>
      <c r="CN30" s="303"/>
      <c r="CO30" s="303"/>
      <c r="CP30" s="303"/>
    </row>
    <row r="31" spans="1:94" s="23" customFormat="1" ht="14.25" customHeight="1">
      <c r="A31" s="370" t="s">
        <v>638</v>
      </c>
      <c r="B31" s="371"/>
      <c r="C31" s="371"/>
      <c r="D31" s="371"/>
      <c r="E31" s="372"/>
      <c r="F31" s="1049">
        <v>0</v>
      </c>
      <c r="G31" s="1050"/>
      <c r="H31" s="1073">
        <f t="shared" ref="H31:H52" si="1">F31*$AC$25</f>
        <v>0</v>
      </c>
      <c r="I31" s="1074"/>
      <c r="J31" s="1075"/>
      <c r="K31" s="1075"/>
      <c r="L31" s="1076"/>
      <c r="M31" s="1075"/>
      <c r="N31" s="1076">
        <f t="shared" ref="N31:N52" si="2">SUM(H31,J31,L31)*AR31</f>
        <v>0</v>
      </c>
      <c r="O31" s="1075"/>
      <c r="P31" s="1076">
        <f>R31/$R$53</f>
        <v>0</v>
      </c>
      <c r="Q31" s="1077"/>
      <c r="R31" s="1076">
        <v>0</v>
      </c>
      <c r="S31" s="1075"/>
      <c r="T31" s="1076">
        <v>0</v>
      </c>
      <c r="U31" s="1077"/>
      <c r="V31" s="31"/>
      <c r="W31" s="31"/>
      <c r="X31" s="272"/>
      <c r="Y31" s="272"/>
      <c r="Z31" s="31"/>
      <c r="AA31" s="31"/>
      <c r="AB31" s="31"/>
      <c r="AC31" s="31"/>
      <c r="AD31" s="31"/>
      <c r="AE31" s="31"/>
      <c r="AF31" s="31"/>
      <c r="AG31" s="31"/>
      <c r="AH31" s="31"/>
      <c r="AI31" s="31"/>
      <c r="AJ31" s="31"/>
      <c r="AK31" s="32"/>
      <c r="AL31" s="340"/>
      <c r="AM31" s="373"/>
      <c r="AN31" s="373">
        <v>2</v>
      </c>
      <c r="AO31" s="373"/>
      <c r="AP31" s="373"/>
      <c r="AQ31" s="373"/>
      <c r="AR31" s="374">
        <f>AM31*12.01+AN31*1.008+AO31*16+AP31*14+AQ31*32</f>
        <v>2.016</v>
      </c>
      <c r="AS31" s="373">
        <f>AM31*1+AN31*0.25+AQ31*1</f>
        <v>0.5</v>
      </c>
      <c r="AT31" s="374">
        <f>0.79/0.21*AS31</f>
        <v>1.8809523809523812</v>
      </c>
      <c r="AU31" s="373">
        <f>1*AM31</f>
        <v>0</v>
      </c>
      <c r="AV31" s="373">
        <f>AN31/2</f>
        <v>1</v>
      </c>
      <c r="AW31" s="374">
        <f>AP31*0.5+AT31</f>
        <v>1.8809523809523812</v>
      </c>
      <c r="AX31" s="373">
        <f>AQ31*1</f>
        <v>0</v>
      </c>
      <c r="AY31" s="340"/>
      <c r="AZ31" s="303"/>
      <c r="BA31" s="303"/>
      <c r="BB31" s="303"/>
      <c r="BC31" s="303"/>
      <c r="BD31" s="303"/>
      <c r="BE31" s="303" t="s">
        <v>639</v>
      </c>
      <c r="BF31" s="303">
        <v>1.4415226502516399E-10</v>
      </c>
      <c r="BG31" s="303"/>
      <c r="BH31" s="303"/>
      <c r="BI31" s="303"/>
      <c r="BJ31" s="303"/>
      <c r="BK31" s="303"/>
      <c r="BL31" s="303"/>
      <c r="BM31" s="303"/>
      <c r="BN31" s="303"/>
      <c r="BO31" s="303"/>
      <c r="BP31" s="303"/>
      <c r="BQ31" s="303"/>
      <c r="BR31" s="303"/>
      <c r="BS31" s="303"/>
      <c r="BT31" s="303"/>
      <c r="BU31" s="303"/>
      <c r="BV31" s="303"/>
      <c r="BW31" s="303"/>
      <c r="BX31" s="303"/>
      <c r="BY31" s="303"/>
      <c r="BZ31" s="303"/>
      <c r="CA31" s="303"/>
      <c r="CB31" s="303"/>
      <c r="CC31" s="303"/>
      <c r="CD31" s="303"/>
      <c r="CE31" s="303"/>
      <c r="CF31" s="303"/>
      <c r="CG31" s="303"/>
      <c r="CH31" s="303"/>
      <c r="CI31" s="303"/>
      <c r="CJ31" s="303"/>
      <c r="CK31" s="303"/>
      <c r="CL31" s="303"/>
      <c r="CM31" s="303"/>
      <c r="CN31" s="303"/>
      <c r="CO31" s="303"/>
      <c r="CP31" s="303"/>
    </row>
    <row r="32" spans="1:94" s="23" customFormat="1" ht="14.25" customHeight="1">
      <c r="A32" s="375" t="s">
        <v>122</v>
      </c>
      <c r="B32" s="376"/>
      <c r="C32" s="376"/>
      <c r="D32" s="376"/>
      <c r="E32" s="377"/>
      <c r="F32" s="1049">
        <f>BF33</f>
        <v>3.7672634101823899E-6</v>
      </c>
      <c r="G32" s="1050"/>
      <c r="H32" s="1051">
        <f>F32*$AC$25</f>
        <v>7.192260385347275E-7</v>
      </c>
      <c r="I32" s="1052"/>
      <c r="J32" s="1059"/>
      <c r="K32" s="1059"/>
      <c r="L32" s="1060"/>
      <c r="M32" s="1059"/>
      <c r="N32" s="1054">
        <f t="shared" si="2"/>
        <v>1.1537824110174099E-5</v>
      </c>
      <c r="O32" s="1055"/>
      <c r="P32" s="1061">
        <f>R32/$R$53</f>
        <v>0</v>
      </c>
      <c r="Q32" s="1062"/>
      <c r="R32" s="1060">
        <f>T32/$AR32</f>
        <v>0</v>
      </c>
      <c r="S32" s="1059"/>
      <c r="T32" s="1064">
        <f>$K$22*$X$25</f>
        <v>0</v>
      </c>
      <c r="U32" s="1065"/>
      <c r="V32" s="31"/>
      <c r="W32" s="31"/>
      <c r="X32" s="1183" t="s">
        <v>883</v>
      </c>
      <c r="Y32" s="1188"/>
      <c r="Z32" s="1188"/>
      <c r="AA32" s="1188"/>
      <c r="AB32" s="1188"/>
      <c r="AC32" s="1188"/>
      <c r="AD32" s="1188"/>
      <c r="AE32" s="1188"/>
      <c r="AF32" s="1188"/>
      <c r="AG32" s="1188"/>
      <c r="AH32" s="1188"/>
      <c r="AI32" s="1188"/>
      <c r="AJ32" s="270"/>
      <c r="AK32" s="378"/>
      <c r="AL32" s="340"/>
      <c r="AM32" s="373">
        <v>1</v>
      </c>
      <c r="AN32" s="373">
        <v>4</v>
      </c>
      <c r="AO32" s="373"/>
      <c r="AP32" s="373"/>
      <c r="AQ32" s="373"/>
      <c r="AR32" s="374">
        <f t="shared" ref="AR32:AR47" si="3">AM32*12.01+AN32*1.008+AO32*16+AP32*14+AQ32*32</f>
        <v>16.042000000000002</v>
      </c>
      <c r="AS32" s="373">
        <f t="shared" ref="AS32:AS46" si="4">AM32*1+AN32*0.25+AQ32*1</f>
        <v>2</v>
      </c>
      <c r="AT32" s="374">
        <f t="shared" ref="AT32:AT46" si="5">0.79/0.21*AS32</f>
        <v>7.5238095238095246</v>
      </c>
      <c r="AU32" s="373">
        <f t="shared" ref="AU32:AU46" si="6">1*AM32</f>
        <v>1</v>
      </c>
      <c r="AV32" s="373">
        <f t="shared" ref="AV32:AV46" si="7">AN32/2</f>
        <v>2</v>
      </c>
      <c r="AW32" s="374">
        <f t="shared" ref="AW32:AW46" si="8">AP32*0.5+AT32</f>
        <v>7.5238095238095246</v>
      </c>
      <c r="AX32" s="373">
        <f t="shared" ref="AX32:AX46" si="9">AQ32*1</f>
        <v>0</v>
      </c>
      <c r="AY32" s="340"/>
      <c r="AZ32" s="303"/>
      <c r="BA32" s="303"/>
      <c r="BB32" s="303"/>
      <c r="BC32" s="303"/>
      <c r="BD32" s="303"/>
      <c r="BE32" s="303" t="s">
        <v>126</v>
      </c>
      <c r="BF32" s="303">
        <v>1.04835044112351E-6</v>
      </c>
      <c r="BG32" s="303"/>
      <c r="BH32" s="303"/>
      <c r="BI32" s="303"/>
      <c r="BJ32" s="303"/>
      <c r="BK32" s="303"/>
      <c r="BL32" s="303"/>
      <c r="BM32" s="303"/>
      <c r="BN32" s="303"/>
      <c r="BO32" s="303"/>
      <c r="BP32" s="303"/>
      <c r="BQ32" s="303"/>
      <c r="BR32" s="303"/>
      <c r="BS32" s="303"/>
      <c r="BT32" s="303"/>
      <c r="BU32" s="303"/>
      <c r="BV32" s="303"/>
      <c r="BW32" s="303"/>
      <c r="BX32" s="303"/>
      <c r="BY32" s="303"/>
      <c r="BZ32" s="303"/>
      <c r="CA32" s="303"/>
      <c r="CB32" s="303"/>
      <c r="CC32" s="303"/>
      <c r="CD32" s="303"/>
      <c r="CE32" s="303"/>
      <c r="CF32" s="303"/>
      <c r="CG32" s="303"/>
      <c r="CH32" s="303"/>
      <c r="CI32" s="303"/>
      <c r="CJ32" s="303"/>
      <c r="CK32" s="303"/>
      <c r="CL32" s="303"/>
      <c r="CM32" s="303"/>
      <c r="CN32" s="303"/>
      <c r="CO32" s="303"/>
      <c r="CP32" s="303"/>
    </row>
    <row r="33" spans="1:94" s="23" customFormat="1" ht="14.25" customHeight="1">
      <c r="A33" s="375" t="s">
        <v>641</v>
      </c>
      <c r="B33" s="376"/>
      <c r="C33" s="376"/>
      <c r="D33" s="376"/>
      <c r="E33" s="377"/>
      <c r="F33" s="1049">
        <v>0</v>
      </c>
      <c r="G33" s="1050"/>
      <c r="H33" s="1051">
        <f t="shared" si="1"/>
        <v>0</v>
      </c>
      <c r="I33" s="1052"/>
      <c r="J33" s="1059"/>
      <c r="K33" s="1059"/>
      <c r="L33" s="1060"/>
      <c r="M33" s="1059"/>
      <c r="N33" s="1054">
        <f t="shared" si="2"/>
        <v>0</v>
      </c>
      <c r="O33" s="1055"/>
      <c r="P33" s="1061">
        <f t="shared" ref="P33:P52" si="10">R33/$R$53</f>
        <v>0</v>
      </c>
      <c r="Q33" s="1062"/>
      <c r="R33" s="1059">
        <f>T33/$AR33</f>
        <v>0</v>
      </c>
      <c r="S33" s="1059"/>
      <c r="T33" s="1060">
        <f t="shared" ref="T33:T42" si="11">$W$22*N33</f>
        <v>0</v>
      </c>
      <c r="U33" s="1063"/>
      <c r="V33" s="31"/>
      <c r="W33" s="31"/>
      <c r="X33" s="1188"/>
      <c r="Y33" s="1188"/>
      <c r="Z33" s="1188"/>
      <c r="AA33" s="1188"/>
      <c r="AB33" s="1188"/>
      <c r="AC33" s="1188"/>
      <c r="AD33" s="1188"/>
      <c r="AE33" s="1188"/>
      <c r="AF33" s="1188"/>
      <c r="AG33" s="1188"/>
      <c r="AH33" s="1188"/>
      <c r="AI33" s="1188"/>
      <c r="AJ33" s="270"/>
      <c r="AK33" s="378"/>
      <c r="AL33" s="340"/>
      <c r="AM33" s="373">
        <v>2</v>
      </c>
      <c r="AN33" s="373">
        <v>4</v>
      </c>
      <c r="AO33" s="373"/>
      <c r="AP33" s="373"/>
      <c r="AQ33" s="373"/>
      <c r="AR33" s="374">
        <f t="shared" si="3"/>
        <v>28.052</v>
      </c>
      <c r="AS33" s="373">
        <f t="shared" si="4"/>
        <v>3</v>
      </c>
      <c r="AT33" s="374">
        <f>0.79/0.21*AS33</f>
        <v>11.285714285714286</v>
      </c>
      <c r="AU33" s="373">
        <f t="shared" si="6"/>
        <v>2</v>
      </c>
      <c r="AV33" s="373">
        <f t="shared" si="7"/>
        <v>2</v>
      </c>
      <c r="AW33" s="374">
        <f t="shared" si="8"/>
        <v>11.285714285714286</v>
      </c>
      <c r="AX33" s="373">
        <f t="shared" si="9"/>
        <v>0</v>
      </c>
      <c r="AY33" s="340"/>
      <c r="AZ33" s="303"/>
      <c r="BA33" s="303"/>
      <c r="BB33" s="303"/>
      <c r="BC33" s="303"/>
      <c r="BD33" s="303"/>
      <c r="BE33" s="303" t="s">
        <v>642</v>
      </c>
      <c r="BF33" s="303">
        <v>3.7672634101823899E-6</v>
      </c>
      <c r="BG33" s="303"/>
      <c r="BH33" s="303"/>
      <c r="BI33" s="303"/>
      <c r="BJ33" s="303"/>
      <c r="BK33" s="303"/>
      <c r="BL33" s="303"/>
      <c r="BM33" s="303"/>
      <c r="BN33" s="303"/>
      <c r="BO33" s="303"/>
      <c r="BP33" s="303"/>
      <c r="BQ33" s="303"/>
      <c r="BR33" s="303"/>
      <c r="BS33" s="303"/>
      <c r="BT33" s="303"/>
      <c r="BU33" s="303"/>
      <c r="BV33" s="303"/>
      <c r="BW33" s="303"/>
      <c r="BX33" s="303"/>
      <c r="BY33" s="303"/>
      <c r="BZ33" s="303"/>
      <c r="CA33" s="303"/>
      <c r="CB33" s="303"/>
      <c r="CC33" s="303"/>
      <c r="CD33" s="303"/>
      <c r="CE33" s="303"/>
      <c r="CF33" s="303"/>
      <c r="CG33" s="303"/>
      <c r="CH33" s="303"/>
      <c r="CI33" s="303"/>
      <c r="CJ33" s="303"/>
      <c r="CK33" s="303"/>
      <c r="CL33" s="303"/>
      <c r="CM33" s="303"/>
      <c r="CN33" s="303"/>
      <c r="CO33" s="303"/>
      <c r="CP33" s="303"/>
    </row>
    <row r="34" spans="1:94" s="23" customFormat="1" ht="14.25" customHeight="1">
      <c r="A34" s="375" t="s">
        <v>643</v>
      </c>
      <c r="B34" s="376"/>
      <c r="C34" s="376"/>
      <c r="D34" s="376"/>
      <c r="E34" s="377"/>
      <c r="F34" s="1049">
        <f>BF34</f>
        <v>2.32021919756754E-4</v>
      </c>
      <c r="G34" s="1050"/>
      <c r="H34" s="1051">
        <f t="shared" si="1"/>
        <v>4.4296399808101926E-5</v>
      </c>
      <c r="I34" s="1052"/>
      <c r="J34" s="1059"/>
      <c r="K34" s="1059"/>
      <c r="L34" s="1060"/>
      <c r="M34" s="1059"/>
      <c r="N34" s="1054">
        <f t="shared" si="2"/>
        <v>1.3319041494300086E-3</v>
      </c>
      <c r="O34" s="1055"/>
      <c r="P34" s="1061">
        <f t="shared" si="10"/>
        <v>0</v>
      </c>
      <c r="Q34" s="1062"/>
      <c r="R34" s="1059">
        <f>T34/$AR34</f>
        <v>0</v>
      </c>
      <c r="S34" s="1059"/>
      <c r="T34" s="1061">
        <f t="shared" si="11"/>
        <v>0</v>
      </c>
      <c r="U34" s="1062"/>
      <c r="V34" s="31"/>
      <c r="W34" s="31"/>
      <c r="X34" s="1188"/>
      <c r="Y34" s="1188"/>
      <c r="Z34" s="1188"/>
      <c r="AA34" s="1188"/>
      <c r="AB34" s="1188"/>
      <c r="AC34" s="1188"/>
      <c r="AD34" s="1188"/>
      <c r="AE34" s="1188"/>
      <c r="AF34" s="1188"/>
      <c r="AG34" s="1188"/>
      <c r="AH34" s="1188"/>
      <c r="AI34" s="1188"/>
      <c r="AJ34" s="270"/>
      <c r="AK34" s="378"/>
      <c r="AL34" s="340"/>
      <c r="AM34" s="373">
        <v>2</v>
      </c>
      <c r="AN34" s="373">
        <v>6</v>
      </c>
      <c r="AO34" s="373"/>
      <c r="AP34" s="373"/>
      <c r="AQ34" s="373"/>
      <c r="AR34" s="374">
        <f t="shared" si="3"/>
        <v>30.067999999999998</v>
      </c>
      <c r="AS34" s="373">
        <f t="shared" si="4"/>
        <v>3.5</v>
      </c>
      <c r="AT34" s="374">
        <f t="shared" si="5"/>
        <v>13.166666666666668</v>
      </c>
      <c r="AU34" s="373">
        <f t="shared" si="6"/>
        <v>2</v>
      </c>
      <c r="AV34" s="373">
        <f t="shared" si="7"/>
        <v>3</v>
      </c>
      <c r="AW34" s="374">
        <f t="shared" si="8"/>
        <v>13.166666666666668</v>
      </c>
      <c r="AX34" s="373">
        <f t="shared" si="9"/>
        <v>0</v>
      </c>
      <c r="AY34" s="340"/>
      <c r="AZ34" s="303"/>
      <c r="BA34" s="303"/>
      <c r="BB34" s="303"/>
      <c r="BC34" s="303"/>
      <c r="BD34" s="303"/>
      <c r="BE34" s="303" t="s">
        <v>644</v>
      </c>
      <c r="BF34" s="303">
        <v>2.32021919756754E-4</v>
      </c>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3"/>
      <c r="CF34" s="303"/>
      <c r="CG34" s="303"/>
      <c r="CH34" s="303"/>
      <c r="CI34" s="303"/>
      <c r="CJ34" s="303"/>
      <c r="CK34" s="303"/>
      <c r="CL34" s="303"/>
      <c r="CM34" s="303"/>
      <c r="CN34" s="303"/>
      <c r="CO34" s="303"/>
      <c r="CP34" s="303"/>
    </row>
    <row r="35" spans="1:94" s="23" customFormat="1" ht="14.25" customHeight="1">
      <c r="A35" s="375" t="s">
        <v>418</v>
      </c>
      <c r="B35" s="376"/>
      <c r="C35" s="376"/>
      <c r="D35" s="376"/>
      <c r="E35" s="377"/>
      <c r="F35" s="1049">
        <v>0</v>
      </c>
      <c r="G35" s="1050"/>
      <c r="H35" s="1051">
        <f t="shared" si="1"/>
        <v>0</v>
      </c>
      <c r="I35" s="1052"/>
      <c r="J35" s="1059"/>
      <c r="K35" s="1059"/>
      <c r="L35" s="1060"/>
      <c r="M35" s="1059"/>
      <c r="N35" s="1054">
        <f t="shared" si="2"/>
        <v>0</v>
      </c>
      <c r="O35" s="1055"/>
      <c r="P35" s="1060">
        <f t="shared" si="10"/>
        <v>0</v>
      </c>
      <c r="Q35" s="1063"/>
      <c r="R35" s="1068">
        <f t="shared" ref="R35:R42" si="12">T35/$AR35</f>
        <v>0</v>
      </c>
      <c r="S35" s="1059"/>
      <c r="T35" s="1060">
        <f t="shared" si="11"/>
        <v>0</v>
      </c>
      <c r="U35" s="1063"/>
      <c r="V35" s="31"/>
      <c r="W35" s="31"/>
      <c r="X35" s="1188"/>
      <c r="Y35" s="1188"/>
      <c r="Z35" s="1188"/>
      <c r="AA35" s="1188"/>
      <c r="AB35" s="1188"/>
      <c r="AC35" s="1188"/>
      <c r="AD35" s="1188"/>
      <c r="AE35" s="1188"/>
      <c r="AF35" s="1188"/>
      <c r="AG35" s="1188"/>
      <c r="AH35" s="1188"/>
      <c r="AI35" s="1188"/>
      <c r="AJ35" s="270"/>
      <c r="AK35" s="378"/>
      <c r="AL35" s="340"/>
      <c r="AM35" s="373">
        <v>3</v>
      </c>
      <c r="AN35" s="373">
        <v>6</v>
      </c>
      <c r="AO35" s="373"/>
      <c r="AP35" s="373"/>
      <c r="AQ35" s="373"/>
      <c r="AR35" s="374">
        <f t="shared" si="3"/>
        <v>42.078000000000003</v>
      </c>
      <c r="AS35" s="373">
        <f t="shared" si="4"/>
        <v>4.5</v>
      </c>
      <c r="AT35" s="374">
        <f t="shared" si="5"/>
        <v>16.928571428571431</v>
      </c>
      <c r="AU35" s="373">
        <f t="shared" si="6"/>
        <v>3</v>
      </c>
      <c r="AV35" s="373">
        <f t="shared" si="7"/>
        <v>3</v>
      </c>
      <c r="AW35" s="374">
        <f t="shared" si="8"/>
        <v>16.928571428571431</v>
      </c>
      <c r="AX35" s="373">
        <f t="shared" si="9"/>
        <v>0</v>
      </c>
      <c r="AY35" s="340"/>
      <c r="AZ35" s="303"/>
      <c r="BA35" s="303"/>
      <c r="BB35" s="303"/>
      <c r="BC35" s="303"/>
      <c r="BD35" s="303"/>
      <c r="BE35" s="303" t="s">
        <v>645</v>
      </c>
      <c r="BF35" s="303">
        <v>4.1140406723645098E-3</v>
      </c>
      <c r="BG35" s="303"/>
      <c r="BH35" s="303"/>
      <c r="BI35" s="303"/>
      <c r="BJ35" s="303"/>
      <c r="BK35" s="303"/>
      <c r="BL35" s="303"/>
      <c r="BM35" s="303"/>
      <c r="BN35" s="303"/>
      <c r="BO35" s="303"/>
      <c r="BP35" s="303"/>
      <c r="BQ35" s="303"/>
      <c r="BR35" s="303"/>
      <c r="BS35" s="303"/>
      <c r="BT35" s="303"/>
      <c r="BU35" s="303"/>
      <c r="BV35" s="303"/>
      <c r="BW35" s="303"/>
      <c r="BX35" s="303"/>
      <c r="BY35" s="303"/>
      <c r="BZ35" s="303"/>
      <c r="CA35" s="303"/>
      <c r="CB35" s="303"/>
      <c r="CC35" s="303"/>
      <c r="CD35" s="303"/>
      <c r="CE35" s="303"/>
      <c r="CF35" s="303"/>
      <c r="CG35" s="303"/>
      <c r="CH35" s="303"/>
      <c r="CI35" s="303"/>
      <c r="CJ35" s="303"/>
      <c r="CK35" s="303"/>
      <c r="CL35" s="303"/>
      <c r="CM35" s="303"/>
      <c r="CN35" s="303"/>
      <c r="CO35" s="303"/>
      <c r="CP35" s="303"/>
    </row>
    <row r="36" spans="1:94" s="23" customFormat="1" ht="14.25" customHeight="1">
      <c r="A36" s="375" t="s">
        <v>419</v>
      </c>
      <c r="B36" s="376"/>
      <c r="C36" s="376"/>
      <c r="D36" s="376"/>
      <c r="E36" s="377"/>
      <c r="F36" s="1049">
        <f>BF35</f>
        <v>4.1140406723645098E-3</v>
      </c>
      <c r="G36" s="1050"/>
      <c r="H36" s="1051">
        <f t="shared" si="1"/>
        <v>7.8543092239260722E-4</v>
      </c>
      <c r="I36" s="1052"/>
      <c r="J36" s="1059"/>
      <c r="K36" s="1059"/>
      <c r="L36" s="1060"/>
      <c r="M36" s="1059"/>
      <c r="N36" s="1054">
        <f t="shared" si="2"/>
        <v>3.4632791091979621E-2</v>
      </c>
      <c r="O36" s="1055"/>
      <c r="P36" s="1061">
        <f t="shared" si="10"/>
        <v>0</v>
      </c>
      <c r="Q36" s="1062"/>
      <c r="R36" s="1059">
        <f t="shared" si="12"/>
        <v>0</v>
      </c>
      <c r="S36" s="1059"/>
      <c r="T36" s="1061">
        <f t="shared" si="11"/>
        <v>0</v>
      </c>
      <c r="U36" s="1062"/>
      <c r="V36" s="31"/>
      <c r="W36" s="31"/>
      <c r="X36" s="1188"/>
      <c r="Y36" s="1188"/>
      <c r="Z36" s="1188"/>
      <c r="AA36" s="1188"/>
      <c r="AB36" s="1188"/>
      <c r="AC36" s="1188"/>
      <c r="AD36" s="1188"/>
      <c r="AE36" s="1188"/>
      <c r="AF36" s="1188"/>
      <c r="AG36" s="1188"/>
      <c r="AH36" s="1188"/>
      <c r="AI36" s="1188"/>
      <c r="AJ36" s="270"/>
      <c r="AK36" s="378"/>
      <c r="AL36" s="340"/>
      <c r="AM36" s="373">
        <v>3</v>
      </c>
      <c r="AN36" s="373">
        <v>8</v>
      </c>
      <c r="AO36" s="373"/>
      <c r="AP36" s="373"/>
      <c r="AQ36" s="373"/>
      <c r="AR36" s="374">
        <f t="shared" si="3"/>
        <v>44.094000000000001</v>
      </c>
      <c r="AS36" s="373">
        <f t="shared" si="4"/>
        <v>5</v>
      </c>
      <c r="AT36" s="374">
        <f t="shared" si="5"/>
        <v>18.80952380952381</v>
      </c>
      <c r="AU36" s="373">
        <f t="shared" si="6"/>
        <v>3</v>
      </c>
      <c r="AV36" s="373">
        <f t="shared" si="7"/>
        <v>4</v>
      </c>
      <c r="AW36" s="374">
        <f t="shared" si="8"/>
        <v>18.80952380952381</v>
      </c>
      <c r="AX36" s="373">
        <f t="shared" si="9"/>
        <v>0</v>
      </c>
      <c r="AY36" s="340"/>
      <c r="AZ36" s="303"/>
      <c r="BA36" s="303"/>
      <c r="BB36" s="303"/>
      <c r="BC36" s="303"/>
      <c r="BD36" s="303"/>
      <c r="BE36" s="303" t="s">
        <v>646</v>
      </c>
      <c r="BF36" s="303">
        <v>4.2987554978870402E-3</v>
      </c>
      <c r="BG36" s="303"/>
      <c r="BH36" s="303"/>
      <c r="BI36" s="303"/>
      <c r="BJ36" s="303"/>
      <c r="BK36" s="303"/>
      <c r="BL36" s="303"/>
      <c r="BM36" s="303"/>
      <c r="BN36" s="303"/>
      <c r="BO36" s="303"/>
      <c r="BP36" s="303"/>
      <c r="BQ36" s="303"/>
      <c r="BR36" s="303"/>
      <c r="BS36" s="303"/>
      <c r="BT36" s="303"/>
      <c r="BU36" s="303"/>
      <c r="BV36" s="303"/>
      <c r="BW36" s="303"/>
      <c r="BX36" s="303"/>
      <c r="BY36" s="303"/>
      <c r="BZ36" s="303"/>
      <c r="CA36" s="303"/>
      <c r="CB36" s="303"/>
      <c r="CC36" s="303"/>
      <c r="CD36" s="303"/>
      <c r="CE36" s="303"/>
      <c r="CF36" s="303"/>
      <c r="CG36" s="303"/>
      <c r="CH36" s="303"/>
      <c r="CI36" s="303"/>
      <c r="CJ36" s="303"/>
      <c r="CK36" s="303"/>
      <c r="CL36" s="303"/>
      <c r="CM36" s="303"/>
      <c r="CN36" s="303"/>
      <c r="CO36" s="303"/>
      <c r="CP36" s="303"/>
    </row>
    <row r="37" spans="1:94" s="23" customFormat="1" ht="14.25" customHeight="1">
      <c r="A37" s="375" t="s">
        <v>420</v>
      </c>
      <c r="B37" s="376"/>
      <c r="C37" s="376"/>
      <c r="D37" s="376"/>
      <c r="E37" s="377"/>
      <c r="F37" s="1049">
        <v>0</v>
      </c>
      <c r="G37" s="1050"/>
      <c r="H37" s="1051">
        <f t="shared" si="1"/>
        <v>0</v>
      </c>
      <c r="I37" s="1052"/>
      <c r="J37" s="1059"/>
      <c r="K37" s="1059"/>
      <c r="L37" s="1060"/>
      <c r="M37" s="1059"/>
      <c r="N37" s="1054">
        <f t="shared" si="2"/>
        <v>0</v>
      </c>
      <c r="O37" s="1055"/>
      <c r="P37" s="1060">
        <f t="shared" si="10"/>
        <v>0</v>
      </c>
      <c r="Q37" s="1063"/>
      <c r="R37" s="1068">
        <f t="shared" si="12"/>
        <v>0</v>
      </c>
      <c r="S37" s="1059"/>
      <c r="T37" s="1060">
        <f t="shared" si="11"/>
        <v>0</v>
      </c>
      <c r="U37" s="1063"/>
      <c r="V37" s="31"/>
      <c r="W37" s="31"/>
      <c r="X37" s="272"/>
      <c r="Y37" s="272"/>
      <c r="Z37" s="31"/>
      <c r="AA37" s="31"/>
      <c r="AB37" s="31"/>
      <c r="AC37" s="31"/>
      <c r="AD37" s="31"/>
      <c r="AE37" s="31"/>
      <c r="AF37" s="31"/>
      <c r="AG37" s="31"/>
      <c r="AH37" s="379"/>
      <c r="AI37" s="31"/>
      <c r="AJ37" s="380"/>
      <c r="AK37" s="381"/>
      <c r="AL37" s="340"/>
      <c r="AM37" s="373">
        <v>4</v>
      </c>
      <c r="AN37" s="373">
        <v>8</v>
      </c>
      <c r="AO37" s="373"/>
      <c r="AP37" s="373"/>
      <c r="AQ37" s="373"/>
      <c r="AR37" s="374">
        <f t="shared" si="3"/>
        <v>56.103999999999999</v>
      </c>
      <c r="AS37" s="373">
        <f t="shared" si="4"/>
        <v>6</v>
      </c>
      <c r="AT37" s="374">
        <f t="shared" si="5"/>
        <v>22.571428571428573</v>
      </c>
      <c r="AU37" s="373">
        <f t="shared" si="6"/>
        <v>4</v>
      </c>
      <c r="AV37" s="373">
        <f t="shared" si="7"/>
        <v>4</v>
      </c>
      <c r="AW37" s="374">
        <f t="shared" si="8"/>
        <v>22.571428571428573</v>
      </c>
      <c r="AX37" s="373">
        <f t="shared" si="9"/>
        <v>0</v>
      </c>
      <c r="AY37" s="340"/>
      <c r="AZ37" s="303"/>
      <c r="BA37" s="303"/>
      <c r="BB37" s="303"/>
      <c r="BC37" s="303"/>
      <c r="BD37" s="303"/>
      <c r="BE37" s="303" t="s">
        <v>647</v>
      </c>
      <c r="BF37" s="303">
        <v>1.33109664079022E-2</v>
      </c>
      <c r="BG37" s="303"/>
      <c r="BH37" s="303"/>
      <c r="BI37" s="303"/>
      <c r="BJ37" s="303"/>
      <c r="BK37" s="303"/>
      <c r="BL37" s="303"/>
      <c r="BM37" s="303"/>
      <c r="BN37" s="303"/>
      <c r="BO37" s="303"/>
      <c r="BP37" s="303"/>
      <c r="BQ37" s="303"/>
      <c r="BR37" s="303"/>
      <c r="BS37" s="303"/>
      <c r="BT37" s="303"/>
      <c r="BU37" s="303"/>
      <c r="BV37" s="303"/>
      <c r="BW37" s="303"/>
      <c r="BX37" s="303"/>
      <c r="BY37" s="303"/>
      <c r="BZ37" s="303"/>
      <c r="CA37" s="303"/>
      <c r="CB37" s="303"/>
      <c r="CC37" s="303"/>
      <c r="CD37" s="303"/>
      <c r="CE37" s="303"/>
      <c r="CF37" s="303"/>
      <c r="CG37" s="303"/>
      <c r="CH37" s="303"/>
      <c r="CI37" s="303"/>
      <c r="CJ37" s="303"/>
      <c r="CK37" s="303"/>
      <c r="CL37" s="303"/>
      <c r="CM37" s="303"/>
      <c r="CN37" s="303"/>
      <c r="CO37" s="303"/>
      <c r="CP37" s="303"/>
    </row>
    <row r="38" spans="1:94" s="23" customFormat="1" ht="14.25" customHeight="1">
      <c r="A38" s="375" t="s">
        <v>421</v>
      </c>
      <c r="B38" s="376"/>
      <c r="C38" s="376"/>
      <c r="D38" s="376"/>
      <c r="E38" s="377"/>
      <c r="F38" s="1049">
        <f>BF36</f>
        <v>4.2987554978870402E-3</v>
      </c>
      <c r="G38" s="1050"/>
      <c r="H38" s="1051">
        <f t="shared" si="1"/>
        <v>8.2069570155833343E-4</v>
      </c>
      <c r="I38" s="1052"/>
      <c r="J38" s="1059"/>
      <c r="K38" s="1059"/>
      <c r="L38" s="1060"/>
      <c r="M38" s="1059"/>
      <c r="N38" s="1054">
        <f t="shared" si="2"/>
        <v>4.769883417457034E-2</v>
      </c>
      <c r="O38" s="1055"/>
      <c r="P38" s="1061">
        <f t="shared" si="10"/>
        <v>0</v>
      </c>
      <c r="Q38" s="1062"/>
      <c r="R38" s="1059">
        <f t="shared" si="12"/>
        <v>0</v>
      </c>
      <c r="S38" s="1059"/>
      <c r="T38" s="1061">
        <f t="shared" si="11"/>
        <v>0</v>
      </c>
      <c r="U38" s="1062"/>
      <c r="V38" s="31"/>
      <c r="W38" s="31"/>
      <c r="X38" s="272"/>
      <c r="Y38" s="272"/>
      <c r="Z38" s="31"/>
      <c r="AA38" s="31"/>
      <c r="AB38" s="31"/>
      <c r="AC38" s="31"/>
      <c r="AD38" s="272"/>
      <c r="AE38" s="272"/>
      <c r="AF38" s="382"/>
      <c r="AG38" s="382"/>
      <c r="AH38" s="31"/>
      <c r="AI38" s="31"/>
      <c r="AJ38" s="380"/>
      <c r="AK38" s="381"/>
      <c r="AL38" s="340"/>
      <c r="AM38" s="373">
        <v>4</v>
      </c>
      <c r="AN38" s="373">
        <v>10</v>
      </c>
      <c r="AO38" s="373"/>
      <c r="AP38" s="373"/>
      <c r="AQ38" s="373"/>
      <c r="AR38" s="374">
        <f>AM38*12.01+AN38*1.008+AO38*16+AP38*14+AQ38*32</f>
        <v>58.12</v>
      </c>
      <c r="AS38" s="373">
        <f t="shared" si="4"/>
        <v>6.5</v>
      </c>
      <c r="AT38" s="374">
        <f t="shared" si="5"/>
        <v>24.452380952380956</v>
      </c>
      <c r="AU38" s="373">
        <f t="shared" si="6"/>
        <v>4</v>
      </c>
      <c r="AV38" s="373">
        <f t="shared" si="7"/>
        <v>5</v>
      </c>
      <c r="AW38" s="374">
        <f t="shared" si="8"/>
        <v>24.452380952380956</v>
      </c>
      <c r="AX38" s="373">
        <f t="shared" si="9"/>
        <v>0</v>
      </c>
      <c r="AY38" s="340"/>
      <c r="AZ38" s="303"/>
      <c r="BA38" s="303"/>
      <c r="BB38" s="303"/>
      <c r="BC38" s="303"/>
      <c r="BD38" s="303"/>
      <c r="BE38" s="303" t="s">
        <v>648</v>
      </c>
      <c r="BF38" s="303">
        <v>1.4450640107125301E-2</v>
      </c>
      <c r="BG38" s="303"/>
      <c r="BH38" s="303"/>
      <c r="BI38" s="303"/>
      <c r="BJ38" s="303"/>
      <c r="BK38" s="303"/>
      <c r="BL38" s="303"/>
      <c r="BM38" s="303"/>
      <c r="BN38" s="303"/>
      <c r="BO38" s="303"/>
      <c r="BP38" s="303"/>
      <c r="BQ38" s="303"/>
      <c r="BR38" s="303"/>
      <c r="BS38" s="303"/>
      <c r="BT38" s="303"/>
      <c r="BU38" s="303"/>
      <c r="BV38" s="303"/>
      <c r="BW38" s="303"/>
      <c r="BX38" s="303"/>
      <c r="BY38" s="303"/>
      <c r="BZ38" s="303"/>
      <c r="CA38" s="303"/>
      <c r="CB38" s="303"/>
      <c r="CC38" s="303"/>
      <c r="CD38" s="303"/>
      <c r="CE38" s="303"/>
      <c r="CF38" s="303"/>
      <c r="CG38" s="303"/>
      <c r="CH38" s="303"/>
      <c r="CI38" s="303"/>
      <c r="CJ38" s="303"/>
      <c r="CK38" s="303"/>
      <c r="CL38" s="303"/>
      <c r="CM38" s="303"/>
      <c r="CN38" s="303"/>
      <c r="CO38" s="303"/>
      <c r="CP38" s="303"/>
    </row>
    <row r="39" spans="1:94" s="23" customFormat="1" ht="14.25" customHeight="1">
      <c r="A39" s="375" t="s">
        <v>422</v>
      </c>
      <c r="B39" s="376"/>
      <c r="C39" s="376"/>
      <c r="D39" s="376"/>
      <c r="E39" s="377"/>
      <c r="F39" s="1049">
        <f>BF37</f>
        <v>1.33109664079022E-2</v>
      </c>
      <c r="G39" s="1050"/>
      <c r="H39" s="1051">
        <f t="shared" si="1"/>
        <v>2.5412594226217997E-3</v>
      </c>
      <c r="I39" s="1052"/>
      <c r="J39" s="1059"/>
      <c r="K39" s="1059"/>
      <c r="L39" s="1060"/>
      <c r="M39" s="1059"/>
      <c r="N39" s="1054">
        <f t="shared" si="2"/>
        <v>0.14769799764277899</v>
      </c>
      <c r="O39" s="1055"/>
      <c r="P39" s="1061">
        <f t="shared" si="10"/>
        <v>0</v>
      </c>
      <c r="Q39" s="1062"/>
      <c r="R39" s="1059">
        <f t="shared" si="12"/>
        <v>0</v>
      </c>
      <c r="S39" s="1059"/>
      <c r="T39" s="1061">
        <f t="shared" si="11"/>
        <v>0</v>
      </c>
      <c r="U39" s="1062"/>
      <c r="V39" s="31"/>
      <c r="W39" s="31"/>
      <c r="X39" s="272"/>
      <c r="Y39" s="272"/>
      <c r="Z39" s="31"/>
      <c r="AA39" s="31"/>
      <c r="AB39" s="31"/>
      <c r="AC39" s="31"/>
      <c r="AD39" s="272"/>
      <c r="AE39" s="272"/>
      <c r="AF39" s="382"/>
      <c r="AG39" s="382"/>
      <c r="AH39" s="31"/>
      <c r="AI39" s="31"/>
      <c r="AJ39" s="270"/>
      <c r="AK39" s="378"/>
      <c r="AL39" s="340"/>
      <c r="AM39" s="373">
        <v>4</v>
      </c>
      <c r="AN39" s="373">
        <v>10</v>
      </c>
      <c r="AO39" s="373"/>
      <c r="AP39" s="373"/>
      <c r="AQ39" s="373"/>
      <c r="AR39" s="374">
        <f t="shared" si="3"/>
        <v>58.12</v>
      </c>
      <c r="AS39" s="373">
        <f t="shared" si="4"/>
        <v>6.5</v>
      </c>
      <c r="AT39" s="374">
        <f t="shared" si="5"/>
        <v>24.452380952380956</v>
      </c>
      <c r="AU39" s="373">
        <f t="shared" si="6"/>
        <v>4</v>
      </c>
      <c r="AV39" s="373">
        <f t="shared" si="7"/>
        <v>5</v>
      </c>
      <c r="AW39" s="374">
        <f t="shared" si="8"/>
        <v>24.452380952380956</v>
      </c>
      <c r="AX39" s="373">
        <f t="shared" si="9"/>
        <v>0</v>
      </c>
      <c r="AY39" s="340"/>
      <c r="AZ39" s="303"/>
      <c r="BA39" s="303"/>
      <c r="BB39" s="303"/>
      <c r="BC39" s="303"/>
      <c r="BD39" s="303"/>
      <c r="BE39" s="303" t="s">
        <v>649</v>
      </c>
      <c r="BF39" s="303">
        <v>6.3634701738995099E-5</v>
      </c>
      <c r="BG39" s="303"/>
      <c r="BH39" s="303"/>
      <c r="BI39" s="303"/>
      <c r="BJ39" s="303"/>
      <c r="BK39" s="303"/>
      <c r="BL39" s="303"/>
      <c r="BM39" s="303"/>
      <c r="BN39" s="303"/>
      <c r="BO39" s="303"/>
      <c r="BP39" s="303"/>
      <c r="BQ39" s="303"/>
      <c r="BR39" s="303"/>
      <c r="BS39" s="303"/>
      <c r="BT39" s="303"/>
      <c r="BU39" s="303"/>
      <c r="BV39" s="303"/>
      <c r="BW39" s="303"/>
      <c r="BX39" s="303"/>
      <c r="BY39" s="303"/>
      <c r="BZ39" s="303"/>
      <c r="CA39" s="303"/>
      <c r="CB39" s="303"/>
      <c r="CC39" s="303"/>
      <c r="CD39" s="303"/>
      <c r="CE39" s="303"/>
      <c r="CF39" s="303"/>
      <c r="CG39" s="303"/>
      <c r="CH39" s="303"/>
      <c r="CI39" s="303"/>
      <c r="CJ39" s="303"/>
      <c r="CK39" s="303"/>
      <c r="CL39" s="303"/>
      <c r="CM39" s="303"/>
      <c r="CN39" s="303"/>
      <c r="CO39" s="303"/>
      <c r="CP39" s="303"/>
    </row>
    <row r="40" spans="1:94" s="23" customFormat="1" ht="14.25" customHeight="1">
      <c r="A40" s="375" t="s">
        <v>423</v>
      </c>
      <c r="B40" s="376"/>
      <c r="C40" s="376"/>
      <c r="D40" s="376"/>
      <c r="E40" s="377"/>
      <c r="F40" s="1049">
        <f>BF38</f>
        <v>1.4450640107125301E-2</v>
      </c>
      <c r="G40" s="1050"/>
      <c r="H40" s="1051">
        <f t="shared" si="1"/>
        <v>2.7588399076229173E-3</v>
      </c>
      <c r="I40" s="1052"/>
      <c r="J40" s="1059"/>
      <c r="K40" s="1059"/>
      <c r="L40" s="1060"/>
      <c r="M40" s="1059"/>
      <c r="N40" s="1054">
        <f t="shared" si="2"/>
        <v>0.19903926397536298</v>
      </c>
      <c r="O40" s="1055"/>
      <c r="P40" s="1061">
        <f>R40/$R$53</f>
        <v>0</v>
      </c>
      <c r="Q40" s="1062"/>
      <c r="R40" s="1059">
        <f t="shared" si="12"/>
        <v>0</v>
      </c>
      <c r="S40" s="1059"/>
      <c r="T40" s="1061">
        <f t="shared" si="11"/>
        <v>0</v>
      </c>
      <c r="U40" s="1062"/>
      <c r="V40" s="31"/>
      <c r="W40" s="31"/>
      <c r="X40" s="272"/>
      <c r="Y40" s="272"/>
      <c r="Z40" s="31"/>
      <c r="AA40" s="31"/>
      <c r="AB40" s="31"/>
      <c r="AC40" s="31"/>
      <c r="AD40" s="272"/>
      <c r="AE40" s="272"/>
      <c r="AF40" s="382"/>
      <c r="AG40" s="382"/>
      <c r="AH40" s="31"/>
      <c r="AI40" s="31"/>
      <c r="AJ40" s="380"/>
      <c r="AK40" s="381"/>
      <c r="AL40" s="340"/>
      <c r="AM40" s="373">
        <v>5</v>
      </c>
      <c r="AN40" s="373">
        <v>12</v>
      </c>
      <c r="AO40" s="373"/>
      <c r="AP40" s="373"/>
      <c r="AQ40" s="373"/>
      <c r="AR40" s="374">
        <f t="shared" si="3"/>
        <v>72.146000000000001</v>
      </c>
      <c r="AS40" s="373">
        <f t="shared" si="4"/>
        <v>8</v>
      </c>
      <c r="AT40" s="374">
        <f t="shared" si="5"/>
        <v>30.095238095238098</v>
      </c>
      <c r="AU40" s="373">
        <f t="shared" si="6"/>
        <v>5</v>
      </c>
      <c r="AV40" s="373">
        <f t="shared" si="7"/>
        <v>6</v>
      </c>
      <c r="AW40" s="374">
        <f t="shared" si="8"/>
        <v>30.095238095238098</v>
      </c>
      <c r="AX40" s="373">
        <f t="shared" si="9"/>
        <v>0</v>
      </c>
      <c r="AY40" s="340"/>
      <c r="AZ40" s="303"/>
      <c r="BA40" s="303"/>
      <c r="BB40" s="303"/>
      <c r="BC40" s="303"/>
      <c r="BD40" s="303"/>
      <c r="BE40" s="303" t="s">
        <v>650</v>
      </c>
      <c r="BF40" s="303">
        <v>1.8657920075756399E-2</v>
      </c>
      <c r="BG40" s="303"/>
      <c r="BH40" s="303"/>
      <c r="BI40" s="303"/>
      <c r="BJ40" s="303"/>
      <c r="BK40" s="303"/>
      <c r="BL40" s="303"/>
      <c r="BM40" s="303"/>
      <c r="BN40" s="303"/>
      <c r="BO40" s="303"/>
      <c r="BP40" s="303"/>
      <c r="BQ40" s="303"/>
      <c r="BR40" s="303"/>
      <c r="BS40" s="303"/>
      <c r="BT40" s="303"/>
      <c r="BU40" s="303"/>
      <c r="BV40" s="303"/>
      <c r="BW40" s="303"/>
      <c r="BX40" s="303"/>
      <c r="BY40" s="303"/>
      <c r="BZ40" s="303"/>
      <c r="CA40" s="303"/>
      <c r="CB40" s="303"/>
      <c r="CC40" s="303"/>
      <c r="CD40" s="303"/>
      <c r="CE40" s="303"/>
      <c r="CF40" s="303"/>
      <c r="CG40" s="303"/>
      <c r="CH40" s="303"/>
      <c r="CI40" s="303"/>
      <c r="CJ40" s="303"/>
      <c r="CK40" s="303"/>
      <c r="CL40" s="303"/>
      <c r="CM40" s="303"/>
      <c r="CN40" s="303"/>
      <c r="CO40" s="303"/>
      <c r="CP40" s="303"/>
    </row>
    <row r="41" spans="1:94" s="23" customFormat="1" ht="14.25" customHeight="1">
      <c r="A41" s="375" t="s">
        <v>424</v>
      </c>
      <c r="B41" s="376"/>
      <c r="C41" s="376"/>
      <c r="D41" s="376"/>
      <c r="E41" s="377"/>
      <c r="F41" s="1049">
        <f>BF40</f>
        <v>1.8657920075756399E-2</v>
      </c>
      <c r="G41" s="1050"/>
      <c r="H41" s="1051">
        <f t="shared" si="1"/>
        <v>3.5620715841407418E-3</v>
      </c>
      <c r="I41" s="1052"/>
      <c r="J41" s="1059"/>
      <c r="K41" s="1059"/>
      <c r="L41" s="1060"/>
      <c r="M41" s="1059"/>
      <c r="N41" s="1054">
        <f t="shared" si="2"/>
        <v>0.25698921650941797</v>
      </c>
      <c r="O41" s="1055"/>
      <c r="P41" s="1061">
        <f t="shared" si="10"/>
        <v>0</v>
      </c>
      <c r="Q41" s="1062"/>
      <c r="R41" s="1059">
        <f t="shared" si="12"/>
        <v>0</v>
      </c>
      <c r="S41" s="1059"/>
      <c r="T41" s="1061">
        <f t="shared" si="11"/>
        <v>0</v>
      </c>
      <c r="U41" s="1062"/>
      <c r="V41" s="31"/>
      <c r="W41" s="31"/>
      <c r="X41" s="272"/>
      <c r="Y41" s="272"/>
      <c r="Z41" s="31"/>
      <c r="AA41" s="31"/>
      <c r="AB41" s="31"/>
      <c r="AC41" s="31"/>
      <c r="AD41" s="272"/>
      <c r="AE41" s="272"/>
      <c r="AF41" s="382"/>
      <c r="AG41" s="382"/>
      <c r="AH41" s="31"/>
      <c r="AI41" s="31"/>
      <c r="AJ41" s="380"/>
      <c r="AK41" s="381"/>
      <c r="AL41" s="340"/>
      <c r="AM41" s="373">
        <v>5</v>
      </c>
      <c r="AN41" s="373">
        <v>12</v>
      </c>
      <c r="AO41" s="373"/>
      <c r="AP41" s="373"/>
      <c r="AQ41" s="373"/>
      <c r="AR41" s="374">
        <f t="shared" si="3"/>
        <v>72.146000000000001</v>
      </c>
      <c r="AS41" s="373">
        <f t="shared" si="4"/>
        <v>8</v>
      </c>
      <c r="AT41" s="374">
        <f t="shared" si="5"/>
        <v>30.095238095238098</v>
      </c>
      <c r="AU41" s="373">
        <f t="shared" si="6"/>
        <v>5</v>
      </c>
      <c r="AV41" s="373">
        <f t="shared" si="7"/>
        <v>6</v>
      </c>
      <c r="AW41" s="374">
        <f>AP41*0.5+AT41</f>
        <v>30.095238095238098</v>
      </c>
      <c r="AX41" s="373">
        <f t="shared" si="9"/>
        <v>0</v>
      </c>
      <c r="AY41" s="340"/>
      <c r="AZ41" s="303"/>
      <c r="BA41" s="303"/>
      <c r="BB41" s="303"/>
      <c r="BC41" s="303"/>
      <c r="BD41" s="303"/>
      <c r="BE41" s="303" t="s">
        <v>651</v>
      </c>
      <c r="BF41" s="303">
        <v>2.3269838740067402E-3</v>
      </c>
      <c r="BG41" s="303"/>
      <c r="BH41" s="303"/>
      <c r="BI41" s="303"/>
      <c r="BJ41" s="303"/>
      <c r="BK41" s="303"/>
      <c r="BL41" s="303"/>
      <c r="BM41" s="303"/>
      <c r="BN41" s="303"/>
      <c r="BO41" s="303"/>
      <c r="BP41" s="303"/>
      <c r="BQ41" s="303"/>
      <c r="BR41" s="303"/>
      <c r="BS41" s="303"/>
      <c r="BT41" s="303"/>
      <c r="BU41" s="303"/>
      <c r="BV41" s="303"/>
      <c r="BW41" s="303"/>
      <c r="BX41" s="303"/>
      <c r="BY41" s="303"/>
      <c r="BZ41" s="303"/>
      <c r="CA41" s="303"/>
      <c r="CB41" s="303"/>
      <c r="CC41" s="303"/>
      <c r="CD41" s="303"/>
      <c r="CE41" s="303"/>
      <c r="CF41" s="303"/>
      <c r="CG41" s="303"/>
      <c r="CH41" s="303"/>
      <c r="CI41" s="303"/>
      <c r="CJ41" s="303"/>
      <c r="CK41" s="303"/>
      <c r="CL41" s="303"/>
      <c r="CM41" s="303"/>
      <c r="CN41" s="303"/>
      <c r="CO41" s="303"/>
      <c r="CP41" s="303"/>
    </row>
    <row r="42" spans="1:94" s="23" customFormat="1" ht="14.25" customHeight="1">
      <c r="A42" s="375" t="s">
        <v>425</v>
      </c>
      <c r="B42" s="376"/>
      <c r="C42" s="376"/>
      <c r="D42" s="376"/>
      <c r="E42" s="377"/>
      <c r="F42" s="1049">
        <f>SUM(BF41:BF75)</f>
        <v>0.94337200608568694</v>
      </c>
      <c r="G42" s="1050"/>
      <c r="H42" s="1064">
        <f t="shared" si="1"/>
        <v>0.18010360225082281</v>
      </c>
      <c r="I42" s="1065"/>
      <c r="J42" s="1059"/>
      <c r="K42" s="1059"/>
      <c r="L42" s="1060"/>
      <c r="M42" s="1059"/>
      <c r="N42" s="1054">
        <f t="shared" si="2"/>
        <v>57.58000414723908</v>
      </c>
      <c r="O42" s="1055"/>
      <c r="P42" s="1061">
        <f t="shared" si="10"/>
        <v>0</v>
      </c>
      <c r="Q42" s="1062"/>
      <c r="R42" s="1059">
        <f t="shared" si="12"/>
        <v>0</v>
      </c>
      <c r="S42" s="1059"/>
      <c r="T42" s="1061">
        <f t="shared" si="11"/>
        <v>0</v>
      </c>
      <c r="U42" s="1062"/>
      <c r="V42" s="31"/>
      <c r="W42" s="31"/>
      <c r="X42" s="272"/>
      <c r="Y42" s="272"/>
      <c r="Z42" s="31"/>
      <c r="AA42" s="31"/>
      <c r="AB42" s="31"/>
      <c r="AC42" s="31"/>
      <c r="AD42" s="272"/>
      <c r="AE42" s="272"/>
      <c r="AF42" s="382"/>
      <c r="AG42" s="382"/>
      <c r="AH42" s="31"/>
      <c r="AI42" s="31"/>
      <c r="AJ42" s="270"/>
      <c r="AK42" s="378"/>
      <c r="AL42" s="340"/>
      <c r="AM42" s="373">
        <v>22.65</v>
      </c>
      <c r="AN42" s="373">
        <f>AM42*2+2</f>
        <v>47.3</v>
      </c>
      <c r="AO42" s="373"/>
      <c r="AP42" s="373"/>
      <c r="AQ42" s="373"/>
      <c r="AR42" s="374">
        <f t="shared" si="3"/>
        <v>319.70490000000001</v>
      </c>
      <c r="AS42" s="373">
        <f t="shared" si="4"/>
        <v>34.474999999999994</v>
      </c>
      <c r="AT42" s="374">
        <f t="shared" si="5"/>
        <v>129.69166666666666</v>
      </c>
      <c r="AU42" s="373">
        <f t="shared" si="6"/>
        <v>22.65</v>
      </c>
      <c r="AV42" s="373">
        <f t="shared" si="7"/>
        <v>23.65</v>
      </c>
      <c r="AW42" s="374">
        <f t="shared" si="8"/>
        <v>129.69166666666666</v>
      </c>
      <c r="AX42" s="373">
        <f t="shared" si="9"/>
        <v>0</v>
      </c>
      <c r="AY42" s="340"/>
      <c r="AZ42" s="303"/>
      <c r="BA42" s="303"/>
      <c r="BB42" s="303"/>
      <c r="BC42" s="303"/>
      <c r="BD42" s="303"/>
      <c r="BE42" s="303" t="s">
        <v>652</v>
      </c>
      <c r="BF42" s="303">
        <v>4.2009425197160498E-3</v>
      </c>
      <c r="BG42" s="303"/>
      <c r="BH42" s="303"/>
      <c r="BI42" s="303"/>
      <c r="BJ42" s="303"/>
      <c r="BK42" s="303"/>
      <c r="BL42" s="303"/>
      <c r="BM42" s="303"/>
      <c r="BN42" s="303"/>
      <c r="BO42" s="303"/>
      <c r="BP42" s="303"/>
      <c r="BQ42" s="303"/>
      <c r="BR42" s="303"/>
      <c r="BS42" s="303"/>
      <c r="BT42" s="303"/>
      <c r="BU42" s="303"/>
      <c r="BV42" s="303"/>
      <c r="BW42" s="303"/>
      <c r="BX42" s="303"/>
      <c r="BY42" s="303"/>
      <c r="BZ42" s="303"/>
      <c r="CA42" s="303"/>
      <c r="CB42" s="303"/>
      <c r="CC42" s="303"/>
      <c r="CD42" s="303"/>
      <c r="CE42" s="303"/>
      <c r="CF42" s="303"/>
      <c r="CG42" s="303"/>
      <c r="CH42" s="303"/>
      <c r="CI42" s="303"/>
      <c r="CJ42" s="303"/>
      <c r="CK42" s="303"/>
      <c r="CL42" s="303"/>
      <c r="CM42" s="303"/>
      <c r="CN42" s="303"/>
      <c r="CO42" s="303"/>
      <c r="CP42" s="303"/>
    </row>
    <row r="43" spans="1:94" s="23" customFormat="1" ht="14.25" customHeight="1">
      <c r="A43" s="375" t="s">
        <v>426</v>
      </c>
      <c r="B43" s="376"/>
      <c r="C43" s="376"/>
      <c r="D43" s="376"/>
      <c r="E43" s="377"/>
      <c r="F43" s="1049">
        <v>0</v>
      </c>
      <c r="G43" s="1050"/>
      <c r="H43" s="1051">
        <f>F43*$AC$25</f>
        <v>0</v>
      </c>
      <c r="I43" s="1052"/>
      <c r="J43" s="1059"/>
      <c r="K43" s="1059"/>
      <c r="L43" s="1060"/>
      <c r="M43" s="1059"/>
      <c r="N43" s="1054">
        <f>SUM(H43,J43,L43)*AR43</f>
        <v>0</v>
      </c>
      <c r="O43" s="1055"/>
      <c r="P43" s="1061">
        <f t="shared" si="10"/>
        <v>0</v>
      </c>
      <c r="Q43" s="1062"/>
      <c r="R43" s="1044">
        <f>SUM(H43:M43)</f>
        <v>0</v>
      </c>
      <c r="S43" s="1059"/>
      <c r="T43" s="1060">
        <f>$N$43</f>
        <v>0</v>
      </c>
      <c r="U43" s="1063"/>
      <c r="V43" s="1032"/>
      <c r="W43" s="1032"/>
      <c r="X43" s="1048"/>
      <c r="Y43" s="1048"/>
      <c r="Z43" s="1032"/>
      <c r="AA43" s="1032"/>
      <c r="AB43" s="1032"/>
      <c r="AC43" s="1032"/>
      <c r="AD43" s="1033"/>
      <c r="AE43" s="1033"/>
      <c r="AF43" s="1047"/>
      <c r="AG43" s="1047"/>
      <c r="AH43" s="1032"/>
      <c r="AI43" s="1032"/>
      <c r="AJ43" s="1048"/>
      <c r="AK43" s="1058"/>
      <c r="AL43" s="340"/>
      <c r="AM43" s="373"/>
      <c r="AN43" s="373"/>
      <c r="AO43" s="373"/>
      <c r="AP43" s="373"/>
      <c r="AQ43" s="373"/>
      <c r="AR43" s="374">
        <v>4.0030000000000001</v>
      </c>
      <c r="AS43" s="373"/>
      <c r="AT43" s="374"/>
      <c r="AU43" s="373"/>
      <c r="AV43" s="373"/>
      <c r="AW43" s="374"/>
      <c r="AX43" s="373"/>
      <c r="AY43" s="340"/>
      <c r="AZ43" s="303"/>
      <c r="BA43" s="303"/>
      <c r="BB43" s="303"/>
      <c r="BC43" s="303"/>
      <c r="BD43" s="303"/>
      <c r="BE43" s="303" t="s">
        <v>653</v>
      </c>
      <c r="BF43" s="303">
        <v>9.2196919937145101E-4</v>
      </c>
      <c r="BG43" s="303"/>
      <c r="BH43" s="303"/>
      <c r="BI43" s="303"/>
      <c r="BJ43" s="303"/>
      <c r="BK43" s="303"/>
      <c r="BL43" s="303"/>
      <c r="BM43" s="303"/>
      <c r="BN43" s="303"/>
      <c r="BO43" s="303"/>
      <c r="BP43" s="303"/>
      <c r="BQ43" s="303"/>
      <c r="BR43" s="303"/>
      <c r="BS43" s="303"/>
      <c r="BT43" s="303"/>
      <c r="BU43" s="303"/>
      <c r="BV43" s="303"/>
      <c r="BW43" s="303"/>
      <c r="BX43" s="303"/>
      <c r="BY43" s="303"/>
      <c r="BZ43" s="303"/>
      <c r="CA43" s="303"/>
      <c r="CB43" s="303"/>
      <c r="CC43" s="303"/>
      <c r="CD43" s="303"/>
      <c r="CE43" s="303"/>
      <c r="CF43" s="303"/>
      <c r="CG43" s="303"/>
      <c r="CH43" s="303"/>
      <c r="CI43" s="303"/>
      <c r="CJ43" s="303"/>
      <c r="CK43" s="303"/>
      <c r="CL43" s="303"/>
      <c r="CM43" s="303"/>
      <c r="CN43" s="303"/>
      <c r="CO43" s="303"/>
      <c r="CP43" s="303"/>
    </row>
    <row r="44" spans="1:94" s="23" customFormat="1" ht="14.25" customHeight="1">
      <c r="A44" s="375" t="s">
        <v>427</v>
      </c>
      <c r="B44" s="376"/>
      <c r="C44" s="376"/>
      <c r="D44" s="376"/>
      <c r="E44" s="377"/>
      <c r="F44" s="1049">
        <v>0</v>
      </c>
      <c r="G44" s="1050"/>
      <c r="H44" s="1051">
        <f t="shared" si="1"/>
        <v>0</v>
      </c>
      <c r="I44" s="1052"/>
      <c r="J44" s="1059"/>
      <c r="K44" s="1059"/>
      <c r="L44" s="1060"/>
      <c r="M44" s="1059"/>
      <c r="N44" s="1054">
        <f t="shared" si="2"/>
        <v>0</v>
      </c>
      <c r="O44" s="1055"/>
      <c r="P44" s="1061">
        <f t="shared" si="10"/>
        <v>0</v>
      </c>
      <c r="Q44" s="1062"/>
      <c r="R44" s="1061">
        <f>T44/$AR44</f>
        <v>0</v>
      </c>
      <c r="S44" s="1062"/>
      <c r="T44" s="1060">
        <f>$W$22*N44</f>
        <v>0</v>
      </c>
      <c r="U44" s="1063"/>
      <c r="V44" s="1032"/>
      <c r="W44" s="1032"/>
      <c r="X44" s="1069"/>
      <c r="Y44" s="1069"/>
      <c r="Z44" s="1032"/>
      <c r="AA44" s="1032"/>
      <c r="AB44" s="1032"/>
      <c r="AC44" s="1032"/>
      <c r="AD44" s="1032"/>
      <c r="AE44" s="1032"/>
      <c r="AF44" s="1032"/>
      <c r="AG44" s="1032"/>
      <c r="AH44" s="1032"/>
      <c r="AI44" s="1032"/>
      <c r="AJ44" s="1048"/>
      <c r="AK44" s="1058"/>
      <c r="AL44" s="340"/>
      <c r="AM44" s="373"/>
      <c r="AN44" s="373">
        <v>2</v>
      </c>
      <c r="AO44" s="373"/>
      <c r="AP44" s="373"/>
      <c r="AQ44" s="373">
        <v>1</v>
      </c>
      <c r="AR44" s="374">
        <f t="shared" si="3"/>
        <v>34.015999999999998</v>
      </c>
      <c r="AS44" s="373">
        <f>AM44*1+AN44*0.25+AQ44*1</f>
        <v>1.5</v>
      </c>
      <c r="AT44" s="374">
        <f t="shared" si="5"/>
        <v>5.6428571428571432</v>
      </c>
      <c r="AU44" s="373">
        <f t="shared" si="6"/>
        <v>0</v>
      </c>
      <c r="AV44" s="373">
        <f t="shared" si="7"/>
        <v>1</v>
      </c>
      <c r="AW44" s="374">
        <f t="shared" si="8"/>
        <v>5.6428571428571432</v>
      </c>
      <c r="AX44" s="373">
        <f t="shared" si="9"/>
        <v>1</v>
      </c>
      <c r="AY44" s="340"/>
      <c r="AZ44" s="303"/>
      <c r="BA44" s="303"/>
      <c r="BB44" s="303"/>
      <c r="BC44" s="303"/>
      <c r="BD44" s="303"/>
      <c r="BE44" s="303" t="s">
        <v>654</v>
      </c>
      <c r="BF44" s="303">
        <v>5.1350871322382299E-3</v>
      </c>
      <c r="BG44" s="303"/>
      <c r="BH44" s="303"/>
      <c r="BI44" s="303"/>
      <c r="BJ44" s="303"/>
      <c r="BK44" s="303"/>
      <c r="BL44" s="303"/>
      <c r="BM44" s="303"/>
      <c r="BN44" s="303"/>
      <c r="BO44" s="303"/>
      <c r="BP44" s="303"/>
      <c r="BQ44" s="303"/>
      <c r="BR44" s="303"/>
      <c r="BS44" s="303"/>
      <c r="BT44" s="303"/>
      <c r="BU44" s="303"/>
      <c r="BV44" s="303"/>
      <c r="BW44" s="303"/>
      <c r="BX44" s="303"/>
      <c r="BY44" s="303"/>
      <c r="BZ44" s="303"/>
      <c r="CA44" s="303"/>
      <c r="CB44" s="303"/>
      <c r="CC44" s="303"/>
      <c r="CD44" s="303"/>
      <c r="CE44" s="303"/>
      <c r="CF44" s="303"/>
      <c r="CG44" s="303"/>
      <c r="CH44" s="303"/>
      <c r="CI44" s="303"/>
      <c r="CJ44" s="303"/>
      <c r="CK44" s="303"/>
      <c r="CL44" s="303"/>
      <c r="CM44" s="303"/>
      <c r="CN44" s="303"/>
      <c r="CO44" s="303"/>
      <c r="CP44" s="303"/>
    </row>
    <row r="45" spans="1:94" s="23" customFormat="1" ht="14.25" customHeight="1">
      <c r="A45" s="375" t="s">
        <v>428</v>
      </c>
      <c r="B45" s="376"/>
      <c r="C45" s="376"/>
      <c r="D45" s="376"/>
      <c r="E45" s="377"/>
      <c r="F45" s="1049">
        <v>0</v>
      </c>
      <c r="G45" s="1050"/>
      <c r="H45" s="1051">
        <f t="shared" si="1"/>
        <v>0</v>
      </c>
      <c r="I45" s="1052"/>
      <c r="J45" s="1070">
        <f>SUMPRODUCT(H31:H52,AS31:AS52)-H45</f>
        <v>6.2855753183017633</v>
      </c>
      <c r="K45" s="1070"/>
      <c r="L45" s="1060">
        <f>0.15*J45</f>
        <v>0.94283629774526445</v>
      </c>
      <c r="M45" s="1059"/>
      <c r="N45" s="1066">
        <f t="shared" si="2"/>
        <v>231.3091717135049</v>
      </c>
      <c r="O45" s="1067"/>
      <c r="P45" s="1061">
        <f t="shared" si="10"/>
        <v>2.6677875190595297E-2</v>
      </c>
      <c r="Q45" s="1062"/>
      <c r="R45" s="1059">
        <f>L45+SUMPRODUCT(R32:R44,$AS32:$AS44)</f>
        <v>0.94283629774526445</v>
      </c>
      <c r="S45" s="1059"/>
      <c r="T45" s="1071">
        <f>R45*$AR45</f>
        <v>30.170761527848462</v>
      </c>
      <c r="U45" s="1072"/>
      <c r="V45" s="1032"/>
      <c r="W45" s="1032"/>
      <c r="X45" s="1048"/>
      <c r="Y45" s="1048"/>
      <c r="Z45" s="1032"/>
      <c r="AA45" s="1032"/>
      <c r="AB45" s="1032"/>
      <c r="AC45" s="1032"/>
      <c r="AD45" s="1047"/>
      <c r="AE45" s="1047"/>
      <c r="AF45" s="1047"/>
      <c r="AG45" s="1032"/>
      <c r="AH45" s="1048"/>
      <c r="AI45" s="1048"/>
      <c r="AJ45" s="1032"/>
      <c r="AK45" s="1058"/>
      <c r="AL45" s="340"/>
      <c r="AM45" s="373"/>
      <c r="AN45" s="373"/>
      <c r="AO45" s="373">
        <v>2</v>
      </c>
      <c r="AP45" s="373"/>
      <c r="AQ45" s="373"/>
      <c r="AR45" s="374">
        <f t="shared" si="3"/>
        <v>32</v>
      </c>
      <c r="AS45" s="373">
        <f t="shared" si="4"/>
        <v>0</v>
      </c>
      <c r="AT45" s="374">
        <f t="shared" si="5"/>
        <v>0</v>
      </c>
      <c r="AU45" s="373">
        <f t="shared" si="6"/>
        <v>0</v>
      </c>
      <c r="AV45" s="373">
        <f t="shared" si="7"/>
        <v>0</v>
      </c>
      <c r="AW45" s="374">
        <f t="shared" si="8"/>
        <v>0</v>
      </c>
      <c r="AX45" s="373">
        <f t="shared" si="9"/>
        <v>0</v>
      </c>
      <c r="AY45" s="340"/>
      <c r="AZ45" s="303"/>
      <c r="BA45" s="303"/>
      <c r="BB45" s="303"/>
      <c r="BC45" s="303"/>
      <c r="BD45" s="303"/>
      <c r="BE45" s="303" t="s">
        <v>655</v>
      </c>
      <c r="BF45" s="303">
        <v>2.2949971999550998E-3</v>
      </c>
      <c r="BG45" s="303"/>
      <c r="BH45" s="303"/>
      <c r="BI45" s="303"/>
      <c r="BJ45" s="303"/>
      <c r="BK45" s="303"/>
      <c r="BL45" s="303"/>
      <c r="BM45" s="303"/>
      <c r="BN45" s="303"/>
      <c r="BO45" s="303"/>
      <c r="BP45" s="303"/>
      <c r="BQ45" s="303"/>
      <c r="BR45" s="303"/>
      <c r="BS45" s="303"/>
      <c r="BT45" s="303"/>
      <c r="BU45" s="303"/>
      <c r="BV45" s="303"/>
      <c r="BW45" s="303"/>
      <c r="BX45" s="303"/>
      <c r="BY45" s="303"/>
      <c r="BZ45" s="303"/>
      <c r="CA45" s="303"/>
      <c r="CB45" s="303"/>
      <c r="CC45" s="303"/>
      <c r="CD45" s="303"/>
      <c r="CE45" s="303"/>
      <c r="CF45" s="303"/>
      <c r="CG45" s="303"/>
      <c r="CH45" s="303"/>
      <c r="CI45" s="303"/>
      <c r="CJ45" s="303"/>
      <c r="CK45" s="303"/>
      <c r="CL45" s="303"/>
      <c r="CM45" s="303"/>
      <c r="CN45" s="303"/>
      <c r="CO45" s="303"/>
      <c r="CP45" s="303"/>
    </row>
    <row r="46" spans="1:94" s="23" customFormat="1" ht="14.25" customHeight="1">
      <c r="A46" s="375" t="s">
        <v>429</v>
      </c>
      <c r="B46" s="376"/>
      <c r="C46" s="376"/>
      <c r="D46" s="376"/>
      <c r="E46" s="377"/>
      <c r="F46" s="1049">
        <f>BF31</f>
        <v>1.4415226502516399E-10</v>
      </c>
      <c r="G46" s="1050"/>
      <c r="H46" s="1061">
        <f t="shared" si="1"/>
        <v>2.7520789292203315E-11</v>
      </c>
      <c r="I46" s="1062"/>
      <c r="J46" s="1059">
        <f>0.79/0.21*J45</f>
        <v>23.645735721230444</v>
      </c>
      <c r="K46" s="1063"/>
      <c r="L46" s="1060">
        <f>0.71/0.29*L45</f>
        <v>2.3083233496521993</v>
      </c>
      <c r="M46" s="1059"/>
      <c r="N46" s="1066">
        <f>SUM(H46,J46,L46)*AR46</f>
        <v>726.7136539854846</v>
      </c>
      <c r="O46" s="1067"/>
      <c r="P46" s="1064">
        <f t="shared" si="10"/>
        <v>0.7343765559815818</v>
      </c>
      <c r="Q46" s="1065"/>
      <c r="R46" s="1064">
        <f>$H46+J46+L46-R49</f>
        <v>25.953973779616526</v>
      </c>
      <c r="S46" s="1065"/>
      <c r="T46" s="1066">
        <f>R46*$AR46</f>
        <v>726.71126582926274</v>
      </c>
      <c r="U46" s="1067"/>
      <c r="V46" s="1032"/>
      <c r="W46" s="1032"/>
      <c r="X46" s="1048"/>
      <c r="Y46" s="1048"/>
      <c r="Z46" s="1032"/>
      <c r="AA46" s="1032"/>
      <c r="AB46" s="1032"/>
      <c r="AC46" s="1032"/>
      <c r="AD46" s="1047"/>
      <c r="AE46" s="1047"/>
      <c r="AF46" s="1032"/>
      <c r="AG46" s="1032"/>
      <c r="AH46" s="1048"/>
      <c r="AI46" s="1048"/>
      <c r="AJ46" s="1032"/>
      <c r="AK46" s="1058"/>
      <c r="AL46" s="340"/>
      <c r="AM46" s="373"/>
      <c r="AN46" s="373"/>
      <c r="AO46" s="373"/>
      <c r="AP46" s="373">
        <v>2</v>
      </c>
      <c r="AQ46" s="373"/>
      <c r="AR46" s="374">
        <f t="shared" si="3"/>
        <v>28</v>
      </c>
      <c r="AS46" s="373">
        <f t="shared" si="4"/>
        <v>0</v>
      </c>
      <c r="AT46" s="374">
        <f t="shared" si="5"/>
        <v>0</v>
      </c>
      <c r="AU46" s="373">
        <f t="shared" si="6"/>
        <v>0</v>
      </c>
      <c r="AV46" s="373">
        <f t="shared" si="7"/>
        <v>0</v>
      </c>
      <c r="AW46" s="374">
        <f t="shared" si="8"/>
        <v>1</v>
      </c>
      <c r="AX46" s="373">
        <f t="shared" si="9"/>
        <v>0</v>
      </c>
      <c r="AY46" s="340"/>
      <c r="AZ46" s="303"/>
      <c r="BA46" s="303"/>
      <c r="BB46" s="303"/>
      <c r="BC46" s="303"/>
      <c r="BD46" s="303"/>
      <c r="BE46" s="303" t="s">
        <v>656</v>
      </c>
      <c r="BF46" s="303">
        <v>1.2247419140634701E-2</v>
      </c>
      <c r="BG46" s="303"/>
      <c r="BH46" s="303"/>
      <c r="BI46" s="303"/>
      <c r="BJ46" s="303"/>
      <c r="BK46" s="303"/>
      <c r="BL46" s="303"/>
      <c r="BM46" s="303"/>
      <c r="BN46" s="303"/>
      <c r="BO46" s="303"/>
      <c r="BP46" s="303"/>
      <c r="BQ46" s="303"/>
      <c r="BR46" s="303"/>
      <c r="BS46" s="303"/>
      <c r="BT46" s="303"/>
      <c r="BU46" s="303"/>
      <c r="BV46" s="303"/>
      <c r="BW46" s="303"/>
      <c r="BX46" s="303"/>
      <c r="BY46" s="303"/>
      <c r="BZ46" s="303"/>
      <c r="CA46" s="303"/>
      <c r="CB46" s="303"/>
      <c r="CC46" s="303"/>
      <c r="CD46" s="303"/>
      <c r="CE46" s="303"/>
      <c r="CF46" s="303"/>
      <c r="CG46" s="303"/>
      <c r="CH46" s="303"/>
      <c r="CI46" s="303"/>
      <c r="CJ46" s="303"/>
      <c r="CK46" s="303"/>
      <c r="CL46" s="303"/>
      <c r="CM46" s="303"/>
      <c r="CN46" s="303"/>
      <c r="CO46" s="303"/>
      <c r="CP46" s="303"/>
    </row>
    <row r="47" spans="1:94" s="23" customFormat="1" ht="14.25" customHeight="1">
      <c r="A47" s="375" t="s">
        <v>115</v>
      </c>
      <c r="B47" s="376"/>
      <c r="C47" s="376"/>
      <c r="D47" s="376"/>
      <c r="E47" s="377"/>
      <c r="F47" s="1049">
        <v>0</v>
      </c>
      <c r="G47" s="1050"/>
      <c r="H47" s="1051">
        <f t="shared" si="1"/>
        <v>0</v>
      </c>
      <c r="I47" s="1052"/>
      <c r="J47" s="1059"/>
      <c r="K47" s="1059"/>
      <c r="L47" s="1060"/>
      <c r="M47" s="1059"/>
      <c r="N47" s="1054">
        <f t="shared" si="2"/>
        <v>0</v>
      </c>
      <c r="O47" s="1055"/>
      <c r="P47" s="1061">
        <f t="shared" si="10"/>
        <v>1.0527695483520148E-6</v>
      </c>
      <c r="Q47" s="1062"/>
      <c r="R47" s="1059">
        <f>T47/$AR$47</f>
        <v>3.7206461768630043E-5</v>
      </c>
      <c r="S47" s="1059"/>
      <c r="T47" s="1064">
        <f>$AC17*$X25</f>
        <v>1.0421529941393275E-3</v>
      </c>
      <c r="U47" s="1065"/>
      <c r="V47" s="1032"/>
      <c r="W47" s="1032"/>
      <c r="X47" s="1069"/>
      <c r="Y47" s="1069"/>
      <c r="Z47" s="1032"/>
      <c r="AA47" s="1032"/>
      <c r="AB47" s="1032"/>
      <c r="AC47" s="1032"/>
      <c r="AD47" s="1032"/>
      <c r="AE47" s="1032"/>
      <c r="AF47" s="1047"/>
      <c r="AG47" s="1047"/>
      <c r="AH47" s="1048"/>
      <c r="AI47" s="1048"/>
      <c r="AJ47" s="1032"/>
      <c r="AK47" s="1058"/>
      <c r="AL47" s="340"/>
      <c r="AM47" s="383">
        <v>1</v>
      </c>
      <c r="AN47" s="383"/>
      <c r="AO47" s="383">
        <v>1</v>
      </c>
      <c r="AP47" s="383"/>
      <c r="AQ47" s="383"/>
      <c r="AR47" s="374">
        <f t="shared" si="3"/>
        <v>28.009999999999998</v>
      </c>
      <c r="AS47" s="373"/>
      <c r="AT47" s="384"/>
      <c r="AU47" s="383"/>
      <c r="AV47" s="383"/>
      <c r="AW47" s="384"/>
      <c r="AX47" s="383"/>
      <c r="AY47" s="340"/>
      <c r="AZ47" s="303"/>
      <c r="BA47" s="303"/>
      <c r="BB47" s="303"/>
      <c r="BC47" s="303"/>
      <c r="BD47" s="303"/>
      <c r="BE47" s="303" t="s">
        <v>657</v>
      </c>
      <c r="BF47" s="303">
        <v>5.92303729684487E-2</v>
      </c>
      <c r="BG47" s="303"/>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row>
    <row r="48" spans="1:94" s="23" customFormat="1" ht="14.25" customHeight="1">
      <c r="A48" s="375" t="s">
        <v>126</v>
      </c>
      <c r="B48" s="376"/>
      <c r="C48" s="376"/>
      <c r="D48" s="376"/>
      <c r="E48" s="377"/>
      <c r="F48" s="1049">
        <f>BF32</f>
        <v>1.04835044112351E-6</v>
      </c>
      <c r="G48" s="1050"/>
      <c r="H48" s="1061">
        <f t="shared" si="1"/>
        <v>2.0014553076576393E-7</v>
      </c>
      <c r="I48" s="1062"/>
      <c r="J48" s="1059"/>
      <c r="K48" s="1059"/>
      <c r="L48" s="1060"/>
      <c r="M48" s="1059"/>
      <c r="N48" s="1061">
        <f t="shared" si="2"/>
        <v>8.8084048090012708E-6</v>
      </c>
      <c r="O48" s="1062"/>
      <c r="P48" s="1064">
        <f t="shared" si="10"/>
        <v>0.1167694301570056</v>
      </c>
      <c r="Q48" s="1065"/>
      <c r="R48" s="1068">
        <f>SUMPRODUCT($H31:$H52,$AU31:$AU52)+$H48-R47-SUMPRODUCT(R32:R42,$AU32:$AU42)</f>
        <v>4.1268075674132696</v>
      </c>
      <c r="S48" s="1059"/>
      <c r="T48" s="1066">
        <f>R48*$AR48</f>
        <v>181.62080104185799</v>
      </c>
      <c r="U48" s="1067"/>
      <c r="V48" s="1032"/>
      <c r="W48" s="1032"/>
      <c r="X48" s="1033"/>
      <c r="Y48" s="1033"/>
      <c r="Z48" s="1032"/>
      <c r="AA48" s="1032"/>
      <c r="AB48" s="1032"/>
      <c r="AC48" s="1032"/>
      <c r="AD48" s="1033"/>
      <c r="AE48" s="1033"/>
      <c r="AF48" s="1032"/>
      <c r="AG48" s="1032"/>
      <c r="AH48" s="1048"/>
      <c r="AI48" s="1048"/>
      <c r="AJ48" s="1032"/>
      <c r="AK48" s="1058"/>
      <c r="AL48" s="340"/>
      <c r="AM48" s="373">
        <v>1</v>
      </c>
      <c r="AN48" s="373"/>
      <c r="AO48" s="373">
        <v>2</v>
      </c>
      <c r="AP48" s="373"/>
      <c r="AQ48" s="373"/>
      <c r="AR48" s="374">
        <f>AM48*12.01+AN48*1.008+AO48*16+AP48*14+AQ48*32</f>
        <v>44.01</v>
      </c>
      <c r="AS48" s="373"/>
      <c r="AT48" s="374"/>
      <c r="AU48" s="373"/>
      <c r="AV48" s="373"/>
      <c r="AW48" s="373"/>
      <c r="AX48" s="373"/>
      <c r="AY48" s="340"/>
      <c r="AZ48" s="303"/>
      <c r="BA48" s="303"/>
      <c r="BB48" s="303"/>
      <c r="BC48" s="303"/>
      <c r="BD48" s="303"/>
      <c r="BE48" s="303" t="s">
        <v>658</v>
      </c>
      <c r="BF48" s="303">
        <v>4.8152930085778901E-2</v>
      </c>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row>
    <row r="49" spans="1:94" s="23" customFormat="1" ht="14.25" customHeight="1">
      <c r="A49" s="375" t="s">
        <v>430</v>
      </c>
      <c r="B49" s="376"/>
      <c r="C49" s="376"/>
      <c r="D49" s="376"/>
      <c r="E49" s="377"/>
      <c r="F49" s="1049">
        <v>0</v>
      </c>
      <c r="G49" s="1050"/>
      <c r="H49" s="1051">
        <f t="shared" si="1"/>
        <v>0</v>
      </c>
      <c r="I49" s="1052"/>
      <c r="J49" s="1059"/>
      <c r="K49" s="1059"/>
      <c r="L49" s="1060"/>
      <c r="M49" s="1059"/>
      <c r="N49" s="1054">
        <f t="shared" si="2"/>
        <v>0</v>
      </c>
      <c r="O49" s="1055"/>
      <c r="P49" s="1061">
        <f t="shared" si="10"/>
        <v>2.4133462955981532E-6</v>
      </c>
      <c r="Q49" s="1062"/>
      <c r="R49" s="1060">
        <f>T49/$AR49</f>
        <v>8.5291293638001223E-5</v>
      </c>
      <c r="S49" s="1063"/>
      <c r="T49" s="1064">
        <f>$W17*$X25</f>
        <v>3.9233995073480561E-3</v>
      </c>
      <c r="U49" s="1065"/>
      <c r="V49" s="1032"/>
      <c r="W49" s="1032"/>
      <c r="X49" s="1033"/>
      <c r="Y49" s="1033"/>
      <c r="Z49" s="1032"/>
      <c r="AA49" s="1032"/>
      <c r="AB49" s="1032"/>
      <c r="AC49" s="1032"/>
      <c r="AD49" s="1032"/>
      <c r="AE49" s="1032"/>
      <c r="AF49" s="1047"/>
      <c r="AG49" s="1047"/>
      <c r="AH49" s="1048"/>
      <c r="AI49" s="1048"/>
      <c r="AJ49" s="1032"/>
      <c r="AK49" s="1058"/>
      <c r="AL49" s="340"/>
      <c r="AM49" s="383"/>
      <c r="AN49" s="383"/>
      <c r="AO49" s="383">
        <v>2</v>
      </c>
      <c r="AP49" s="383">
        <v>1</v>
      </c>
      <c r="AQ49" s="383"/>
      <c r="AR49" s="374">
        <f>AM49*12.01+AN49*1.008+AO49*16+AP49*14+AQ49*32</f>
        <v>46</v>
      </c>
      <c r="AS49" s="373"/>
      <c r="AT49" s="383"/>
      <c r="AU49" s="383"/>
      <c r="AV49" s="383"/>
      <c r="AW49" s="383"/>
      <c r="AX49" s="383"/>
      <c r="AY49" s="340"/>
      <c r="AZ49" s="303"/>
      <c r="BA49" s="303"/>
      <c r="BB49" s="303"/>
      <c r="BC49" s="303"/>
      <c r="BD49" s="303"/>
      <c r="BE49" s="303" t="s">
        <v>659</v>
      </c>
      <c r="BF49" s="303">
        <v>3.4142017447674602E-2</v>
      </c>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row>
    <row r="50" spans="1:94" s="23" customFormat="1" ht="14.25" customHeight="1">
      <c r="A50" s="375" t="s">
        <v>125</v>
      </c>
      <c r="B50" s="376"/>
      <c r="C50" s="376"/>
      <c r="D50" s="376"/>
      <c r="E50" s="377"/>
      <c r="F50" s="1049">
        <v>0</v>
      </c>
      <c r="G50" s="1050"/>
      <c r="H50" s="1051"/>
      <c r="I50" s="1052"/>
      <c r="J50" s="1059"/>
      <c r="K50" s="1059"/>
      <c r="L50" s="1060"/>
      <c r="M50" s="1059"/>
      <c r="N50" s="1054"/>
      <c r="O50" s="1055"/>
      <c r="P50" s="1061"/>
      <c r="Q50" s="1062"/>
      <c r="R50" s="1060"/>
      <c r="S50" s="1063"/>
      <c r="T50" s="1064"/>
      <c r="U50" s="1065"/>
      <c r="V50" s="1032"/>
      <c r="W50" s="1032"/>
      <c r="X50" s="1033"/>
      <c r="Y50" s="1033"/>
      <c r="Z50" s="1032"/>
      <c r="AA50" s="1032"/>
      <c r="AB50" s="1032"/>
      <c r="AC50" s="1032"/>
      <c r="AD50" s="1032"/>
      <c r="AE50" s="1032"/>
      <c r="AF50" s="1047"/>
      <c r="AG50" s="1047"/>
      <c r="AH50" s="1048"/>
      <c r="AI50" s="1048"/>
      <c r="AJ50" s="1032"/>
      <c r="AK50" s="1058"/>
      <c r="AL50" s="340"/>
      <c r="AM50" s="383"/>
      <c r="AN50" s="383"/>
      <c r="AO50" s="383">
        <v>1</v>
      </c>
      <c r="AP50" s="383">
        <v>2</v>
      </c>
      <c r="AQ50" s="383"/>
      <c r="AR50" s="374">
        <f>AM50*12.01+AN50*1.008+AO50*16+AP50*14+AQ50*32</f>
        <v>44</v>
      </c>
      <c r="AS50" s="373"/>
      <c r="AT50" s="383"/>
      <c r="AU50" s="383"/>
      <c r="AV50" s="383"/>
      <c r="AW50" s="383"/>
      <c r="AX50" s="383"/>
      <c r="AY50" s="340"/>
      <c r="AZ50" s="303"/>
      <c r="BA50" s="303"/>
      <c r="BB50" s="303"/>
      <c r="BC50" s="303"/>
      <c r="BD50" s="303"/>
      <c r="BE50" s="303" t="s">
        <v>660</v>
      </c>
      <c r="BF50" s="303">
        <v>2.5926872018440999E-2</v>
      </c>
      <c r="BG50" s="303"/>
      <c r="BH50" s="303"/>
      <c r="BI50" s="303"/>
      <c r="BJ50" s="303"/>
      <c r="BK50" s="303"/>
      <c r="BL50" s="303"/>
      <c r="BM50" s="303"/>
      <c r="BN50" s="303"/>
      <c r="BO50" s="303"/>
      <c r="BP50" s="303"/>
      <c r="BQ50" s="303"/>
      <c r="BR50" s="303"/>
      <c r="BS50" s="303"/>
      <c r="BT50" s="303"/>
      <c r="BU50" s="303"/>
      <c r="BV50" s="303"/>
      <c r="BW50" s="303"/>
      <c r="BX50" s="303"/>
      <c r="BY50" s="303"/>
      <c r="BZ50" s="303"/>
      <c r="CA50" s="303"/>
      <c r="CB50" s="303"/>
      <c r="CC50" s="303"/>
      <c r="CD50" s="303"/>
      <c r="CE50" s="303"/>
      <c r="CF50" s="303"/>
      <c r="CG50" s="303"/>
      <c r="CH50" s="303"/>
      <c r="CI50" s="303"/>
      <c r="CJ50" s="303"/>
      <c r="CK50" s="303"/>
      <c r="CL50" s="303"/>
      <c r="CM50" s="303"/>
      <c r="CN50" s="303"/>
      <c r="CO50" s="303"/>
      <c r="CP50" s="303"/>
    </row>
    <row r="51" spans="1:94" s="23" customFormat="1" ht="14.25" customHeight="1">
      <c r="A51" s="375" t="s">
        <v>124</v>
      </c>
      <c r="B51" s="376"/>
      <c r="C51" s="376"/>
      <c r="D51" s="376"/>
      <c r="E51" s="377"/>
      <c r="F51" s="1049">
        <v>0</v>
      </c>
      <c r="G51" s="1050"/>
      <c r="H51" s="1051">
        <f t="shared" si="1"/>
        <v>0</v>
      </c>
      <c r="I51" s="1052"/>
      <c r="J51" s="1059"/>
      <c r="K51" s="1059"/>
      <c r="L51" s="1060"/>
      <c r="M51" s="1059"/>
      <c r="N51" s="1054">
        <f t="shared" si="2"/>
        <v>0</v>
      </c>
      <c r="O51" s="1055"/>
      <c r="P51" s="1061">
        <f t="shared" si="10"/>
        <v>5.4748080514399506E-7</v>
      </c>
      <c r="Q51" s="1062"/>
      <c r="R51" s="1066">
        <f>T51/$AR51</f>
        <v>1.9348796398542658E-5</v>
      </c>
      <c r="S51" s="1067"/>
      <c r="T51" s="1060">
        <f>Q22*X25</f>
        <v>1.2383229695067301E-3</v>
      </c>
      <c r="U51" s="1063"/>
      <c r="V51" s="1032"/>
      <c r="W51" s="1032"/>
      <c r="X51" s="1048"/>
      <c r="Y51" s="1048"/>
      <c r="Z51" s="1032"/>
      <c r="AA51" s="1032"/>
      <c r="AB51" s="1032"/>
      <c r="AC51" s="1032"/>
      <c r="AD51" s="1032"/>
      <c r="AE51" s="1032"/>
      <c r="AF51" s="1047"/>
      <c r="AG51" s="1047"/>
      <c r="AH51" s="1048"/>
      <c r="AI51" s="1048"/>
      <c r="AJ51" s="1032"/>
      <c r="AK51" s="1058"/>
      <c r="AL51" s="340"/>
      <c r="AM51" s="383"/>
      <c r="AN51" s="383"/>
      <c r="AO51" s="383">
        <v>2</v>
      </c>
      <c r="AP51" s="383"/>
      <c r="AQ51" s="383">
        <v>1</v>
      </c>
      <c r="AR51" s="374">
        <f>AM51*12.01+AN51*1.008+AO51*16+AP51*14+AQ51*32</f>
        <v>64</v>
      </c>
      <c r="AS51" s="373"/>
      <c r="AT51" s="383"/>
      <c r="AU51" s="383"/>
      <c r="AV51" s="383"/>
      <c r="AW51" s="383"/>
      <c r="AX51" s="383"/>
      <c r="AY51" s="340"/>
      <c r="AZ51" s="303"/>
      <c r="BA51" s="303"/>
      <c r="BB51" s="303"/>
      <c r="BC51" s="303"/>
      <c r="BD51" s="303"/>
      <c r="BE51" s="303" t="s">
        <v>661</v>
      </c>
      <c r="BF51" s="303">
        <v>1.5380658348169301E-2</v>
      </c>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3"/>
      <c r="CJ51" s="303"/>
      <c r="CK51" s="303"/>
      <c r="CL51" s="303"/>
      <c r="CM51" s="303"/>
      <c r="CN51" s="303"/>
      <c r="CO51" s="303"/>
      <c r="CP51" s="303"/>
    </row>
    <row r="52" spans="1:94" s="23" customFormat="1" ht="14.25" customHeight="1">
      <c r="A52" s="385" t="s">
        <v>431</v>
      </c>
      <c r="B52" s="386"/>
      <c r="C52" s="386"/>
      <c r="D52" s="386"/>
      <c r="E52" s="386"/>
      <c r="F52" s="1049">
        <f>BF76</f>
        <v>1.4951987737782399E-3</v>
      </c>
      <c r="G52" s="1050"/>
      <c r="H52" s="1051">
        <f t="shared" si="1"/>
        <v>2.8545545500744307E-4</v>
      </c>
      <c r="I52" s="1052"/>
      <c r="J52" s="1032"/>
      <c r="K52" s="1032"/>
      <c r="L52" s="1053"/>
      <c r="M52" s="1032"/>
      <c r="N52" s="1054">
        <f t="shared" si="2"/>
        <v>5.142765477414094E-3</v>
      </c>
      <c r="O52" s="1055"/>
      <c r="P52" s="1056">
        <f t="shared" si="10"/>
        <v>0.12217212507416829</v>
      </c>
      <c r="Q52" s="1057"/>
      <c r="R52" s="1044">
        <f>SUMPRODUCT(H31:H52,$AV31:$AV52)+H52-SUMPRODUCT(R32:R42,$AV32:$AV42)</f>
        <v>4.3177469445995218</v>
      </c>
      <c r="S52" s="1044"/>
      <c r="T52" s="1045">
        <f>R52*$AR52</f>
        <v>77.788528953904972</v>
      </c>
      <c r="U52" s="1046"/>
      <c r="V52" s="1032"/>
      <c r="W52" s="1032"/>
      <c r="X52" s="1033"/>
      <c r="Y52" s="1033"/>
      <c r="Z52" s="1032"/>
      <c r="AA52" s="1032"/>
      <c r="AB52" s="1032"/>
      <c r="AC52" s="1032"/>
      <c r="AD52" s="1033"/>
      <c r="AE52" s="1033"/>
      <c r="AF52" s="1032"/>
      <c r="AG52" s="1032"/>
      <c r="AH52" s="1033"/>
      <c r="AI52" s="1033"/>
      <c r="AJ52" s="1032"/>
      <c r="AK52" s="1034"/>
      <c r="AL52" s="340"/>
      <c r="AM52" s="351"/>
      <c r="AN52" s="351">
        <v>2</v>
      </c>
      <c r="AO52" s="351">
        <v>1</v>
      </c>
      <c r="AP52" s="351"/>
      <c r="AQ52" s="351"/>
      <c r="AR52" s="387">
        <f>AM52*12.01+AN52*1.008+AO52*16+AP52*14+AQ52*32</f>
        <v>18.015999999999998</v>
      </c>
      <c r="AS52" s="388"/>
      <c r="AT52" s="351"/>
      <c r="AU52" s="351"/>
      <c r="AV52" s="351"/>
      <c r="AW52" s="351"/>
      <c r="AX52" s="351"/>
      <c r="AY52" s="340"/>
      <c r="AZ52" s="303"/>
      <c r="BA52" s="303"/>
      <c r="BB52" s="303"/>
      <c r="BC52" s="303"/>
      <c r="BD52" s="303"/>
      <c r="BE52" s="303" t="s">
        <v>662</v>
      </c>
      <c r="BF52" s="303">
        <v>1.60437163376397E-2</v>
      </c>
      <c r="BG52" s="303"/>
      <c r="BH52" s="303"/>
      <c r="BI52" s="303"/>
      <c r="BJ52" s="303"/>
      <c r="BK52" s="303"/>
      <c r="BL52" s="303"/>
      <c r="BM52" s="303"/>
      <c r="BN52" s="303"/>
      <c r="BO52" s="303"/>
      <c r="BP52" s="303"/>
      <c r="BQ52" s="303"/>
      <c r="BR52" s="303"/>
      <c r="BS52" s="303"/>
      <c r="BT52" s="303"/>
      <c r="BU52" s="303"/>
      <c r="BV52" s="303"/>
      <c r="BW52" s="303"/>
      <c r="BX52" s="303"/>
      <c r="BY52" s="303"/>
      <c r="BZ52" s="303"/>
      <c r="CA52" s="303"/>
      <c r="CB52" s="303"/>
      <c r="CC52" s="303"/>
      <c r="CD52" s="303"/>
      <c r="CE52" s="303"/>
      <c r="CF52" s="303"/>
      <c r="CG52" s="303"/>
      <c r="CH52" s="303"/>
      <c r="CI52" s="303"/>
      <c r="CJ52" s="303"/>
      <c r="CK52" s="303"/>
      <c r="CL52" s="303"/>
      <c r="CM52" s="303"/>
      <c r="CN52" s="303"/>
      <c r="CO52" s="303"/>
      <c r="CP52" s="303"/>
    </row>
    <row r="53" spans="1:94" s="23" customFormat="1" ht="14.25" customHeight="1">
      <c r="A53" s="1035" t="s">
        <v>663</v>
      </c>
      <c r="B53" s="1036"/>
      <c r="C53" s="1036"/>
      <c r="D53" s="1036"/>
      <c r="E53" s="1037"/>
      <c r="F53" s="1028">
        <f>SUM(F31:F52)</f>
        <v>0.99993636529826091</v>
      </c>
      <c r="G53" s="1038"/>
      <c r="H53" s="1039">
        <f>SUM(H31:H52)</f>
        <v>0.19090257104306482</v>
      </c>
      <c r="I53" s="1040"/>
      <c r="J53" s="1041">
        <f>SUM(J31:J52)</f>
        <v>29.931311039532208</v>
      </c>
      <c r="K53" s="1041"/>
      <c r="L53" s="1042">
        <f>SUM(L31:L52)</f>
        <v>3.251159647397464</v>
      </c>
      <c r="M53" s="1043"/>
      <c r="N53" s="1030">
        <f>SUM(N31:N52)</f>
        <v>1016.2953829654784</v>
      </c>
      <c r="O53" s="1031"/>
      <c r="P53" s="1028">
        <f>SUM(P31:P52)</f>
        <v>1</v>
      </c>
      <c r="Q53" s="1029"/>
      <c r="R53" s="1030">
        <f>SUM(R31:R52)</f>
        <v>35.341506435926384</v>
      </c>
      <c r="S53" s="1031"/>
      <c r="T53" s="1030">
        <f>SUM(T31:T52)</f>
        <v>1016.2975612283451</v>
      </c>
      <c r="U53" s="1031"/>
      <c r="V53" s="1032"/>
      <c r="W53" s="1032"/>
      <c r="X53" s="1032"/>
      <c r="Y53" s="1032"/>
      <c r="Z53" s="1033"/>
      <c r="AA53" s="1033"/>
      <c r="AB53" s="1032"/>
      <c r="AC53" s="1032"/>
      <c r="AD53" s="1047"/>
      <c r="AE53" s="1047"/>
      <c r="AF53" s="1048"/>
      <c r="AG53" s="1048"/>
      <c r="AH53" s="1032"/>
      <c r="AI53" s="1032"/>
      <c r="AJ53" s="1032"/>
      <c r="AK53" s="1034"/>
      <c r="AL53" s="303"/>
      <c r="AM53" s="303"/>
      <c r="AN53" s="303"/>
      <c r="AO53" s="303"/>
      <c r="AP53" s="303"/>
      <c r="AQ53" s="303"/>
      <c r="AR53" s="303"/>
      <c r="AS53" s="303"/>
      <c r="AT53" s="303"/>
      <c r="AU53" s="303"/>
      <c r="AV53" s="303"/>
      <c r="AW53" s="303"/>
      <c r="AX53" s="303"/>
      <c r="AY53" s="303"/>
      <c r="AZ53" s="303"/>
      <c r="BA53" s="303"/>
      <c r="BB53" s="303"/>
      <c r="BC53" s="303"/>
      <c r="BD53" s="303"/>
      <c r="BE53" s="303" t="s">
        <v>664</v>
      </c>
      <c r="BF53" s="303">
        <v>4.0186319626237803E-2</v>
      </c>
      <c r="BG53" s="303"/>
      <c r="BH53" s="303"/>
      <c r="BI53" s="303"/>
      <c r="BJ53" s="303"/>
      <c r="BK53" s="303"/>
      <c r="BL53" s="303"/>
      <c r="BM53" s="303"/>
      <c r="BN53" s="303"/>
      <c r="BO53" s="303"/>
      <c r="BP53" s="303"/>
      <c r="BQ53" s="303"/>
      <c r="BR53" s="303"/>
      <c r="BS53" s="303"/>
      <c r="BT53" s="303"/>
      <c r="BU53" s="303"/>
      <c r="BV53" s="303"/>
      <c r="BW53" s="303"/>
      <c r="BX53" s="303"/>
      <c r="BY53" s="303"/>
      <c r="BZ53" s="303"/>
      <c r="CA53" s="303"/>
      <c r="CB53" s="303"/>
      <c r="CC53" s="303"/>
      <c r="CD53" s="303"/>
      <c r="CE53" s="303"/>
      <c r="CF53" s="303"/>
      <c r="CG53" s="303"/>
      <c r="CH53" s="303"/>
      <c r="CI53" s="303"/>
      <c r="CJ53" s="303"/>
      <c r="CK53" s="303"/>
      <c r="CL53" s="303"/>
      <c r="CM53" s="303"/>
      <c r="CN53" s="303"/>
      <c r="CO53" s="303"/>
      <c r="CP53" s="303"/>
    </row>
    <row r="54" spans="1:94" s="23" customFormat="1" ht="14.25" customHeight="1">
      <c r="A54" s="224" t="s">
        <v>665</v>
      </c>
      <c r="B54" s="291"/>
      <c r="C54" s="291"/>
      <c r="D54" s="291"/>
      <c r="E54" s="27"/>
      <c r="F54" s="27"/>
      <c r="G54" s="27"/>
      <c r="H54" s="27"/>
      <c r="I54" s="27"/>
      <c r="J54" s="27"/>
      <c r="K54" s="31"/>
      <c r="L54" s="1189" t="s">
        <v>666</v>
      </c>
      <c r="M54" s="1190"/>
      <c r="N54" s="389"/>
      <c r="O54" s="389"/>
      <c r="P54" s="389"/>
      <c r="Q54" s="389"/>
      <c r="R54" s="389"/>
      <c r="S54" s="389"/>
      <c r="T54" s="389"/>
      <c r="U54" s="389"/>
      <c r="V54" s="31"/>
      <c r="W54" s="31"/>
      <c r="X54" s="390"/>
      <c r="Y54" s="390"/>
      <c r="Z54" s="390"/>
      <c r="AA54" s="390"/>
      <c r="AB54" s="390"/>
      <c r="AC54" s="390"/>
      <c r="AD54" s="390"/>
      <c r="AE54" s="390"/>
      <c r="AF54" s="390"/>
      <c r="AG54" s="31"/>
      <c r="AH54" s="31"/>
      <c r="AI54" s="31"/>
      <c r="AJ54" s="31"/>
      <c r="AK54" s="32"/>
      <c r="AL54" s="303"/>
      <c r="AM54" s="303"/>
      <c r="AN54" s="303"/>
      <c r="AO54" s="303"/>
      <c r="AP54" s="303"/>
      <c r="AQ54" s="303"/>
      <c r="AR54" s="303"/>
      <c r="AS54" s="303"/>
      <c r="AT54" s="303"/>
      <c r="AU54" s="303"/>
      <c r="AV54" s="303"/>
      <c r="AW54" s="303"/>
      <c r="AX54" s="303"/>
      <c r="AY54" s="303"/>
      <c r="AZ54" s="303"/>
      <c r="BA54" s="303"/>
      <c r="BB54" s="303"/>
      <c r="BC54" s="303"/>
      <c r="BD54" s="303"/>
      <c r="BE54" s="303" t="s">
        <v>667</v>
      </c>
      <c r="BF54" s="303">
        <v>2.0504882161968999E-2</v>
      </c>
      <c r="BG54" s="303"/>
      <c r="BH54" s="303"/>
      <c r="BI54" s="303"/>
      <c r="BJ54" s="303"/>
      <c r="BK54" s="303"/>
      <c r="BL54" s="303"/>
      <c r="BM54" s="303"/>
      <c r="BN54" s="303"/>
      <c r="BO54" s="303"/>
      <c r="BP54" s="303"/>
      <c r="BQ54" s="303"/>
      <c r="BR54" s="303"/>
      <c r="BS54" s="303"/>
      <c r="BT54" s="303"/>
      <c r="BU54" s="303"/>
      <c r="BV54" s="303"/>
      <c r="BW54" s="303"/>
      <c r="BX54" s="303"/>
      <c r="BY54" s="303"/>
      <c r="BZ54" s="303"/>
      <c r="CA54" s="303"/>
      <c r="CB54" s="303"/>
      <c r="CC54" s="303"/>
      <c r="CD54" s="303"/>
      <c r="CE54" s="303"/>
      <c r="CF54" s="303"/>
      <c r="CG54" s="303"/>
      <c r="CH54" s="303"/>
      <c r="CI54" s="303"/>
      <c r="CJ54" s="303"/>
      <c r="CK54" s="303"/>
      <c r="CL54" s="303"/>
      <c r="CM54" s="303"/>
      <c r="CN54" s="303"/>
      <c r="CO54" s="303"/>
      <c r="CP54" s="303"/>
    </row>
    <row r="55" spans="1:94" s="23" customFormat="1" ht="14.25" customHeight="1">
      <c r="A55" s="385" t="s">
        <v>668</v>
      </c>
      <c r="B55" s="31"/>
      <c r="C55" s="31"/>
      <c r="D55" s="31"/>
      <c r="E55" s="31"/>
      <c r="F55" s="31"/>
      <c r="G55" s="31"/>
      <c r="H55" s="31"/>
      <c r="I55" s="31"/>
      <c r="J55" s="31"/>
      <c r="K55" s="31"/>
      <c r="L55" s="1185">
        <f>N55*1000/3600</f>
        <v>1.089833196485571E-3</v>
      </c>
      <c r="M55" s="1186"/>
      <c r="N55" s="1026">
        <f>W17*$X$25</f>
        <v>3.9233995073480561E-3</v>
      </c>
      <c r="O55" s="1026"/>
      <c r="P55" s="31" t="s">
        <v>617</v>
      </c>
      <c r="Q55" s="31"/>
      <c r="R55" s="1024">
        <f>N55*(1/7)*365.25/1000</f>
        <v>2.0471738143698249E-4</v>
      </c>
      <c r="S55" s="1024"/>
      <c r="T55" s="1022" t="s">
        <v>332</v>
      </c>
      <c r="U55" s="1022"/>
      <c r="V55" s="31"/>
      <c r="W55" s="31"/>
      <c r="X55" s="31"/>
      <c r="Y55" s="1021"/>
      <c r="Z55" s="1021"/>
      <c r="AA55" s="31"/>
      <c r="AB55" s="31"/>
      <c r="AC55" s="1021"/>
      <c r="AD55" s="1021"/>
      <c r="AE55" s="1022"/>
      <c r="AF55" s="1022"/>
      <c r="AG55" s="31"/>
      <c r="AH55" s="31"/>
      <c r="AI55" s="31"/>
      <c r="AJ55" s="302"/>
      <c r="AK55" s="32"/>
      <c r="AL55" s="303"/>
      <c r="AM55" s="303"/>
      <c r="AN55" s="303"/>
      <c r="AO55" s="303"/>
      <c r="AP55" s="303"/>
      <c r="AQ55" s="303"/>
      <c r="AR55" s="303"/>
      <c r="AS55" s="303"/>
      <c r="AT55" s="303"/>
      <c r="AU55" s="303"/>
      <c r="AV55" s="303"/>
      <c r="AW55" s="303"/>
      <c r="AX55" s="303"/>
      <c r="AY55" s="303"/>
      <c r="AZ55" s="303"/>
      <c r="BA55" s="303"/>
      <c r="BB55" s="303"/>
      <c r="BC55" s="303"/>
      <c r="BD55" s="303"/>
      <c r="BE55" s="303" t="s">
        <v>669</v>
      </c>
      <c r="BF55" s="303">
        <v>0.12183348582548099</v>
      </c>
      <c r="BG55" s="303"/>
      <c r="BH55" s="303"/>
      <c r="BI55" s="303"/>
      <c r="BJ55" s="303"/>
      <c r="BK55" s="303"/>
      <c r="BL55" s="303"/>
      <c r="BM55" s="303"/>
      <c r="BN55" s="303"/>
      <c r="BO55" s="303"/>
      <c r="BP55" s="303"/>
      <c r="BQ55" s="303"/>
      <c r="BR55" s="303"/>
      <c r="BS55" s="303"/>
      <c r="BT55" s="303"/>
      <c r="BU55" s="303"/>
      <c r="BV55" s="303"/>
      <c r="BW55" s="303"/>
      <c r="BX55" s="303"/>
      <c r="BY55" s="303"/>
      <c r="BZ55" s="303"/>
      <c r="CA55" s="303"/>
      <c r="CB55" s="303"/>
      <c r="CC55" s="303"/>
      <c r="CD55" s="303"/>
      <c r="CE55" s="303"/>
      <c r="CF55" s="303"/>
      <c r="CG55" s="303"/>
      <c r="CH55" s="303"/>
      <c r="CI55" s="303"/>
      <c r="CJ55" s="303"/>
      <c r="CK55" s="303"/>
      <c r="CL55" s="303"/>
      <c r="CM55" s="303"/>
      <c r="CN55" s="303"/>
      <c r="CO55" s="303"/>
      <c r="CP55" s="303"/>
    </row>
    <row r="56" spans="1:94" s="23" customFormat="1" ht="14.25" customHeight="1">
      <c r="A56" s="385" t="s">
        <v>670</v>
      </c>
      <c r="B56" s="31"/>
      <c r="C56" s="31"/>
      <c r="D56" s="31"/>
      <c r="E56" s="31"/>
      <c r="F56" s="31"/>
      <c r="G56" s="31"/>
      <c r="H56" s="31"/>
      <c r="I56" s="31"/>
      <c r="J56" s="31"/>
      <c r="K56" s="31"/>
      <c r="L56" s="1185">
        <f t="shared" ref="L56:L61" si="13">N56*1000/3600</f>
        <v>2.8948694281647988E-4</v>
      </c>
      <c r="M56" s="1186"/>
      <c r="N56" s="1026">
        <f>AC17*$X$25</f>
        <v>1.0421529941393275E-3</v>
      </c>
      <c r="O56" s="1026"/>
      <c r="P56" s="31" t="s">
        <v>617</v>
      </c>
      <c r="Q56" s="31"/>
      <c r="R56" s="1024">
        <f t="shared" ref="R56:R61" si="14">N56*(1/7)*365.25/1000</f>
        <v>5.4378054444198478E-5</v>
      </c>
      <c r="S56" s="1024"/>
      <c r="T56" s="391" t="s">
        <v>332</v>
      </c>
      <c r="U56" s="391"/>
      <c r="V56" s="31"/>
      <c r="W56" s="31"/>
      <c r="X56" s="31"/>
      <c r="Y56" s="392"/>
      <c r="Z56" s="392"/>
      <c r="AA56" s="31"/>
      <c r="AB56" s="31"/>
      <c r="AC56" s="392"/>
      <c r="AD56" s="392"/>
      <c r="AE56" s="391"/>
      <c r="AF56" s="391"/>
      <c r="AG56" s="31"/>
      <c r="AH56" s="31"/>
      <c r="AI56" s="31"/>
      <c r="AJ56" s="302"/>
      <c r="AK56" s="32"/>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3"/>
      <c r="CA56" s="303"/>
      <c r="CB56" s="303"/>
      <c r="CC56" s="303"/>
      <c r="CD56" s="303"/>
      <c r="CE56" s="303"/>
      <c r="CF56" s="303"/>
      <c r="CG56" s="303"/>
      <c r="CH56" s="303"/>
      <c r="CI56" s="303"/>
      <c r="CJ56" s="303"/>
      <c r="CK56" s="303"/>
      <c r="CL56" s="303"/>
      <c r="CM56" s="303"/>
      <c r="CN56" s="303"/>
      <c r="CO56" s="303"/>
      <c r="CP56" s="303"/>
    </row>
    <row r="57" spans="1:94" s="23" customFormat="1" ht="14.25" customHeight="1">
      <c r="A57" s="385" t="s">
        <v>671</v>
      </c>
      <c r="B57" s="31"/>
      <c r="C57" s="31"/>
      <c r="D57" s="31"/>
      <c r="E57" s="31"/>
      <c r="F57" s="31"/>
      <c r="G57" s="31"/>
      <c r="H57" s="31"/>
      <c r="I57" s="31"/>
      <c r="J57" s="31"/>
      <c r="K57" s="31"/>
      <c r="L57" s="1185">
        <f t="shared" si="13"/>
        <v>3.4057287390174093E-5</v>
      </c>
      <c r="M57" s="1186"/>
      <c r="N57" s="1026">
        <f>AI17*$X$25</f>
        <v>1.2260623460462675E-4</v>
      </c>
      <c r="O57" s="1026"/>
      <c r="P57" s="31" t="s">
        <v>617</v>
      </c>
      <c r="Q57" s="31"/>
      <c r="R57" s="1024">
        <f t="shared" si="14"/>
        <v>6.3974181699057028E-6</v>
      </c>
      <c r="S57" s="1024"/>
      <c r="T57" s="1022" t="s">
        <v>332</v>
      </c>
      <c r="U57" s="1022"/>
      <c r="V57" s="31"/>
      <c r="W57" s="31"/>
      <c r="X57" s="31"/>
      <c r="Y57" s="1021"/>
      <c r="Z57" s="1021"/>
      <c r="AA57" s="31"/>
      <c r="AB57" s="31"/>
      <c r="AC57" s="1021"/>
      <c r="AD57" s="1021"/>
      <c r="AE57" s="1022"/>
      <c r="AF57" s="1022"/>
      <c r="AG57" s="31"/>
      <c r="AH57" s="31"/>
      <c r="AI57" s="31"/>
      <c r="AJ57" s="302"/>
      <c r="AK57" s="32"/>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row>
    <row r="58" spans="1:94" s="23" customFormat="1" ht="14.25" customHeight="1">
      <c r="A58" s="385" t="s">
        <v>672</v>
      </c>
      <c r="B58" s="31"/>
      <c r="C58" s="31"/>
      <c r="D58" s="31"/>
      <c r="E58" s="31"/>
      <c r="F58" s="31"/>
      <c r="G58" s="31"/>
      <c r="H58" s="31"/>
      <c r="I58" s="31"/>
      <c r="J58" s="31"/>
      <c r="K58" s="31"/>
      <c r="L58" s="1185">
        <f t="shared" si="13"/>
        <v>0</v>
      </c>
      <c r="M58" s="1186"/>
      <c r="N58" s="1023">
        <f>K22*$X$25</f>
        <v>0</v>
      </c>
      <c r="O58" s="1023"/>
      <c r="P58" s="31" t="s">
        <v>617</v>
      </c>
      <c r="Q58" s="31"/>
      <c r="R58" s="1024">
        <f t="shared" si="14"/>
        <v>0</v>
      </c>
      <c r="S58" s="1024"/>
      <c r="T58" s="391" t="s">
        <v>332</v>
      </c>
      <c r="U58" s="391"/>
      <c r="V58" s="31"/>
      <c r="W58" s="31"/>
      <c r="X58" s="31"/>
      <c r="Y58" s="392"/>
      <c r="Z58" s="392"/>
      <c r="AA58" s="31"/>
      <c r="AB58" s="31"/>
      <c r="AC58" s="392"/>
      <c r="AD58" s="392"/>
      <c r="AE58" s="391"/>
      <c r="AF58" s="391"/>
      <c r="AG58" s="31"/>
      <c r="AH58" s="31"/>
      <c r="AI58" s="31"/>
      <c r="AJ58" s="302"/>
      <c r="AK58" s="32"/>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3"/>
      <c r="CA58" s="303"/>
      <c r="CB58" s="303"/>
      <c r="CC58" s="303"/>
      <c r="CD58" s="303"/>
      <c r="CE58" s="303"/>
      <c r="CF58" s="303"/>
      <c r="CG58" s="303"/>
      <c r="CH58" s="303"/>
      <c r="CI58" s="303"/>
      <c r="CJ58" s="303"/>
      <c r="CK58" s="303"/>
      <c r="CL58" s="303"/>
      <c r="CM58" s="303"/>
      <c r="CN58" s="303"/>
      <c r="CO58" s="303"/>
      <c r="CP58" s="303"/>
    </row>
    <row r="59" spans="1:94" s="23" customFormat="1" ht="14.25" customHeight="1">
      <c r="A59" s="385" t="s">
        <v>673</v>
      </c>
      <c r="B59" s="31"/>
      <c r="C59" s="31"/>
      <c r="D59" s="31"/>
      <c r="E59" s="31"/>
      <c r="F59" s="31"/>
      <c r="G59" s="31"/>
      <c r="H59" s="31"/>
      <c r="I59" s="31"/>
      <c r="J59" s="31"/>
      <c r="K59" s="31"/>
      <c r="L59" s="1185">
        <f t="shared" si="13"/>
        <v>0</v>
      </c>
      <c r="M59" s="1186"/>
      <c r="N59" s="1026">
        <f>X25*W22</f>
        <v>0</v>
      </c>
      <c r="O59" s="1026"/>
      <c r="P59" s="31" t="s">
        <v>617</v>
      </c>
      <c r="Q59" s="31"/>
      <c r="R59" s="1024">
        <f t="shared" si="14"/>
        <v>0</v>
      </c>
      <c r="S59" s="1024"/>
      <c r="T59" s="1022" t="s">
        <v>332</v>
      </c>
      <c r="U59" s="1022"/>
      <c r="V59" s="31"/>
      <c r="W59" s="31"/>
      <c r="X59" s="31"/>
      <c r="Y59" s="1027"/>
      <c r="Z59" s="1027"/>
      <c r="AA59" s="31"/>
      <c r="AB59" s="31"/>
      <c r="AC59" s="1021"/>
      <c r="AD59" s="1021"/>
      <c r="AE59" s="1022"/>
      <c r="AF59" s="1022"/>
      <c r="AG59" s="31"/>
      <c r="AH59" s="31"/>
      <c r="AI59" s="31"/>
      <c r="AJ59" s="31"/>
      <c r="AK59" s="32"/>
      <c r="AL59" s="303"/>
      <c r="AM59" s="303"/>
      <c r="AN59" s="303"/>
      <c r="AO59" s="303"/>
      <c r="AP59" s="303"/>
      <c r="AQ59" s="303"/>
      <c r="AR59" s="303"/>
      <c r="AS59" s="303"/>
      <c r="AT59" s="303"/>
      <c r="AU59" s="303"/>
      <c r="AV59" s="303"/>
      <c r="AW59" s="303"/>
      <c r="AX59" s="303"/>
      <c r="AY59" s="303"/>
      <c r="AZ59" s="303"/>
      <c r="BA59" s="303"/>
      <c r="BB59" s="303"/>
      <c r="BC59" s="303"/>
      <c r="BD59" s="303"/>
      <c r="BE59" s="303" t="s">
        <v>674</v>
      </c>
      <c r="BF59" s="303">
        <v>0.107800023644368</v>
      </c>
      <c r="BG59" s="303"/>
      <c r="BH59" s="303"/>
      <c r="BI59" s="303"/>
      <c r="BJ59" s="303"/>
      <c r="BK59" s="303"/>
      <c r="BL59" s="303"/>
      <c r="BM59" s="303"/>
      <c r="BN59" s="303"/>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row>
    <row r="60" spans="1:94" s="23" customFormat="1" ht="14.25" customHeight="1">
      <c r="A60" s="385" t="s">
        <v>675</v>
      </c>
      <c r="B60" s="31"/>
      <c r="C60" s="31"/>
      <c r="D60" s="31"/>
      <c r="E60" s="31"/>
      <c r="F60" s="31"/>
      <c r="G60" s="31"/>
      <c r="H60" s="31"/>
      <c r="I60" s="31"/>
      <c r="J60" s="31"/>
      <c r="K60" s="31"/>
      <c r="L60" s="1185">
        <f t="shared" si="13"/>
        <v>3.4397860264075836E-4</v>
      </c>
      <c r="M60" s="1186"/>
      <c r="N60" s="1023">
        <f>Q22*$X$25</f>
        <v>1.2383229695067301E-3</v>
      </c>
      <c r="O60" s="1023"/>
      <c r="P60" s="31" t="s">
        <v>617</v>
      </c>
      <c r="Q60" s="31"/>
      <c r="R60" s="1024">
        <f t="shared" si="14"/>
        <v>6.4613923516047597E-5</v>
      </c>
      <c r="S60" s="1024"/>
      <c r="T60" s="391" t="s">
        <v>332</v>
      </c>
      <c r="U60" s="391"/>
      <c r="V60" s="31"/>
      <c r="W60" s="31"/>
      <c r="X60" s="31"/>
      <c r="Y60" s="392"/>
      <c r="Z60" s="392"/>
      <c r="AA60" s="31"/>
      <c r="AB60" s="31"/>
      <c r="AC60" s="392"/>
      <c r="AD60" s="392"/>
      <c r="AE60" s="391"/>
      <c r="AF60" s="391"/>
      <c r="AG60" s="31"/>
      <c r="AH60" s="31"/>
      <c r="AI60" s="31"/>
      <c r="AJ60" s="302"/>
      <c r="AK60" s="32"/>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3"/>
      <c r="CA60" s="303"/>
      <c r="CB60" s="303"/>
      <c r="CC60" s="303"/>
      <c r="CD60" s="303"/>
      <c r="CE60" s="303"/>
      <c r="CF60" s="303"/>
      <c r="CG60" s="303"/>
      <c r="CH60" s="303"/>
      <c r="CI60" s="303"/>
      <c r="CJ60" s="303"/>
      <c r="CK60" s="303"/>
      <c r="CL60" s="303"/>
      <c r="CM60" s="303"/>
      <c r="CN60" s="303"/>
      <c r="CO60" s="303"/>
      <c r="CP60" s="303"/>
    </row>
    <row r="61" spans="1:94" s="23" customFormat="1" ht="14.25" customHeight="1">
      <c r="A61" s="385" t="s">
        <v>676</v>
      </c>
      <c r="B61" s="31"/>
      <c r="C61" s="31"/>
      <c r="D61" s="31"/>
      <c r="E61" s="31"/>
      <c r="F61" s="31"/>
      <c r="G61" s="31"/>
      <c r="H61" s="31"/>
      <c r="I61" s="31"/>
      <c r="J61" s="31"/>
      <c r="K61" s="31"/>
      <c r="L61" s="1185">
        <f t="shared" si="13"/>
        <v>0</v>
      </c>
      <c r="M61" s="1186"/>
      <c r="N61" s="1023">
        <f>AC22*$X$25</f>
        <v>0</v>
      </c>
      <c r="O61" s="1023"/>
      <c r="P61" s="31" t="s">
        <v>617</v>
      </c>
      <c r="Q61" s="31"/>
      <c r="R61" s="1024">
        <f t="shared" si="14"/>
        <v>0</v>
      </c>
      <c r="S61" s="1024"/>
      <c r="T61" s="391" t="s">
        <v>332</v>
      </c>
      <c r="U61" s="391"/>
      <c r="V61" s="31"/>
      <c r="W61" s="31"/>
      <c r="X61" s="31"/>
      <c r="Y61" s="393"/>
      <c r="Z61" s="393"/>
      <c r="AA61" s="31"/>
      <c r="AB61" s="31"/>
      <c r="AC61" s="392"/>
      <c r="AD61" s="392"/>
      <c r="AE61" s="391"/>
      <c r="AF61" s="391"/>
      <c r="AG61" s="31"/>
      <c r="AH61" s="31"/>
      <c r="AI61" s="31"/>
      <c r="AJ61" s="31"/>
      <c r="AK61" s="32"/>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3"/>
      <c r="CA61" s="303"/>
      <c r="CB61" s="303"/>
      <c r="CC61" s="303"/>
      <c r="CD61" s="303"/>
      <c r="CE61" s="303"/>
      <c r="CF61" s="303"/>
      <c r="CG61" s="303"/>
      <c r="CH61" s="303"/>
      <c r="CI61" s="303"/>
      <c r="CJ61" s="303"/>
      <c r="CK61" s="303"/>
      <c r="CL61" s="303"/>
      <c r="CM61" s="303"/>
      <c r="CN61" s="303"/>
      <c r="CO61" s="303"/>
      <c r="CP61" s="303"/>
    </row>
    <row r="62" spans="1:94" s="23" customFormat="1" ht="14.25" customHeight="1">
      <c r="A62" s="385" t="s">
        <v>677</v>
      </c>
      <c r="B62" s="31"/>
      <c r="C62" s="31"/>
      <c r="D62" s="31"/>
      <c r="E62" s="31"/>
      <c r="F62" s="31"/>
      <c r="G62" s="31"/>
      <c r="H62" s="31"/>
      <c r="I62" s="31"/>
      <c r="J62" s="31"/>
      <c r="K62" s="31"/>
      <c r="L62" s="1187">
        <f>O62*1000/3600</f>
        <v>49.00499903768673</v>
      </c>
      <c r="M62" s="1188"/>
      <c r="N62" s="31"/>
      <c r="O62" s="394">
        <f>'Diesel F'!I56*X25</f>
        <v>176.41799653567222</v>
      </c>
      <c r="P62" s="395" t="s">
        <v>617</v>
      </c>
      <c r="Q62" s="395"/>
      <c r="R62" s="1024">
        <f>O62*(1/7)*365.25/1000</f>
        <v>9.2052390335220391</v>
      </c>
      <c r="S62" s="1024"/>
      <c r="T62" s="176" t="s">
        <v>332</v>
      </c>
      <c r="U62" s="31"/>
      <c r="V62" s="31"/>
      <c r="W62" s="31"/>
      <c r="X62" s="31"/>
      <c r="Y62" s="393"/>
      <c r="Z62" s="393"/>
      <c r="AA62" s="31"/>
      <c r="AB62" s="31"/>
      <c r="AC62" s="392"/>
      <c r="AD62" s="392"/>
      <c r="AE62" s="391"/>
      <c r="AF62" s="391"/>
      <c r="AG62" s="31"/>
      <c r="AH62" s="31"/>
      <c r="AI62" s="31"/>
      <c r="AJ62" s="31"/>
      <c r="AK62" s="32"/>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3"/>
      <c r="CA62" s="303"/>
      <c r="CB62" s="303"/>
      <c r="CC62" s="303"/>
      <c r="CD62" s="303"/>
      <c r="CE62" s="303"/>
      <c r="CF62" s="303"/>
      <c r="CG62" s="303"/>
      <c r="CH62" s="303"/>
      <c r="CI62" s="303"/>
      <c r="CJ62" s="303"/>
      <c r="CK62" s="303"/>
      <c r="CL62" s="303"/>
      <c r="CM62" s="303"/>
      <c r="CN62" s="303"/>
      <c r="CO62" s="303"/>
      <c r="CP62" s="303"/>
    </row>
    <row r="63" spans="1:94" s="23" customFormat="1" ht="14.25" customHeight="1">
      <c r="A63" s="224" t="s">
        <v>678</v>
      </c>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26"/>
      <c r="AL63" s="303"/>
      <c r="AM63" s="303"/>
      <c r="AN63" s="303"/>
      <c r="AO63" s="303"/>
      <c r="AP63" s="303"/>
      <c r="AQ63" s="303"/>
      <c r="AR63" s="303"/>
      <c r="AS63" s="303"/>
      <c r="AT63" s="303"/>
      <c r="AU63" s="303"/>
      <c r="AV63" s="303"/>
      <c r="AW63" s="303"/>
      <c r="AX63" s="303"/>
      <c r="AY63" s="303"/>
      <c r="AZ63" s="303"/>
      <c r="BA63" s="303"/>
      <c r="BB63" s="303"/>
      <c r="BC63" s="303"/>
      <c r="BD63" s="303"/>
      <c r="BE63" s="303" t="s">
        <v>679</v>
      </c>
      <c r="BF63" s="303">
        <v>7.5641161643965199E-2</v>
      </c>
      <c r="BG63" s="303"/>
      <c r="BH63" s="303"/>
      <c r="BI63" s="303"/>
      <c r="BJ63" s="303"/>
      <c r="BK63" s="303"/>
      <c r="BL63" s="303"/>
      <c r="BM63" s="303"/>
      <c r="BN63" s="303"/>
      <c r="BO63" s="303"/>
      <c r="BP63" s="303"/>
      <c r="BQ63" s="303"/>
      <c r="BR63" s="303"/>
      <c r="BS63" s="303"/>
      <c r="BT63" s="303"/>
      <c r="BU63" s="303"/>
      <c r="BV63" s="303"/>
      <c r="BW63" s="303"/>
      <c r="BX63" s="303"/>
      <c r="BY63" s="303"/>
      <c r="BZ63" s="303"/>
      <c r="CA63" s="303"/>
      <c r="CB63" s="303"/>
      <c r="CC63" s="303"/>
      <c r="CD63" s="303"/>
      <c r="CE63" s="303"/>
      <c r="CF63" s="303"/>
      <c r="CG63" s="303"/>
      <c r="CH63" s="303"/>
      <c r="CI63" s="303"/>
      <c r="CJ63" s="303"/>
      <c r="CK63" s="303"/>
      <c r="CL63" s="303"/>
      <c r="CM63" s="303"/>
      <c r="CN63" s="303"/>
      <c r="CO63" s="303"/>
      <c r="CP63" s="303"/>
    </row>
    <row r="64" spans="1:94" s="23" customFormat="1" ht="14.25" customHeight="1">
      <c r="A64" s="396" t="s">
        <v>31</v>
      </c>
      <c r="B64" s="31" t="s">
        <v>680</v>
      </c>
      <c r="C64" s="31"/>
      <c r="D64" s="31"/>
      <c r="E64" s="31"/>
      <c r="F64" s="31"/>
      <c r="G64" s="31"/>
      <c r="H64" s="31"/>
      <c r="I64" s="31"/>
      <c r="J64" s="31"/>
      <c r="K64" s="31"/>
      <c r="L64" s="31"/>
      <c r="M64" s="31"/>
      <c r="N64" s="302"/>
      <c r="O64" s="302"/>
      <c r="P64" s="302"/>
      <c r="Q64" s="31"/>
      <c r="R64" s="31"/>
      <c r="S64" s="31"/>
      <c r="T64" s="31"/>
      <c r="U64" s="31"/>
      <c r="V64" s="31"/>
      <c r="W64" s="31"/>
      <c r="X64" s="31"/>
      <c r="Y64" s="31"/>
      <c r="Z64" s="31"/>
      <c r="AA64" s="31"/>
      <c r="AB64" s="31"/>
      <c r="AC64" s="31"/>
      <c r="AD64" s="31"/>
      <c r="AE64" s="31"/>
      <c r="AF64" s="31"/>
      <c r="AG64" s="31"/>
      <c r="AH64" s="31"/>
      <c r="AI64" s="31"/>
      <c r="AJ64" s="31"/>
      <c r="AK64" s="32"/>
      <c r="AL64" s="303"/>
      <c r="AM64" s="303"/>
      <c r="AN64" s="303"/>
      <c r="AO64" s="303"/>
      <c r="AP64" s="303"/>
      <c r="AQ64" s="303"/>
      <c r="AR64" s="303"/>
      <c r="AS64" s="303"/>
      <c r="AT64" s="303"/>
      <c r="AU64" s="303"/>
      <c r="AV64" s="303"/>
      <c r="AW64" s="303"/>
      <c r="AX64" s="303"/>
      <c r="AY64" s="303"/>
      <c r="AZ64" s="303"/>
      <c r="BA64" s="303"/>
      <c r="BB64" s="303"/>
      <c r="BC64" s="303"/>
      <c r="BD64" s="303"/>
      <c r="BE64" s="339" t="s">
        <v>681</v>
      </c>
      <c r="BF64" s="339">
        <v>6.17051381844336E-2</v>
      </c>
      <c r="BG64" s="303"/>
      <c r="BH64" s="303"/>
      <c r="BI64" s="303"/>
      <c r="BJ64" s="303"/>
      <c r="BK64" s="303"/>
      <c r="BL64" s="303"/>
      <c r="BM64" s="303"/>
      <c r="BN64" s="303"/>
      <c r="BO64" s="303"/>
      <c r="BP64" s="303"/>
      <c r="BQ64" s="303"/>
      <c r="BR64" s="303"/>
      <c r="BS64" s="303"/>
      <c r="BT64" s="303"/>
      <c r="BU64" s="303"/>
      <c r="BV64" s="303"/>
      <c r="BW64" s="303"/>
      <c r="BX64" s="303"/>
      <c r="BY64" s="303"/>
      <c r="BZ64" s="303"/>
      <c r="CA64" s="303"/>
      <c r="CB64" s="303"/>
      <c r="CC64" s="303"/>
      <c r="CD64" s="303"/>
      <c r="CE64" s="303"/>
      <c r="CF64" s="303"/>
      <c r="CG64" s="303"/>
      <c r="CH64" s="303"/>
      <c r="CI64" s="303"/>
      <c r="CJ64" s="303"/>
      <c r="CK64" s="303"/>
      <c r="CL64" s="303"/>
      <c r="CM64" s="303"/>
      <c r="CN64" s="303"/>
      <c r="CO64" s="303"/>
      <c r="CP64" s="303"/>
    </row>
    <row r="65" spans="1:94" ht="14.25" customHeight="1">
      <c r="A65" s="397" t="s">
        <v>682</v>
      </c>
      <c r="B65" s="31" t="s">
        <v>689</v>
      </c>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c r="AG65" s="398"/>
      <c r="AH65" s="398"/>
      <c r="AI65" s="398"/>
      <c r="AJ65" s="398"/>
      <c r="AK65" s="399"/>
      <c r="AL65" s="339"/>
      <c r="AM65" s="339"/>
      <c r="AN65" s="339"/>
      <c r="AO65" s="339"/>
      <c r="AP65" s="339"/>
      <c r="AQ65" s="339"/>
      <c r="AR65" s="339"/>
      <c r="AS65" s="339"/>
      <c r="AT65" s="339"/>
      <c r="AU65" s="339"/>
      <c r="AV65" s="339"/>
      <c r="AW65" s="339"/>
      <c r="AX65" s="339"/>
      <c r="AY65" s="339"/>
      <c r="AZ65" s="339"/>
      <c r="BA65" s="339"/>
      <c r="BB65" s="339"/>
      <c r="BC65" s="339"/>
      <c r="BD65" s="339"/>
      <c r="BE65" s="339" t="s">
        <v>684</v>
      </c>
      <c r="BF65" s="339">
        <v>4.0730375193627801E-2</v>
      </c>
      <c r="BG65" s="339"/>
      <c r="BH65" s="339"/>
      <c r="BI65" s="339"/>
      <c r="BJ65" s="339"/>
      <c r="BK65" s="339"/>
      <c r="BL65" s="339"/>
      <c r="BM65" s="339"/>
      <c r="BN65" s="339"/>
      <c r="BO65" s="339"/>
      <c r="BP65" s="339"/>
      <c r="BQ65" s="339"/>
      <c r="BR65" s="339"/>
      <c r="BS65" s="339"/>
      <c r="BT65" s="339"/>
      <c r="BU65" s="339"/>
      <c r="BV65" s="339"/>
      <c r="BW65" s="339"/>
      <c r="BX65" s="339"/>
      <c r="BY65" s="339"/>
      <c r="BZ65" s="339"/>
      <c r="CA65" s="339"/>
      <c r="CB65" s="339"/>
      <c r="CC65" s="339"/>
      <c r="CD65" s="339"/>
      <c r="CE65" s="339"/>
      <c r="CF65" s="339"/>
      <c r="CG65" s="339"/>
      <c r="CH65" s="339"/>
      <c r="CI65" s="339"/>
      <c r="CJ65" s="339"/>
      <c r="CK65" s="339"/>
      <c r="CL65" s="339"/>
      <c r="CM65" s="339"/>
      <c r="CN65" s="339"/>
      <c r="CO65" s="339"/>
      <c r="CP65" s="339"/>
    </row>
    <row r="66" spans="1:94" ht="12">
      <c r="A66" s="396" t="s">
        <v>35</v>
      </c>
      <c r="B66" s="31" t="s">
        <v>832</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400"/>
      <c r="AL66" s="339"/>
      <c r="AM66" s="339"/>
      <c r="AN66" s="339"/>
      <c r="AO66" s="339"/>
      <c r="AP66" s="339"/>
      <c r="AQ66" s="339"/>
      <c r="AR66" s="339"/>
      <c r="AS66" s="339"/>
      <c r="AT66" s="339"/>
      <c r="AU66" s="339"/>
      <c r="AV66" s="339"/>
      <c r="AW66" s="339"/>
      <c r="AX66" s="339"/>
      <c r="AY66" s="339"/>
      <c r="AZ66" s="339"/>
      <c r="BA66" s="339"/>
      <c r="BB66" s="339"/>
      <c r="BC66" s="339"/>
      <c r="BD66" s="339"/>
      <c r="BE66" s="339" t="s">
        <v>686</v>
      </c>
      <c r="BF66" s="339">
        <v>4.3895326216163301E-2</v>
      </c>
      <c r="BG66" s="339"/>
      <c r="BH66" s="339"/>
      <c r="BI66" s="339"/>
      <c r="BJ66" s="339"/>
      <c r="BK66" s="339"/>
      <c r="BL66" s="339"/>
      <c r="BM66" s="339"/>
      <c r="BN66" s="339"/>
      <c r="BO66" s="339"/>
      <c r="BP66" s="339"/>
      <c r="BQ66" s="339"/>
      <c r="BR66" s="339"/>
      <c r="BS66" s="339"/>
      <c r="BT66" s="339"/>
      <c r="BU66" s="339"/>
      <c r="BV66" s="339"/>
      <c r="BW66" s="339"/>
      <c r="BX66" s="339"/>
      <c r="BY66" s="339"/>
      <c r="BZ66" s="339"/>
      <c r="CA66" s="339"/>
      <c r="CB66" s="339"/>
      <c r="CC66" s="339"/>
      <c r="CD66" s="339"/>
      <c r="CE66" s="339"/>
      <c r="CF66" s="339"/>
      <c r="CG66" s="339"/>
      <c r="CH66" s="339"/>
      <c r="CI66" s="339"/>
      <c r="CJ66" s="339"/>
      <c r="CK66" s="339"/>
      <c r="CL66" s="339"/>
      <c r="CM66" s="339"/>
      <c r="CN66" s="339"/>
      <c r="CO66" s="339"/>
      <c r="CP66" s="339"/>
    </row>
    <row r="67" spans="1:94" ht="12">
      <c r="A67" s="232"/>
      <c r="B67" s="147"/>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2"/>
      <c r="AL67" s="339"/>
      <c r="AM67" s="339"/>
      <c r="AN67" s="339"/>
      <c r="AO67" s="339"/>
      <c r="AP67" s="339"/>
      <c r="AQ67" s="339"/>
      <c r="AR67" s="339"/>
      <c r="AS67" s="339"/>
      <c r="AT67" s="339"/>
      <c r="AU67" s="339"/>
      <c r="AV67" s="339"/>
      <c r="AW67" s="339"/>
      <c r="AX67" s="339"/>
      <c r="AY67" s="339"/>
      <c r="AZ67" s="339"/>
      <c r="BA67" s="339"/>
      <c r="BB67" s="339"/>
      <c r="BC67" s="339"/>
      <c r="BD67" s="339"/>
      <c r="BE67" s="339" t="s">
        <v>688</v>
      </c>
      <c r="BF67" s="339">
        <v>9.8279502406746405E-2</v>
      </c>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339"/>
      <c r="CH67" s="339"/>
      <c r="CI67" s="339"/>
      <c r="CJ67" s="339"/>
      <c r="CK67" s="339"/>
      <c r="CL67" s="339"/>
      <c r="CM67" s="339"/>
      <c r="CN67" s="339"/>
      <c r="CO67" s="339"/>
      <c r="CP67" s="339"/>
    </row>
    <row r="68" spans="1:94" ht="12">
      <c r="A68" s="232"/>
      <c r="B68" s="147"/>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2"/>
      <c r="AL68" s="339"/>
      <c r="AM68" s="339"/>
      <c r="AN68" s="339"/>
      <c r="AO68" s="339"/>
      <c r="AP68" s="339"/>
      <c r="AQ68" s="339"/>
      <c r="AR68" s="339"/>
      <c r="AS68" s="339"/>
      <c r="AT68" s="339"/>
      <c r="AU68" s="339"/>
      <c r="AV68" s="339"/>
      <c r="AW68" s="339"/>
      <c r="AX68" s="339"/>
      <c r="AY68" s="339"/>
      <c r="AZ68" s="339"/>
      <c r="BA68" s="339"/>
      <c r="BB68" s="339"/>
      <c r="BC68" s="339"/>
      <c r="BD68" s="339"/>
      <c r="BE68" s="339" t="s">
        <v>690</v>
      </c>
      <c r="BF68" s="339">
        <v>4.6103001886127403E-3</v>
      </c>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row>
    <row r="69" spans="1:94">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c r="AK69" s="339"/>
      <c r="AL69" s="339"/>
      <c r="AM69" s="339"/>
      <c r="AN69" s="339"/>
      <c r="AO69" s="339"/>
      <c r="AP69" s="339"/>
      <c r="AQ69" s="339"/>
      <c r="AR69" s="339"/>
      <c r="AS69" s="339"/>
      <c r="AT69" s="339"/>
      <c r="AU69" s="339"/>
      <c r="AV69" s="339"/>
      <c r="AW69" s="339"/>
      <c r="AX69" s="339"/>
      <c r="AY69" s="339"/>
      <c r="AZ69" s="339"/>
      <c r="BA69" s="339"/>
      <c r="BB69" s="339"/>
      <c r="BC69" s="339"/>
      <c r="BD69" s="339"/>
      <c r="BE69" s="339" t="s">
        <v>691</v>
      </c>
      <c r="BF69" s="339">
        <v>2.4350556438120501E-2</v>
      </c>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339"/>
      <c r="CC69" s="339"/>
      <c r="CD69" s="339"/>
      <c r="CE69" s="339"/>
      <c r="CF69" s="339"/>
      <c r="CG69" s="339"/>
      <c r="CH69" s="339"/>
      <c r="CI69" s="339"/>
      <c r="CJ69" s="339"/>
      <c r="CK69" s="339"/>
      <c r="CL69" s="339"/>
      <c r="CM69" s="339"/>
      <c r="CN69" s="339"/>
      <c r="CO69" s="339"/>
      <c r="CP69" s="339"/>
    </row>
    <row r="70" spans="1:94">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c r="AK70" s="339"/>
      <c r="AL70" s="339"/>
      <c r="AM70" s="339"/>
      <c r="AN70" s="339"/>
      <c r="AO70" s="339"/>
      <c r="AP70" s="339"/>
      <c r="AQ70" s="339"/>
      <c r="AR70" s="339"/>
      <c r="AS70" s="339"/>
      <c r="AT70" s="339"/>
      <c r="AU70" s="339"/>
      <c r="AV70" s="339"/>
      <c r="AW70" s="339"/>
      <c r="AX70" s="339"/>
      <c r="AY70" s="339"/>
      <c r="AZ70" s="339"/>
      <c r="BA70" s="339"/>
      <c r="BB70" s="339"/>
      <c r="BC70" s="339"/>
      <c r="BD70" s="339"/>
      <c r="BE70" s="339" t="s">
        <v>692</v>
      </c>
      <c r="BF70" s="339">
        <v>2.2611670577828199E-2</v>
      </c>
      <c r="BG70" s="339"/>
      <c r="BH70" s="339"/>
      <c r="BI70" s="339"/>
      <c r="BJ70" s="339"/>
      <c r="BK70" s="339"/>
      <c r="BL70" s="339"/>
      <c r="BM70" s="339"/>
      <c r="BN70" s="339"/>
      <c r="BO70" s="339"/>
      <c r="BP70" s="339"/>
      <c r="BQ70" s="339"/>
      <c r="BR70" s="339"/>
      <c r="BS70" s="339"/>
      <c r="BT70" s="339"/>
      <c r="BU70" s="339"/>
      <c r="BV70" s="339"/>
      <c r="BW70" s="339"/>
      <c r="BX70" s="339"/>
      <c r="BY70" s="339"/>
      <c r="BZ70" s="339"/>
      <c r="CA70" s="339"/>
      <c r="CB70" s="339"/>
      <c r="CC70" s="339"/>
      <c r="CD70" s="339"/>
      <c r="CE70" s="339"/>
      <c r="CF70" s="339"/>
      <c r="CG70" s="339"/>
      <c r="CH70" s="339"/>
      <c r="CI70" s="339"/>
      <c r="CJ70" s="339"/>
      <c r="CK70" s="339"/>
      <c r="CL70" s="339"/>
      <c r="CM70" s="339"/>
      <c r="CN70" s="339"/>
      <c r="CO70" s="339"/>
      <c r="CP70" s="339"/>
    </row>
    <row r="71" spans="1:94">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c r="AK71" s="339"/>
      <c r="AL71" s="339"/>
      <c r="AM71" s="339"/>
      <c r="AN71" s="339"/>
      <c r="AO71" s="339"/>
      <c r="AP71" s="339"/>
      <c r="AQ71" s="339"/>
      <c r="AR71" s="339"/>
      <c r="AS71" s="339"/>
      <c r="AT71" s="339"/>
      <c r="AU71" s="339"/>
      <c r="AV71" s="339"/>
      <c r="AW71" s="339"/>
      <c r="AX71" s="339"/>
      <c r="AY71" s="339"/>
      <c r="AZ71" s="339"/>
      <c r="BA71" s="339"/>
      <c r="BB71" s="339"/>
      <c r="BC71" s="339"/>
      <c r="BD71" s="339"/>
      <c r="BE71" s="339" t="s">
        <v>693</v>
      </c>
      <c r="BF71" s="339">
        <v>1.6631705506207801E-2</v>
      </c>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row>
    <row r="72" spans="1:94">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c r="AK72" s="339"/>
      <c r="AL72" s="339"/>
      <c r="AM72" s="339"/>
      <c r="AN72" s="339"/>
      <c r="AO72" s="339"/>
      <c r="AP72" s="339"/>
      <c r="AQ72" s="339"/>
      <c r="AR72" s="339"/>
      <c r="AS72" s="339"/>
      <c r="AT72" s="339"/>
      <c r="AU72" s="339"/>
      <c r="AV72" s="339"/>
      <c r="AW72" s="339"/>
      <c r="AX72" s="339"/>
      <c r="AY72" s="339"/>
      <c r="AZ72" s="339"/>
      <c r="BA72" s="339"/>
      <c r="BB72" s="339"/>
      <c r="BC72" s="339"/>
      <c r="BD72" s="339"/>
      <c r="BE72" s="339" t="s">
        <v>694</v>
      </c>
      <c r="BF72" s="339">
        <v>1.2040511476354E-2</v>
      </c>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row>
    <row r="73" spans="1:94">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c r="AK73" s="339"/>
      <c r="AL73" s="339"/>
      <c r="AM73" s="339"/>
      <c r="AN73" s="339"/>
      <c r="AO73" s="339"/>
      <c r="AP73" s="339"/>
      <c r="AQ73" s="339"/>
      <c r="AR73" s="339"/>
      <c r="AS73" s="339"/>
      <c r="AT73" s="339"/>
      <c r="AU73" s="339"/>
      <c r="AV73" s="339"/>
      <c r="AW73" s="339"/>
      <c r="AX73" s="339"/>
      <c r="AY73" s="339"/>
      <c r="AZ73" s="339"/>
      <c r="BA73" s="339"/>
      <c r="BB73" s="339"/>
      <c r="BC73" s="339"/>
      <c r="BD73" s="339"/>
      <c r="BE73" s="339" t="s">
        <v>695</v>
      </c>
      <c r="BF73" s="339">
        <v>6.6816872458466204E-3</v>
      </c>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row>
    <row r="74" spans="1:94">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c r="AK74" s="339"/>
      <c r="AL74" s="339"/>
      <c r="AM74" s="339"/>
      <c r="AN74" s="339"/>
      <c r="AO74" s="339"/>
      <c r="AP74" s="339"/>
      <c r="AQ74" s="339"/>
      <c r="AR74" s="339"/>
      <c r="AS74" s="339"/>
      <c r="AT74" s="339"/>
      <c r="AU74" s="339"/>
      <c r="AV74" s="339"/>
      <c r="AW74" s="339"/>
      <c r="AX74" s="339"/>
      <c r="AY74" s="339"/>
      <c r="AZ74" s="339"/>
      <c r="BA74" s="339"/>
      <c r="BB74" s="339"/>
      <c r="BC74" s="339"/>
      <c r="BD74" s="339"/>
      <c r="BE74" s="339" t="s">
        <v>696</v>
      </c>
      <c r="BF74" s="339">
        <v>6.5661530670600996E-3</v>
      </c>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row>
    <row r="75" spans="1:94">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c r="AK75" s="339"/>
      <c r="AL75" s="339"/>
      <c r="AM75" s="339"/>
      <c r="AN75" s="339"/>
      <c r="AO75" s="339"/>
      <c r="AP75" s="339"/>
      <c r="AQ75" s="339"/>
      <c r="AR75" s="339"/>
      <c r="AS75" s="339"/>
      <c r="AT75" s="339"/>
      <c r="AU75" s="339"/>
      <c r="AV75" s="339"/>
      <c r="AW75" s="339"/>
      <c r="AX75" s="339"/>
      <c r="AY75" s="339"/>
      <c r="AZ75" s="339"/>
      <c r="BA75" s="339"/>
      <c r="BB75" s="339"/>
      <c r="BC75" s="339"/>
      <c r="BD75" s="339"/>
      <c r="BE75" s="339" t="s">
        <v>697</v>
      </c>
      <c r="BF75" s="339">
        <v>1.3299240410590499E-2</v>
      </c>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row>
    <row r="76" spans="1:94">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c r="AK76" s="339"/>
      <c r="AL76" s="339"/>
      <c r="AM76" s="339"/>
      <c r="AN76" s="339"/>
      <c r="AO76" s="339"/>
      <c r="AP76" s="339"/>
      <c r="AQ76" s="339"/>
      <c r="AR76" s="339"/>
      <c r="AS76" s="339"/>
      <c r="AT76" s="339"/>
      <c r="AU76" s="339"/>
      <c r="AV76" s="339"/>
      <c r="AW76" s="339"/>
      <c r="AX76" s="339"/>
      <c r="AY76" s="339"/>
      <c r="AZ76" s="339"/>
      <c r="BA76" s="339"/>
      <c r="BB76" s="339"/>
      <c r="BC76" s="339"/>
      <c r="BD76" s="339"/>
      <c r="BE76" s="339" t="s">
        <v>431</v>
      </c>
      <c r="BF76" s="339">
        <v>1.4951987737782399E-3</v>
      </c>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row>
    <row r="77" spans="1:94" s="404" customFormat="1">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c r="AK77" s="339"/>
      <c r="AL77" s="339"/>
      <c r="AM77" s="339"/>
      <c r="AN77" s="339"/>
      <c r="AO77" s="339"/>
      <c r="AP77" s="339"/>
      <c r="AQ77" s="339"/>
      <c r="AR77" s="339"/>
      <c r="AS77" s="339"/>
      <c r="AT77" s="339"/>
      <c r="AU77" s="339"/>
      <c r="AV77" s="339"/>
      <c r="AW77" s="339"/>
      <c r="AX77" s="339"/>
      <c r="AY77" s="339"/>
      <c r="AZ77" s="339"/>
      <c r="BA77" s="339"/>
      <c r="BB77" s="339"/>
      <c r="BC77" s="339"/>
      <c r="BD77" s="339"/>
      <c r="BE77" s="339"/>
      <c r="BF77" s="339"/>
      <c r="BG77" s="339"/>
      <c r="BH77" s="339"/>
      <c r="BI77" s="339"/>
      <c r="BJ77" s="339"/>
      <c r="BK77" s="339"/>
      <c r="BL77" s="339"/>
      <c r="BM77" s="339"/>
      <c r="BN77" s="339"/>
      <c r="BO77" s="339"/>
      <c r="BP77" s="339"/>
      <c r="BQ77" s="339"/>
      <c r="BR77" s="339"/>
      <c r="BS77" s="339"/>
      <c r="BT77" s="339"/>
      <c r="BU77" s="339"/>
      <c r="BV77" s="339"/>
      <c r="BW77" s="339"/>
      <c r="BX77" s="339"/>
      <c r="BY77" s="339"/>
      <c r="BZ77" s="339"/>
      <c r="CA77" s="339"/>
      <c r="CB77" s="339"/>
      <c r="CC77" s="339"/>
      <c r="CD77" s="339"/>
      <c r="CE77" s="339"/>
      <c r="CF77" s="339"/>
      <c r="CG77" s="339"/>
      <c r="CH77" s="339"/>
      <c r="CI77" s="339"/>
      <c r="CJ77" s="339"/>
      <c r="CK77" s="339"/>
      <c r="CL77" s="339"/>
      <c r="CM77" s="339"/>
      <c r="CN77" s="339"/>
      <c r="CO77" s="339"/>
      <c r="CP77" s="339"/>
    </row>
    <row r="78" spans="1:94" s="404" customFormat="1">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c r="AK78" s="339"/>
      <c r="AL78" s="339"/>
      <c r="AM78" s="339"/>
      <c r="AN78" s="339"/>
      <c r="AO78" s="339"/>
      <c r="AP78" s="339"/>
      <c r="AQ78" s="339"/>
      <c r="AR78" s="339"/>
      <c r="AS78" s="339"/>
      <c r="AT78" s="339"/>
      <c r="AU78" s="339"/>
      <c r="AV78" s="339"/>
      <c r="AW78" s="339"/>
      <c r="AX78" s="339"/>
      <c r="AY78" s="339"/>
      <c r="AZ78" s="339"/>
      <c r="BA78" s="339"/>
      <c r="BB78" s="339"/>
      <c r="BC78" s="339"/>
      <c r="BD78" s="339"/>
      <c r="BE78" s="339"/>
      <c r="BF78" s="339"/>
      <c r="BG78" s="339"/>
      <c r="BH78" s="339"/>
      <c r="BI78" s="339"/>
      <c r="BJ78" s="339"/>
      <c r="BK78" s="339"/>
      <c r="BL78" s="339"/>
      <c r="BM78" s="339"/>
      <c r="BN78" s="339"/>
      <c r="BO78" s="339"/>
      <c r="BP78" s="339"/>
      <c r="BQ78" s="339"/>
      <c r="BR78" s="339"/>
      <c r="BS78" s="339"/>
      <c r="BT78" s="339"/>
      <c r="BU78" s="339"/>
      <c r="BV78" s="339"/>
      <c r="BW78" s="339"/>
      <c r="BX78" s="339"/>
      <c r="BY78" s="339"/>
      <c r="BZ78" s="339"/>
      <c r="CA78" s="339"/>
      <c r="CB78" s="339"/>
      <c r="CC78" s="339"/>
      <c r="CD78" s="339"/>
      <c r="CE78" s="339"/>
      <c r="CF78" s="339"/>
      <c r="CG78" s="339"/>
      <c r="CH78" s="339"/>
      <c r="CI78" s="339"/>
      <c r="CJ78" s="339"/>
      <c r="CK78" s="339"/>
      <c r="CL78" s="339"/>
      <c r="CM78" s="339"/>
      <c r="CN78" s="339"/>
      <c r="CO78" s="339"/>
      <c r="CP78" s="339"/>
    </row>
    <row r="79" spans="1:94" s="404" customFormat="1">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339"/>
      <c r="AL79" s="339"/>
      <c r="AM79" s="339"/>
      <c r="AN79" s="339"/>
      <c r="AO79" s="339"/>
      <c r="AP79" s="339"/>
      <c r="AQ79" s="339"/>
      <c r="AR79" s="339"/>
      <c r="AS79" s="339"/>
      <c r="AT79" s="339"/>
      <c r="AU79" s="339"/>
      <c r="AV79" s="339"/>
      <c r="AW79" s="339"/>
      <c r="AX79" s="339"/>
      <c r="AY79" s="339"/>
      <c r="AZ79" s="339"/>
      <c r="BA79" s="339"/>
      <c r="BB79" s="339"/>
      <c r="BC79" s="339"/>
      <c r="BD79" s="339"/>
      <c r="BE79" s="339"/>
      <c r="BF79" s="339"/>
      <c r="BG79" s="339"/>
      <c r="BH79" s="339"/>
      <c r="BI79" s="339"/>
      <c r="BJ79" s="339"/>
      <c r="BK79" s="339"/>
      <c r="BL79" s="339"/>
      <c r="BM79" s="339"/>
      <c r="BN79" s="339"/>
      <c r="BO79" s="339"/>
      <c r="BP79" s="339"/>
      <c r="BQ79" s="339"/>
      <c r="BR79" s="339"/>
      <c r="BS79" s="339"/>
      <c r="BT79" s="339"/>
      <c r="BU79" s="339"/>
      <c r="BV79" s="339"/>
      <c r="BW79" s="339"/>
      <c r="BX79" s="339"/>
      <c r="BY79" s="339"/>
      <c r="BZ79" s="339"/>
      <c r="CA79" s="339"/>
      <c r="CB79" s="339"/>
      <c r="CC79" s="339"/>
      <c r="CD79" s="339"/>
      <c r="CE79" s="339"/>
      <c r="CF79" s="339"/>
      <c r="CG79" s="339"/>
      <c r="CH79" s="339"/>
      <c r="CI79" s="339"/>
      <c r="CJ79" s="339"/>
      <c r="CK79" s="339"/>
      <c r="CL79" s="339"/>
      <c r="CM79" s="339"/>
      <c r="CN79" s="339"/>
      <c r="CO79" s="339"/>
      <c r="CP79" s="339"/>
    </row>
    <row r="80" spans="1:94" s="404" customFormat="1">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339"/>
      <c r="AL80" s="339"/>
      <c r="AM80" s="339"/>
      <c r="AN80" s="339"/>
      <c r="AO80" s="339"/>
      <c r="AP80" s="339"/>
      <c r="AQ80" s="339"/>
      <c r="AR80" s="339"/>
      <c r="AS80" s="339"/>
      <c r="AT80" s="339"/>
      <c r="AU80" s="339"/>
      <c r="AV80" s="339"/>
      <c r="AW80" s="339"/>
      <c r="AX80" s="339"/>
      <c r="AY80" s="339"/>
      <c r="AZ80" s="339"/>
      <c r="BA80" s="339"/>
      <c r="BB80" s="339"/>
      <c r="BC80" s="339"/>
      <c r="BD80" s="339"/>
      <c r="BE80" s="339"/>
      <c r="BF80" s="339"/>
      <c r="BG80" s="339"/>
      <c r="BH80" s="339"/>
      <c r="BI80" s="339"/>
      <c r="BJ80" s="339"/>
      <c r="BK80" s="339"/>
      <c r="BL80" s="339"/>
      <c r="BM80" s="339"/>
      <c r="BN80" s="339"/>
      <c r="BO80" s="339"/>
      <c r="BP80" s="339"/>
      <c r="BQ80" s="339"/>
      <c r="BR80" s="339"/>
      <c r="BS80" s="339"/>
      <c r="BT80" s="339"/>
      <c r="BU80" s="339"/>
      <c r="BV80" s="339"/>
      <c r="BW80" s="339"/>
      <c r="BX80" s="339"/>
      <c r="BY80" s="339"/>
      <c r="BZ80" s="339"/>
      <c r="CA80" s="339"/>
      <c r="CB80" s="339"/>
      <c r="CC80" s="339"/>
      <c r="CD80" s="339"/>
      <c r="CE80" s="339"/>
      <c r="CF80" s="339"/>
      <c r="CG80" s="339"/>
      <c r="CH80" s="339"/>
      <c r="CI80" s="339"/>
      <c r="CJ80" s="339"/>
      <c r="CK80" s="339"/>
      <c r="CL80" s="339"/>
      <c r="CM80" s="339"/>
      <c r="CN80" s="339"/>
      <c r="CO80" s="339"/>
      <c r="CP80" s="339"/>
    </row>
    <row r="81" spans="1:94" s="404" customFormat="1">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c r="AK81" s="339"/>
      <c r="AL81" s="339"/>
      <c r="AM81" s="339"/>
      <c r="AN81" s="339"/>
      <c r="AO81" s="339"/>
      <c r="AP81" s="339"/>
      <c r="AQ81" s="339"/>
      <c r="AR81" s="339"/>
      <c r="AS81" s="339"/>
      <c r="AT81" s="339"/>
      <c r="AU81" s="339"/>
      <c r="AV81" s="339"/>
      <c r="AW81" s="339"/>
      <c r="AX81" s="339"/>
      <c r="AY81" s="339"/>
      <c r="AZ81" s="339"/>
      <c r="BA81" s="339"/>
      <c r="BB81" s="339"/>
      <c r="BC81" s="339"/>
      <c r="BD81" s="339"/>
      <c r="BE81" s="339"/>
      <c r="BF81" s="339"/>
      <c r="BG81" s="339"/>
      <c r="BH81" s="339"/>
      <c r="BI81" s="339"/>
      <c r="BJ81" s="339"/>
      <c r="BK81" s="339"/>
      <c r="BL81" s="339"/>
      <c r="BM81" s="339"/>
      <c r="BN81" s="339"/>
      <c r="BO81" s="339"/>
      <c r="BP81" s="339"/>
      <c r="BQ81" s="339"/>
      <c r="BR81" s="339"/>
      <c r="BS81" s="339"/>
      <c r="BT81" s="339"/>
      <c r="BU81" s="339"/>
      <c r="BV81" s="339"/>
      <c r="BW81" s="339"/>
      <c r="BX81" s="339"/>
      <c r="BY81" s="339"/>
      <c r="BZ81" s="339"/>
      <c r="CA81" s="339"/>
      <c r="CB81" s="339"/>
      <c r="CC81" s="339"/>
      <c r="CD81" s="339"/>
      <c r="CE81" s="339"/>
      <c r="CF81" s="339"/>
      <c r="CG81" s="339"/>
      <c r="CH81" s="339"/>
      <c r="CI81" s="339"/>
      <c r="CJ81" s="339"/>
      <c r="CK81" s="339"/>
      <c r="CL81" s="339"/>
      <c r="CM81" s="339"/>
      <c r="CN81" s="339"/>
      <c r="CO81" s="339"/>
      <c r="CP81" s="339"/>
    </row>
    <row r="82" spans="1:94" s="404" customFormat="1">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39"/>
      <c r="BR82" s="339"/>
      <c r="BS82" s="339"/>
      <c r="BT82" s="339"/>
      <c r="BU82" s="339"/>
      <c r="BV82" s="339"/>
      <c r="BW82" s="339"/>
      <c r="BX82" s="339"/>
      <c r="BY82" s="339"/>
      <c r="BZ82" s="339"/>
      <c r="CA82" s="339"/>
      <c r="CB82" s="339"/>
      <c r="CC82" s="339"/>
      <c r="CD82" s="339"/>
      <c r="CE82" s="339"/>
      <c r="CF82" s="339"/>
      <c r="CG82" s="339"/>
      <c r="CH82" s="339"/>
      <c r="CI82" s="339"/>
      <c r="CJ82" s="339"/>
      <c r="CK82" s="339"/>
      <c r="CL82" s="339"/>
      <c r="CM82" s="339"/>
      <c r="CN82" s="339"/>
      <c r="CO82" s="339"/>
      <c r="CP82" s="339"/>
    </row>
    <row r="83" spans="1:94" s="404" customFormat="1">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c r="AK83" s="339"/>
      <c r="AL83" s="339"/>
      <c r="AM83" s="339"/>
      <c r="AN83" s="339"/>
      <c r="AO83" s="339"/>
      <c r="AP83" s="339"/>
      <c r="AQ83" s="339"/>
      <c r="AR83" s="339"/>
      <c r="AS83" s="339"/>
      <c r="AT83" s="339"/>
      <c r="AU83" s="339"/>
      <c r="AV83" s="339"/>
      <c r="AW83" s="339"/>
      <c r="AX83" s="339"/>
      <c r="AY83" s="339"/>
      <c r="AZ83" s="339"/>
      <c r="BA83" s="339"/>
      <c r="BB83" s="339"/>
      <c r="BC83" s="339"/>
      <c r="BD83" s="339"/>
      <c r="BE83" s="339"/>
      <c r="BF83" s="339"/>
      <c r="BG83" s="339"/>
      <c r="BH83" s="339"/>
      <c r="BI83" s="339"/>
      <c r="BJ83" s="339"/>
      <c r="BK83" s="339"/>
      <c r="BL83" s="339"/>
      <c r="BM83" s="339"/>
      <c r="BN83" s="339"/>
      <c r="BO83" s="339"/>
      <c r="BP83" s="339"/>
      <c r="BQ83" s="339"/>
      <c r="BR83" s="339"/>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row>
    <row r="84" spans="1:94" s="404" customFormat="1">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339"/>
      <c r="AL84" s="339"/>
      <c r="AM84" s="339"/>
      <c r="AN84" s="339"/>
      <c r="AO84" s="339"/>
      <c r="AP84" s="339"/>
      <c r="AQ84" s="339"/>
      <c r="AR84" s="339"/>
      <c r="AS84" s="339"/>
      <c r="AT84" s="339"/>
      <c r="AU84" s="339"/>
      <c r="AV84" s="339"/>
      <c r="AW84" s="339"/>
      <c r="AX84" s="339"/>
      <c r="AY84" s="339"/>
      <c r="AZ84" s="339"/>
      <c r="BA84" s="339"/>
      <c r="BB84" s="339"/>
      <c r="BC84" s="339"/>
      <c r="BD84" s="339"/>
      <c r="BE84" s="339"/>
      <c r="BF84" s="339"/>
      <c r="BG84" s="339"/>
      <c r="BH84" s="339"/>
      <c r="BI84" s="339"/>
      <c r="BJ84" s="339"/>
      <c r="BK84" s="339"/>
      <c r="BL84" s="339"/>
      <c r="BM84" s="339"/>
      <c r="BN84" s="339"/>
      <c r="BO84" s="339"/>
      <c r="BP84" s="339"/>
      <c r="BQ84" s="339"/>
      <c r="BR84" s="339"/>
      <c r="BS84" s="339"/>
      <c r="BT84" s="339"/>
      <c r="BU84" s="339"/>
      <c r="BV84" s="339"/>
      <c r="BW84" s="339"/>
      <c r="BX84" s="339"/>
      <c r="BY84" s="339"/>
      <c r="BZ84" s="339"/>
      <c r="CA84" s="339"/>
      <c r="CB84" s="339"/>
      <c r="CC84" s="339"/>
      <c r="CD84" s="339"/>
      <c r="CE84" s="339"/>
      <c r="CF84" s="339"/>
      <c r="CG84" s="339"/>
      <c r="CH84" s="339"/>
      <c r="CI84" s="339"/>
      <c r="CJ84" s="339"/>
      <c r="CK84" s="339"/>
      <c r="CL84" s="339"/>
      <c r="CM84" s="339"/>
      <c r="CN84" s="339"/>
      <c r="CO84" s="339"/>
      <c r="CP84" s="339"/>
    </row>
    <row r="85" spans="1:94" s="404" customFormat="1">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339"/>
      <c r="AL85" s="339"/>
      <c r="AM85" s="339"/>
      <c r="AN85" s="339"/>
      <c r="AO85" s="339"/>
      <c r="AP85" s="339"/>
      <c r="AQ85" s="339"/>
      <c r="AR85" s="339"/>
      <c r="AS85" s="339"/>
      <c r="AT85" s="339"/>
      <c r="AU85" s="339"/>
      <c r="AV85" s="339"/>
      <c r="AW85" s="339"/>
      <c r="AX85" s="339"/>
      <c r="AY85" s="339"/>
      <c r="AZ85" s="339"/>
      <c r="BA85" s="339"/>
      <c r="BB85" s="339"/>
      <c r="BC85" s="339"/>
      <c r="BD85" s="339"/>
      <c r="BE85" s="339"/>
      <c r="BF85" s="339"/>
      <c r="BG85" s="339"/>
      <c r="BH85" s="339"/>
      <c r="BI85" s="339"/>
      <c r="BJ85" s="339"/>
      <c r="BK85" s="339"/>
      <c r="BL85" s="339"/>
      <c r="BM85" s="339"/>
      <c r="BN85" s="339"/>
      <c r="BO85" s="339"/>
      <c r="BP85" s="339"/>
      <c r="BQ85" s="339"/>
      <c r="BR85" s="339"/>
      <c r="BS85" s="339"/>
      <c r="BT85" s="339"/>
      <c r="BU85" s="339"/>
      <c r="BV85" s="339"/>
      <c r="BW85" s="339"/>
      <c r="BX85" s="339"/>
      <c r="BY85" s="339"/>
      <c r="BZ85" s="339"/>
      <c r="CA85" s="339"/>
      <c r="CB85" s="339"/>
      <c r="CC85" s="339"/>
      <c r="CD85" s="339"/>
      <c r="CE85" s="339"/>
      <c r="CF85" s="339"/>
      <c r="CG85" s="339"/>
      <c r="CH85" s="339"/>
      <c r="CI85" s="339"/>
      <c r="CJ85" s="339"/>
      <c r="CK85" s="339"/>
      <c r="CL85" s="339"/>
      <c r="CM85" s="339"/>
      <c r="CN85" s="339"/>
      <c r="CO85" s="339"/>
      <c r="CP85" s="339"/>
    </row>
    <row r="86" spans="1:94" s="404" customFormat="1">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c r="BQ86" s="339"/>
      <c r="BR86" s="339"/>
      <c r="BS86" s="339"/>
      <c r="BT86" s="339"/>
      <c r="BU86" s="339"/>
      <c r="BV86" s="339"/>
      <c r="BW86" s="339"/>
      <c r="BX86" s="339"/>
      <c r="BY86" s="339"/>
      <c r="BZ86" s="339"/>
      <c r="CA86" s="339"/>
      <c r="CB86" s="339"/>
      <c r="CC86" s="339"/>
      <c r="CD86" s="339"/>
      <c r="CE86" s="339"/>
      <c r="CF86" s="339"/>
      <c r="CG86" s="339"/>
      <c r="CH86" s="339"/>
      <c r="CI86" s="339"/>
      <c r="CJ86" s="339"/>
      <c r="CK86" s="339"/>
      <c r="CL86" s="339"/>
      <c r="CM86" s="339"/>
      <c r="CN86" s="339"/>
      <c r="CO86" s="339"/>
      <c r="CP86" s="339"/>
    </row>
    <row r="87" spans="1:94" s="404" customFormat="1">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c r="AK87" s="339"/>
      <c r="AL87" s="339"/>
      <c r="AM87" s="339"/>
      <c r="AN87" s="339"/>
      <c r="AO87" s="339"/>
      <c r="AP87" s="339"/>
      <c r="AQ87" s="339"/>
      <c r="AR87" s="339"/>
      <c r="AS87" s="339"/>
      <c r="AT87" s="339"/>
      <c r="AU87" s="339"/>
      <c r="AV87" s="339"/>
      <c r="AW87" s="339"/>
      <c r="AX87" s="339"/>
      <c r="AY87" s="339"/>
      <c r="AZ87" s="339"/>
      <c r="BA87" s="339"/>
      <c r="BB87" s="339"/>
      <c r="BC87" s="339"/>
      <c r="BD87" s="339"/>
      <c r="BE87" s="339"/>
      <c r="BF87" s="339"/>
      <c r="BG87" s="339"/>
      <c r="BH87" s="339"/>
      <c r="BI87" s="339"/>
      <c r="BJ87" s="339"/>
      <c r="BK87" s="339"/>
      <c r="BL87" s="339"/>
      <c r="BM87" s="339"/>
      <c r="BN87" s="339"/>
      <c r="BO87" s="339"/>
      <c r="BP87" s="339"/>
      <c r="BQ87" s="339"/>
      <c r="BR87" s="339"/>
      <c r="BS87" s="339"/>
      <c r="BT87" s="339"/>
      <c r="BU87" s="339"/>
      <c r="BV87" s="339"/>
      <c r="BW87" s="339"/>
      <c r="BX87" s="339"/>
      <c r="BY87" s="339"/>
      <c r="BZ87" s="339"/>
      <c r="CA87" s="339"/>
      <c r="CB87" s="339"/>
      <c r="CC87" s="339"/>
      <c r="CD87" s="339"/>
      <c r="CE87" s="339"/>
      <c r="CF87" s="339"/>
      <c r="CG87" s="339"/>
      <c r="CH87" s="339"/>
      <c r="CI87" s="339"/>
      <c r="CJ87" s="339"/>
      <c r="CK87" s="339"/>
      <c r="CL87" s="339"/>
      <c r="CM87" s="339"/>
      <c r="CN87" s="339"/>
      <c r="CO87" s="339"/>
      <c r="CP87" s="339"/>
    </row>
    <row r="88" spans="1:94" s="404" customFormat="1">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c r="AK88" s="339"/>
      <c r="AL88" s="339"/>
      <c r="AM88" s="339"/>
      <c r="AN88" s="339"/>
      <c r="AO88" s="339"/>
      <c r="AP88" s="339"/>
      <c r="AQ88" s="339"/>
      <c r="AR88" s="339"/>
      <c r="AS88" s="339"/>
      <c r="AT88" s="339"/>
      <c r="AU88" s="339"/>
      <c r="AV88" s="339"/>
      <c r="AW88" s="339"/>
      <c r="AX88" s="339"/>
      <c r="AY88" s="339"/>
      <c r="AZ88" s="339"/>
      <c r="BA88" s="339"/>
      <c r="BB88" s="339"/>
      <c r="BC88" s="339"/>
      <c r="BD88" s="339"/>
      <c r="BE88" s="339"/>
      <c r="BF88" s="339"/>
      <c r="BG88" s="339"/>
      <c r="BH88" s="339"/>
      <c r="BI88" s="339"/>
      <c r="BJ88" s="339"/>
      <c r="BK88" s="339"/>
      <c r="BL88" s="339"/>
      <c r="BM88" s="339"/>
      <c r="BN88" s="339"/>
      <c r="BO88" s="339"/>
      <c r="BP88" s="339"/>
      <c r="BQ88" s="339"/>
      <c r="BR88" s="339"/>
      <c r="BS88" s="339"/>
      <c r="BT88" s="339"/>
      <c r="BU88" s="339"/>
      <c r="BV88" s="339"/>
      <c r="BW88" s="339"/>
      <c r="BX88" s="339"/>
      <c r="BY88" s="339"/>
      <c r="BZ88" s="339"/>
      <c r="CA88" s="339"/>
      <c r="CB88" s="339"/>
      <c r="CC88" s="339"/>
      <c r="CD88" s="339"/>
      <c r="CE88" s="339"/>
      <c r="CF88" s="339"/>
      <c r="CG88" s="339"/>
      <c r="CH88" s="339"/>
      <c r="CI88" s="339"/>
      <c r="CJ88" s="339"/>
      <c r="CK88" s="339"/>
      <c r="CL88" s="339"/>
      <c r="CM88" s="339"/>
      <c r="CN88" s="339"/>
      <c r="CO88" s="339"/>
      <c r="CP88" s="339"/>
    </row>
    <row r="89" spans="1:94" s="404" customFormat="1">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c r="AK89" s="339"/>
      <c r="AL89" s="339"/>
      <c r="AM89" s="339"/>
      <c r="AN89" s="339"/>
      <c r="AO89" s="339"/>
      <c r="AP89" s="339"/>
      <c r="AQ89" s="339"/>
      <c r="AR89" s="339"/>
      <c r="AS89" s="339"/>
      <c r="AT89" s="339"/>
      <c r="AU89" s="339"/>
      <c r="AV89" s="339"/>
      <c r="AW89" s="339"/>
      <c r="AX89" s="339"/>
      <c r="AY89" s="339"/>
      <c r="AZ89" s="339"/>
      <c r="BA89" s="339"/>
      <c r="BB89" s="339"/>
      <c r="BC89" s="339"/>
      <c r="BD89" s="339"/>
      <c r="BE89" s="339"/>
      <c r="BF89" s="339"/>
      <c r="BG89" s="339"/>
      <c r="BH89" s="339"/>
      <c r="BI89" s="339"/>
      <c r="BJ89" s="339"/>
      <c r="BK89" s="339"/>
      <c r="BL89" s="339"/>
      <c r="BM89" s="339"/>
      <c r="BN89" s="339"/>
      <c r="BO89" s="339"/>
      <c r="BP89" s="339"/>
      <c r="BQ89" s="339"/>
      <c r="BR89" s="339"/>
      <c r="BS89" s="339"/>
      <c r="BT89" s="339"/>
      <c r="BU89" s="339"/>
      <c r="BV89" s="339"/>
      <c r="BW89" s="339"/>
      <c r="BX89" s="339"/>
      <c r="BY89" s="339"/>
      <c r="BZ89" s="339"/>
      <c r="CA89" s="339"/>
      <c r="CB89" s="339"/>
      <c r="CC89" s="339"/>
      <c r="CD89" s="339"/>
      <c r="CE89" s="339"/>
      <c r="CF89" s="339"/>
      <c r="CG89" s="339"/>
      <c r="CH89" s="339"/>
      <c r="CI89" s="339"/>
      <c r="CJ89" s="339"/>
      <c r="CK89" s="339"/>
      <c r="CL89" s="339"/>
      <c r="CM89" s="339"/>
      <c r="CN89" s="339"/>
      <c r="CO89" s="339"/>
      <c r="CP89" s="339"/>
    </row>
    <row r="90" spans="1:94" s="404" customFormat="1">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c r="AK90" s="339"/>
      <c r="AL90" s="339"/>
      <c r="AM90" s="339"/>
      <c r="AN90" s="339"/>
      <c r="AO90" s="339"/>
      <c r="AP90" s="339"/>
      <c r="AQ90" s="339"/>
      <c r="AR90" s="339"/>
      <c r="AS90" s="339"/>
      <c r="AT90" s="339"/>
      <c r="AU90" s="339"/>
      <c r="AV90" s="339"/>
      <c r="AW90" s="339"/>
      <c r="AX90" s="339"/>
      <c r="AY90" s="339"/>
      <c r="AZ90" s="339"/>
      <c r="BA90" s="339"/>
      <c r="BB90" s="339"/>
      <c r="BC90" s="339"/>
      <c r="BD90" s="339"/>
      <c r="BE90" s="339"/>
      <c r="BF90" s="339"/>
      <c r="BG90" s="339"/>
      <c r="BH90" s="339"/>
      <c r="BI90" s="339"/>
      <c r="BJ90" s="339"/>
      <c r="BK90" s="339"/>
      <c r="BL90" s="339"/>
      <c r="BM90" s="339"/>
      <c r="BN90" s="339"/>
      <c r="BO90" s="339"/>
      <c r="BP90" s="339"/>
      <c r="BQ90" s="339"/>
      <c r="BR90" s="339"/>
      <c r="BS90" s="339"/>
      <c r="BT90" s="339"/>
      <c r="BU90" s="339"/>
      <c r="BV90" s="339"/>
      <c r="BW90" s="339"/>
      <c r="BX90" s="339"/>
      <c r="BY90" s="339"/>
      <c r="BZ90" s="339"/>
      <c r="CA90" s="339"/>
      <c r="CB90" s="339"/>
      <c r="CC90" s="339"/>
      <c r="CD90" s="339"/>
      <c r="CE90" s="339"/>
      <c r="CF90" s="339"/>
      <c r="CG90" s="339"/>
      <c r="CH90" s="339"/>
      <c r="CI90" s="339"/>
      <c r="CJ90" s="339"/>
      <c r="CK90" s="339"/>
      <c r="CL90" s="339"/>
      <c r="CM90" s="339"/>
      <c r="CN90" s="339"/>
      <c r="CO90" s="339"/>
      <c r="CP90" s="339"/>
    </row>
    <row r="91" spans="1:94" s="404" customFormat="1">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c r="AK91" s="339"/>
      <c r="AL91" s="339"/>
      <c r="AM91" s="339"/>
      <c r="AN91" s="339"/>
      <c r="AO91" s="339"/>
      <c r="AP91" s="339"/>
      <c r="AQ91" s="339"/>
      <c r="AR91" s="339"/>
      <c r="AS91" s="339"/>
      <c r="AT91" s="339"/>
      <c r="AU91" s="339"/>
      <c r="AV91" s="339"/>
      <c r="AW91" s="339"/>
      <c r="AX91" s="339"/>
      <c r="AY91" s="339"/>
      <c r="AZ91" s="339"/>
      <c r="BA91" s="339"/>
      <c r="BB91" s="339"/>
      <c r="BC91" s="339"/>
      <c r="BD91" s="339"/>
      <c r="BE91" s="339"/>
      <c r="BF91" s="339"/>
      <c r="BG91" s="339"/>
      <c r="BH91" s="339"/>
      <c r="BI91" s="339"/>
      <c r="BJ91" s="339"/>
      <c r="BK91" s="339"/>
      <c r="BL91" s="339"/>
      <c r="BM91" s="339"/>
      <c r="BN91" s="339"/>
      <c r="BO91" s="339"/>
      <c r="BP91" s="339"/>
      <c r="BQ91" s="339"/>
      <c r="BR91" s="339"/>
      <c r="BS91" s="339"/>
      <c r="BT91" s="339"/>
      <c r="BU91" s="339"/>
      <c r="BV91" s="339"/>
      <c r="BW91" s="339"/>
      <c r="BX91" s="339"/>
      <c r="BY91" s="339"/>
      <c r="BZ91" s="339"/>
      <c r="CA91" s="339"/>
      <c r="CB91" s="339"/>
      <c r="CC91" s="339"/>
      <c r="CD91" s="339"/>
      <c r="CE91" s="339"/>
      <c r="CF91" s="339"/>
      <c r="CG91" s="339"/>
      <c r="CH91" s="339"/>
      <c r="CI91" s="339"/>
      <c r="CJ91" s="339"/>
      <c r="CK91" s="339"/>
      <c r="CL91" s="339"/>
      <c r="CM91" s="339"/>
      <c r="CN91" s="339"/>
      <c r="CO91" s="339"/>
      <c r="CP91" s="339"/>
    </row>
    <row r="92" spans="1:94" s="404" customFormat="1">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c r="BQ92" s="339"/>
      <c r="BR92" s="339"/>
      <c r="BS92" s="339"/>
      <c r="BT92" s="339"/>
      <c r="BU92" s="339"/>
      <c r="BV92" s="339"/>
      <c r="BW92" s="339"/>
      <c r="BX92" s="339"/>
      <c r="BY92" s="339"/>
      <c r="BZ92" s="339"/>
      <c r="CA92" s="339"/>
      <c r="CB92" s="339"/>
      <c r="CC92" s="339"/>
      <c r="CD92" s="339"/>
      <c r="CE92" s="339"/>
      <c r="CF92" s="339"/>
      <c r="CG92" s="339"/>
      <c r="CH92" s="339"/>
      <c r="CI92" s="339"/>
      <c r="CJ92" s="339"/>
      <c r="CK92" s="339"/>
      <c r="CL92" s="339"/>
      <c r="CM92" s="339"/>
      <c r="CN92" s="339"/>
      <c r="CO92" s="339"/>
      <c r="CP92" s="339"/>
    </row>
    <row r="93" spans="1:94">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c r="AK93" s="339"/>
      <c r="AL93" s="339"/>
      <c r="AM93" s="339"/>
      <c r="AN93" s="339"/>
      <c r="AO93" s="339"/>
      <c r="AP93" s="339"/>
      <c r="AQ93" s="339"/>
      <c r="AR93" s="339"/>
      <c r="AS93" s="339"/>
      <c r="AT93" s="339"/>
      <c r="AU93" s="339"/>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row>
    <row r="94" spans="1:94">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row>
    <row r="95" spans="1:94">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row>
    <row r="96" spans="1:94">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c r="AK96" s="339"/>
      <c r="AL96" s="339"/>
      <c r="AM96" s="339"/>
      <c r="AN96" s="339"/>
      <c r="AO96" s="339"/>
      <c r="AP96" s="339"/>
      <c r="AQ96" s="339"/>
      <c r="AR96" s="339"/>
      <c r="AS96" s="339"/>
      <c r="AT96" s="339"/>
      <c r="AU96" s="339"/>
      <c r="AV96" s="339"/>
      <c r="AW96" s="339"/>
      <c r="AX96" s="339"/>
      <c r="AY96" s="339"/>
      <c r="AZ96" s="339"/>
      <c r="BA96" s="339"/>
      <c r="BB96" s="339"/>
      <c r="BC96" s="339"/>
      <c r="BD96" s="339"/>
      <c r="BE96" s="339"/>
      <c r="BF96" s="339"/>
      <c r="BG96" s="339"/>
      <c r="BH96" s="339"/>
      <c r="BI96" s="339"/>
      <c r="BJ96" s="339"/>
      <c r="BK96" s="339"/>
      <c r="BL96" s="339"/>
      <c r="BM96" s="339"/>
      <c r="BN96" s="339"/>
      <c r="BO96" s="339"/>
      <c r="BP96" s="339"/>
      <c r="BQ96" s="339"/>
      <c r="BR96" s="339"/>
      <c r="BS96" s="339"/>
      <c r="BT96" s="339"/>
      <c r="BU96" s="339"/>
      <c r="BV96" s="339"/>
      <c r="BW96" s="339"/>
      <c r="BX96" s="339"/>
      <c r="BY96" s="339"/>
      <c r="BZ96" s="339"/>
      <c r="CA96" s="339"/>
      <c r="CB96" s="339"/>
      <c r="CC96" s="339"/>
      <c r="CD96" s="339"/>
      <c r="CE96" s="339"/>
      <c r="CF96" s="339"/>
      <c r="CG96" s="339"/>
      <c r="CH96" s="339"/>
      <c r="CI96" s="339"/>
      <c r="CJ96" s="339"/>
      <c r="CK96" s="339"/>
      <c r="CL96" s="339"/>
      <c r="CM96" s="339"/>
      <c r="CN96" s="339"/>
      <c r="CO96" s="339"/>
      <c r="CP96" s="339"/>
    </row>
    <row r="97" spans="1:94">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c r="AK97" s="339"/>
      <c r="AL97" s="339"/>
      <c r="AM97" s="339"/>
      <c r="AN97" s="339"/>
      <c r="AO97" s="339"/>
      <c r="AP97" s="339"/>
      <c r="AQ97" s="339"/>
      <c r="AR97" s="339"/>
      <c r="AS97" s="339"/>
      <c r="AT97" s="339"/>
      <c r="AU97" s="339"/>
      <c r="AV97" s="339"/>
      <c r="AW97" s="339"/>
      <c r="AX97" s="339"/>
      <c r="AY97" s="339"/>
      <c r="AZ97" s="339"/>
      <c r="BA97" s="339"/>
      <c r="BB97" s="339"/>
      <c r="BC97" s="339"/>
      <c r="BD97" s="339"/>
      <c r="BE97" s="339"/>
      <c r="BF97" s="339"/>
      <c r="BG97" s="339"/>
      <c r="BH97" s="339"/>
      <c r="BI97" s="339"/>
      <c r="BJ97" s="339"/>
      <c r="BK97" s="339"/>
      <c r="BL97" s="339"/>
      <c r="BM97" s="339"/>
      <c r="BN97" s="339"/>
      <c r="BO97" s="339"/>
      <c r="BP97" s="339"/>
      <c r="BQ97" s="339"/>
      <c r="BR97" s="339"/>
      <c r="BS97" s="339"/>
      <c r="BT97" s="339"/>
      <c r="BU97" s="339"/>
      <c r="BV97" s="339"/>
      <c r="BW97" s="339"/>
      <c r="BX97" s="339"/>
      <c r="BY97" s="339"/>
      <c r="BZ97" s="339"/>
      <c r="CA97" s="339"/>
      <c r="CB97" s="339"/>
      <c r="CC97" s="339"/>
      <c r="CD97" s="339"/>
      <c r="CE97" s="339"/>
      <c r="CF97" s="339"/>
      <c r="CG97" s="339"/>
      <c r="CH97" s="339"/>
      <c r="CI97" s="339"/>
      <c r="CJ97" s="339"/>
      <c r="CK97" s="339"/>
      <c r="CL97" s="339"/>
      <c r="CM97" s="339"/>
      <c r="CN97" s="339"/>
      <c r="CO97" s="339"/>
      <c r="CP97" s="339"/>
    </row>
    <row r="98" spans="1:94">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c r="BQ98" s="339"/>
      <c r="BR98" s="339"/>
      <c r="BS98" s="339"/>
      <c r="BT98" s="339"/>
      <c r="BU98" s="339"/>
      <c r="BV98" s="339"/>
      <c r="BW98" s="339"/>
      <c r="BX98" s="339"/>
      <c r="BY98" s="339"/>
      <c r="BZ98" s="339"/>
      <c r="CA98" s="339"/>
      <c r="CB98" s="339"/>
      <c r="CC98" s="339"/>
      <c r="CD98" s="339"/>
      <c r="CE98" s="339"/>
      <c r="CF98" s="339"/>
      <c r="CG98" s="339"/>
      <c r="CH98" s="339"/>
      <c r="CI98" s="339"/>
      <c r="CJ98" s="339"/>
      <c r="CK98" s="339"/>
      <c r="CL98" s="339"/>
      <c r="CM98" s="339"/>
      <c r="CN98" s="339"/>
      <c r="CO98" s="339"/>
      <c r="CP98" s="339"/>
    </row>
    <row r="99" spans="1:94">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c r="AK99" s="339"/>
      <c r="AL99" s="339"/>
      <c r="AM99" s="339"/>
      <c r="AN99" s="339"/>
      <c r="AO99" s="339"/>
      <c r="AP99" s="339"/>
      <c r="AQ99" s="339"/>
      <c r="AR99" s="339"/>
      <c r="AS99" s="339"/>
      <c r="AT99" s="339"/>
      <c r="AU99" s="339"/>
      <c r="AV99" s="339"/>
      <c r="AW99" s="339"/>
      <c r="AX99" s="339"/>
      <c r="AY99" s="339"/>
      <c r="AZ99" s="339"/>
      <c r="BA99" s="339"/>
      <c r="BB99" s="339"/>
      <c r="BC99" s="339"/>
      <c r="BD99" s="339"/>
      <c r="BE99" s="339"/>
      <c r="BF99" s="339"/>
      <c r="BG99" s="339"/>
      <c r="BH99" s="339"/>
      <c r="BI99" s="339"/>
      <c r="BJ99" s="339"/>
      <c r="BK99" s="339"/>
      <c r="BL99" s="339"/>
      <c r="BM99" s="339"/>
      <c r="BN99" s="339"/>
      <c r="BO99" s="339"/>
      <c r="BP99" s="339"/>
      <c r="BQ99" s="339"/>
      <c r="BR99" s="339"/>
      <c r="BS99" s="339"/>
      <c r="BT99" s="339"/>
      <c r="BU99" s="339"/>
      <c r="BV99" s="339"/>
      <c r="BW99" s="339"/>
      <c r="BX99" s="339"/>
      <c r="BY99" s="339"/>
      <c r="BZ99" s="339"/>
      <c r="CA99" s="339"/>
      <c r="CB99" s="339"/>
      <c r="CC99" s="339"/>
      <c r="CD99" s="339"/>
      <c r="CE99" s="339"/>
      <c r="CF99" s="339"/>
      <c r="CG99" s="339"/>
      <c r="CH99" s="339"/>
      <c r="CI99" s="339"/>
      <c r="CJ99" s="339"/>
      <c r="CK99" s="339"/>
      <c r="CL99" s="339"/>
      <c r="CM99" s="339"/>
      <c r="CN99" s="339"/>
      <c r="CO99" s="339"/>
      <c r="CP99" s="339"/>
    </row>
    <row r="100" spans="1:94">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c r="AK100" s="339"/>
      <c r="AL100" s="339"/>
      <c r="AM100" s="339"/>
      <c r="AN100" s="339"/>
      <c r="AO100" s="339"/>
      <c r="AP100" s="339"/>
      <c r="AQ100" s="339"/>
      <c r="AR100" s="339"/>
      <c r="AS100" s="339"/>
      <c r="AT100" s="339"/>
      <c r="AU100" s="339"/>
      <c r="AV100" s="339"/>
      <c r="AW100" s="339"/>
      <c r="AX100" s="339"/>
      <c r="AY100" s="339"/>
      <c r="AZ100" s="339"/>
      <c r="BA100" s="339"/>
      <c r="BB100" s="339"/>
      <c r="BC100" s="339"/>
      <c r="BD100" s="339"/>
      <c r="BE100" s="339"/>
      <c r="BF100" s="339"/>
      <c r="BG100" s="339"/>
      <c r="BH100" s="339"/>
      <c r="BI100" s="339"/>
      <c r="BJ100" s="339"/>
      <c r="BK100" s="339"/>
      <c r="BL100" s="339"/>
      <c r="BM100" s="339"/>
      <c r="BN100" s="339"/>
      <c r="BO100" s="339"/>
      <c r="BP100" s="339"/>
      <c r="BQ100" s="339"/>
      <c r="BR100" s="339"/>
      <c r="BS100" s="339"/>
      <c r="BT100" s="339"/>
      <c r="BU100" s="339"/>
      <c r="BV100" s="339"/>
      <c r="BW100" s="339"/>
      <c r="BX100" s="339"/>
      <c r="BY100" s="339"/>
      <c r="BZ100" s="339"/>
      <c r="CA100" s="339"/>
      <c r="CB100" s="339"/>
      <c r="CC100" s="339"/>
      <c r="CD100" s="339"/>
      <c r="CE100" s="339"/>
      <c r="CF100" s="339"/>
      <c r="CG100" s="339"/>
      <c r="CH100" s="339"/>
      <c r="CI100" s="339"/>
      <c r="CJ100" s="339"/>
      <c r="CK100" s="339"/>
      <c r="CL100" s="339"/>
      <c r="CM100" s="339"/>
      <c r="CN100" s="339"/>
      <c r="CO100" s="339"/>
      <c r="CP100" s="339"/>
    </row>
    <row r="101" spans="1:94">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c r="BQ101" s="339"/>
      <c r="BR101" s="339"/>
      <c r="BS101" s="339"/>
      <c r="BT101" s="339"/>
      <c r="BU101" s="339"/>
      <c r="BV101" s="339"/>
      <c r="BW101" s="339"/>
      <c r="BX101" s="339"/>
      <c r="BY101" s="339"/>
      <c r="BZ101" s="339"/>
      <c r="CA101" s="339"/>
      <c r="CB101" s="339"/>
      <c r="CC101" s="339"/>
      <c r="CD101" s="339"/>
      <c r="CE101" s="339"/>
      <c r="CF101" s="339"/>
      <c r="CG101" s="339"/>
      <c r="CH101" s="339"/>
      <c r="CI101" s="339"/>
      <c r="CJ101" s="339"/>
      <c r="CK101" s="339"/>
      <c r="CL101" s="339"/>
      <c r="CM101" s="339"/>
      <c r="CN101" s="339"/>
      <c r="CO101" s="339"/>
      <c r="CP101" s="339"/>
    </row>
    <row r="102" spans="1:94">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39"/>
      <c r="BR102" s="339"/>
      <c r="BS102" s="339"/>
      <c r="BT102" s="339"/>
      <c r="BU102" s="339"/>
      <c r="BV102" s="339"/>
      <c r="BW102" s="339"/>
      <c r="BX102" s="339"/>
      <c r="BY102" s="339"/>
      <c r="BZ102" s="339"/>
      <c r="CA102" s="339"/>
      <c r="CB102" s="339"/>
      <c r="CC102" s="339"/>
      <c r="CD102" s="339"/>
      <c r="CE102" s="339"/>
      <c r="CF102" s="339"/>
      <c r="CG102" s="339"/>
      <c r="CH102" s="339"/>
      <c r="CI102" s="339"/>
      <c r="CJ102" s="339"/>
      <c r="CK102" s="339"/>
      <c r="CL102" s="339"/>
      <c r="CM102" s="339"/>
      <c r="CN102" s="339"/>
      <c r="CO102" s="339"/>
      <c r="CP102" s="339"/>
    </row>
    <row r="103" spans="1:94">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339"/>
      <c r="AL103" s="339"/>
      <c r="AM103" s="339"/>
      <c r="AN103" s="339"/>
      <c r="AO103" s="339"/>
      <c r="AP103" s="339"/>
      <c r="AQ103" s="339"/>
      <c r="AR103" s="339"/>
      <c r="AS103" s="339"/>
      <c r="AT103" s="339"/>
      <c r="AU103" s="339"/>
      <c r="AV103" s="339"/>
      <c r="AW103" s="339"/>
      <c r="AX103" s="339"/>
      <c r="AY103" s="339"/>
      <c r="AZ103" s="339"/>
      <c r="BA103" s="339"/>
      <c r="BB103" s="339"/>
      <c r="BC103" s="339"/>
      <c r="BD103" s="339"/>
      <c r="BE103" s="339"/>
      <c r="BF103" s="339"/>
      <c r="BG103" s="339"/>
      <c r="BH103" s="339"/>
      <c r="BI103" s="339"/>
      <c r="BJ103" s="339"/>
      <c r="BK103" s="339"/>
      <c r="BL103" s="339"/>
      <c r="BM103" s="339"/>
      <c r="BN103" s="339"/>
      <c r="BO103" s="339"/>
      <c r="BP103" s="339"/>
      <c r="BQ103" s="339"/>
      <c r="BR103" s="339"/>
      <c r="BS103" s="339"/>
      <c r="BT103" s="339"/>
      <c r="BU103" s="339"/>
      <c r="BV103" s="339"/>
      <c r="BW103" s="339"/>
      <c r="BX103" s="339"/>
      <c r="BY103" s="339"/>
      <c r="BZ103" s="339"/>
      <c r="CA103" s="339"/>
      <c r="CB103" s="339"/>
      <c r="CC103" s="339"/>
      <c r="CD103" s="339"/>
      <c r="CE103" s="339"/>
      <c r="CF103" s="339"/>
      <c r="CG103" s="339"/>
      <c r="CH103" s="339"/>
      <c r="CI103" s="339"/>
      <c r="CJ103" s="339"/>
      <c r="CK103" s="339"/>
      <c r="CL103" s="339"/>
      <c r="CM103" s="339"/>
      <c r="CN103" s="339"/>
      <c r="CO103" s="339"/>
      <c r="CP103" s="339"/>
    </row>
    <row r="104" spans="1:94">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c r="AK104" s="339"/>
      <c r="AL104" s="339"/>
      <c r="AM104" s="339"/>
      <c r="AN104" s="339"/>
      <c r="AO104" s="339"/>
      <c r="AP104" s="339"/>
      <c r="AQ104" s="339"/>
      <c r="AR104" s="339"/>
      <c r="AS104" s="339"/>
      <c r="AT104" s="339"/>
      <c r="AU104" s="339"/>
      <c r="AV104" s="339"/>
      <c r="AW104" s="339"/>
      <c r="AX104" s="339"/>
      <c r="AY104" s="339"/>
      <c r="AZ104" s="339"/>
      <c r="BA104" s="339"/>
      <c r="BB104" s="339"/>
      <c r="BC104" s="339"/>
      <c r="BD104" s="339"/>
      <c r="BE104" s="339"/>
      <c r="BF104" s="339"/>
      <c r="BG104" s="339"/>
      <c r="BH104" s="339"/>
      <c r="BI104" s="339"/>
      <c r="BJ104" s="339"/>
      <c r="BK104" s="339"/>
      <c r="BL104" s="339"/>
      <c r="BM104" s="339"/>
      <c r="BN104" s="339"/>
      <c r="BO104" s="339"/>
      <c r="BP104" s="339"/>
      <c r="BQ104" s="339"/>
      <c r="BR104" s="339"/>
      <c r="BS104" s="339"/>
      <c r="BT104" s="339"/>
      <c r="BU104" s="339"/>
      <c r="BV104" s="339"/>
      <c r="BW104" s="339"/>
      <c r="BX104" s="339"/>
      <c r="BY104" s="339"/>
      <c r="BZ104" s="339"/>
      <c r="CA104" s="339"/>
      <c r="CB104" s="339"/>
      <c r="CC104" s="339"/>
      <c r="CD104" s="339"/>
      <c r="CE104" s="339"/>
      <c r="CF104" s="339"/>
      <c r="CG104" s="339"/>
      <c r="CH104" s="339"/>
      <c r="CI104" s="339"/>
      <c r="CJ104" s="339"/>
      <c r="CK104" s="339"/>
      <c r="CL104" s="339"/>
      <c r="CM104" s="339"/>
      <c r="CN104" s="339"/>
      <c r="CO104" s="339"/>
      <c r="CP104" s="339"/>
    </row>
    <row r="105" spans="1:94">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c r="AK105" s="339"/>
      <c r="AL105" s="339"/>
      <c r="AM105" s="339"/>
      <c r="AN105" s="339"/>
      <c r="AO105" s="339"/>
      <c r="AP105" s="339"/>
      <c r="AQ105" s="339"/>
      <c r="AR105" s="339"/>
      <c r="AS105" s="339"/>
      <c r="AT105" s="339"/>
      <c r="AU105" s="339"/>
      <c r="AV105" s="339"/>
      <c r="AW105" s="339"/>
      <c r="AX105" s="339"/>
      <c r="AY105" s="339"/>
      <c r="AZ105" s="339"/>
      <c r="BA105" s="339"/>
      <c r="BB105" s="339"/>
      <c r="BC105" s="339"/>
      <c r="BD105" s="339"/>
      <c r="BE105" s="339"/>
      <c r="BF105" s="339"/>
      <c r="BG105" s="339"/>
      <c r="BH105" s="339"/>
      <c r="BI105" s="339"/>
      <c r="BJ105" s="339"/>
      <c r="BK105" s="339"/>
      <c r="BL105" s="339"/>
      <c r="BM105" s="339"/>
      <c r="BN105" s="339"/>
      <c r="BO105" s="339"/>
      <c r="BP105" s="339"/>
      <c r="BQ105" s="339"/>
      <c r="BR105" s="339"/>
      <c r="BS105" s="339"/>
      <c r="BT105" s="339"/>
      <c r="BU105" s="339"/>
      <c r="BV105" s="339"/>
      <c r="BW105" s="339"/>
      <c r="BX105" s="339"/>
      <c r="BY105" s="339"/>
      <c r="BZ105" s="339"/>
      <c r="CA105" s="339"/>
      <c r="CB105" s="339"/>
      <c r="CC105" s="339"/>
      <c r="CD105" s="339"/>
      <c r="CE105" s="339"/>
      <c r="CF105" s="339"/>
      <c r="CG105" s="339"/>
      <c r="CH105" s="339"/>
      <c r="CI105" s="339"/>
      <c r="CJ105" s="339"/>
      <c r="CK105" s="339"/>
      <c r="CL105" s="339"/>
      <c r="CM105" s="339"/>
      <c r="CN105" s="339"/>
      <c r="CO105" s="339"/>
      <c r="CP105" s="339"/>
    </row>
    <row r="106" spans="1:94">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c r="AK106" s="339"/>
      <c r="AL106" s="339"/>
      <c r="AM106" s="339"/>
      <c r="AN106" s="339"/>
      <c r="AO106" s="339"/>
      <c r="AP106" s="339"/>
      <c r="AQ106" s="339"/>
      <c r="AR106" s="339"/>
      <c r="AS106" s="339"/>
      <c r="AT106" s="339"/>
      <c r="AU106" s="339"/>
      <c r="AV106" s="339"/>
      <c r="AW106" s="339"/>
      <c r="AX106" s="339"/>
      <c r="AY106" s="339"/>
      <c r="AZ106" s="339"/>
      <c r="BA106" s="339"/>
      <c r="BB106" s="339"/>
      <c r="BC106" s="339"/>
      <c r="BD106" s="339"/>
      <c r="BE106" s="339"/>
      <c r="BF106" s="339"/>
      <c r="BG106" s="339"/>
      <c r="BH106" s="339"/>
      <c r="BI106" s="339"/>
      <c r="BJ106" s="339"/>
      <c r="BK106" s="339"/>
      <c r="BL106" s="339"/>
      <c r="BM106" s="339"/>
      <c r="BN106" s="339"/>
      <c r="BO106" s="339"/>
      <c r="BP106" s="339"/>
      <c r="BQ106" s="339"/>
      <c r="BR106" s="339"/>
      <c r="BS106" s="339"/>
      <c r="BT106" s="339"/>
      <c r="BU106" s="339"/>
      <c r="BV106" s="339"/>
      <c r="BW106" s="339"/>
      <c r="BX106" s="339"/>
      <c r="BY106" s="339"/>
      <c r="BZ106" s="339"/>
      <c r="CA106" s="339"/>
      <c r="CB106" s="339"/>
      <c r="CC106" s="339"/>
      <c r="CD106" s="339"/>
      <c r="CE106" s="339"/>
      <c r="CF106" s="339"/>
      <c r="CG106" s="339"/>
      <c r="CH106" s="339"/>
      <c r="CI106" s="339"/>
      <c r="CJ106" s="339"/>
      <c r="CK106" s="339"/>
      <c r="CL106" s="339"/>
      <c r="CM106" s="339"/>
      <c r="CN106" s="339"/>
      <c r="CO106" s="339"/>
      <c r="CP106" s="339"/>
    </row>
    <row r="107" spans="1:94">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339"/>
      <c r="AL107" s="339"/>
      <c r="AM107" s="339"/>
      <c r="AN107" s="339"/>
      <c r="AO107" s="339"/>
      <c r="AP107" s="339"/>
      <c r="AQ107" s="339"/>
      <c r="AR107" s="339"/>
      <c r="AS107" s="339"/>
      <c r="AT107" s="339"/>
      <c r="AU107" s="339"/>
      <c r="AV107" s="339"/>
      <c r="AW107" s="339"/>
      <c r="AX107" s="339"/>
      <c r="AY107" s="339"/>
      <c r="AZ107" s="339"/>
      <c r="BA107" s="339"/>
      <c r="BB107" s="339"/>
      <c r="BC107" s="339"/>
      <c r="BD107" s="339"/>
      <c r="BE107" s="339"/>
      <c r="BF107" s="339"/>
      <c r="BG107" s="339"/>
      <c r="BH107" s="339"/>
      <c r="BI107" s="339"/>
      <c r="BJ107" s="339"/>
      <c r="BK107" s="339"/>
      <c r="BL107" s="339"/>
      <c r="BM107" s="339"/>
      <c r="BN107" s="339"/>
      <c r="BO107" s="339"/>
      <c r="BP107" s="339"/>
      <c r="BQ107" s="339"/>
      <c r="BR107" s="339"/>
      <c r="BS107" s="339"/>
      <c r="BT107" s="339"/>
      <c r="BU107" s="339"/>
      <c r="BV107" s="339"/>
      <c r="BW107" s="339"/>
      <c r="BX107" s="339"/>
      <c r="BY107" s="339"/>
      <c r="BZ107" s="339"/>
      <c r="CA107" s="339"/>
      <c r="CB107" s="339"/>
      <c r="CC107" s="339"/>
      <c r="CD107" s="339"/>
      <c r="CE107" s="339"/>
      <c r="CF107" s="339"/>
      <c r="CG107" s="339"/>
      <c r="CH107" s="339"/>
      <c r="CI107" s="339"/>
      <c r="CJ107" s="339"/>
      <c r="CK107" s="339"/>
      <c r="CL107" s="339"/>
      <c r="CM107" s="339"/>
      <c r="CN107" s="339"/>
      <c r="CO107" s="339"/>
      <c r="CP107" s="339"/>
    </row>
    <row r="108" spans="1:94">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c r="AK108" s="339"/>
      <c r="AL108" s="339"/>
      <c r="AM108" s="339"/>
      <c r="AN108" s="339"/>
      <c r="AO108" s="339"/>
      <c r="AP108" s="339"/>
      <c r="AQ108" s="339"/>
      <c r="AR108" s="339"/>
      <c r="AS108" s="339"/>
      <c r="AT108" s="339"/>
      <c r="AU108" s="339"/>
      <c r="AV108" s="339"/>
      <c r="AW108" s="339"/>
      <c r="AX108" s="339"/>
      <c r="AY108" s="339"/>
      <c r="AZ108" s="339"/>
      <c r="BA108" s="339"/>
      <c r="BB108" s="339"/>
      <c r="BC108" s="339"/>
      <c r="BD108" s="339"/>
      <c r="BE108" s="339"/>
      <c r="BF108" s="339"/>
      <c r="BG108" s="339"/>
      <c r="BH108" s="339"/>
      <c r="BI108" s="339"/>
      <c r="BJ108" s="339"/>
      <c r="BK108" s="339"/>
      <c r="BL108" s="339"/>
      <c r="BM108" s="339"/>
      <c r="BN108" s="339"/>
      <c r="BO108" s="339"/>
      <c r="BP108" s="339"/>
      <c r="BQ108" s="339"/>
      <c r="BR108" s="339"/>
      <c r="BS108" s="339"/>
      <c r="BT108" s="339"/>
      <c r="BU108" s="339"/>
      <c r="BV108" s="339"/>
      <c r="BW108" s="339"/>
      <c r="BX108" s="339"/>
      <c r="BY108" s="339"/>
      <c r="BZ108" s="339"/>
      <c r="CA108" s="339"/>
      <c r="CB108" s="339"/>
      <c r="CC108" s="339"/>
      <c r="CD108" s="339"/>
      <c r="CE108" s="339"/>
      <c r="CF108" s="339"/>
      <c r="CG108" s="339"/>
      <c r="CH108" s="339"/>
      <c r="CI108" s="339"/>
      <c r="CJ108" s="339"/>
      <c r="CK108" s="339"/>
      <c r="CL108" s="339"/>
      <c r="CM108" s="339"/>
      <c r="CN108" s="339"/>
      <c r="CO108" s="339"/>
      <c r="CP108" s="339"/>
    </row>
    <row r="109" spans="1:94">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c r="AK109" s="339"/>
      <c r="AL109" s="339"/>
      <c r="AM109" s="339"/>
      <c r="AN109" s="339"/>
      <c r="AO109" s="339"/>
      <c r="AP109" s="339"/>
      <c r="AQ109" s="339"/>
      <c r="AR109" s="339"/>
      <c r="AS109" s="339"/>
      <c r="AT109" s="339"/>
      <c r="AU109" s="339"/>
      <c r="AV109" s="339"/>
      <c r="AW109" s="339"/>
      <c r="AX109" s="339"/>
      <c r="AY109" s="339"/>
      <c r="AZ109" s="339"/>
      <c r="BA109" s="339"/>
      <c r="BB109" s="339"/>
      <c r="BC109" s="339"/>
      <c r="BD109" s="339"/>
      <c r="BE109" s="339"/>
      <c r="BF109" s="339"/>
      <c r="BG109" s="339"/>
      <c r="BH109" s="339"/>
      <c r="BI109" s="339"/>
      <c r="BJ109" s="339"/>
      <c r="BK109" s="339"/>
      <c r="BL109" s="339"/>
      <c r="BM109" s="339"/>
      <c r="BN109" s="339"/>
      <c r="BO109" s="339"/>
      <c r="BP109" s="339"/>
      <c r="BQ109" s="339"/>
      <c r="BR109" s="339"/>
      <c r="BS109" s="339"/>
      <c r="BT109" s="339"/>
      <c r="BU109" s="339"/>
      <c r="BV109" s="339"/>
      <c r="BW109" s="339"/>
      <c r="BX109" s="339"/>
      <c r="BY109" s="339"/>
      <c r="BZ109" s="339"/>
      <c r="CA109" s="339"/>
      <c r="CB109" s="339"/>
      <c r="CC109" s="339"/>
      <c r="CD109" s="339"/>
      <c r="CE109" s="339"/>
      <c r="CF109" s="339"/>
      <c r="CG109" s="339"/>
      <c r="CH109" s="339"/>
      <c r="CI109" s="339"/>
      <c r="CJ109" s="339"/>
      <c r="CK109" s="339"/>
      <c r="CL109" s="339"/>
      <c r="CM109" s="339"/>
      <c r="CN109" s="339"/>
      <c r="CO109" s="339"/>
      <c r="CP109" s="339"/>
    </row>
    <row r="110" spans="1:94">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c r="AK110" s="339"/>
      <c r="AL110" s="339"/>
      <c r="AM110" s="339"/>
      <c r="AN110" s="339"/>
      <c r="AO110" s="339"/>
      <c r="AP110" s="339"/>
      <c r="AQ110" s="339"/>
      <c r="AR110" s="339"/>
      <c r="AS110" s="339"/>
      <c r="AT110" s="339"/>
      <c r="AU110" s="339"/>
      <c r="AV110" s="339"/>
      <c r="AW110" s="339"/>
      <c r="AX110" s="339"/>
      <c r="AY110" s="339"/>
      <c r="AZ110" s="339"/>
      <c r="BA110" s="339"/>
      <c r="BB110" s="339"/>
      <c r="BC110" s="339"/>
      <c r="BD110" s="339"/>
      <c r="BE110" s="339"/>
      <c r="BF110" s="339"/>
      <c r="BG110" s="339"/>
      <c r="BH110" s="339"/>
      <c r="BI110" s="339"/>
      <c r="BJ110" s="339"/>
      <c r="BK110" s="339"/>
      <c r="BL110" s="339"/>
      <c r="BM110" s="339"/>
      <c r="BN110" s="339"/>
      <c r="BO110" s="339"/>
      <c r="BP110" s="339"/>
      <c r="BQ110" s="339"/>
      <c r="BR110" s="339"/>
      <c r="BS110" s="339"/>
      <c r="BT110" s="339"/>
      <c r="BU110" s="339"/>
      <c r="BV110" s="339"/>
      <c r="BW110" s="339"/>
      <c r="BX110" s="339"/>
      <c r="BY110" s="339"/>
      <c r="BZ110" s="339"/>
      <c r="CA110" s="339"/>
      <c r="CB110" s="339"/>
      <c r="CC110" s="339"/>
      <c r="CD110" s="339"/>
      <c r="CE110" s="339"/>
      <c r="CF110" s="339"/>
      <c r="CG110" s="339"/>
      <c r="CH110" s="339"/>
      <c r="CI110" s="339"/>
      <c r="CJ110" s="339"/>
      <c r="CK110" s="339"/>
      <c r="CL110" s="339"/>
      <c r="CM110" s="339"/>
      <c r="CN110" s="339"/>
      <c r="CO110" s="339"/>
      <c r="CP110" s="339"/>
    </row>
    <row r="111" spans="1:94">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c r="AK111" s="339"/>
      <c r="AL111" s="339"/>
      <c r="AM111" s="339"/>
      <c r="AN111" s="339"/>
      <c r="AO111" s="339"/>
      <c r="AP111" s="339"/>
      <c r="AQ111" s="339"/>
      <c r="AR111" s="339"/>
      <c r="AS111" s="339"/>
      <c r="AT111" s="339"/>
      <c r="AU111" s="339"/>
      <c r="AV111" s="339"/>
      <c r="AW111" s="339"/>
      <c r="AX111" s="339"/>
      <c r="AY111" s="339"/>
      <c r="AZ111" s="339"/>
      <c r="BA111" s="339"/>
      <c r="BB111" s="339"/>
      <c r="BC111" s="339"/>
      <c r="BD111" s="339"/>
      <c r="BE111" s="339"/>
      <c r="BF111" s="339"/>
      <c r="BG111" s="339"/>
      <c r="BH111" s="339"/>
      <c r="BI111" s="339"/>
      <c r="BJ111" s="339"/>
      <c r="BK111" s="339"/>
      <c r="BL111" s="339"/>
      <c r="BM111" s="339"/>
      <c r="BN111" s="339"/>
      <c r="BO111" s="339"/>
      <c r="BP111" s="339"/>
      <c r="BQ111" s="339"/>
      <c r="BR111" s="339"/>
      <c r="BS111" s="339"/>
      <c r="BT111" s="339"/>
      <c r="BU111" s="339"/>
      <c r="BV111" s="339"/>
      <c r="BW111" s="339"/>
      <c r="BX111" s="339"/>
      <c r="BY111" s="339"/>
      <c r="BZ111" s="339"/>
      <c r="CA111" s="339"/>
      <c r="CB111" s="339"/>
      <c r="CC111" s="339"/>
      <c r="CD111" s="339"/>
      <c r="CE111" s="339"/>
      <c r="CF111" s="339"/>
      <c r="CG111" s="339"/>
      <c r="CH111" s="339"/>
      <c r="CI111" s="339"/>
      <c r="CJ111" s="339"/>
      <c r="CK111" s="339"/>
      <c r="CL111" s="339"/>
      <c r="CM111" s="339"/>
      <c r="CN111" s="339"/>
      <c r="CO111" s="339"/>
      <c r="CP111" s="339"/>
    </row>
    <row r="112" spans="1:94">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39"/>
      <c r="BR112" s="339"/>
      <c r="BS112" s="339"/>
      <c r="BT112" s="339"/>
      <c r="BU112" s="339"/>
      <c r="BV112" s="339"/>
      <c r="BW112" s="339"/>
      <c r="BX112" s="339"/>
      <c r="BY112" s="339"/>
      <c r="BZ112" s="339"/>
      <c r="CA112" s="339"/>
      <c r="CB112" s="339"/>
      <c r="CC112" s="339"/>
      <c r="CD112" s="339"/>
      <c r="CE112" s="339"/>
      <c r="CF112" s="339"/>
      <c r="CG112" s="339"/>
      <c r="CH112" s="339"/>
      <c r="CI112" s="339"/>
      <c r="CJ112" s="339"/>
      <c r="CK112" s="339"/>
      <c r="CL112" s="339"/>
      <c r="CM112" s="339"/>
      <c r="CN112" s="339"/>
      <c r="CO112" s="339"/>
      <c r="CP112" s="339"/>
    </row>
    <row r="113" spans="1:94">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c r="AK113" s="339"/>
      <c r="AL113" s="339"/>
      <c r="AM113" s="339"/>
      <c r="AN113" s="339"/>
      <c r="AO113" s="339"/>
      <c r="AP113" s="339"/>
      <c r="AQ113" s="339"/>
      <c r="AR113" s="339"/>
      <c r="AS113" s="339"/>
      <c r="AT113" s="339"/>
      <c r="AU113" s="339"/>
      <c r="AV113" s="339"/>
      <c r="AW113" s="339"/>
      <c r="AX113" s="339"/>
      <c r="AY113" s="339"/>
      <c r="AZ113" s="339"/>
      <c r="BA113" s="339"/>
      <c r="BB113" s="339"/>
      <c r="BC113" s="339"/>
      <c r="BD113" s="339"/>
      <c r="BE113" s="339"/>
      <c r="BF113" s="339"/>
      <c r="BG113" s="339"/>
      <c r="BH113" s="339"/>
      <c r="BI113" s="339"/>
      <c r="BJ113" s="339"/>
      <c r="BK113" s="339"/>
      <c r="BL113" s="339"/>
      <c r="BM113" s="339"/>
      <c r="BN113" s="339"/>
      <c r="BO113" s="339"/>
      <c r="BP113" s="339"/>
      <c r="BQ113" s="339"/>
      <c r="BR113" s="339"/>
      <c r="BS113" s="339"/>
      <c r="BT113" s="339"/>
      <c r="BU113" s="339"/>
      <c r="BV113" s="339"/>
      <c r="BW113" s="339"/>
      <c r="BX113" s="339"/>
      <c r="BY113" s="339"/>
      <c r="BZ113" s="339"/>
      <c r="CA113" s="339"/>
      <c r="CB113" s="339"/>
      <c r="CC113" s="339"/>
      <c r="CD113" s="339"/>
      <c r="CE113" s="339"/>
      <c r="CF113" s="339"/>
      <c r="CG113" s="339"/>
      <c r="CH113" s="339"/>
      <c r="CI113" s="339"/>
      <c r="CJ113" s="339"/>
      <c r="CK113" s="339"/>
      <c r="CL113" s="339"/>
      <c r="CM113" s="339"/>
      <c r="CN113" s="339"/>
      <c r="CO113" s="339"/>
      <c r="CP113" s="339"/>
    </row>
    <row r="114" spans="1:94">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339"/>
      <c r="AL114" s="339"/>
      <c r="AM114" s="339"/>
      <c r="AN114" s="339"/>
      <c r="AO114" s="339"/>
      <c r="AP114" s="339"/>
      <c r="AQ114" s="339"/>
      <c r="AR114" s="339"/>
      <c r="AS114" s="339"/>
      <c r="AT114" s="339"/>
      <c r="AU114" s="339"/>
      <c r="AV114" s="339"/>
      <c r="AW114" s="339"/>
      <c r="AX114" s="339"/>
      <c r="AY114" s="339"/>
      <c r="AZ114" s="339"/>
      <c r="BA114" s="339"/>
      <c r="BB114" s="339"/>
      <c r="BC114" s="339"/>
      <c r="BD114" s="339"/>
      <c r="BE114" s="339"/>
      <c r="BF114" s="339"/>
      <c r="BG114" s="339"/>
      <c r="BH114" s="339"/>
      <c r="BI114" s="339"/>
      <c r="BJ114" s="339"/>
      <c r="BK114" s="339"/>
      <c r="BL114" s="339"/>
      <c r="BM114" s="339"/>
      <c r="BN114" s="339"/>
      <c r="BO114" s="339"/>
      <c r="BP114" s="339"/>
      <c r="BQ114" s="339"/>
      <c r="BR114" s="339"/>
      <c r="BS114" s="339"/>
      <c r="BT114" s="339"/>
      <c r="BU114" s="339"/>
      <c r="BV114" s="339"/>
      <c r="BW114" s="339"/>
      <c r="BX114" s="339"/>
      <c r="BY114" s="339"/>
      <c r="BZ114" s="339"/>
      <c r="CA114" s="339"/>
      <c r="CB114" s="339"/>
      <c r="CC114" s="339"/>
      <c r="CD114" s="339"/>
      <c r="CE114" s="339"/>
      <c r="CF114" s="339"/>
      <c r="CG114" s="339"/>
      <c r="CH114" s="339"/>
      <c r="CI114" s="339"/>
      <c r="CJ114" s="339"/>
      <c r="CK114" s="339"/>
      <c r="CL114" s="339"/>
      <c r="CM114" s="339"/>
      <c r="CN114" s="339"/>
      <c r="CO114" s="339"/>
      <c r="CP114" s="339"/>
    </row>
    <row r="115" spans="1:94">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c r="AK115" s="339"/>
      <c r="AL115" s="339"/>
      <c r="AM115" s="339"/>
      <c r="AN115" s="339"/>
      <c r="AO115" s="339"/>
      <c r="AP115" s="339"/>
      <c r="AQ115" s="339"/>
      <c r="AR115" s="339"/>
      <c r="AS115" s="339"/>
      <c r="AT115" s="339"/>
      <c r="AU115" s="339"/>
      <c r="AV115" s="339"/>
      <c r="AW115" s="339"/>
      <c r="AX115" s="339"/>
      <c r="AY115" s="339"/>
      <c r="AZ115" s="339"/>
      <c r="BA115" s="339"/>
      <c r="BB115" s="339"/>
      <c r="BC115" s="339"/>
      <c r="BD115" s="339"/>
      <c r="BE115" s="339"/>
      <c r="BF115" s="339"/>
      <c r="BG115" s="339"/>
      <c r="BH115" s="339"/>
      <c r="BI115" s="339"/>
      <c r="BJ115" s="339"/>
      <c r="BK115" s="339"/>
      <c r="BL115" s="339"/>
      <c r="BM115" s="339"/>
      <c r="BN115" s="339"/>
      <c r="BO115" s="339"/>
      <c r="BP115" s="339"/>
      <c r="BQ115" s="339"/>
      <c r="BR115" s="339"/>
      <c r="BS115" s="339"/>
      <c r="BT115" s="339"/>
      <c r="BU115" s="339"/>
      <c r="BV115" s="339"/>
      <c r="BW115" s="339"/>
      <c r="BX115" s="339"/>
      <c r="BY115" s="339"/>
      <c r="BZ115" s="339"/>
      <c r="CA115" s="339"/>
      <c r="CB115" s="339"/>
      <c r="CC115" s="339"/>
      <c r="CD115" s="339"/>
      <c r="CE115" s="339"/>
      <c r="CF115" s="339"/>
      <c r="CG115" s="339"/>
      <c r="CH115" s="339"/>
      <c r="CI115" s="339"/>
      <c r="CJ115" s="339"/>
      <c r="CK115" s="339"/>
      <c r="CL115" s="339"/>
      <c r="CM115" s="339"/>
      <c r="CN115" s="339"/>
      <c r="CO115" s="339"/>
      <c r="CP115" s="339"/>
    </row>
    <row r="116" spans="1:94">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c r="AK116" s="339"/>
      <c r="AL116" s="339"/>
      <c r="AM116" s="339"/>
      <c r="AN116" s="339"/>
      <c r="AO116" s="339"/>
      <c r="AP116" s="339"/>
      <c r="AQ116" s="339"/>
      <c r="AR116" s="339"/>
      <c r="AS116" s="339"/>
      <c r="AT116" s="339"/>
      <c r="AU116" s="339"/>
      <c r="AV116" s="339"/>
      <c r="AW116" s="339"/>
      <c r="AX116" s="339"/>
      <c r="AY116" s="339"/>
      <c r="AZ116" s="339"/>
      <c r="BA116" s="339"/>
      <c r="BB116" s="339"/>
      <c r="BC116" s="339"/>
      <c r="BD116" s="339"/>
      <c r="BE116" s="339"/>
      <c r="BF116" s="339"/>
      <c r="BG116" s="339"/>
      <c r="BH116" s="339"/>
      <c r="BI116" s="339"/>
      <c r="BJ116" s="339"/>
      <c r="BK116" s="339"/>
      <c r="BL116" s="339"/>
      <c r="BM116" s="339"/>
      <c r="BN116" s="339"/>
      <c r="BO116" s="339"/>
      <c r="BP116" s="339"/>
      <c r="BQ116" s="339"/>
      <c r="BR116" s="339"/>
      <c r="BS116" s="339"/>
      <c r="BT116" s="339"/>
      <c r="BU116" s="339"/>
      <c r="BV116" s="339"/>
      <c r="BW116" s="339"/>
      <c r="BX116" s="339"/>
      <c r="BY116" s="339"/>
      <c r="BZ116" s="339"/>
      <c r="CA116" s="339"/>
      <c r="CB116" s="339"/>
      <c r="CC116" s="339"/>
      <c r="CD116" s="339"/>
      <c r="CE116" s="339"/>
      <c r="CF116" s="339"/>
      <c r="CG116" s="339"/>
      <c r="CH116" s="339"/>
      <c r="CI116" s="339"/>
      <c r="CJ116" s="339"/>
      <c r="CK116" s="339"/>
      <c r="CL116" s="339"/>
      <c r="CM116" s="339"/>
      <c r="CN116" s="339"/>
      <c r="CO116" s="339"/>
      <c r="CP116" s="339"/>
    </row>
    <row r="117" spans="1:94">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c r="AK117" s="339"/>
      <c r="AL117" s="339"/>
      <c r="AM117" s="339"/>
      <c r="AN117" s="339"/>
      <c r="AO117" s="339"/>
      <c r="AP117" s="339"/>
      <c r="AQ117" s="339"/>
      <c r="AR117" s="339"/>
      <c r="AS117" s="339"/>
      <c r="AT117" s="339"/>
      <c r="AU117" s="339"/>
      <c r="AV117" s="339"/>
      <c r="AW117" s="339"/>
      <c r="AX117" s="339"/>
      <c r="AY117" s="339"/>
      <c r="AZ117" s="339"/>
      <c r="BA117" s="339"/>
      <c r="BB117" s="339"/>
      <c r="BC117" s="339"/>
      <c r="BD117" s="339"/>
      <c r="BE117" s="339"/>
      <c r="BF117" s="339"/>
      <c r="BG117" s="339"/>
      <c r="BH117" s="339"/>
      <c r="BI117" s="339"/>
      <c r="BJ117" s="339"/>
      <c r="BK117" s="339"/>
      <c r="BL117" s="339"/>
      <c r="BM117" s="339"/>
      <c r="BN117" s="339"/>
      <c r="BO117" s="339"/>
      <c r="BP117" s="339"/>
      <c r="BQ117" s="339"/>
      <c r="BR117" s="339"/>
      <c r="BS117" s="339"/>
      <c r="BT117" s="339"/>
      <c r="BU117" s="339"/>
      <c r="BV117" s="339"/>
      <c r="BW117" s="339"/>
      <c r="BX117" s="339"/>
      <c r="BY117" s="339"/>
      <c r="BZ117" s="339"/>
      <c r="CA117" s="339"/>
      <c r="CB117" s="339"/>
      <c r="CC117" s="339"/>
      <c r="CD117" s="339"/>
      <c r="CE117" s="339"/>
      <c r="CF117" s="339"/>
      <c r="CG117" s="339"/>
      <c r="CH117" s="339"/>
      <c r="CI117" s="339"/>
      <c r="CJ117" s="339"/>
      <c r="CK117" s="339"/>
      <c r="CL117" s="339"/>
      <c r="CM117" s="339"/>
      <c r="CN117" s="339"/>
      <c r="CO117" s="339"/>
      <c r="CP117" s="339"/>
    </row>
    <row r="118" spans="1:94">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c r="AK118" s="339"/>
      <c r="AL118" s="339"/>
      <c r="AM118" s="339"/>
      <c r="AN118" s="339"/>
      <c r="AO118" s="339"/>
      <c r="AP118" s="339"/>
      <c r="AQ118" s="339"/>
      <c r="AR118" s="339"/>
      <c r="AS118" s="339"/>
      <c r="AT118" s="339"/>
      <c r="AU118" s="339"/>
      <c r="AV118" s="339"/>
      <c r="AW118" s="339"/>
      <c r="AX118" s="339"/>
      <c r="AY118" s="339"/>
      <c r="AZ118" s="339"/>
      <c r="BA118" s="339"/>
      <c r="BB118" s="339"/>
      <c r="BC118" s="339"/>
      <c r="BD118" s="339"/>
      <c r="BE118" s="339"/>
      <c r="BF118" s="339"/>
      <c r="BG118" s="339"/>
      <c r="BH118" s="339"/>
      <c r="BI118" s="339"/>
      <c r="BJ118" s="339"/>
      <c r="BK118" s="339"/>
      <c r="BL118" s="339"/>
      <c r="BM118" s="339"/>
      <c r="BN118" s="339"/>
      <c r="BO118" s="339"/>
      <c r="BP118" s="339"/>
      <c r="BQ118" s="339"/>
      <c r="BR118" s="339"/>
      <c r="BS118" s="339"/>
      <c r="BT118" s="339"/>
      <c r="BU118" s="339"/>
      <c r="BV118" s="339"/>
      <c r="BW118" s="339"/>
      <c r="BX118" s="339"/>
      <c r="BY118" s="339"/>
      <c r="BZ118" s="339"/>
      <c r="CA118" s="339"/>
      <c r="CB118" s="339"/>
      <c r="CC118" s="339"/>
      <c r="CD118" s="339"/>
      <c r="CE118" s="339"/>
      <c r="CF118" s="339"/>
      <c r="CG118" s="339"/>
      <c r="CH118" s="339"/>
      <c r="CI118" s="339"/>
      <c r="CJ118" s="339"/>
      <c r="CK118" s="339"/>
      <c r="CL118" s="339"/>
      <c r="CM118" s="339"/>
      <c r="CN118" s="339"/>
      <c r="CO118" s="339"/>
      <c r="CP118" s="339"/>
    </row>
    <row r="119" spans="1:94">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row>
    <row r="120" spans="1:94">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339"/>
      <c r="AL120" s="339"/>
      <c r="AM120" s="339"/>
      <c r="AN120" s="339"/>
      <c r="AO120" s="339"/>
      <c r="AP120" s="339"/>
      <c r="AQ120" s="339"/>
      <c r="AR120" s="339"/>
      <c r="AS120" s="339"/>
      <c r="AT120" s="339"/>
      <c r="AU120" s="339"/>
      <c r="AV120" s="339"/>
      <c r="AW120" s="339"/>
      <c r="AX120" s="339"/>
      <c r="AY120" s="339"/>
      <c r="AZ120" s="339"/>
      <c r="BA120" s="339"/>
      <c r="BB120" s="339"/>
      <c r="BC120" s="339"/>
      <c r="BD120" s="339"/>
      <c r="BE120" s="339"/>
      <c r="BF120" s="339"/>
      <c r="BG120" s="339"/>
      <c r="BH120" s="339"/>
      <c r="BI120" s="339"/>
      <c r="BJ120" s="339"/>
      <c r="BK120" s="339"/>
      <c r="BL120" s="339"/>
      <c r="BM120" s="339"/>
      <c r="BN120" s="339"/>
      <c r="BO120" s="339"/>
      <c r="BP120" s="339"/>
      <c r="BQ120" s="339"/>
      <c r="BR120" s="339"/>
      <c r="BS120" s="339"/>
      <c r="BT120" s="339"/>
      <c r="BU120" s="339"/>
      <c r="BV120" s="339"/>
      <c r="BW120" s="339"/>
      <c r="BX120" s="339"/>
      <c r="BY120" s="339"/>
      <c r="BZ120" s="339"/>
      <c r="CA120" s="339"/>
      <c r="CB120" s="339"/>
      <c r="CC120" s="339"/>
      <c r="CD120" s="339"/>
      <c r="CE120" s="339"/>
      <c r="CF120" s="339"/>
      <c r="CG120" s="339"/>
      <c r="CH120" s="339"/>
      <c r="CI120" s="339"/>
      <c r="CJ120" s="339"/>
      <c r="CK120" s="339"/>
      <c r="CL120" s="339"/>
      <c r="CM120" s="339"/>
      <c r="CN120" s="339"/>
      <c r="CO120" s="339"/>
      <c r="CP120" s="339"/>
    </row>
    <row r="121" spans="1:94">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c r="AK121" s="339"/>
      <c r="AL121" s="339"/>
      <c r="AM121" s="339"/>
      <c r="AN121" s="339"/>
      <c r="AO121" s="339"/>
      <c r="AP121" s="339"/>
      <c r="AQ121" s="339"/>
      <c r="AR121" s="339"/>
      <c r="AS121" s="339"/>
      <c r="AT121" s="339"/>
      <c r="AU121" s="339"/>
      <c r="AV121" s="339"/>
      <c r="AW121" s="339"/>
      <c r="AX121" s="339"/>
      <c r="AY121" s="339"/>
      <c r="AZ121" s="339"/>
      <c r="BA121" s="339"/>
      <c r="BB121" s="339"/>
      <c r="BC121" s="339"/>
      <c r="BD121" s="339"/>
      <c r="BE121" s="339"/>
      <c r="BF121" s="339"/>
      <c r="BG121" s="339"/>
      <c r="BH121" s="339"/>
      <c r="BI121" s="339"/>
      <c r="BJ121" s="339"/>
      <c r="BK121" s="339"/>
      <c r="BL121" s="339"/>
      <c r="BM121" s="339"/>
      <c r="BN121" s="339"/>
      <c r="BO121" s="339"/>
      <c r="BP121" s="339"/>
      <c r="BQ121" s="339"/>
      <c r="BR121" s="339"/>
      <c r="BS121" s="339"/>
      <c r="BT121" s="339"/>
      <c r="BU121" s="339"/>
      <c r="BV121" s="339"/>
      <c r="BW121" s="339"/>
      <c r="BX121" s="339"/>
      <c r="BY121" s="339"/>
      <c r="BZ121" s="339"/>
      <c r="CA121" s="339"/>
      <c r="CB121" s="339"/>
      <c r="CC121" s="339"/>
      <c r="CD121" s="339"/>
      <c r="CE121" s="339"/>
      <c r="CF121" s="339"/>
      <c r="CG121" s="339"/>
      <c r="CH121" s="339"/>
      <c r="CI121" s="339"/>
      <c r="CJ121" s="339"/>
      <c r="CK121" s="339"/>
      <c r="CL121" s="339"/>
      <c r="CM121" s="339"/>
      <c r="CN121" s="339"/>
      <c r="CO121" s="339"/>
      <c r="CP121" s="339"/>
    </row>
    <row r="122" spans="1:94">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c r="BQ122" s="339"/>
      <c r="BR122" s="339"/>
      <c r="BS122" s="339"/>
      <c r="BT122" s="339"/>
      <c r="BU122" s="339"/>
      <c r="BV122" s="339"/>
      <c r="BW122" s="339"/>
      <c r="BX122" s="339"/>
      <c r="BY122" s="339"/>
      <c r="BZ122" s="339"/>
      <c r="CA122" s="339"/>
      <c r="CB122" s="339"/>
      <c r="CC122" s="339"/>
      <c r="CD122" s="339"/>
      <c r="CE122" s="339"/>
      <c r="CF122" s="339"/>
      <c r="CG122" s="339"/>
      <c r="CH122" s="339"/>
      <c r="CI122" s="339"/>
      <c r="CJ122" s="339"/>
      <c r="CK122" s="339"/>
      <c r="CL122" s="339"/>
      <c r="CM122" s="339"/>
      <c r="CN122" s="339"/>
      <c r="CO122" s="339"/>
      <c r="CP122" s="339"/>
    </row>
    <row r="123" spans="1:94">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339"/>
      <c r="AL123" s="339"/>
      <c r="AM123" s="339"/>
      <c r="AN123" s="339"/>
      <c r="AO123" s="339"/>
      <c r="AP123" s="339"/>
      <c r="AQ123" s="339"/>
      <c r="AR123" s="339"/>
      <c r="AS123" s="339"/>
      <c r="AT123" s="339"/>
      <c r="AU123" s="339"/>
      <c r="AV123" s="339"/>
      <c r="AW123" s="339"/>
      <c r="AX123" s="339"/>
      <c r="AY123" s="339"/>
      <c r="AZ123" s="339"/>
      <c r="BA123" s="339"/>
      <c r="BB123" s="339"/>
      <c r="BC123" s="339"/>
      <c r="BD123" s="339"/>
      <c r="BE123" s="339"/>
      <c r="BF123" s="339"/>
      <c r="BG123" s="339"/>
      <c r="BH123" s="339"/>
      <c r="BI123" s="339"/>
      <c r="BJ123" s="339"/>
      <c r="BK123" s="339"/>
      <c r="BL123" s="339"/>
      <c r="BM123" s="339"/>
      <c r="BN123" s="339"/>
      <c r="BO123" s="339"/>
      <c r="BP123" s="339"/>
      <c r="BQ123" s="339"/>
      <c r="BR123" s="339"/>
      <c r="BS123" s="339"/>
      <c r="BT123" s="339"/>
      <c r="BU123" s="339"/>
      <c r="BV123" s="339"/>
      <c r="BW123" s="339"/>
      <c r="BX123" s="339"/>
      <c r="BY123" s="339"/>
      <c r="BZ123" s="339"/>
      <c r="CA123" s="339"/>
      <c r="CB123" s="339"/>
      <c r="CC123" s="339"/>
      <c r="CD123" s="339"/>
      <c r="CE123" s="339"/>
      <c r="CF123" s="339"/>
      <c r="CG123" s="339"/>
      <c r="CH123" s="339"/>
      <c r="CI123" s="339"/>
      <c r="CJ123" s="339"/>
      <c r="CK123" s="339"/>
      <c r="CL123" s="339"/>
      <c r="CM123" s="339"/>
      <c r="CN123" s="339"/>
      <c r="CO123" s="339"/>
      <c r="CP123" s="339"/>
    </row>
    <row r="124" spans="1:94">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c r="AK124" s="339"/>
      <c r="AL124" s="339"/>
      <c r="AM124" s="339"/>
      <c r="AN124" s="339"/>
      <c r="AO124" s="339"/>
      <c r="AP124" s="339"/>
      <c r="AQ124" s="339"/>
      <c r="AR124" s="339"/>
      <c r="AS124" s="339"/>
      <c r="AT124" s="339"/>
      <c r="AU124" s="339"/>
      <c r="AV124" s="339"/>
      <c r="AW124" s="339"/>
      <c r="AX124" s="339"/>
      <c r="AY124" s="339"/>
      <c r="AZ124" s="339"/>
      <c r="BA124" s="339"/>
      <c r="BB124" s="339"/>
      <c r="BC124" s="339"/>
      <c r="BD124" s="339"/>
      <c r="BE124" s="339"/>
      <c r="BF124" s="339"/>
      <c r="BG124" s="339"/>
      <c r="BH124" s="339"/>
      <c r="BI124" s="339"/>
      <c r="BJ124" s="339"/>
      <c r="BK124" s="339"/>
      <c r="BL124" s="339"/>
      <c r="BM124" s="339"/>
      <c r="BN124" s="339"/>
      <c r="BO124" s="339"/>
      <c r="BP124" s="339"/>
      <c r="BQ124" s="339"/>
      <c r="BR124" s="339"/>
      <c r="BS124" s="339"/>
      <c r="BT124" s="339"/>
      <c r="BU124" s="339"/>
      <c r="BV124" s="339"/>
      <c r="BW124" s="339"/>
      <c r="BX124" s="339"/>
      <c r="BY124" s="339"/>
      <c r="BZ124" s="339"/>
      <c r="CA124" s="339"/>
      <c r="CB124" s="339"/>
      <c r="CC124" s="339"/>
      <c r="CD124" s="339"/>
      <c r="CE124" s="339"/>
      <c r="CF124" s="339"/>
      <c r="CG124" s="339"/>
      <c r="CH124" s="339"/>
      <c r="CI124" s="339"/>
      <c r="CJ124" s="339"/>
      <c r="CK124" s="339"/>
      <c r="CL124" s="339"/>
      <c r="CM124" s="339"/>
      <c r="CN124" s="339"/>
      <c r="CO124" s="339"/>
      <c r="CP124" s="339"/>
    </row>
    <row r="125" spans="1:94">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c r="AK125" s="339"/>
      <c r="AL125" s="339"/>
      <c r="AM125" s="339"/>
      <c r="AN125" s="339"/>
      <c r="AO125" s="339"/>
      <c r="AP125" s="339"/>
      <c r="AQ125" s="339"/>
      <c r="AR125" s="339"/>
      <c r="AS125" s="339"/>
      <c r="AT125" s="339"/>
      <c r="AU125" s="339"/>
      <c r="AV125" s="339"/>
      <c r="AW125" s="339"/>
      <c r="AX125" s="339"/>
      <c r="AY125" s="339"/>
      <c r="AZ125" s="339"/>
      <c r="BA125" s="339"/>
      <c r="BB125" s="339"/>
      <c r="BC125" s="339"/>
      <c r="BD125" s="339"/>
      <c r="BE125" s="339"/>
      <c r="BF125" s="339"/>
      <c r="BG125" s="339"/>
      <c r="BH125" s="339"/>
      <c r="BI125" s="339"/>
      <c r="BJ125" s="339"/>
      <c r="BK125" s="339"/>
      <c r="BL125" s="339"/>
      <c r="BM125" s="339"/>
      <c r="BN125" s="339"/>
      <c r="BO125" s="339"/>
      <c r="BP125" s="339"/>
      <c r="BQ125" s="339"/>
      <c r="BR125" s="339"/>
      <c r="BS125" s="339"/>
      <c r="BT125" s="339"/>
      <c r="BU125" s="339"/>
      <c r="BV125" s="339"/>
      <c r="BW125" s="339"/>
      <c r="BX125" s="339"/>
      <c r="BY125" s="339"/>
      <c r="BZ125" s="339"/>
      <c r="CA125" s="339"/>
      <c r="CB125" s="339"/>
      <c r="CC125" s="339"/>
      <c r="CD125" s="339"/>
      <c r="CE125" s="339"/>
      <c r="CF125" s="339"/>
      <c r="CG125" s="339"/>
      <c r="CH125" s="339"/>
      <c r="CI125" s="339"/>
      <c r="CJ125" s="339"/>
      <c r="CK125" s="339"/>
      <c r="CL125" s="339"/>
      <c r="CM125" s="339"/>
      <c r="CN125" s="339"/>
      <c r="CO125" s="339"/>
      <c r="CP125" s="339"/>
    </row>
  </sheetData>
  <sheetProtection algorithmName="SHA-512" hashValue="4ZV2IhINeR3ImWm8L5soG1XXlly54J+HPkASYvmbrWNjT0u70lEJuUWOB7WPhds4SpzwxZhmrG2KvMBJKGOWVw==" saltValue="UjQtD7lG7vc2xfT7RA6PRw==" spinCount="100000" sheet="1" objects="1" scenarios="1" selectLockedCells="1" selectUnlockedCells="1"/>
  <mergeCells count="449">
    <mergeCell ref="L62:M62"/>
    <mergeCell ref="R62:S62"/>
    <mergeCell ref="AE59:AF59"/>
    <mergeCell ref="L60:M60"/>
    <mergeCell ref="N60:O60"/>
    <mergeCell ref="R60:S60"/>
    <mergeCell ref="L61:M61"/>
    <mergeCell ref="N61:O61"/>
    <mergeCell ref="R61:S61"/>
    <mergeCell ref="AE57:AF57"/>
    <mergeCell ref="L58:M58"/>
    <mergeCell ref="N58:O58"/>
    <mergeCell ref="R58:S58"/>
    <mergeCell ref="L59:M59"/>
    <mergeCell ref="N59:O59"/>
    <mergeCell ref="R59:S59"/>
    <mergeCell ref="T59:U59"/>
    <mergeCell ref="Y59:Z59"/>
    <mergeCell ref="AC59:AD59"/>
    <mergeCell ref="L56:M56"/>
    <mergeCell ref="N56:O56"/>
    <mergeCell ref="R56:S56"/>
    <mergeCell ref="L57:M57"/>
    <mergeCell ref="N57:O57"/>
    <mergeCell ref="R57:S57"/>
    <mergeCell ref="T57:U57"/>
    <mergeCell ref="Y57:Z57"/>
    <mergeCell ref="AC57:AD57"/>
    <mergeCell ref="AF53:AG53"/>
    <mergeCell ref="AH53:AI53"/>
    <mergeCell ref="AJ53:AK53"/>
    <mergeCell ref="L54:M54"/>
    <mergeCell ref="L55:M55"/>
    <mergeCell ref="N55:O55"/>
    <mergeCell ref="R55:S55"/>
    <mergeCell ref="T55:U55"/>
    <mergeCell ref="Y55:Z55"/>
    <mergeCell ref="AC55:AD55"/>
    <mergeCell ref="T53:U53"/>
    <mergeCell ref="V53:W53"/>
    <mergeCell ref="X53:Y53"/>
    <mergeCell ref="Z53:AA53"/>
    <mergeCell ref="AB53:AC53"/>
    <mergeCell ref="AD53:AE53"/>
    <mergeCell ref="AE55:AF55"/>
    <mergeCell ref="A53:E53"/>
    <mergeCell ref="F53:G53"/>
    <mergeCell ref="H53:I53"/>
    <mergeCell ref="J53:K53"/>
    <mergeCell ref="L53:M53"/>
    <mergeCell ref="N53:O53"/>
    <mergeCell ref="P53:Q53"/>
    <mergeCell ref="R53:S53"/>
    <mergeCell ref="V52:W52"/>
    <mergeCell ref="AJ51:AK51"/>
    <mergeCell ref="F52:G52"/>
    <mergeCell ref="H52:I52"/>
    <mergeCell ref="J52:K52"/>
    <mergeCell ref="L52:M52"/>
    <mergeCell ref="N52:O52"/>
    <mergeCell ref="P52:Q52"/>
    <mergeCell ref="R52:S52"/>
    <mergeCell ref="T52:U52"/>
    <mergeCell ref="V51:W51"/>
    <mergeCell ref="X51:Y51"/>
    <mergeCell ref="Z51:AA51"/>
    <mergeCell ref="AB51:AC51"/>
    <mergeCell ref="AD51:AE51"/>
    <mergeCell ref="AF51:AG51"/>
    <mergeCell ref="AH52:AI52"/>
    <mergeCell ref="AJ52:AK52"/>
    <mergeCell ref="X52:Y52"/>
    <mergeCell ref="Z52:AA52"/>
    <mergeCell ref="AB52:AC52"/>
    <mergeCell ref="AD52:AE52"/>
    <mergeCell ref="AF52:AG52"/>
    <mergeCell ref="F51:G51"/>
    <mergeCell ref="H51:I51"/>
    <mergeCell ref="J51:K51"/>
    <mergeCell ref="L51:M51"/>
    <mergeCell ref="N51:O51"/>
    <mergeCell ref="P51:Q51"/>
    <mergeCell ref="R51:S51"/>
    <mergeCell ref="T51:U51"/>
    <mergeCell ref="V50:W50"/>
    <mergeCell ref="AH49:AI49"/>
    <mergeCell ref="J49:K49"/>
    <mergeCell ref="L49:M49"/>
    <mergeCell ref="N49:O49"/>
    <mergeCell ref="P49:Q49"/>
    <mergeCell ref="R49:S49"/>
    <mergeCell ref="T49:U49"/>
    <mergeCell ref="AH51:AI51"/>
    <mergeCell ref="AJ49:AK49"/>
    <mergeCell ref="F50:G50"/>
    <mergeCell ref="H50:I50"/>
    <mergeCell ref="J50:K50"/>
    <mergeCell ref="L50:M50"/>
    <mergeCell ref="N50:O50"/>
    <mergeCell ref="P50:Q50"/>
    <mergeCell ref="R50:S50"/>
    <mergeCell ref="T50:U50"/>
    <mergeCell ref="V49:W49"/>
    <mergeCell ref="X49:Y49"/>
    <mergeCell ref="Z49:AA49"/>
    <mergeCell ref="AB49:AC49"/>
    <mergeCell ref="AD49:AE49"/>
    <mergeCell ref="AF49:AG49"/>
    <mergeCell ref="AH50:AI50"/>
    <mergeCell ref="AJ50:AK50"/>
    <mergeCell ref="X50:Y50"/>
    <mergeCell ref="Z50:AA50"/>
    <mergeCell ref="AB50:AC50"/>
    <mergeCell ref="AD50:AE50"/>
    <mergeCell ref="AF50:AG50"/>
    <mergeCell ref="F49:G49"/>
    <mergeCell ref="H49:I49"/>
    <mergeCell ref="V48:W48"/>
    <mergeCell ref="AH47:AI47"/>
    <mergeCell ref="AJ47:AK47"/>
    <mergeCell ref="F48:G48"/>
    <mergeCell ref="H48:I48"/>
    <mergeCell ref="J48:K48"/>
    <mergeCell ref="L48:M48"/>
    <mergeCell ref="N48:O48"/>
    <mergeCell ref="P48:Q48"/>
    <mergeCell ref="R48:S48"/>
    <mergeCell ref="T48:U48"/>
    <mergeCell ref="V47:W47"/>
    <mergeCell ref="X47:Y47"/>
    <mergeCell ref="Z47:AA47"/>
    <mergeCell ref="AB47:AC47"/>
    <mergeCell ref="AD47:AE47"/>
    <mergeCell ref="AF47:AG47"/>
    <mergeCell ref="AH48:AI48"/>
    <mergeCell ref="AJ48:AK48"/>
    <mergeCell ref="X48:Y48"/>
    <mergeCell ref="Z48:AA48"/>
    <mergeCell ref="AB48:AC48"/>
    <mergeCell ref="AD48:AE48"/>
    <mergeCell ref="AF48:AG48"/>
    <mergeCell ref="F47:G47"/>
    <mergeCell ref="H47:I47"/>
    <mergeCell ref="J47:K47"/>
    <mergeCell ref="L47:M47"/>
    <mergeCell ref="N47:O47"/>
    <mergeCell ref="P47:Q47"/>
    <mergeCell ref="R47:S47"/>
    <mergeCell ref="T47:U47"/>
    <mergeCell ref="V46:W46"/>
    <mergeCell ref="AJ45:AK45"/>
    <mergeCell ref="F46:G46"/>
    <mergeCell ref="H46:I46"/>
    <mergeCell ref="J46:K46"/>
    <mergeCell ref="L46:M46"/>
    <mergeCell ref="N46:O46"/>
    <mergeCell ref="P46:Q46"/>
    <mergeCell ref="R46:S46"/>
    <mergeCell ref="T46:U46"/>
    <mergeCell ref="V45:W45"/>
    <mergeCell ref="X45:Y45"/>
    <mergeCell ref="Z45:AA45"/>
    <mergeCell ref="AB45:AC45"/>
    <mergeCell ref="AD45:AE45"/>
    <mergeCell ref="AF45:AG45"/>
    <mergeCell ref="AH46:AI46"/>
    <mergeCell ref="AJ46:AK46"/>
    <mergeCell ref="X46:Y46"/>
    <mergeCell ref="Z46:AA46"/>
    <mergeCell ref="AB46:AC46"/>
    <mergeCell ref="AD46:AE46"/>
    <mergeCell ref="AF46:AG46"/>
    <mergeCell ref="F45:G45"/>
    <mergeCell ref="H45:I45"/>
    <mergeCell ref="J45:K45"/>
    <mergeCell ref="L45:M45"/>
    <mergeCell ref="N45:O45"/>
    <mergeCell ref="P45:Q45"/>
    <mergeCell ref="R45:S45"/>
    <mergeCell ref="T45:U45"/>
    <mergeCell ref="V44:W44"/>
    <mergeCell ref="AH43:AI43"/>
    <mergeCell ref="AH45:AI45"/>
    <mergeCell ref="AJ43:AK43"/>
    <mergeCell ref="F44:G44"/>
    <mergeCell ref="H44:I44"/>
    <mergeCell ref="J44:K44"/>
    <mergeCell ref="L44:M44"/>
    <mergeCell ref="N44:O44"/>
    <mergeCell ref="P44:Q44"/>
    <mergeCell ref="R44:S44"/>
    <mergeCell ref="T44:U44"/>
    <mergeCell ref="V43:W43"/>
    <mergeCell ref="X43:Y43"/>
    <mergeCell ref="Z43:AA43"/>
    <mergeCell ref="AB43:AC43"/>
    <mergeCell ref="AD43:AE43"/>
    <mergeCell ref="AF43:AG43"/>
    <mergeCell ref="AH44:AI44"/>
    <mergeCell ref="AJ44:AK44"/>
    <mergeCell ref="X44:Y44"/>
    <mergeCell ref="Z44:AA44"/>
    <mergeCell ref="AB44:AC44"/>
    <mergeCell ref="AD44:AE44"/>
    <mergeCell ref="AF44:AG44"/>
    <mergeCell ref="R42:S42"/>
    <mergeCell ref="T42:U42"/>
    <mergeCell ref="F43:G43"/>
    <mergeCell ref="H43:I43"/>
    <mergeCell ref="J43:K43"/>
    <mergeCell ref="L43:M43"/>
    <mergeCell ref="N43:O43"/>
    <mergeCell ref="P43:Q43"/>
    <mergeCell ref="R43:S43"/>
    <mergeCell ref="T43:U43"/>
    <mergeCell ref="F42:G42"/>
    <mergeCell ref="H42:I42"/>
    <mergeCell ref="J42:K42"/>
    <mergeCell ref="L42:M42"/>
    <mergeCell ref="N42:O42"/>
    <mergeCell ref="P42:Q42"/>
    <mergeCell ref="R40:S40"/>
    <mergeCell ref="T40:U40"/>
    <mergeCell ref="F41:G41"/>
    <mergeCell ref="H41:I41"/>
    <mergeCell ref="J41:K41"/>
    <mergeCell ref="L41:M41"/>
    <mergeCell ref="N41:O41"/>
    <mergeCell ref="P41:Q41"/>
    <mergeCell ref="R41:S41"/>
    <mergeCell ref="T41:U41"/>
    <mergeCell ref="F40:G40"/>
    <mergeCell ref="H40:I40"/>
    <mergeCell ref="J40:K40"/>
    <mergeCell ref="L40:M40"/>
    <mergeCell ref="N40:O40"/>
    <mergeCell ref="P40:Q40"/>
    <mergeCell ref="R38:S38"/>
    <mergeCell ref="T38:U38"/>
    <mergeCell ref="F39:G39"/>
    <mergeCell ref="H39:I39"/>
    <mergeCell ref="J39:K39"/>
    <mergeCell ref="L39:M39"/>
    <mergeCell ref="N39:O39"/>
    <mergeCell ref="P39:Q39"/>
    <mergeCell ref="R39:S39"/>
    <mergeCell ref="T39:U39"/>
    <mergeCell ref="F38:G38"/>
    <mergeCell ref="H38:I38"/>
    <mergeCell ref="J38:K38"/>
    <mergeCell ref="L38:M38"/>
    <mergeCell ref="N38:O38"/>
    <mergeCell ref="P38:Q38"/>
    <mergeCell ref="R34:S34"/>
    <mergeCell ref="R36:S36"/>
    <mergeCell ref="T36:U36"/>
    <mergeCell ref="F37:G37"/>
    <mergeCell ref="H37:I37"/>
    <mergeCell ref="J37:K37"/>
    <mergeCell ref="L37:M37"/>
    <mergeCell ref="N37:O37"/>
    <mergeCell ref="P37:Q37"/>
    <mergeCell ref="R37:S37"/>
    <mergeCell ref="T37:U37"/>
    <mergeCell ref="F36:G36"/>
    <mergeCell ref="H36:I36"/>
    <mergeCell ref="J36:K36"/>
    <mergeCell ref="L36:M36"/>
    <mergeCell ref="N36:O36"/>
    <mergeCell ref="P36:Q36"/>
    <mergeCell ref="X32:AI36"/>
    <mergeCell ref="F33:G33"/>
    <mergeCell ref="H33:I33"/>
    <mergeCell ref="J33:K33"/>
    <mergeCell ref="L33:M33"/>
    <mergeCell ref="N33:O33"/>
    <mergeCell ref="P33:Q33"/>
    <mergeCell ref="R33:S33"/>
    <mergeCell ref="T33:U33"/>
    <mergeCell ref="F34:G34"/>
    <mergeCell ref="T34:U34"/>
    <mergeCell ref="F35:G35"/>
    <mergeCell ref="H35:I35"/>
    <mergeCell ref="J35:K35"/>
    <mergeCell ref="L35:M35"/>
    <mergeCell ref="N35:O35"/>
    <mergeCell ref="P35:Q35"/>
    <mergeCell ref="R35:S35"/>
    <mergeCell ref="T35:U35"/>
    <mergeCell ref="H34:I34"/>
    <mergeCell ref="J34:K34"/>
    <mergeCell ref="L34:M34"/>
    <mergeCell ref="N34:O34"/>
    <mergeCell ref="P34:Q34"/>
    <mergeCell ref="F31:G31"/>
    <mergeCell ref="H31:I31"/>
    <mergeCell ref="J31:K31"/>
    <mergeCell ref="L31:M31"/>
    <mergeCell ref="N31:O31"/>
    <mergeCell ref="P31:Q31"/>
    <mergeCell ref="R31:S31"/>
    <mergeCell ref="T31:U31"/>
    <mergeCell ref="F32:G32"/>
    <mergeCell ref="H32:I32"/>
    <mergeCell ref="J32:K32"/>
    <mergeCell ref="L32:M32"/>
    <mergeCell ref="N32:O32"/>
    <mergeCell ref="P32:Q32"/>
    <mergeCell ref="R32:S32"/>
    <mergeCell ref="T32:U32"/>
    <mergeCell ref="A30:E30"/>
    <mergeCell ref="F30:G30"/>
    <mergeCell ref="H30:I30"/>
    <mergeCell ref="J30:K30"/>
    <mergeCell ref="L30:M30"/>
    <mergeCell ref="N30:O30"/>
    <mergeCell ref="A27:E27"/>
    <mergeCell ref="F27:U27"/>
    <mergeCell ref="F28:I29"/>
    <mergeCell ref="J28:M28"/>
    <mergeCell ref="N28:O29"/>
    <mergeCell ref="P28:U29"/>
    <mergeCell ref="J29:K29"/>
    <mergeCell ref="L29:M29"/>
    <mergeCell ref="P30:Q30"/>
    <mergeCell ref="R30:S30"/>
    <mergeCell ref="T30:U30"/>
    <mergeCell ref="AH25:AI25"/>
    <mergeCell ref="T26:W26"/>
    <mergeCell ref="X26:Z26"/>
    <mergeCell ref="AA26:AB26"/>
    <mergeCell ref="AC26:AD26"/>
    <mergeCell ref="AE26:AG26"/>
    <mergeCell ref="AH26:AI26"/>
    <mergeCell ref="Z23:AB23"/>
    <mergeCell ref="AC23:AE23"/>
    <mergeCell ref="T25:W25"/>
    <mergeCell ref="X25:Z25"/>
    <mergeCell ref="AA25:AB25"/>
    <mergeCell ref="AC25:AD25"/>
    <mergeCell ref="AE25:AG25"/>
    <mergeCell ref="H23:J23"/>
    <mergeCell ref="K23:M23"/>
    <mergeCell ref="N23:P23"/>
    <mergeCell ref="Q23:S23"/>
    <mergeCell ref="T23:V23"/>
    <mergeCell ref="W23:Y23"/>
    <mergeCell ref="Z21:AB21"/>
    <mergeCell ref="AC21:AE21"/>
    <mergeCell ref="H22:J22"/>
    <mergeCell ref="K22:M22"/>
    <mergeCell ref="N22:P22"/>
    <mergeCell ref="Q22:S22"/>
    <mergeCell ref="T22:V22"/>
    <mergeCell ref="W22:Y22"/>
    <mergeCell ref="Z22:AB22"/>
    <mergeCell ref="AC22:AE22"/>
    <mergeCell ref="H21:J21"/>
    <mergeCell ref="K21:M21"/>
    <mergeCell ref="N21:P21"/>
    <mergeCell ref="Q21:S21"/>
    <mergeCell ref="T21:V21"/>
    <mergeCell ref="W21:Y21"/>
    <mergeCell ref="H19:J19"/>
    <mergeCell ref="K19:M19"/>
    <mergeCell ref="N19:P19"/>
    <mergeCell ref="Q19:S19"/>
    <mergeCell ref="T19:V19"/>
    <mergeCell ref="W19:Y19"/>
    <mergeCell ref="Z19:AB19"/>
    <mergeCell ref="AC19:AE19"/>
    <mergeCell ref="H20:J20"/>
    <mergeCell ref="K20:M20"/>
    <mergeCell ref="N20:P20"/>
    <mergeCell ref="Q20:S20"/>
    <mergeCell ref="T20:V20"/>
    <mergeCell ref="W20:Y20"/>
    <mergeCell ref="Z20:AB20"/>
    <mergeCell ref="AC20:AE20"/>
    <mergeCell ref="AI17:AK17"/>
    <mergeCell ref="H18:J18"/>
    <mergeCell ref="K18:M18"/>
    <mergeCell ref="N18:P18"/>
    <mergeCell ref="Q18:S18"/>
    <mergeCell ref="T18:V18"/>
    <mergeCell ref="W18:Y18"/>
    <mergeCell ref="Z18:AB18"/>
    <mergeCell ref="AC18:AE18"/>
    <mergeCell ref="AF18:AH18"/>
    <mergeCell ref="AI18:AK18"/>
    <mergeCell ref="H17:J17"/>
    <mergeCell ref="K17:M17"/>
    <mergeCell ref="N17:P17"/>
    <mergeCell ref="Q17:S17"/>
    <mergeCell ref="T17:V17"/>
    <mergeCell ref="W17:Y17"/>
    <mergeCell ref="Z17:AB17"/>
    <mergeCell ref="AC17:AE17"/>
    <mergeCell ref="AF17:AH17"/>
    <mergeCell ref="AI15:AK15"/>
    <mergeCell ref="H16:J16"/>
    <mergeCell ref="K16:M16"/>
    <mergeCell ref="N16:P16"/>
    <mergeCell ref="Q16:S16"/>
    <mergeCell ref="T16:V16"/>
    <mergeCell ref="W16:Y16"/>
    <mergeCell ref="Z16:AB16"/>
    <mergeCell ref="AC16:AE16"/>
    <mergeCell ref="AF16:AH16"/>
    <mergeCell ref="AI16:AK16"/>
    <mergeCell ref="H15:J15"/>
    <mergeCell ref="K15:M15"/>
    <mergeCell ref="N15:P15"/>
    <mergeCell ref="Q15:S15"/>
    <mergeCell ref="T15:V15"/>
    <mergeCell ref="W15:Y15"/>
    <mergeCell ref="Z15:AB15"/>
    <mergeCell ref="AC15:AE15"/>
    <mergeCell ref="AF15:AH15"/>
    <mergeCell ref="A13:G13"/>
    <mergeCell ref="H13:AK13"/>
    <mergeCell ref="H14:J14"/>
    <mergeCell ref="K14:M14"/>
    <mergeCell ref="N14:P14"/>
    <mergeCell ref="Q14:S14"/>
    <mergeCell ref="T14:V14"/>
    <mergeCell ref="W14:Y14"/>
    <mergeCell ref="Z14:AB14"/>
    <mergeCell ref="AC14:AE14"/>
    <mergeCell ref="AF14:AH14"/>
    <mergeCell ref="AI14:AK14"/>
    <mergeCell ref="A8:G9"/>
    <mergeCell ref="H8:AK9"/>
    <mergeCell ref="A10:H10"/>
    <mergeCell ref="I10:X10"/>
    <mergeCell ref="Y10:AB10"/>
    <mergeCell ref="AC10:AE10"/>
    <mergeCell ref="AF10:AH10"/>
    <mergeCell ref="AI10:AK10"/>
    <mergeCell ref="A11:AK12"/>
    <mergeCell ref="A1:AK4"/>
    <mergeCell ref="A5:G5"/>
    <mergeCell ref="Y5:AB5"/>
    <mergeCell ref="AC5:AK5"/>
    <mergeCell ref="A6:G6"/>
    <mergeCell ref="Y6:AB6"/>
    <mergeCell ref="AC6:AK6"/>
    <mergeCell ref="A7:G7"/>
    <mergeCell ref="Y7:AB7"/>
  </mergeCells>
  <conditionalFormatting sqref="H31:U52">
    <cfRule type="expression" dxfId="54" priority="1">
      <formula>H31=0</formula>
    </cfRule>
  </conditionalFormatting>
  <conditionalFormatting sqref="V31:AK31 V32:X32 AJ32:AK36 V33:W36 V37:AK52">
    <cfRule type="expression" dxfId="53" priority="2">
      <formula>V31=0</formula>
    </cfRule>
  </conditionalFormatting>
  <conditionalFormatting sqref="V53:AK53">
    <cfRule type="expression" dxfId="52" priority="3" stopIfTrue="1">
      <formula>V53=0</formula>
    </cfRule>
  </conditionalFormatting>
  <conditionalFormatting sqref="Y56:Y62 AC56:AD62 N57 N59">
    <cfRule type="expression" dxfId="51" priority="4" stopIfTrue="1">
      <formula>N56=0</formula>
    </cfRule>
  </conditionalFormatting>
  <pageMargins left="0.74803149606299213" right="0.19685039370078741" top="0.39370078740157483" bottom="0.39370078740157483" header="0.19685039370078741" footer="0.19685039370078741"/>
  <pageSetup paperSize="9" scale="64"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5D4C3-FF85-4694-A8FD-3DDB8B7E62EF}">
  <sheetPr>
    <tabColor rgb="FF7030A0"/>
    <pageSetUpPr fitToPage="1"/>
  </sheetPr>
  <dimension ref="A1:BD100"/>
  <sheetViews>
    <sheetView showGridLines="0" view="pageBreakPreview" zoomScaleNormal="100" zoomScaleSheetLayoutView="100" workbookViewId="0">
      <selection sqref="A1:R4"/>
    </sheetView>
  </sheetViews>
  <sheetFormatPr defaultColWidth="9.28515625" defaultRowHeight="11.25"/>
  <cols>
    <col min="1" max="7" width="3.5703125" style="137" customWidth="1"/>
    <col min="8" max="8" width="10" style="137" customWidth="1"/>
    <col min="9" max="9" width="11.28515625" style="137" customWidth="1"/>
    <col min="10" max="10" width="11.7109375" style="137" customWidth="1"/>
    <col min="11" max="12" width="8.28515625" style="137" customWidth="1"/>
    <col min="13" max="13" width="9.5703125" style="137" customWidth="1"/>
    <col min="14" max="14" width="8.28515625" style="137" customWidth="1"/>
    <col min="15" max="15" width="9.42578125" style="137" customWidth="1"/>
    <col min="16" max="16" width="10.42578125" style="137" customWidth="1"/>
    <col min="17" max="17" width="9.28515625" style="137" customWidth="1"/>
    <col min="18" max="18" width="1.42578125" style="137" customWidth="1"/>
    <col min="19" max="19" width="8" style="137" customWidth="1"/>
    <col min="20" max="21" width="3.7109375" style="137" customWidth="1"/>
    <col min="22" max="22" width="16.7109375" style="137" customWidth="1"/>
    <col min="23" max="23" width="10.7109375" style="137" customWidth="1"/>
    <col min="24" max="24" width="10.28515625" style="137" customWidth="1"/>
    <col min="25" max="25" width="10.7109375" style="134" customWidth="1"/>
    <col min="26" max="31" width="3.7109375" style="137" customWidth="1"/>
    <col min="32" max="56" width="3.7109375" style="136" customWidth="1"/>
    <col min="57" max="16384" width="9.28515625" style="136"/>
  </cols>
  <sheetData>
    <row r="1" spans="1:56" s="129" customFormat="1" ht="14.25" customHeight="1">
      <c r="A1" s="1517" t="s">
        <v>21</v>
      </c>
      <c r="B1" s="1518"/>
      <c r="C1" s="1518"/>
      <c r="D1" s="1518"/>
      <c r="E1" s="1518"/>
      <c r="F1" s="1518"/>
      <c r="G1" s="1518"/>
      <c r="H1" s="1518"/>
      <c r="I1" s="1518"/>
      <c r="J1" s="1518"/>
      <c r="K1" s="1518"/>
      <c r="L1" s="1518"/>
      <c r="M1" s="1518"/>
      <c r="N1" s="1518"/>
      <c r="O1" s="1518"/>
      <c r="P1" s="1518"/>
      <c r="Q1" s="1518"/>
      <c r="R1" s="1519"/>
      <c r="S1" s="127"/>
      <c r="T1" s="127"/>
      <c r="U1" s="127"/>
      <c r="V1" s="127"/>
      <c r="W1" s="127"/>
      <c r="X1" s="127"/>
      <c r="Y1" s="128"/>
      <c r="Z1" s="127"/>
      <c r="AA1" s="127"/>
      <c r="AB1" s="127"/>
      <c r="AC1" s="127"/>
      <c r="AD1" s="127"/>
      <c r="AE1" s="127"/>
      <c r="AF1" s="127"/>
      <c r="AG1" s="127"/>
      <c r="AH1" s="127"/>
      <c r="AI1" s="127"/>
      <c r="AJ1" s="127"/>
      <c r="AK1" s="127"/>
      <c r="AL1" s="56"/>
      <c r="AM1" s="56"/>
      <c r="AN1" s="56"/>
      <c r="AO1" s="56"/>
      <c r="AP1" s="56"/>
      <c r="AQ1" s="56"/>
      <c r="AR1" s="56"/>
      <c r="AS1" s="56"/>
    </row>
    <row r="2" spans="1:56" s="129" customFormat="1" ht="14.25" customHeight="1">
      <c r="A2" s="1520"/>
      <c r="B2" s="1521"/>
      <c r="C2" s="1521"/>
      <c r="D2" s="1521"/>
      <c r="E2" s="1521"/>
      <c r="F2" s="1521"/>
      <c r="G2" s="1521"/>
      <c r="H2" s="1521"/>
      <c r="I2" s="1521"/>
      <c r="J2" s="1521"/>
      <c r="K2" s="1521"/>
      <c r="L2" s="1521"/>
      <c r="M2" s="1521"/>
      <c r="N2" s="1521"/>
      <c r="O2" s="1521"/>
      <c r="P2" s="1521"/>
      <c r="Q2" s="1521"/>
      <c r="R2" s="1522"/>
      <c r="S2" s="127"/>
      <c r="T2" s="127"/>
      <c r="U2" s="127"/>
      <c r="V2" s="127"/>
      <c r="W2" s="127"/>
      <c r="X2" s="127"/>
      <c r="Y2" s="128"/>
      <c r="Z2" s="127"/>
      <c r="AA2" s="127"/>
      <c r="AB2" s="127"/>
      <c r="AC2" s="127"/>
      <c r="AD2" s="127"/>
      <c r="AE2" s="127"/>
      <c r="AF2" s="127"/>
      <c r="AG2" s="127"/>
      <c r="AH2" s="127"/>
      <c r="AI2" s="127"/>
      <c r="AJ2" s="127"/>
      <c r="AK2" s="127"/>
      <c r="AL2" s="56"/>
      <c r="AM2" s="56"/>
      <c r="AN2" s="56"/>
      <c r="AO2" s="56"/>
      <c r="AP2" s="56"/>
      <c r="AQ2" s="56"/>
      <c r="AR2" s="56"/>
      <c r="AS2" s="56"/>
    </row>
    <row r="3" spans="1:56" s="129" customFormat="1" ht="14.25" customHeight="1">
      <c r="A3" s="1520"/>
      <c r="B3" s="1521"/>
      <c r="C3" s="1521"/>
      <c r="D3" s="1521"/>
      <c r="E3" s="1521"/>
      <c r="F3" s="1521"/>
      <c r="G3" s="1521"/>
      <c r="H3" s="1521"/>
      <c r="I3" s="1521"/>
      <c r="J3" s="1521"/>
      <c r="K3" s="1521"/>
      <c r="L3" s="1521"/>
      <c r="M3" s="1521"/>
      <c r="N3" s="1521"/>
      <c r="O3" s="1521"/>
      <c r="P3" s="1521"/>
      <c r="Q3" s="1521"/>
      <c r="R3" s="1522"/>
      <c r="S3" s="127"/>
      <c r="T3" s="1152" t="s">
        <v>587</v>
      </c>
      <c r="U3" s="1153"/>
      <c r="V3" s="1153"/>
      <c r="W3" s="1153"/>
      <c r="X3" s="1153"/>
      <c r="Y3" s="1153"/>
      <c r="Z3" s="1154"/>
      <c r="AA3" s="1155" t="s">
        <v>727</v>
      </c>
      <c r="AB3" s="1156"/>
      <c r="AC3" s="1156"/>
      <c r="AD3" s="1156"/>
      <c r="AE3" s="1156"/>
      <c r="AF3" s="1156"/>
      <c r="AG3" s="1156"/>
      <c r="AH3" s="1156"/>
      <c r="AI3" s="1156"/>
      <c r="AJ3" s="1156"/>
      <c r="AK3" s="1156"/>
      <c r="AL3" s="1156"/>
      <c r="AM3" s="1156"/>
      <c r="AN3" s="1156"/>
      <c r="AO3" s="1156"/>
      <c r="AP3" s="1156"/>
      <c r="AQ3" s="1156"/>
      <c r="AR3" s="1156"/>
      <c r="AS3" s="1156"/>
      <c r="AT3" s="1156"/>
      <c r="AU3" s="1156"/>
      <c r="AV3" s="1156"/>
      <c r="AW3" s="1156"/>
      <c r="AX3" s="1156"/>
      <c r="AY3" s="1156"/>
      <c r="AZ3" s="1156"/>
      <c r="BA3" s="1156"/>
      <c r="BB3" s="1156"/>
      <c r="BC3" s="1156"/>
      <c r="BD3" s="1157"/>
    </row>
    <row r="4" spans="1:56" s="129" customFormat="1" ht="14.25" customHeight="1">
      <c r="A4" s="1523"/>
      <c r="B4" s="1524"/>
      <c r="C4" s="1524"/>
      <c r="D4" s="1524"/>
      <c r="E4" s="1524"/>
      <c r="F4" s="1524"/>
      <c r="G4" s="1524"/>
      <c r="H4" s="1524"/>
      <c r="I4" s="1524"/>
      <c r="J4" s="1524"/>
      <c r="K4" s="1524"/>
      <c r="L4" s="1524"/>
      <c r="M4" s="1524"/>
      <c r="N4" s="1524"/>
      <c r="O4" s="1524"/>
      <c r="P4" s="1524"/>
      <c r="Q4" s="1524"/>
      <c r="R4" s="1525"/>
      <c r="S4" s="127"/>
      <c r="T4" s="224" t="s">
        <v>589</v>
      </c>
      <c r="U4" s="291"/>
      <c r="V4" s="291"/>
      <c r="W4" s="291"/>
      <c r="X4" s="291"/>
      <c r="Y4" s="291"/>
      <c r="Z4" s="291"/>
      <c r="AA4" s="1117" t="s">
        <v>590</v>
      </c>
      <c r="AB4" s="1118"/>
      <c r="AC4" s="1119"/>
      <c r="AD4" s="1117" t="s">
        <v>591</v>
      </c>
      <c r="AE4" s="1118"/>
      <c r="AF4" s="1119"/>
      <c r="AG4" s="1117" t="s">
        <v>592</v>
      </c>
      <c r="AH4" s="1118"/>
      <c r="AI4" s="1119"/>
      <c r="AJ4" s="1117" t="s">
        <v>400</v>
      </c>
      <c r="AK4" s="1118"/>
      <c r="AL4" s="1119"/>
      <c r="AM4" s="1117" t="s">
        <v>593</v>
      </c>
      <c r="AN4" s="1118"/>
      <c r="AO4" s="1119"/>
      <c r="AP4" s="1117" t="s">
        <v>593</v>
      </c>
      <c r="AQ4" s="1118"/>
      <c r="AR4" s="1119"/>
      <c r="AS4" s="1117" t="s">
        <v>115</v>
      </c>
      <c r="AT4" s="1118"/>
      <c r="AU4" s="1119"/>
      <c r="AV4" s="1117" t="s">
        <v>115</v>
      </c>
      <c r="AW4" s="1118"/>
      <c r="AX4" s="1119"/>
      <c r="AY4" s="1117" t="s">
        <v>116</v>
      </c>
      <c r="AZ4" s="1118"/>
      <c r="BA4" s="1119"/>
      <c r="BB4" s="1117" t="s">
        <v>116</v>
      </c>
      <c r="BC4" s="1118"/>
      <c r="BD4" s="1119"/>
    </row>
    <row r="5" spans="1:56" ht="15" customHeight="1">
      <c r="A5" s="1167" t="s">
        <v>22</v>
      </c>
      <c r="B5" s="1168"/>
      <c r="C5" s="1168"/>
      <c r="D5" s="1168"/>
      <c r="E5" s="1168"/>
      <c r="F5" s="27" t="str">
        <f>'Emiss. Ops'!$C$2</f>
        <v>OMVP</v>
      </c>
      <c r="G5" s="27"/>
      <c r="H5" s="27"/>
      <c r="I5" s="27"/>
      <c r="J5" s="27"/>
      <c r="K5" s="130"/>
      <c r="L5" s="130"/>
      <c r="M5" s="131" t="s">
        <v>23</v>
      </c>
      <c r="N5" s="27"/>
      <c r="O5" s="27" t="str">
        <f>'O SPG'!$AC$5</f>
        <v>PRJ-001030</v>
      </c>
      <c r="P5" s="27"/>
      <c r="Q5" s="27"/>
      <c r="R5" s="226"/>
      <c r="S5" s="31"/>
      <c r="T5" s="292"/>
      <c r="U5" s="147"/>
      <c r="V5" s="147"/>
      <c r="W5" s="147"/>
      <c r="X5" s="147"/>
      <c r="Y5" s="147"/>
      <c r="Z5" s="147"/>
      <c r="AA5" s="1089" t="s">
        <v>594</v>
      </c>
      <c r="AB5" s="1090"/>
      <c r="AC5" s="1091"/>
      <c r="AD5" s="1089" t="s">
        <v>595</v>
      </c>
      <c r="AE5" s="1090"/>
      <c r="AF5" s="1091"/>
      <c r="AG5" s="1089" t="s">
        <v>596</v>
      </c>
      <c r="AH5" s="1090"/>
      <c r="AI5" s="1091"/>
      <c r="AJ5" s="1089" t="s">
        <v>597</v>
      </c>
      <c r="AK5" s="1090"/>
      <c r="AL5" s="1091"/>
      <c r="AM5" s="1089" t="s">
        <v>598</v>
      </c>
      <c r="AN5" s="1090"/>
      <c r="AO5" s="1091"/>
      <c r="AP5" s="1089" t="s">
        <v>599</v>
      </c>
      <c r="AQ5" s="1090"/>
      <c r="AR5" s="1091"/>
      <c r="AS5" s="1089" t="s">
        <v>598</v>
      </c>
      <c r="AT5" s="1090"/>
      <c r="AU5" s="1091"/>
      <c r="AV5" s="1089" t="s">
        <v>599</v>
      </c>
      <c r="AW5" s="1090"/>
      <c r="AX5" s="1091"/>
      <c r="AY5" s="1089" t="s">
        <v>598</v>
      </c>
      <c r="AZ5" s="1090"/>
      <c r="BA5" s="1091"/>
      <c r="BB5" s="1089" t="s">
        <v>599</v>
      </c>
      <c r="BC5" s="1090"/>
      <c r="BD5" s="1091"/>
    </row>
    <row r="6" spans="1:56" ht="15" customHeight="1">
      <c r="A6" s="1171" t="s">
        <v>24</v>
      </c>
      <c r="B6" s="1172"/>
      <c r="C6" s="1172"/>
      <c r="D6" s="1172"/>
      <c r="E6" s="1172"/>
      <c r="F6" s="30" t="str">
        <f>'Emiss. Ops'!$C$3</f>
        <v>OMV Neptun BAT Study &amp; ESIA</v>
      </c>
      <c r="G6" s="31"/>
      <c r="H6" s="31"/>
      <c r="I6" s="31"/>
      <c r="J6" s="31"/>
      <c r="M6" s="138" t="s">
        <v>25</v>
      </c>
      <c r="N6" s="31"/>
      <c r="O6" s="31"/>
      <c r="P6" s="31"/>
      <c r="Q6" s="31"/>
      <c r="R6" s="32"/>
      <c r="S6" s="31"/>
      <c r="T6" s="293" t="s">
        <v>603</v>
      </c>
      <c r="U6" s="294"/>
      <c r="V6" s="294"/>
      <c r="W6" s="294"/>
      <c r="X6" s="294"/>
      <c r="Y6" s="294"/>
      <c r="Z6" s="295"/>
      <c r="AA6" s="1076"/>
      <c r="AB6" s="1075"/>
      <c r="AC6" s="1077"/>
      <c r="AD6" s="1140"/>
      <c r="AE6" s="1141"/>
      <c r="AF6" s="1142"/>
      <c r="AG6" s="1076"/>
      <c r="AH6" s="1075"/>
      <c r="AI6" s="1077"/>
      <c r="AJ6" s="1143">
        <f>OPE!Q16</f>
        <v>44.890193469756099</v>
      </c>
      <c r="AK6" s="1144"/>
      <c r="AL6" s="1145"/>
      <c r="AM6" s="1073">
        <f>OPE!T16</f>
        <v>76019.579999999987</v>
      </c>
      <c r="AN6" s="1109"/>
      <c r="AO6" s="1074"/>
      <c r="AP6" s="1076" t="s">
        <v>604</v>
      </c>
      <c r="AQ6" s="1075"/>
      <c r="AR6" s="1077"/>
      <c r="AS6" s="1073">
        <f>OPE!Z16</f>
        <v>16376.099999999999</v>
      </c>
      <c r="AT6" s="1109"/>
      <c r="AU6" s="1074"/>
      <c r="AV6" s="1076" t="s">
        <v>604</v>
      </c>
      <c r="AW6" s="1075"/>
      <c r="AX6" s="1077"/>
      <c r="AY6" s="1146">
        <f>OPE!AF16</f>
        <v>5343.78</v>
      </c>
      <c r="AZ6" s="1147"/>
      <c r="BA6" s="1148"/>
      <c r="BB6" s="1076" t="s">
        <v>604</v>
      </c>
      <c r="BC6" s="1075"/>
      <c r="BD6" s="1077"/>
    </row>
    <row r="7" spans="1:56" ht="15" customHeight="1">
      <c r="A7" s="1171" t="s">
        <v>26</v>
      </c>
      <c r="B7" s="1172"/>
      <c r="C7" s="1172"/>
      <c r="D7" s="1172"/>
      <c r="E7" s="1172"/>
      <c r="F7" s="30" t="str">
        <f>'Emiss. Ops'!$C$4</f>
        <v>Emissions Inventory</v>
      </c>
      <c r="G7" s="31"/>
      <c r="H7" s="31"/>
      <c r="I7" s="31"/>
      <c r="J7" s="31"/>
      <c r="M7" s="139" t="s">
        <v>27</v>
      </c>
      <c r="N7" s="31"/>
      <c r="O7" s="30" t="s">
        <v>297</v>
      </c>
      <c r="P7" s="30"/>
      <c r="Q7" s="31"/>
      <c r="R7" s="31"/>
      <c r="S7" s="31"/>
      <c r="T7" s="296" t="s">
        <v>118</v>
      </c>
      <c r="U7" s="297"/>
      <c r="V7" s="297"/>
      <c r="W7" s="297"/>
      <c r="X7" s="297"/>
      <c r="Y7" s="297"/>
      <c r="Z7" s="298"/>
      <c r="AA7" s="1131">
        <v>305.24099999999999</v>
      </c>
      <c r="AB7" s="1132"/>
      <c r="AC7" s="1133"/>
      <c r="AD7" s="1134">
        <v>832.5</v>
      </c>
      <c r="AE7" s="1135"/>
      <c r="AF7" s="1136"/>
      <c r="AG7" s="1137">
        <v>42.588000000000001</v>
      </c>
      <c r="AH7" s="1138"/>
      <c r="AI7" s="1139"/>
      <c r="AJ7" s="1137">
        <v>45.612000000000002</v>
      </c>
      <c r="AK7" s="1138"/>
      <c r="AL7" s="1139"/>
      <c r="AM7" s="1066">
        <f>OPE!T17</f>
        <v>77238.5408883567</v>
      </c>
      <c r="AN7" s="1110"/>
      <c r="AO7" s="1067"/>
      <c r="AP7" s="1114">
        <f>OPE!W17</f>
        <v>9.2779028094122163E-5</v>
      </c>
      <c r="AQ7" s="1115"/>
      <c r="AR7" s="1116"/>
      <c r="AS7" s="1066">
        <f>OPE!Z17</f>
        <v>16638.6879464714</v>
      </c>
      <c r="AT7" s="1110"/>
      <c r="AU7" s="1067"/>
      <c r="AV7" s="1114">
        <f>OPE!AC17</f>
        <v>1.9986411947713393E-5</v>
      </c>
      <c r="AW7" s="1115"/>
      <c r="AX7" s="1116"/>
      <c r="AY7" s="1071">
        <f>OPE!AF17</f>
        <v>5429.4665930590891</v>
      </c>
      <c r="AZ7" s="1044"/>
      <c r="BA7" s="1072"/>
      <c r="BB7" s="1060">
        <f>OPE!AI17</f>
        <v>6.5218817934643711E-6</v>
      </c>
      <c r="BC7" s="1059"/>
      <c r="BD7" s="1063"/>
    </row>
    <row r="8" spans="1:56" ht="14.25" customHeight="1">
      <c r="A8" s="1171" t="s">
        <v>98</v>
      </c>
      <c r="B8" s="1172"/>
      <c r="C8" s="1172"/>
      <c r="D8" s="1172"/>
      <c r="E8" s="1172"/>
      <c r="F8" s="140"/>
      <c r="G8" s="140"/>
      <c r="H8" s="140"/>
      <c r="I8" s="140"/>
      <c r="J8" s="140"/>
      <c r="K8" s="140"/>
      <c r="L8" s="140"/>
      <c r="M8" s="138" t="s">
        <v>28</v>
      </c>
      <c r="N8" s="140"/>
      <c r="O8" s="140"/>
      <c r="P8" s="140"/>
      <c r="Q8" s="140"/>
      <c r="R8" s="141"/>
      <c r="T8" s="299"/>
      <c r="U8" s="147"/>
      <c r="V8" s="147"/>
      <c r="W8" s="147"/>
      <c r="X8" s="147"/>
      <c r="Y8" s="147"/>
      <c r="Z8" s="147"/>
      <c r="AA8" s="1053"/>
      <c r="AB8" s="1032"/>
      <c r="AC8" s="1034"/>
      <c r="AD8" s="1120"/>
      <c r="AE8" s="1121"/>
      <c r="AF8" s="1122"/>
      <c r="AG8" s="1123"/>
      <c r="AH8" s="1069"/>
      <c r="AI8" s="1124"/>
      <c r="AJ8" s="1125"/>
      <c r="AK8" s="1126"/>
      <c r="AL8" s="1127"/>
      <c r="AM8" s="1086"/>
      <c r="AN8" s="1087"/>
      <c r="AO8" s="1088"/>
      <c r="AP8" s="1089"/>
      <c r="AQ8" s="1090"/>
      <c r="AR8" s="1091"/>
      <c r="AS8" s="1086"/>
      <c r="AT8" s="1087"/>
      <c r="AU8" s="1088"/>
      <c r="AV8" s="1089"/>
      <c r="AW8" s="1090"/>
      <c r="AX8" s="1091"/>
      <c r="AY8" s="1128"/>
      <c r="AZ8" s="1129"/>
      <c r="BA8" s="1130"/>
      <c r="BB8" s="1089"/>
      <c r="BC8" s="1090"/>
      <c r="BD8" s="1091"/>
    </row>
    <row r="9" spans="1:56" ht="12" customHeight="1">
      <c r="A9" s="143"/>
      <c r="B9" s="144"/>
      <c r="C9" s="144"/>
      <c r="D9" s="144"/>
      <c r="E9" s="144"/>
      <c r="F9" s="140"/>
      <c r="G9" s="140"/>
      <c r="H9" s="140"/>
      <c r="I9" s="140"/>
      <c r="J9" s="140"/>
      <c r="K9" s="140"/>
      <c r="L9" s="140"/>
      <c r="M9" s="140"/>
      <c r="N9" s="140"/>
      <c r="O9" s="140"/>
      <c r="P9" s="140"/>
      <c r="Q9" s="140"/>
      <c r="R9" s="141"/>
      <c r="T9" s="224" t="s">
        <v>589</v>
      </c>
      <c r="U9" s="291"/>
      <c r="V9" s="291"/>
      <c r="W9" s="291"/>
      <c r="X9" s="291"/>
      <c r="Y9" s="291"/>
      <c r="Z9" s="152"/>
      <c r="AA9" s="1117" t="s">
        <v>122</v>
      </c>
      <c r="AB9" s="1118"/>
      <c r="AC9" s="1119"/>
      <c r="AD9" s="1117" t="s">
        <v>122</v>
      </c>
      <c r="AE9" s="1118"/>
      <c r="AF9" s="1119"/>
      <c r="AG9" s="1117" t="s">
        <v>124</v>
      </c>
      <c r="AH9" s="1118"/>
      <c r="AI9" s="1119"/>
      <c r="AJ9" s="1117" t="s">
        <v>124</v>
      </c>
      <c r="AK9" s="1118"/>
      <c r="AL9" s="1119"/>
      <c r="AM9" s="1117" t="s">
        <v>123</v>
      </c>
      <c r="AN9" s="1118"/>
      <c r="AO9" s="1119"/>
      <c r="AP9" s="1117" t="s">
        <v>123</v>
      </c>
      <c r="AQ9" s="1118"/>
      <c r="AR9" s="1119"/>
      <c r="AS9" s="1117" t="s">
        <v>125</v>
      </c>
      <c r="AT9" s="1118"/>
      <c r="AU9" s="1119"/>
      <c r="AV9" s="1117" t="s">
        <v>125</v>
      </c>
      <c r="AW9" s="1118"/>
      <c r="AX9" s="1119"/>
      <c r="AY9" s="31"/>
      <c r="AZ9" s="31"/>
      <c r="BA9" s="31"/>
      <c r="BB9" s="31"/>
      <c r="BC9" s="31"/>
      <c r="BD9" s="226"/>
    </row>
    <row r="10" spans="1:56" s="129" customFormat="1" ht="15" customHeight="1">
      <c r="A10" s="145" t="s">
        <v>99</v>
      </c>
      <c r="B10" s="146"/>
      <c r="C10" s="146"/>
      <c r="D10" s="146"/>
      <c r="E10" s="146"/>
      <c r="F10" s="146"/>
      <c r="G10" s="146"/>
      <c r="H10" s="146"/>
      <c r="I10" s="147"/>
      <c r="J10" s="147"/>
      <c r="K10" s="148"/>
      <c r="L10" s="147"/>
      <c r="M10" s="147"/>
      <c r="N10" s="147"/>
      <c r="O10" s="147"/>
      <c r="P10" s="147"/>
      <c r="Q10" s="147"/>
      <c r="R10" s="149"/>
      <c r="T10" s="292"/>
      <c r="U10" s="147"/>
      <c r="V10" s="147"/>
      <c r="W10" s="147"/>
      <c r="X10" s="147"/>
      <c r="Y10" s="147"/>
      <c r="Z10" s="149"/>
      <c r="AA10" s="1089" t="s">
        <v>598</v>
      </c>
      <c r="AB10" s="1090"/>
      <c r="AC10" s="1091"/>
      <c r="AD10" s="1089" t="s">
        <v>599</v>
      </c>
      <c r="AE10" s="1090"/>
      <c r="AF10" s="1091"/>
      <c r="AG10" s="1089" t="s">
        <v>598</v>
      </c>
      <c r="AH10" s="1090"/>
      <c r="AI10" s="1091"/>
      <c r="AJ10" s="1089" t="s">
        <v>599</v>
      </c>
      <c r="AK10" s="1090"/>
      <c r="AL10" s="1091"/>
      <c r="AM10" s="1089" t="s">
        <v>598</v>
      </c>
      <c r="AN10" s="1090"/>
      <c r="AO10" s="1091"/>
      <c r="AP10" s="1089" t="s">
        <v>599</v>
      </c>
      <c r="AQ10" s="1090"/>
      <c r="AR10" s="1091"/>
      <c r="AS10" s="1089" t="s">
        <v>598</v>
      </c>
      <c r="AT10" s="1090"/>
      <c r="AU10" s="1091"/>
      <c r="AV10" s="1089" t="s">
        <v>599</v>
      </c>
      <c r="AW10" s="1090"/>
      <c r="AX10" s="1091"/>
      <c r="AY10" s="300"/>
      <c r="AZ10" s="301"/>
      <c r="BA10" s="302"/>
      <c r="BB10" s="31"/>
      <c r="BC10" s="31"/>
      <c r="BD10" s="32"/>
    </row>
    <row r="11" spans="1:56" s="129" customFormat="1" ht="14.25" customHeight="1">
      <c r="A11" s="1117" t="s">
        <v>204</v>
      </c>
      <c r="B11" s="1118"/>
      <c r="C11" s="1118"/>
      <c r="D11" s="1118"/>
      <c r="E11" s="1118"/>
      <c r="F11" s="1118"/>
      <c r="G11" s="1118"/>
      <c r="H11" s="1118"/>
      <c r="I11" s="1118"/>
      <c r="J11" s="1118"/>
      <c r="K11" s="1118"/>
      <c r="L11" s="1118"/>
      <c r="M11" s="1118"/>
      <c r="N11" s="1118"/>
      <c r="O11" s="1118"/>
      <c r="P11" s="151"/>
      <c r="Q11" s="151"/>
      <c r="R11" s="152"/>
      <c r="S11" s="127"/>
      <c r="T11" s="293" t="str">
        <f>T6</f>
        <v>Reference Gas</v>
      </c>
      <c r="U11" s="294"/>
      <c r="V11" s="294"/>
      <c r="W11" s="294"/>
      <c r="X11" s="294"/>
      <c r="Y11" s="294"/>
      <c r="Z11" s="295"/>
      <c r="AA11" s="1073">
        <v>0</v>
      </c>
      <c r="AB11" s="1109"/>
      <c r="AC11" s="1074"/>
      <c r="AD11" s="1076" t="s">
        <v>604</v>
      </c>
      <c r="AE11" s="1075"/>
      <c r="AF11" s="1077"/>
      <c r="AG11" s="1073">
        <f>OPE!N21</f>
        <v>4999.0199999999986</v>
      </c>
      <c r="AH11" s="1109"/>
      <c r="AI11" s="1074"/>
      <c r="AJ11" s="1076" t="s">
        <v>604</v>
      </c>
      <c r="AK11" s="1075"/>
      <c r="AL11" s="1077"/>
      <c r="AM11" s="1073">
        <f>OPE!T21</f>
        <v>0</v>
      </c>
      <c r="AN11" s="1109"/>
      <c r="AO11" s="1074"/>
      <c r="AP11" s="1214" t="s">
        <v>604</v>
      </c>
      <c r="AQ11" s="1215"/>
      <c r="AR11" s="1216"/>
      <c r="AS11" s="1073">
        <f>OPE!Z21</f>
        <v>0</v>
      </c>
      <c r="AT11" s="1109"/>
      <c r="AU11" s="1074"/>
      <c r="AV11" s="1076" t="s">
        <v>604</v>
      </c>
      <c r="AW11" s="1075"/>
      <c r="AX11" s="1077"/>
      <c r="AY11" s="300"/>
      <c r="AZ11" s="31"/>
      <c r="BA11" s="302"/>
      <c r="BB11" s="31"/>
      <c r="BC11" s="31"/>
      <c r="BD11" s="32"/>
    </row>
    <row r="12" spans="1:56" s="129" customFormat="1" ht="14.25" customHeight="1">
      <c r="A12" s="1149"/>
      <c r="B12" s="1150"/>
      <c r="C12" s="1150"/>
      <c r="D12" s="1150"/>
      <c r="E12" s="1150"/>
      <c r="F12" s="1150"/>
      <c r="G12" s="1150"/>
      <c r="H12" s="1150"/>
      <c r="I12" s="1150"/>
      <c r="J12" s="1150"/>
      <c r="K12" s="1150"/>
      <c r="L12" s="1150"/>
      <c r="M12" s="1150"/>
      <c r="N12" s="1150"/>
      <c r="O12" s="1150"/>
      <c r="P12" s="153"/>
      <c r="Q12" s="153"/>
      <c r="R12" s="154"/>
      <c r="S12" s="127"/>
      <c r="T12" s="296" t="str">
        <f>T7</f>
        <v>Diesel</v>
      </c>
      <c r="U12" s="297"/>
      <c r="V12" s="297"/>
      <c r="W12" s="297"/>
      <c r="X12" s="297"/>
      <c r="Y12" s="297"/>
      <c r="Z12" s="298"/>
      <c r="AA12" s="1066">
        <v>0</v>
      </c>
      <c r="AB12" s="1110"/>
      <c r="AC12" s="1067"/>
      <c r="AD12" s="1114">
        <v>0</v>
      </c>
      <c r="AE12" s="1115"/>
      <c r="AF12" s="1116"/>
      <c r="AG12" s="1066">
        <f>OPE!N22</f>
        <v>5079.1784257649533</v>
      </c>
      <c r="AH12" s="1110"/>
      <c r="AI12" s="1067"/>
      <c r="AJ12" s="1114">
        <f>OPE!Q22</f>
        <v>6.1011152261440878E-6</v>
      </c>
      <c r="AK12" s="1115"/>
      <c r="AL12" s="1116"/>
      <c r="AM12" s="1099">
        <f>OPE!T22</f>
        <v>0</v>
      </c>
      <c r="AN12" s="1048"/>
      <c r="AO12" s="1058"/>
      <c r="AP12" s="1211">
        <f>OPE!W22</f>
        <v>0</v>
      </c>
      <c r="AQ12" s="1212"/>
      <c r="AR12" s="1213"/>
      <c r="AS12" s="1066">
        <f>OPE!Z22</f>
        <v>0</v>
      </c>
      <c r="AT12" s="1110"/>
      <c r="AU12" s="1067"/>
      <c r="AV12" s="1114">
        <f>OPE!AC22</f>
        <v>0</v>
      </c>
      <c r="AW12" s="1115"/>
      <c r="AX12" s="1116"/>
      <c r="AY12" s="31"/>
      <c r="AZ12" s="31"/>
      <c r="BA12" s="31"/>
      <c r="BB12" s="31"/>
      <c r="BC12" s="31"/>
      <c r="BD12" s="32"/>
    </row>
    <row r="13" spans="1:56" s="129" customFormat="1" ht="14.25" customHeight="1">
      <c r="A13" s="155"/>
      <c r="B13" s="156"/>
      <c r="C13" s="156"/>
      <c r="D13" s="156"/>
      <c r="E13" s="156"/>
      <c r="F13" s="156"/>
      <c r="G13" s="156"/>
      <c r="H13" s="156"/>
      <c r="I13" s="156"/>
      <c r="J13" s="156"/>
      <c r="K13" s="156"/>
      <c r="L13" s="156"/>
      <c r="M13" s="156"/>
      <c r="N13" s="156"/>
      <c r="O13" s="156"/>
      <c r="P13" s="156"/>
      <c r="Q13" s="156"/>
      <c r="R13" s="157"/>
      <c r="S13" s="127"/>
      <c r="T13" s="299"/>
      <c r="U13" s="31"/>
      <c r="V13" s="31"/>
      <c r="W13" s="31"/>
      <c r="X13" s="31"/>
      <c r="Y13" s="31"/>
      <c r="Z13" s="32"/>
      <c r="AA13" s="1045"/>
      <c r="AB13" s="1033"/>
      <c r="AC13" s="1046"/>
      <c r="AD13" s="1089"/>
      <c r="AE13" s="1090"/>
      <c r="AF13" s="1091"/>
      <c r="AG13" s="1045"/>
      <c r="AH13" s="1033"/>
      <c r="AI13" s="1046"/>
      <c r="AJ13" s="1096"/>
      <c r="AK13" s="1097"/>
      <c r="AL13" s="1098"/>
      <c r="AM13" s="1099"/>
      <c r="AN13" s="1048"/>
      <c r="AO13" s="1058"/>
      <c r="AP13" s="1096"/>
      <c r="AQ13" s="1097"/>
      <c r="AR13" s="1098"/>
      <c r="AS13" s="1086"/>
      <c r="AT13" s="1087"/>
      <c r="AU13" s="1088"/>
      <c r="AV13" s="1089"/>
      <c r="AW13" s="1090"/>
      <c r="AX13" s="1091"/>
      <c r="AY13" s="31"/>
      <c r="AZ13" s="31"/>
      <c r="BA13" s="31"/>
      <c r="BB13" s="31"/>
      <c r="BC13" s="31"/>
      <c r="BD13" s="32"/>
    </row>
    <row r="14" spans="1:56" s="129" customFormat="1" ht="14.25" customHeight="1">
      <c r="A14" s="175"/>
      <c r="B14" s="176"/>
      <c r="C14" s="176"/>
      <c r="D14" s="176"/>
      <c r="E14" s="176"/>
      <c r="F14" s="177"/>
      <c r="G14" s="177"/>
      <c r="H14" s="178"/>
      <c r="I14" s="179"/>
      <c r="J14" s="180"/>
      <c r="K14" s="179"/>
      <c r="L14" s="179"/>
      <c r="M14" s="179"/>
      <c r="N14" s="179"/>
      <c r="O14" s="179"/>
      <c r="P14" s="179"/>
      <c r="Q14" s="179"/>
      <c r="R14" s="141"/>
      <c r="S14" s="142"/>
      <c r="U14" s="303"/>
      <c r="V14" s="303"/>
      <c r="W14" s="142"/>
      <c r="X14" s="142"/>
      <c r="Y14" s="304"/>
      <c r="Z14" s="142"/>
      <c r="AA14" s="142"/>
      <c r="AB14" s="142"/>
      <c r="AC14" s="142"/>
      <c r="AD14" s="142"/>
      <c r="AE14" s="142"/>
      <c r="AL14" s="56"/>
      <c r="AM14" s="56"/>
      <c r="AN14" s="56"/>
      <c r="AO14" s="56"/>
      <c r="AP14" s="56"/>
      <c r="AQ14" s="56"/>
      <c r="AR14" s="56"/>
      <c r="AS14" s="56"/>
    </row>
    <row r="15" spans="1:56" s="129" customFormat="1" ht="29.25" customHeight="1">
      <c r="A15" s="1512" t="s">
        <v>776</v>
      </c>
      <c r="B15" s="1513"/>
      <c r="C15" s="1513"/>
      <c r="D15" s="1513"/>
      <c r="E15" s="1513"/>
      <c r="F15" s="1513"/>
      <c r="G15" s="1514"/>
      <c r="H15" s="305" t="s">
        <v>884</v>
      </c>
      <c r="I15" s="305" t="s">
        <v>885</v>
      </c>
      <c r="J15" s="305" t="s">
        <v>886</v>
      </c>
      <c r="K15" s="305" t="s">
        <v>887</v>
      </c>
      <c r="L15" s="305" t="s">
        <v>888</v>
      </c>
      <c r="M15" s="305" t="s">
        <v>889</v>
      </c>
      <c r="N15" s="305" t="s">
        <v>890</v>
      </c>
      <c r="O15" s="305" t="s">
        <v>891</v>
      </c>
      <c r="P15" s="305" t="s">
        <v>892</v>
      </c>
      <c r="Q15" s="305" t="s">
        <v>663</v>
      </c>
      <c r="R15" s="185"/>
      <c r="S15" s="186"/>
      <c r="T15" s="186"/>
      <c r="U15" s="303"/>
      <c r="V15" s="303"/>
      <c r="W15" s="186"/>
      <c r="X15" s="186"/>
      <c r="Y15" s="306"/>
      <c r="Z15" s="186"/>
      <c r="AA15" s="186"/>
      <c r="AB15" s="186"/>
      <c r="AC15" s="186"/>
      <c r="AD15" s="186"/>
      <c r="AE15" s="186"/>
      <c r="AF15" s="186"/>
      <c r="AG15" s="186"/>
      <c r="AH15" s="186"/>
      <c r="AI15" s="186"/>
      <c r="AJ15" s="186"/>
      <c r="AK15" s="186"/>
    </row>
    <row r="16" spans="1:56" s="129" customFormat="1" ht="14.25" customHeight="1">
      <c r="A16" s="1678" t="s">
        <v>893</v>
      </c>
      <c r="B16" s="1679"/>
      <c r="C16" s="1679"/>
      <c r="D16" s="1679"/>
      <c r="E16" s="1679"/>
      <c r="F16" s="1679"/>
      <c r="G16" s="307"/>
      <c r="H16" s="305">
        <v>3200</v>
      </c>
      <c r="I16" s="305">
        <v>21760</v>
      </c>
      <c r="J16" s="305">
        <v>86400</v>
      </c>
      <c r="K16" s="305">
        <v>26880</v>
      </c>
      <c r="L16" s="305">
        <v>6400</v>
      </c>
      <c r="M16" s="305">
        <v>2240</v>
      </c>
      <c r="N16" s="305">
        <v>6720</v>
      </c>
      <c r="O16" s="305">
        <v>14400</v>
      </c>
      <c r="P16" s="305">
        <f>12*30</f>
        <v>360</v>
      </c>
      <c r="Q16" s="305"/>
      <c r="R16" s="185"/>
      <c r="S16" s="186"/>
      <c r="T16" s="186"/>
      <c r="U16" s="303"/>
      <c r="V16" s="303"/>
      <c r="W16" s="186"/>
      <c r="X16" s="186"/>
      <c r="Y16" s="306"/>
      <c r="Z16" s="186"/>
      <c r="AA16" s="186"/>
      <c r="AB16" s="186"/>
      <c r="AC16" s="186"/>
      <c r="AD16" s="186"/>
      <c r="AE16" s="186"/>
      <c r="AF16" s="186"/>
      <c r="AG16" s="186"/>
      <c r="AH16" s="186"/>
      <c r="AI16" s="186"/>
      <c r="AJ16" s="186"/>
      <c r="AK16" s="186"/>
    </row>
    <row r="17" spans="1:46" s="129" customFormat="1" ht="14.25" customHeight="1">
      <c r="A17" s="308" t="s">
        <v>780</v>
      </c>
      <c r="B17" s="309"/>
      <c r="C17" s="309"/>
      <c r="D17" s="309"/>
      <c r="E17" s="309"/>
      <c r="F17" s="1680" t="s">
        <v>894</v>
      </c>
      <c r="G17" s="1681"/>
      <c r="H17" s="305">
        <v>2.5</v>
      </c>
      <c r="I17" s="305">
        <v>15</v>
      </c>
      <c r="J17" s="305">
        <v>30</v>
      </c>
      <c r="K17" s="305">
        <v>12</v>
      </c>
      <c r="L17" s="305">
        <v>1</v>
      </c>
      <c r="M17" s="305">
        <v>5</v>
      </c>
      <c r="N17" s="305">
        <v>4</v>
      </c>
      <c r="O17" s="305">
        <v>1.25</v>
      </c>
      <c r="P17" s="305">
        <v>42</v>
      </c>
      <c r="Q17" s="305"/>
      <c r="R17" s="185"/>
      <c r="S17" s="186"/>
      <c r="T17" s="186"/>
      <c r="U17" s="303"/>
      <c r="V17" s="303"/>
      <c r="W17" s="186"/>
      <c r="X17" s="186"/>
      <c r="Y17" s="306"/>
      <c r="Z17" s="186"/>
      <c r="AA17" s="186"/>
      <c r="AB17" s="186"/>
      <c r="AC17" s="186"/>
      <c r="AD17" s="186"/>
      <c r="AE17" s="186"/>
      <c r="AF17" s="186"/>
      <c r="AG17" s="186"/>
      <c r="AH17" s="186"/>
      <c r="AI17" s="186"/>
      <c r="AJ17" s="186"/>
      <c r="AK17" s="186"/>
    </row>
    <row r="18" spans="1:46" s="129" customFormat="1" ht="14.25" customHeight="1">
      <c r="A18" s="308" t="s">
        <v>780</v>
      </c>
      <c r="B18" s="309"/>
      <c r="C18" s="309"/>
      <c r="D18" s="309"/>
      <c r="E18" s="309"/>
      <c r="F18" s="1680" t="s">
        <v>826</v>
      </c>
      <c r="G18" s="1681"/>
      <c r="H18" s="305">
        <f>H17*$H$29/1000</f>
        <v>2.0812499999999998</v>
      </c>
      <c r="I18" s="305">
        <f t="shared" ref="I18:P18" si="0">I17*$H$29/1000</f>
        <v>12.487500000000001</v>
      </c>
      <c r="J18" s="305">
        <f t="shared" si="0"/>
        <v>24.975000000000001</v>
      </c>
      <c r="K18" s="305">
        <f t="shared" si="0"/>
        <v>9.99</v>
      </c>
      <c r="L18" s="305">
        <f t="shared" si="0"/>
        <v>0.83250000000000002</v>
      </c>
      <c r="M18" s="305">
        <f t="shared" si="0"/>
        <v>4.1624999999999996</v>
      </c>
      <c r="N18" s="305">
        <f t="shared" si="0"/>
        <v>3.33</v>
      </c>
      <c r="O18" s="305">
        <f t="shared" si="0"/>
        <v>1.0406249999999999</v>
      </c>
      <c r="P18" s="305">
        <f t="shared" si="0"/>
        <v>34.965000000000003</v>
      </c>
      <c r="Q18" s="305"/>
      <c r="R18" s="185"/>
      <c r="S18" s="186"/>
      <c r="T18" s="186"/>
      <c r="U18" s="303"/>
      <c r="V18" s="303"/>
      <c r="W18" s="186"/>
      <c r="X18" s="186"/>
      <c r="Y18" s="306"/>
      <c r="Z18" s="186"/>
      <c r="AA18" s="186"/>
      <c r="AB18" s="186"/>
      <c r="AC18" s="186"/>
      <c r="AD18" s="186"/>
      <c r="AE18" s="186"/>
      <c r="AF18" s="186"/>
      <c r="AG18" s="186"/>
      <c r="AH18" s="186"/>
      <c r="AI18" s="186"/>
      <c r="AJ18" s="186"/>
      <c r="AK18" s="186"/>
    </row>
    <row r="19" spans="1:46" s="129" customFormat="1" ht="14.25" customHeight="1">
      <c r="A19" s="308" t="s">
        <v>780</v>
      </c>
      <c r="B19" s="309"/>
      <c r="C19" s="309"/>
      <c r="D19" s="309"/>
      <c r="E19" s="309"/>
      <c r="F19" s="1680" t="s">
        <v>339</v>
      </c>
      <c r="G19" s="1681"/>
      <c r="H19" s="305">
        <f>H16*H18</f>
        <v>6659.9999999999991</v>
      </c>
      <c r="I19" s="305">
        <f t="shared" ref="I19:P19" si="1">I16*I18</f>
        <v>271728</v>
      </c>
      <c r="J19" s="305">
        <f t="shared" si="1"/>
        <v>2157840</v>
      </c>
      <c r="K19" s="305">
        <f t="shared" si="1"/>
        <v>268531.20000000001</v>
      </c>
      <c r="L19" s="305">
        <f t="shared" si="1"/>
        <v>5328</v>
      </c>
      <c r="M19" s="305">
        <f t="shared" si="1"/>
        <v>9324</v>
      </c>
      <c r="N19" s="305">
        <f t="shared" si="1"/>
        <v>22377.600000000002</v>
      </c>
      <c r="O19" s="305">
        <f t="shared" si="1"/>
        <v>14984.999999999998</v>
      </c>
      <c r="P19" s="305">
        <f t="shared" si="1"/>
        <v>12587.400000000001</v>
      </c>
      <c r="Q19" s="305"/>
      <c r="R19" s="185"/>
      <c r="S19" s="186"/>
      <c r="T19" s="186"/>
      <c r="U19" s="303"/>
      <c r="V19" s="303"/>
      <c r="W19" s="186"/>
      <c r="X19" s="186"/>
      <c r="Y19" s="306"/>
      <c r="Z19" s="186"/>
      <c r="AA19" s="186"/>
      <c r="AB19" s="186"/>
      <c r="AC19" s="186"/>
      <c r="AD19" s="186"/>
      <c r="AE19" s="186"/>
      <c r="AF19" s="186"/>
      <c r="AG19" s="186"/>
      <c r="AH19" s="186"/>
      <c r="AI19" s="186"/>
      <c r="AJ19" s="186"/>
      <c r="AK19" s="186"/>
    </row>
    <row r="20" spans="1:46" s="129" customFormat="1" ht="14.25" customHeight="1">
      <c r="A20" s="308"/>
      <c r="B20" s="309"/>
      <c r="C20" s="309"/>
      <c r="D20" s="309"/>
      <c r="E20" s="309"/>
      <c r="F20" s="310"/>
      <c r="G20" s="311"/>
      <c r="H20" s="305"/>
      <c r="I20" s="305"/>
      <c r="J20" s="305"/>
      <c r="K20" s="305"/>
      <c r="L20" s="305"/>
      <c r="M20" s="305"/>
      <c r="N20" s="305"/>
      <c r="O20" s="305"/>
      <c r="P20" s="305"/>
      <c r="Q20" s="305"/>
      <c r="R20" s="185"/>
      <c r="S20" s="186"/>
      <c r="T20" s="186"/>
      <c r="U20" s="303"/>
      <c r="V20" s="303"/>
      <c r="W20" s="186"/>
      <c r="X20" s="186"/>
      <c r="Y20" s="306"/>
      <c r="Z20" s="186"/>
      <c r="AA20" s="186"/>
      <c r="AB20" s="186"/>
      <c r="AC20" s="186"/>
      <c r="AD20" s="186"/>
      <c r="AE20" s="186"/>
      <c r="AF20" s="186"/>
      <c r="AG20" s="186"/>
      <c r="AH20" s="186"/>
      <c r="AI20" s="186"/>
      <c r="AJ20" s="186"/>
      <c r="AK20" s="186"/>
    </row>
    <row r="21" spans="1:46" s="129" customFormat="1" ht="14.25" customHeight="1">
      <c r="A21" s="1499" t="s">
        <v>393</v>
      </c>
      <c r="B21" s="1500"/>
      <c r="C21" s="1500"/>
      <c r="D21" s="1500"/>
      <c r="E21" s="1500"/>
      <c r="F21" s="1502" t="s">
        <v>332</v>
      </c>
      <c r="G21" s="1503"/>
      <c r="H21" s="312">
        <f>($X$28*H19)/1000</f>
        <v>0.39560399999999996</v>
      </c>
      <c r="I21" s="312">
        <f>($X$28*I19)/1000</f>
        <v>16.1406432</v>
      </c>
      <c r="J21" s="312">
        <f t="shared" ref="J21:P21" si="2">($X$28*J19)/1000</f>
        <v>128.17569599999999</v>
      </c>
      <c r="K21" s="313">
        <f t="shared" si="2"/>
        <v>15.950753280000001</v>
      </c>
      <c r="L21" s="312">
        <f t="shared" si="2"/>
        <v>0.31648320000000002</v>
      </c>
      <c r="M21" s="312">
        <f t="shared" si="2"/>
        <v>0.55384559999999994</v>
      </c>
      <c r="N21" s="312">
        <f t="shared" si="2"/>
        <v>1.32922944</v>
      </c>
      <c r="O21" s="312">
        <f t="shared" si="2"/>
        <v>0.89010899999999993</v>
      </c>
      <c r="P21" s="312">
        <f t="shared" si="2"/>
        <v>0.74769156000000014</v>
      </c>
      <c r="Q21" s="206">
        <f>SUM(H21:P21)</f>
        <v>164.50005527999994</v>
      </c>
      <c r="R21" s="204"/>
      <c r="S21" s="205"/>
      <c r="T21" s="216"/>
      <c r="U21" s="303"/>
      <c r="V21" s="303"/>
      <c r="W21" s="216"/>
      <c r="X21" s="216"/>
      <c r="Y21" s="216"/>
      <c r="Z21" s="216"/>
      <c r="AA21" s="216"/>
      <c r="AB21" s="216"/>
      <c r="AC21" s="216"/>
      <c r="AD21" s="216"/>
      <c r="AE21" s="216"/>
      <c r="AF21" s="216"/>
      <c r="AG21" s="205"/>
      <c r="AH21" s="205"/>
      <c r="AI21" s="205"/>
      <c r="AJ21" s="205"/>
      <c r="AK21" s="205"/>
      <c r="AL21" s="142"/>
      <c r="AM21" s="56"/>
      <c r="AN21" s="56"/>
      <c r="AO21" s="56"/>
      <c r="AP21" s="56"/>
      <c r="AQ21" s="56"/>
      <c r="AR21" s="56"/>
      <c r="AS21" s="56"/>
      <c r="AT21" s="56"/>
    </row>
    <row r="22" spans="1:46" s="324" customFormat="1" ht="14.25" customHeight="1">
      <c r="A22" s="314" t="s">
        <v>115</v>
      </c>
      <c r="B22" s="315"/>
      <c r="C22" s="315"/>
      <c r="D22" s="315"/>
      <c r="E22" s="315"/>
      <c r="F22" s="1676" t="s">
        <v>332</v>
      </c>
      <c r="G22" s="1677"/>
      <c r="H22" s="316">
        <f>($X$31*H19)/1000</f>
        <v>0.10456199999999999</v>
      </c>
      <c r="I22" s="316">
        <f t="shared" ref="I22:P22" si="3">($X$31*I19)/1000</f>
        <v>4.2661295999999993</v>
      </c>
      <c r="J22" s="316">
        <f t="shared" si="3"/>
        <v>33.878087999999998</v>
      </c>
      <c r="K22" s="316">
        <f t="shared" si="3"/>
        <v>4.2159398399999999</v>
      </c>
      <c r="L22" s="316">
        <f t="shared" si="3"/>
        <v>8.3649599999999991E-2</v>
      </c>
      <c r="M22" s="316">
        <f t="shared" si="3"/>
        <v>0.14638679999999998</v>
      </c>
      <c r="N22" s="316">
        <f t="shared" si="3"/>
        <v>0.35132832000000003</v>
      </c>
      <c r="O22" s="316">
        <f t="shared" si="3"/>
        <v>0.23526449999999993</v>
      </c>
      <c r="P22" s="316">
        <f t="shared" si="3"/>
        <v>0.19762218000000001</v>
      </c>
      <c r="Q22" s="317">
        <f t="shared" ref="Q22:Q24" si="4">SUM(H22:P22)</f>
        <v>43.478970840000002</v>
      </c>
      <c r="R22" s="318"/>
      <c r="S22" s="319"/>
      <c r="T22" s="320"/>
      <c r="U22" s="321"/>
      <c r="V22" s="322" t="s">
        <v>895</v>
      </c>
      <c r="W22" s="322"/>
      <c r="X22" s="322"/>
      <c r="Y22" s="322"/>
      <c r="Z22" s="322"/>
      <c r="AA22" s="320"/>
      <c r="AB22" s="320"/>
      <c r="AC22" s="320"/>
      <c r="AD22" s="320"/>
      <c r="AE22" s="320"/>
      <c r="AF22" s="320"/>
      <c r="AG22" s="319"/>
      <c r="AH22" s="319"/>
      <c r="AI22" s="319"/>
      <c r="AJ22" s="319"/>
      <c r="AK22" s="319"/>
      <c r="AL22" s="323"/>
    </row>
    <row r="23" spans="1:46" s="129" customFormat="1" ht="14.25" customHeight="1">
      <c r="A23" s="1499" t="s">
        <v>123</v>
      </c>
      <c r="B23" s="1500"/>
      <c r="C23" s="1500"/>
      <c r="D23" s="1500"/>
      <c r="E23" s="1500"/>
      <c r="F23" s="1502" t="s">
        <v>332</v>
      </c>
      <c r="G23" s="1503"/>
      <c r="H23" s="312">
        <f>($X$33*H19)/1000</f>
        <v>1.3319999999999999E-2</v>
      </c>
      <c r="I23" s="312">
        <f t="shared" ref="I23:P23" si="5">($X$33*I19)/1000</f>
        <v>0.54345600000000005</v>
      </c>
      <c r="J23" s="312">
        <f t="shared" si="5"/>
        <v>4.3156800000000004</v>
      </c>
      <c r="K23" s="312">
        <f t="shared" si="5"/>
        <v>0.53706240000000005</v>
      </c>
      <c r="L23" s="312">
        <f t="shared" si="5"/>
        <v>1.0656000000000001E-2</v>
      </c>
      <c r="M23" s="312">
        <f t="shared" si="5"/>
        <v>1.8648000000000001E-2</v>
      </c>
      <c r="N23" s="312">
        <f t="shared" si="5"/>
        <v>4.4755200000000002E-2</v>
      </c>
      <c r="O23" s="312">
        <f t="shared" si="5"/>
        <v>2.9969999999999997E-2</v>
      </c>
      <c r="P23" s="312">
        <f t="shared" si="5"/>
        <v>2.5174800000000004E-2</v>
      </c>
      <c r="Q23" s="325">
        <f t="shared" si="4"/>
        <v>5.5387224000000002</v>
      </c>
      <c r="R23" s="208"/>
      <c r="S23" s="209"/>
      <c r="T23" s="216"/>
      <c r="U23" s="303"/>
      <c r="V23" s="2" t="s">
        <v>896</v>
      </c>
      <c r="W23" s="2"/>
      <c r="X23" s="2"/>
      <c r="Y23" s="2"/>
      <c r="Z23" s="2"/>
      <c r="AA23" s="216"/>
      <c r="AB23" s="216"/>
      <c r="AC23" s="216"/>
      <c r="AD23" s="216"/>
      <c r="AE23" s="216"/>
      <c r="AF23" s="216"/>
      <c r="AG23" s="209"/>
      <c r="AH23" s="209"/>
      <c r="AI23" s="209"/>
      <c r="AJ23" s="209"/>
      <c r="AK23" s="209"/>
      <c r="AL23" s="142"/>
      <c r="AM23" s="56"/>
      <c r="AN23" s="56"/>
      <c r="AO23" s="56"/>
      <c r="AP23" s="56"/>
      <c r="AQ23" s="56"/>
      <c r="AR23" s="56"/>
      <c r="AS23" s="56"/>
      <c r="AT23" s="56"/>
    </row>
    <row r="24" spans="1:46" s="129" customFormat="1" ht="14.25" customHeight="1">
      <c r="A24" s="1499" t="s">
        <v>124</v>
      </c>
      <c r="B24" s="1500"/>
      <c r="C24" s="1500"/>
      <c r="D24" s="1500"/>
      <c r="E24" s="1500"/>
      <c r="F24" s="1502" t="s">
        <v>332</v>
      </c>
      <c r="G24" s="1503"/>
      <c r="H24" s="312">
        <f>($X$30*H19)/1000</f>
        <v>2.6639999999999997E-2</v>
      </c>
      <c r="I24" s="312">
        <f t="shared" ref="I24:P24" si="6">($X$30*I19)/1000</f>
        <v>1.0869120000000001</v>
      </c>
      <c r="J24" s="312">
        <f t="shared" si="6"/>
        <v>8.6313600000000008</v>
      </c>
      <c r="K24" s="312">
        <f t="shared" si="6"/>
        <v>1.0741248000000001</v>
      </c>
      <c r="L24" s="312">
        <f t="shared" si="6"/>
        <v>2.1312000000000001E-2</v>
      </c>
      <c r="M24" s="312">
        <f t="shared" si="6"/>
        <v>3.7296000000000003E-2</v>
      </c>
      <c r="N24" s="312">
        <f t="shared" si="6"/>
        <v>8.9510400000000004E-2</v>
      </c>
      <c r="O24" s="312">
        <f t="shared" si="6"/>
        <v>5.9939999999999993E-2</v>
      </c>
      <c r="P24" s="312">
        <f t="shared" si="6"/>
        <v>5.0349600000000008E-2</v>
      </c>
      <c r="Q24" s="325">
        <f t="shared" si="4"/>
        <v>11.0774448</v>
      </c>
      <c r="R24" s="208"/>
      <c r="S24" s="209"/>
      <c r="T24" s="216"/>
      <c r="U24" s="303"/>
      <c r="V24" s="2"/>
      <c r="W24" s="2"/>
      <c r="X24" s="2"/>
      <c r="Y24" s="2"/>
      <c r="Z24" s="2"/>
      <c r="AA24" s="216"/>
      <c r="AB24" s="216"/>
      <c r="AC24" s="216"/>
      <c r="AD24" s="216"/>
      <c r="AE24" s="216"/>
      <c r="AF24" s="216"/>
      <c r="AG24" s="209"/>
      <c r="AH24" s="209"/>
      <c r="AI24" s="209"/>
      <c r="AJ24" s="209"/>
      <c r="AK24" s="209"/>
      <c r="AL24" s="142"/>
      <c r="AM24" s="56"/>
      <c r="AN24" s="56"/>
      <c r="AO24" s="56"/>
      <c r="AP24" s="56"/>
      <c r="AQ24" s="56"/>
      <c r="AR24" s="56"/>
      <c r="AS24" s="56"/>
      <c r="AT24" s="56"/>
    </row>
    <row r="25" spans="1:46" s="129" customFormat="1" ht="14.25" customHeight="1">
      <c r="A25" s="1499" t="s">
        <v>126</v>
      </c>
      <c r="B25" s="1500"/>
      <c r="C25" s="1500"/>
      <c r="D25" s="1500"/>
      <c r="E25" s="1500"/>
      <c r="F25" s="1502" t="s">
        <v>332</v>
      </c>
      <c r="G25" s="1503"/>
      <c r="H25" s="326">
        <f>($X$27*H19)/1000</f>
        <v>21.312000000000001</v>
      </c>
      <c r="I25" s="326">
        <f t="shared" ref="I25:P25" si="7">($X$27*I19)/1000</f>
        <v>869.52960000000007</v>
      </c>
      <c r="J25" s="326">
        <f t="shared" si="7"/>
        <v>6905.0879999999997</v>
      </c>
      <c r="K25" s="326">
        <f t="shared" si="7"/>
        <v>859.29984000000013</v>
      </c>
      <c r="L25" s="326">
        <f t="shared" si="7"/>
        <v>17.049600000000002</v>
      </c>
      <c r="M25" s="312">
        <f t="shared" si="7"/>
        <v>29.836800000000004</v>
      </c>
      <c r="N25" s="313">
        <f t="shared" si="7"/>
        <v>71.608320000000006</v>
      </c>
      <c r="O25" s="312">
        <f t="shared" si="7"/>
        <v>47.951999999999998</v>
      </c>
      <c r="P25" s="312">
        <f t="shared" si="7"/>
        <v>40.279680000000006</v>
      </c>
      <c r="Q25" s="327">
        <f>SUM(H25:P25)</f>
        <v>8861.9558399999969</v>
      </c>
      <c r="R25" s="208"/>
      <c r="S25" s="209"/>
      <c r="T25" s="209"/>
      <c r="U25" s="303"/>
      <c r="V25" s="2" t="s">
        <v>795</v>
      </c>
      <c r="W25" s="2"/>
      <c r="X25" s="2"/>
      <c r="Y25" s="2"/>
      <c r="Z25" s="2"/>
      <c r="AA25" s="209"/>
      <c r="AB25" s="209"/>
      <c r="AC25" s="209"/>
      <c r="AD25" s="209"/>
      <c r="AE25" s="209"/>
      <c r="AF25" s="209"/>
      <c r="AG25" s="209"/>
      <c r="AH25" s="209"/>
      <c r="AI25" s="209"/>
      <c r="AJ25" s="209"/>
      <c r="AK25" s="209"/>
      <c r="AL25" s="142"/>
      <c r="AM25" s="56"/>
      <c r="AN25" s="56"/>
      <c r="AO25" s="56"/>
      <c r="AP25" s="56"/>
      <c r="AQ25" s="56"/>
      <c r="AR25" s="56"/>
      <c r="AS25" s="56"/>
      <c r="AT25" s="56"/>
    </row>
    <row r="26" spans="1:46" s="129" customFormat="1" ht="14.25" customHeight="1">
      <c r="A26" s="1508"/>
      <c r="B26" s="1509"/>
      <c r="C26" s="1509"/>
      <c r="D26" s="1509"/>
      <c r="E26" s="1509"/>
      <c r="F26" s="1495"/>
      <c r="G26" s="1495"/>
      <c r="H26" s="213"/>
      <c r="I26" s="214"/>
      <c r="J26" s="214"/>
      <c r="K26" s="214"/>
      <c r="L26" s="214"/>
      <c r="M26" s="214"/>
      <c r="N26" s="214"/>
      <c r="O26" s="214"/>
      <c r="P26" s="214"/>
      <c r="Q26" s="214"/>
      <c r="R26" s="215"/>
      <c r="S26" s="216"/>
      <c r="T26" s="216"/>
      <c r="U26" s="303"/>
      <c r="V26" s="328" t="s">
        <v>897</v>
      </c>
      <c r="W26" s="328" t="s">
        <v>898</v>
      </c>
      <c r="X26" s="328" t="s">
        <v>391</v>
      </c>
      <c r="Y26" s="328" t="s">
        <v>899</v>
      </c>
      <c r="Z26" s="2"/>
      <c r="AA26" s="216"/>
      <c r="AB26" s="216"/>
      <c r="AC26" s="216"/>
      <c r="AD26" s="216"/>
      <c r="AE26" s="216"/>
      <c r="AF26" s="216"/>
      <c r="AG26" s="216"/>
      <c r="AH26" s="216"/>
      <c r="AI26" s="216"/>
      <c r="AJ26" s="216"/>
      <c r="AK26" s="216"/>
      <c r="AL26" s="142"/>
      <c r="AM26" s="56"/>
      <c r="AN26" s="56"/>
      <c r="AO26" s="56"/>
      <c r="AP26" s="56"/>
      <c r="AQ26" s="56"/>
      <c r="AR26" s="56"/>
      <c r="AS26" s="56"/>
      <c r="AT26" s="56"/>
    </row>
    <row r="27" spans="1:46" s="129" customFormat="1" ht="14.25" customHeight="1">
      <c r="A27" s="217"/>
      <c r="B27" s="218"/>
      <c r="C27" s="329" t="s">
        <v>900</v>
      </c>
      <c r="D27" s="330"/>
      <c r="E27" s="330"/>
      <c r="F27" s="331"/>
      <c r="G27" s="331"/>
      <c r="H27" s="329"/>
      <c r="I27" s="329"/>
      <c r="J27" s="214"/>
      <c r="K27" s="214"/>
      <c r="L27" s="214"/>
      <c r="M27" s="214"/>
      <c r="N27" s="214"/>
      <c r="O27" s="214"/>
      <c r="P27" s="214"/>
      <c r="Q27" s="214"/>
      <c r="R27" s="215"/>
      <c r="S27" s="216"/>
      <c r="T27" s="216"/>
      <c r="U27" s="303"/>
      <c r="V27" s="332" t="s">
        <v>901</v>
      </c>
      <c r="W27" s="333">
        <v>3.2</v>
      </c>
      <c r="X27" s="333">
        <v>3.2</v>
      </c>
      <c r="Y27" s="333">
        <v>3.2</v>
      </c>
      <c r="Z27" s="2"/>
      <c r="AA27" s="216"/>
      <c r="AB27" s="216"/>
      <c r="AC27" s="216"/>
      <c r="AD27" s="216"/>
      <c r="AE27" s="216"/>
      <c r="AF27" s="216"/>
      <c r="AG27" s="216"/>
      <c r="AH27" s="216"/>
      <c r="AI27" s="216"/>
      <c r="AJ27" s="216"/>
      <c r="AK27" s="216"/>
      <c r="AL27" s="142"/>
      <c r="AM27" s="56"/>
      <c r="AN27" s="56"/>
      <c r="AO27" s="56"/>
      <c r="AP27" s="56"/>
      <c r="AQ27" s="56"/>
      <c r="AR27" s="56"/>
      <c r="AS27" s="56"/>
      <c r="AT27" s="56"/>
    </row>
    <row r="28" spans="1:46" s="129" customFormat="1" ht="14.25" customHeight="1">
      <c r="A28" s="219"/>
      <c r="B28" s="139"/>
      <c r="C28" s="31"/>
      <c r="D28" s="218"/>
      <c r="E28" s="218"/>
      <c r="F28" s="334"/>
      <c r="G28" s="334"/>
      <c r="H28" s="31"/>
      <c r="I28" s="31"/>
      <c r="J28" s="156"/>
      <c r="K28" s="156"/>
      <c r="L28" s="156"/>
      <c r="M28" s="156"/>
      <c r="N28" s="156"/>
      <c r="O28" s="156"/>
      <c r="P28" s="156"/>
      <c r="Q28" s="156"/>
      <c r="R28" s="32"/>
      <c r="S28" s="220"/>
      <c r="T28" s="220"/>
      <c r="U28" s="303"/>
      <c r="V28" s="332" t="s">
        <v>902</v>
      </c>
      <c r="W28" s="333">
        <v>1.35E-2</v>
      </c>
      <c r="X28" s="333">
        <v>5.9400000000000001E-2</v>
      </c>
      <c r="Y28" s="333">
        <v>2.8E-3</v>
      </c>
      <c r="Z28" s="2"/>
      <c r="AK28" s="142"/>
      <c r="AL28" s="56"/>
      <c r="AM28" s="56"/>
      <c r="AN28" s="56"/>
      <c r="AO28" s="56"/>
      <c r="AP28" s="56"/>
      <c r="AQ28" s="56"/>
      <c r="AR28" s="56"/>
      <c r="AS28" s="56"/>
    </row>
    <row r="29" spans="1:46" s="129" customFormat="1" ht="14.25" customHeight="1">
      <c r="A29" s="221"/>
      <c r="B29" s="140"/>
      <c r="C29" s="1496" t="s">
        <v>782</v>
      </c>
      <c r="D29" s="1497"/>
      <c r="E29" s="1497"/>
      <c r="F29" s="1497"/>
      <c r="G29" s="1497"/>
      <c r="H29" s="335">
        <f>AD7</f>
        <v>832.5</v>
      </c>
      <c r="I29" s="140" t="s">
        <v>783</v>
      </c>
      <c r="J29" s="140"/>
      <c r="K29" s="31"/>
      <c r="L29" s="31"/>
      <c r="M29" s="31"/>
      <c r="N29" s="222"/>
      <c r="O29" s="222"/>
      <c r="P29" s="222"/>
      <c r="Q29" s="222"/>
      <c r="R29" s="32"/>
      <c r="S29" s="220"/>
      <c r="T29" s="220"/>
      <c r="U29" s="303"/>
      <c r="V29" s="332" t="s">
        <v>903</v>
      </c>
      <c r="W29" s="333">
        <v>2.2000000000000001E-4</v>
      </c>
      <c r="X29" s="333">
        <v>2.2000000000000001E-4</v>
      </c>
      <c r="Y29" s="333">
        <v>2.2000000000000001E-4</v>
      </c>
      <c r="Z29" s="2"/>
      <c r="AK29" s="142"/>
      <c r="AL29" s="56"/>
      <c r="AM29" s="56"/>
      <c r="AN29" s="56"/>
      <c r="AO29" s="56"/>
      <c r="AP29" s="56"/>
      <c r="AQ29" s="56"/>
      <c r="AR29" s="56"/>
      <c r="AS29" s="56"/>
    </row>
    <row r="30" spans="1:46" s="129" customFormat="1" ht="14.25" customHeight="1">
      <c r="A30" s="1501"/>
      <c r="B30" s="1181"/>
      <c r="C30" s="1181"/>
      <c r="D30" s="1181"/>
      <c r="E30" s="1181"/>
      <c r="F30" s="1181"/>
      <c r="G30" s="1181"/>
      <c r="H30" s="1181"/>
      <c r="I30" s="1181"/>
      <c r="J30" s="1181"/>
      <c r="K30" s="31"/>
      <c r="L30" s="31"/>
      <c r="M30" s="31"/>
      <c r="N30" s="222"/>
      <c r="O30" s="222"/>
      <c r="P30" s="222"/>
      <c r="Q30" s="222"/>
      <c r="R30" s="32"/>
      <c r="S30" s="1493"/>
      <c r="T30" s="1493"/>
      <c r="V30" s="332" t="s">
        <v>904</v>
      </c>
      <c r="W30" s="333">
        <v>4.0000000000000001E-3</v>
      </c>
      <c r="X30" s="333">
        <v>4.0000000000000001E-3</v>
      </c>
      <c r="Y30" s="333">
        <v>4.0000000000000001E-3</v>
      </c>
      <c r="Z30" s="2"/>
      <c r="AK30" s="142"/>
      <c r="AL30" s="56"/>
      <c r="AM30" s="56"/>
      <c r="AN30" s="56"/>
      <c r="AO30" s="56"/>
      <c r="AP30" s="56"/>
      <c r="AQ30" s="56"/>
      <c r="AR30" s="56"/>
      <c r="AS30" s="56"/>
    </row>
    <row r="31" spans="1:46" s="129" customFormat="1" ht="14.25" customHeight="1">
      <c r="A31" s="223"/>
      <c r="B31" s="147"/>
      <c r="C31" s="31"/>
      <c r="D31" s="31"/>
      <c r="E31" s="31"/>
      <c r="F31" s="31"/>
      <c r="G31" s="31"/>
      <c r="H31" s="31"/>
      <c r="I31" s="31"/>
      <c r="J31" s="31"/>
      <c r="K31" s="31"/>
      <c r="L31" s="31"/>
      <c r="M31" s="31"/>
      <c r="N31" s="222"/>
      <c r="O31" s="222"/>
      <c r="P31" s="222"/>
      <c r="Q31" s="222"/>
      <c r="R31" s="32"/>
      <c r="S31" s="220"/>
      <c r="T31" s="220"/>
      <c r="V31" s="332" t="s">
        <v>905</v>
      </c>
      <c r="W31" s="333">
        <v>9.2000000000000003E-4</v>
      </c>
      <c r="X31" s="333">
        <v>1.5699999999999999E-2</v>
      </c>
      <c r="Y31" s="333">
        <v>7.1000000000000002E-4</v>
      </c>
      <c r="Z31" s="2"/>
      <c r="AK31" s="142"/>
      <c r="AL31" s="56"/>
      <c r="AM31" s="56"/>
      <c r="AN31" s="56"/>
      <c r="AO31" s="56"/>
      <c r="AP31" s="56"/>
      <c r="AQ31" s="56"/>
      <c r="AR31" s="56"/>
      <c r="AS31" s="56"/>
    </row>
    <row r="32" spans="1:46" s="129" customFormat="1" ht="14.25" customHeight="1">
      <c r="A32" s="224" t="s">
        <v>678</v>
      </c>
      <c r="B32" s="31"/>
      <c r="C32" s="27"/>
      <c r="D32" s="27"/>
      <c r="E32" s="27"/>
      <c r="F32" s="27"/>
      <c r="G32" s="27"/>
      <c r="H32" s="27"/>
      <c r="I32" s="27"/>
      <c r="J32" s="27"/>
      <c r="K32" s="27"/>
      <c r="L32" s="27"/>
      <c r="M32" s="27"/>
      <c r="N32" s="1491"/>
      <c r="O32" s="1491"/>
      <c r="P32" s="225"/>
      <c r="Q32" s="225"/>
      <c r="R32" s="226"/>
      <c r="S32" s="220"/>
      <c r="T32" s="220"/>
      <c r="V32" s="332" t="s">
        <v>906</v>
      </c>
      <c r="W32" s="333">
        <v>3.2799999999999998E-5</v>
      </c>
      <c r="X32" s="333">
        <v>1.8000000000000001E-4</v>
      </c>
      <c r="Y32" s="333">
        <v>7.0500000000000003E-6</v>
      </c>
      <c r="Z32" s="2"/>
      <c r="AL32" s="56"/>
      <c r="AM32" s="56"/>
      <c r="AN32" s="56"/>
      <c r="AO32" s="56"/>
      <c r="AP32" s="56"/>
      <c r="AQ32" s="56"/>
      <c r="AR32" s="56"/>
      <c r="AS32" s="56"/>
    </row>
    <row r="33" spans="1:45" s="129" customFormat="1" ht="14.25" customHeight="1">
      <c r="A33" s="227" t="s">
        <v>31</v>
      </c>
      <c r="B33" s="31" t="s">
        <v>680</v>
      </c>
      <c r="C33" s="31"/>
      <c r="D33" s="31"/>
      <c r="E33" s="31"/>
      <c r="F33" s="31"/>
      <c r="G33" s="31"/>
      <c r="H33" s="31"/>
      <c r="I33" s="31"/>
      <c r="J33" s="31"/>
      <c r="K33" s="31"/>
      <c r="L33" s="31"/>
      <c r="M33" s="31"/>
      <c r="N33" s="222"/>
      <c r="O33" s="222"/>
      <c r="P33" s="222"/>
      <c r="Q33" s="222"/>
      <c r="R33" s="32"/>
      <c r="S33" s="1492"/>
      <c r="T33" s="1492"/>
      <c r="V33" s="332" t="s">
        <v>907</v>
      </c>
      <c r="W33" s="333">
        <v>2.9500000000000001E-4</v>
      </c>
      <c r="X33" s="333">
        <v>2E-3</v>
      </c>
      <c r="Y33" s="333">
        <v>2.8200000000000001E-5</v>
      </c>
      <c r="Z33" s="2"/>
      <c r="AL33" s="56"/>
      <c r="AM33" s="56"/>
      <c r="AN33" s="56"/>
      <c r="AO33" s="56"/>
      <c r="AP33" s="56"/>
      <c r="AQ33" s="56"/>
      <c r="AR33" s="56"/>
      <c r="AS33" s="56"/>
    </row>
    <row r="34" spans="1:45" s="129" customFormat="1" ht="14.25" customHeight="1">
      <c r="A34" s="227" t="s">
        <v>33</v>
      </c>
      <c r="B34" s="1675" t="s">
        <v>689</v>
      </c>
      <c r="C34" s="1184"/>
      <c r="D34" s="1184"/>
      <c r="E34" s="1184"/>
      <c r="F34" s="1184"/>
      <c r="G34" s="1184"/>
      <c r="H34" s="1184"/>
      <c r="I34" s="1184"/>
      <c r="J34" s="1184"/>
      <c r="K34" s="1184"/>
      <c r="L34" s="1184"/>
      <c r="M34" s="1184"/>
      <c r="N34" s="1184"/>
      <c r="O34" s="1184"/>
      <c r="P34" s="1184"/>
      <c r="Q34" s="1184"/>
      <c r="R34" s="32"/>
      <c r="S34" s="228"/>
      <c r="T34" s="228"/>
      <c r="W34" s="220"/>
      <c r="X34" s="220"/>
      <c r="Y34" s="150"/>
      <c r="Z34" s="150"/>
      <c r="AL34" s="56"/>
      <c r="AM34" s="56"/>
      <c r="AN34" s="56"/>
      <c r="AO34" s="56"/>
      <c r="AP34" s="56"/>
      <c r="AQ34" s="56"/>
      <c r="AR34" s="56"/>
      <c r="AS34" s="56"/>
    </row>
    <row r="35" spans="1:45" s="129" customFormat="1" ht="14.25" customHeight="1">
      <c r="A35" s="227"/>
      <c r="B35" s="1184"/>
      <c r="C35" s="1184"/>
      <c r="D35" s="1184"/>
      <c r="E35" s="1184"/>
      <c r="F35" s="1184"/>
      <c r="G35" s="1184"/>
      <c r="H35" s="1184"/>
      <c r="I35" s="1184"/>
      <c r="J35" s="1184"/>
      <c r="K35" s="1184"/>
      <c r="L35" s="1184"/>
      <c r="M35" s="1184"/>
      <c r="N35" s="1184"/>
      <c r="O35" s="1184"/>
      <c r="P35" s="1184"/>
      <c r="Q35" s="1184"/>
      <c r="R35" s="231"/>
      <c r="S35" s="228"/>
      <c r="T35" s="228"/>
      <c r="W35" s="220"/>
      <c r="X35" s="220"/>
      <c r="Y35" s="150"/>
      <c r="Z35" s="150"/>
      <c r="AL35" s="56"/>
      <c r="AM35" s="56"/>
      <c r="AN35" s="56"/>
      <c r="AO35" s="56"/>
      <c r="AP35" s="56"/>
      <c r="AQ35" s="56"/>
      <c r="AR35" s="56"/>
      <c r="AS35" s="56"/>
    </row>
    <row r="36" spans="1:45" s="129" customFormat="1" ht="14.25" customHeight="1">
      <c r="A36" s="227" t="s">
        <v>752</v>
      </c>
      <c r="B36" s="1489" t="s">
        <v>908</v>
      </c>
      <c r="C36" s="1490"/>
      <c r="D36" s="1490"/>
      <c r="E36" s="1490"/>
      <c r="F36" s="1490"/>
      <c r="G36" s="1490"/>
      <c r="H36" s="1490"/>
      <c r="I36" s="1490"/>
      <c r="J36" s="1490"/>
      <c r="K36" s="1490"/>
      <c r="L36" s="1490"/>
      <c r="M36" s="1490"/>
      <c r="N36" s="1490"/>
      <c r="O36" s="1490"/>
      <c r="P36" s="1490"/>
      <c r="Q36" s="1490"/>
      <c r="R36" s="231"/>
      <c r="S36" s="228"/>
      <c r="T36" s="228"/>
      <c r="W36" s="220"/>
      <c r="X36" s="220"/>
      <c r="Y36" s="150"/>
      <c r="Z36" s="150"/>
      <c r="AL36" s="56"/>
      <c r="AM36" s="56"/>
      <c r="AN36" s="56"/>
      <c r="AO36" s="56"/>
      <c r="AP36" s="56"/>
      <c r="AQ36" s="56"/>
      <c r="AR36" s="56"/>
      <c r="AS36" s="56"/>
    </row>
    <row r="37" spans="1:45" s="129" customFormat="1" ht="14.25" customHeight="1">
      <c r="A37" s="227" t="s">
        <v>787</v>
      </c>
      <c r="B37" s="1489" t="s">
        <v>909</v>
      </c>
      <c r="C37" s="1490"/>
      <c r="D37" s="1490"/>
      <c r="E37" s="1490"/>
      <c r="F37" s="1490"/>
      <c r="G37" s="1490"/>
      <c r="H37" s="1490"/>
      <c r="I37" s="1490"/>
      <c r="J37" s="1490"/>
      <c r="K37" s="1490"/>
      <c r="L37" s="1490"/>
      <c r="M37" s="1490"/>
      <c r="N37" s="1490"/>
      <c r="O37" s="1490"/>
      <c r="P37" s="1490"/>
      <c r="Q37" s="1490"/>
      <c r="R37" s="231"/>
      <c r="S37" s="228"/>
      <c r="T37" s="228"/>
      <c r="W37" s="220"/>
      <c r="X37" s="220"/>
      <c r="Y37" s="150"/>
      <c r="Z37" s="150"/>
      <c r="AL37" s="56"/>
      <c r="AM37" s="56"/>
      <c r="AN37" s="56"/>
      <c r="AO37" s="56"/>
      <c r="AP37" s="56"/>
      <c r="AQ37" s="56"/>
      <c r="AR37" s="56"/>
      <c r="AS37" s="56"/>
    </row>
    <row r="38" spans="1:45" s="129" customFormat="1" ht="14.25" customHeight="1">
      <c r="A38" s="227"/>
      <c r="B38" s="1489"/>
      <c r="C38" s="1490"/>
      <c r="D38" s="1490"/>
      <c r="E38" s="1490"/>
      <c r="F38" s="1490"/>
      <c r="G38" s="1490"/>
      <c r="H38" s="1490"/>
      <c r="I38" s="1490"/>
      <c r="J38" s="1490"/>
      <c r="K38" s="1490"/>
      <c r="L38" s="1490"/>
      <c r="M38" s="1490"/>
      <c r="N38" s="1490"/>
      <c r="O38" s="1490"/>
      <c r="P38" s="1490"/>
      <c r="Q38" s="1490"/>
      <c r="R38" s="231"/>
      <c r="S38" s="228"/>
      <c r="T38" s="228"/>
      <c r="W38" s="220"/>
      <c r="X38" s="220"/>
      <c r="Y38" s="150"/>
      <c r="Z38" s="150"/>
      <c r="AL38" s="56"/>
      <c r="AM38" s="56"/>
      <c r="AN38" s="56"/>
      <c r="AO38" s="56"/>
      <c r="AP38" s="56"/>
      <c r="AQ38" s="56"/>
      <c r="AR38" s="56"/>
      <c r="AS38" s="56"/>
    </row>
    <row r="39" spans="1:45" s="129" customFormat="1" ht="14.25" customHeight="1">
      <c r="A39" s="227"/>
      <c r="B39" s="1489"/>
      <c r="C39" s="1490"/>
      <c r="D39" s="1490"/>
      <c r="E39" s="1490"/>
      <c r="F39" s="1490"/>
      <c r="G39" s="1490"/>
      <c r="H39" s="1490"/>
      <c r="I39" s="1490"/>
      <c r="J39" s="1490"/>
      <c r="K39" s="1490"/>
      <c r="L39" s="1490"/>
      <c r="M39" s="1490"/>
      <c r="N39" s="1490"/>
      <c r="O39" s="1490"/>
      <c r="P39" s="1490"/>
      <c r="Q39" s="1490"/>
      <c r="R39" s="231"/>
      <c r="S39" s="228"/>
      <c r="T39" s="228"/>
      <c r="W39" s="220"/>
      <c r="X39" s="220"/>
      <c r="Y39" s="150"/>
      <c r="Z39" s="150"/>
      <c r="AL39" s="56"/>
      <c r="AM39" s="56"/>
      <c r="AN39" s="56"/>
      <c r="AO39" s="56"/>
      <c r="AP39" s="56"/>
      <c r="AQ39" s="56"/>
      <c r="AR39" s="56"/>
      <c r="AS39" s="56"/>
    </row>
    <row r="40" spans="1:45" s="129" customFormat="1" ht="14.25" customHeight="1">
      <c r="A40" s="227"/>
      <c r="B40" s="1188"/>
      <c r="C40" s="1188"/>
      <c r="D40" s="1188"/>
      <c r="E40" s="1188"/>
      <c r="F40" s="1188"/>
      <c r="G40" s="1188"/>
      <c r="H40" s="1188"/>
      <c r="I40" s="1188"/>
      <c r="J40" s="1188"/>
      <c r="K40" s="1188"/>
      <c r="L40" s="1188"/>
      <c r="M40" s="1188"/>
      <c r="N40" s="1188"/>
      <c r="O40" s="1188"/>
      <c r="P40" s="1188"/>
      <c r="Q40" s="1188"/>
      <c r="R40" s="32"/>
      <c r="S40" s="228"/>
      <c r="T40" s="228"/>
      <c r="W40" s="220"/>
      <c r="X40" s="220"/>
      <c r="Y40" s="150"/>
      <c r="Z40" s="150"/>
      <c r="AL40" s="56"/>
      <c r="AM40" s="56"/>
      <c r="AN40" s="56"/>
      <c r="AO40" s="56"/>
      <c r="AP40" s="56"/>
      <c r="AQ40" s="56"/>
      <c r="AR40" s="56"/>
      <c r="AS40" s="56"/>
    </row>
    <row r="41" spans="1:45" ht="14.25" customHeight="1">
      <c r="A41" s="232"/>
      <c r="B41" s="233"/>
      <c r="C41" s="233"/>
      <c r="D41" s="233"/>
      <c r="E41" s="233"/>
      <c r="F41" s="233"/>
      <c r="G41" s="233"/>
      <c r="H41" s="233"/>
      <c r="I41" s="233"/>
      <c r="J41" s="233"/>
      <c r="K41" s="233"/>
      <c r="L41" s="233"/>
      <c r="M41" s="233"/>
      <c r="N41" s="233"/>
      <c r="O41" s="233"/>
      <c r="P41" s="233"/>
      <c r="Q41" s="233"/>
      <c r="R41" s="234"/>
      <c r="S41" s="136"/>
      <c r="T41" s="136"/>
      <c r="U41" s="136"/>
      <c r="V41" s="136"/>
      <c r="W41" s="136"/>
      <c r="X41" s="136"/>
      <c r="Y41" s="235"/>
      <c r="Z41" s="136"/>
      <c r="AA41" s="136"/>
      <c r="AB41" s="136"/>
      <c r="AC41" s="136"/>
      <c r="AD41" s="136"/>
      <c r="AE41" s="136"/>
      <c r="AL41" s="105"/>
      <c r="AM41" s="105"/>
      <c r="AN41" s="105"/>
      <c r="AO41" s="105"/>
      <c r="AP41" s="105"/>
      <c r="AQ41" s="105"/>
      <c r="AR41" s="105"/>
      <c r="AS41" s="105"/>
    </row>
    <row r="42" spans="1:45">
      <c r="A42" s="236"/>
      <c r="B42" s="236"/>
      <c r="C42" s="236"/>
      <c r="D42" s="236"/>
      <c r="E42" s="236"/>
      <c r="F42" s="236"/>
      <c r="G42" s="236"/>
      <c r="H42" s="236"/>
      <c r="I42" s="236"/>
      <c r="J42" s="236"/>
      <c r="K42" s="236"/>
      <c r="L42" s="236"/>
      <c r="M42" s="236"/>
      <c r="N42" s="236"/>
      <c r="O42" s="236"/>
      <c r="P42" s="236"/>
      <c r="Q42" s="236"/>
      <c r="R42" s="236"/>
      <c r="S42" s="236"/>
      <c r="T42" s="236"/>
      <c r="U42" s="236"/>
      <c r="V42" s="236"/>
      <c r="W42" s="236"/>
      <c r="X42" s="236"/>
      <c r="Y42" s="237"/>
      <c r="Z42" s="236"/>
      <c r="AA42" s="236"/>
      <c r="AB42" s="236"/>
      <c r="AC42" s="236"/>
      <c r="AD42" s="136"/>
      <c r="AE42" s="136"/>
      <c r="AL42" s="105"/>
      <c r="AM42" s="105"/>
      <c r="AN42" s="105"/>
      <c r="AO42" s="105"/>
      <c r="AP42" s="105"/>
      <c r="AQ42" s="105"/>
      <c r="AR42" s="105"/>
      <c r="AS42" s="105"/>
    </row>
    <row r="43" spans="1:45">
      <c r="A43" s="236"/>
      <c r="B43" s="236"/>
      <c r="C43" s="236"/>
      <c r="D43" s="236"/>
      <c r="E43" s="236"/>
      <c r="F43" s="236"/>
      <c r="G43" s="236"/>
      <c r="H43" s="236"/>
      <c r="I43" s="236"/>
      <c r="J43" s="236"/>
      <c r="K43" s="236"/>
      <c r="L43" s="236"/>
      <c r="M43" s="236"/>
      <c r="N43" s="236"/>
      <c r="O43" s="236"/>
      <c r="P43" s="236"/>
      <c r="Q43" s="236"/>
      <c r="R43" s="236"/>
      <c r="S43" s="236"/>
      <c r="T43" s="236"/>
      <c r="U43" s="236"/>
      <c r="V43" s="236"/>
      <c r="W43" s="236"/>
      <c r="X43" s="236"/>
      <c r="Y43" s="237"/>
      <c r="Z43" s="236"/>
      <c r="AA43" s="236"/>
      <c r="AB43" s="236"/>
      <c r="AC43" s="236"/>
      <c r="AD43" s="236"/>
      <c r="AE43" s="236"/>
      <c r="AF43" s="105"/>
      <c r="AG43" s="105"/>
      <c r="AH43" s="105"/>
      <c r="AI43" s="105"/>
      <c r="AJ43" s="105"/>
      <c r="AK43" s="105"/>
      <c r="AL43" s="105"/>
      <c r="AM43" s="105"/>
      <c r="AN43" s="105"/>
      <c r="AO43" s="105"/>
      <c r="AP43" s="105"/>
      <c r="AQ43" s="105"/>
      <c r="AR43" s="105"/>
      <c r="AS43" s="105"/>
    </row>
    <row r="44" spans="1:45">
      <c r="A44" s="236"/>
      <c r="B44" s="236"/>
      <c r="C44" s="236"/>
      <c r="D44" s="236"/>
      <c r="E44" s="236"/>
      <c r="F44" s="236"/>
      <c r="G44" s="236"/>
      <c r="H44" s="236"/>
      <c r="I44" s="236"/>
      <c r="J44" s="236"/>
      <c r="K44" s="236"/>
      <c r="L44" s="236"/>
      <c r="M44" s="236"/>
      <c r="N44" s="236"/>
      <c r="O44" s="236"/>
      <c r="P44" s="236"/>
      <c r="Q44" s="236"/>
      <c r="R44" s="236"/>
      <c r="S44" s="236"/>
      <c r="T44" s="236"/>
      <c r="U44" s="236"/>
      <c r="V44" s="236"/>
      <c r="W44" s="236"/>
      <c r="X44" s="236"/>
      <c r="Y44" s="237"/>
      <c r="Z44" s="236"/>
      <c r="AA44" s="236"/>
      <c r="AB44" s="236"/>
      <c r="AC44" s="236"/>
      <c r="AD44" s="236"/>
      <c r="AE44" s="105"/>
      <c r="AF44" s="105"/>
      <c r="AG44" s="105"/>
      <c r="AH44" s="105"/>
      <c r="AI44" s="105"/>
      <c r="AJ44" s="105"/>
      <c r="AK44" s="105"/>
      <c r="AL44" s="105"/>
      <c r="AM44" s="105"/>
      <c r="AN44" s="105"/>
      <c r="AO44" s="105"/>
      <c r="AP44" s="105"/>
      <c r="AQ44" s="105"/>
      <c r="AR44" s="105"/>
      <c r="AS44" s="105"/>
    </row>
    <row r="45" spans="1:45">
      <c r="A45" s="236"/>
      <c r="B45" s="236"/>
      <c r="C45" s="236"/>
      <c r="D45" s="236"/>
      <c r="E45" s="236"/>
      <c r="F45" s="236"/>
      <c r="G45" s="236"/>
      <c r="H45" s="236"/>
      <c r="I45" s="236"/>
      <c r="J45" s="236"/>
      <c r="K45" s="236"/>
      <c r="L45" s="236"/>
      <c r="M45" s="236"/>
      <c r="N45" s="236"/>
      <c r="O45" s="236"/>
      <c r="P45" s="236"/>
      <c r="Q45" s="236"/>
      <c r="R45" s="236"/>
      <c r="S45" s="236"/>
      <c r="T45" s="236"/>
      <c r="U45" s="236"/>
      <c r="V45" s="236"/>
      <c r="W45" s="236"/>
      <c r="X45" s="236"/>
      <c r="Y45" s="237"/>
      <c r="Z45" s="236"/>
      <c r="AA45" s="236"/>
      <c r="AB45" s="236"/>
      <c r="AC45" s="236"/>
      <c r="AD45" s="236"/>
      <c r="AE45" s="105"/>
      <c r="AF45" s="105"/>
      <c r="AG45" s="105"/>
      <c r="AH45" s="105"/>
      <c r="AI45" s="105"/>
      <c r="AJ45" s="105"/>
      <c r="AK45" s="105"/>
      <c r="AL45" s="105"/>
      <c r="AM45" s="105"/>
      <c r="AN45" s="105"/>
      <c r="AO45" s="105"/>
      <c r="AP45" s="105"/>
      <c r="AQ45" s="105"/>
      <c r="AR45" s="105"/>
      <c r="AS45" s="105"/>
    </row>
    <row r="46" spans="1:45">
      <c r="A46" s="236"/>
      <c r="B46" s="236"/>
      <c r="C46" s="236"/>
      <c r="D46" s="236"/>
      <c r="E46" s="236"/>
      <c r="F46" s="236"/>
      <c r="G46" s="236"/>
      <c r="H46" s="236"/>
      <c r="I46" s="236"/>
      <c r="J46" s="236"/>
      <c r="K46" s="236"/>
      <c r="L46" s="236"/>
      <c r="M46" s="236"/>
      <c r="N46" s="236"/>
      <c r="O46" s="236"/>
      <c r="P46" s="236"/>
      <c r="Q46" s="236"/>
      <c r="R46" s="236"/>
      <c r="S46" s="236"/>
      <c r="T46" s="236"/>
      <c r="U46" s="236"/>
      <c r="V46" s="236"/>
      <c r="W46" s="236"/>
      <c r="X46" s="236"/>
      <c r="Y46" s="237"/>
      <c r="Z46" s="236"/>
      <c r="AA46" s="236"/>
      <c r="AB46" s="236"/>
      <c r="AC46" s="236"/>
      <c r="AD46" s="236"/>
      <c r="AE46" s="105"/>
      <c r="AF46" s="105"/>
      <c r="AG46" s="105"/>
      <c r="AH46" s="105"/>
      <c r="AI46" s="105"/>
      <c r="AJ46" s="105"/>
      <c r="AK46" s="105"/>
      <c r="AL46" s="105"/>
      <c r="AM46" s="105"/>
      <c r="AN46" s="105"/>
      <c r="AO46" s="105"/>
      <c r="AP46" s="105"/>
      <c r="AQ46" s="105"/>
      <c r="AR46" s="105"/>
      <c r="AS46" s="105"/>
    </row>
    <row r="47" spans="1:45">
      <c r="A47" s="236"/>
      <c r="B47" s="236"/>
      <c r="C47" s="236"/>
      <c r="D47" s="236"/>
      <c r="E47" s="236"/>
      <c r="F47" s="236"/>
      <c r="G47" s="236"/>
      <c r="H47" s="236"/>
      <c r="I47" s="236"/>
      <c r="J47" s="236"/>
      <c r="K47" s="236"/>
      <c r="L47" s="236"/>
      <c r="M47" s="236"/>
      <c r="N47" s="236"/>
      <c r="O47" s="236"/>
      <c r="P47" s="236"/>
      <c r="Q47" s="236"/>
      <c r="R47" s="236"/>
      <c r="S47" s="236"/>
      <c r="T47" s="236"/>
      <c r="U47" s="236"/>
      <c r="V47" s="236"/>
      <c r="W47" s="236"/>
      <c r="X47" s="236"/>
      <c r="Y47" s="237"/>
      <c r="Z47" s="236"/>
      <c r="AA47" s="236"/>
      <c r="AB47" s="236"/>
      <c r="AC47" s="236"/>
      <c r="AD47" s="236"/>
      <c r="AE47" s="105"/>
      <c r="AF47" s="105"/>
      <c r="AG47" s="105"/>
      <c r="AH47" s="105"/>
      <c r="AI47" s="105"/>
      <c r="AJ47" s="105"/>
      <c r="AK47" s="105"/>
      <c r="AL47" s="105"/>
      <c r="AM47" s="105"/>
      <c r="AN47" s="105"/>
      <c r="AO47" s="105"/>
      <c r="AP47" s="105"/>
      <c r="AQ47" s="105"/>
      <c r="AR47" s="105"/>
      <c r="AS47" s="105"/>
    </row>
    <row r="48" spans="1:45">
      <c r="A48" s="236"/>
      <c r="B48" s="236"/>
      <c r="C48" s="236"/>
      <c r="D48" s="236"/>
      <c r="E48" s="236"/>
      <c r="F48" s="236"/>
      <c r="G48" s="236"/>
      <c r="H48" s="236"/>
      <c r="I48" s="236"/>
      <c r="J48" s="236"/>
      <c r="K48" s="236"/>
      <c r="L48" s="236"/>
      <c r="M48" s="236"/>
      <c r="N48" s="236"/>
      <c r="O48" s="236"/>
      <c r="P48" s="236"/>
      <c r="Q48" s="236"/>
      <c r="R48" s="236"/>
      <c r="S48" s="236"/>
      <c r="T48" s="236"/>
      <c r="U48" s="236"/>
      <c r="V48" s="236"/>
      <c r="W48" s="236"/>
      <c r="X48" s="236"/>
      <c r="Y48" s="237"/>
      <c r="Z48" s="236"/>
      <c r="AA48" s="236"/>
      <c r="AB48" s="236"/>
      <c r="AC48" s="236"/>
      <c r="AD48" s="236"/>
      <c r="AE48" s="105"/>
      <c r="AF48" s="105"/>
      <c r="AG48" s="105"/>
      <c r="AH48" s="105"/>
      <c r="AI48" s="105"/>
      <c r="AJ48" s="105"/>
      <c r="AK48" s="105"/>
      <c r="AL48" s="105"/>
      <c r="AM48" s="105"/>
      <c r="AN48" s="105"/>
      <c r="AO48" s="105"/>
      <c r="AP48" s="105"/>
      <c r="AQ48" s="105"/>
      <c r="AR48" s="105"/>
      <c r="AS48" s="105"/>
    </row>
    <row r="49" spans="1:45">
      <c r="A49" s="236"/>
      <c r="B49" s="236"/>
      <c r="C49" s="236"/>
      <c r="D49" s="236"/>
      <c r="E49" s="236"/>
      <c r="F49" s="236"/>
      <c r="G49" s="236"/>
      <c r="H49" s="236"/>
      <c r="I49" s="236"/>
      <c r="J49" s="236"/>
      <c r="K49" s="236"/>
      <c r="L49" s="236"/>
      <c r="M49" s="236"/>
      <c r="N49" s="236"/>
      <c r="O49" s="236"/>
      <c r="P49" s="236"/>
      <c r="Q49" s="236"/>
      <c r="R49" s="236"/>
      <c r="S49" s="236"/>
      <c r="T49" s="236"/>
      <c r="U49" s="236"/>
      <c r="V49" s="236"/>
      <c r="W49" s="236"/>
      <c r="X49" s="236"/>
      <c r="Y49" s="237"/>
      <c r="Z49" s="236"/>
      <c r="AA49" s="236"/>
      <c r="AB49" s="236"/>
      <c r="AC49" s="236"/>
      <c r="AD49" s="236"/>
      <c r="AE49" s="105"/>
      <c r="AF49" s="105"/>
      <c r="AG49" s="105"/>
      <c r="AH49" s="105"/>
      <c r="AI49" s="105"/>
      <c r="AJ49" s="105"/>
      <c r="AK49" s="105"/>
      <c r="AL49" s="105"/>
      <c r="AM49" s="105"/>
      <c r="AN49" s="105"/>
      <c r="AO49" s="105"/>
      <c r="AP49" s="105"/>
      <c r="AQ49" s="105"/>
      <c r="AR49" s="105"/>
      <c r="AS49" s="105"/>
    </row>
    <row r="50" spans="1:45">
      <c r="A50" s="236"/>
      <c r="B50" s="236"/>
      <c r="C50" s="236"/>
      <c r="D50" s="236"/>
      <c r="E50" s="236"/>
      <c r="F50" s="236"/>
      <c r="G50" s="236"/>
      <c r="H50" s="236"/>
      <c r="I50" s="236"/>
      <c r="J50" s="236"/>
      <c r="K50" s="236"/>
      <c r="L50" s="236"/>
      <c r="M50" s="236"/>
      <c r="N50" s="236"/>
      <c r="O50" s="236"/>
      <c r="P50" s="236"/>
      <c r="Q50" s="236"/>
      <c r="R50" s="236"/>
      <c r="S50" s="236"/>
      <c r="T50" s="236"/>
      <c r="U50" s="236"/>
      <c r="V50" s="236"/>
      <c r="W50" s="236"/>
      <c r="X50" s="236"/>
      <c r="Y50" s="237"/>
      <c r="Z50" s="236"/>
      <c r="AA50" s="236"/>
      <c r="AB50" s="236"/>
      <c r="AC50" s="236"/>
      <c r="AD50" s="236"/>
      <c r="AE50" s="105"/>
      <c r="AF50" s="105"/>
      <c r="AG50" s="105"/>
      <c r="AH50" s="105"/>
      <c r="AI50" s="105"/>
      <c r="AJ50" s="105"/>
      <c r="AK50" s="105"/>
      <c r="AL50" s="105"/>
      <c r="AM50" s="105"/>
      <c r="AN50" s="105"/>
      <c r="AO50" s="105"/>
      <c r="AP50" s="105"/>
      <c r="AQ50" s="105"/>
      <c r="AR50" s="105"/>
      <c r="AS50" s="105"/>
    </row>
    <row r="51" spans="1:45">
      <c r="A51" s="236"/>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7"/>
      <c r="Z51" s="236"/>
      <c r="AA51" s="236"/>
      <c r="AB51" s="236"/>
      <c r="AC51" s="236"/>
      <c r="AD51" s="236"/>
      <c r="AE51" s="105"/>
      <c r="AF51" s="105"/>
      <c r="AG51" s="105"/>
      <c r="AH51" s="105"/>
      <c r="AI51" s="105"/>
      <c r="AJ51" s="105"/>
      <c r="AK51" s="105"/>
      <c r="AL51" s="105"/>
      <c r="AM51" s="105"/>
      <c r="AN51" s="105"/>
      <c r="AO51" s="105"/>
      <c r="AP51" s="105"/>
      <c r="AQ51" s="105"/>
      <c r="AR51" s="105"/>
      <c r="AS51" s="105"/>
    </row>
    <row r="52" spans="1:45" s="137" customFormat="1">
      <c r="A52" s="236"/>
      <c r="B52" s="236"/>
      <c r="C52" s="236"/>
      <c r="D52" s="236"/>
      <c r="E52" s="236"/>
      <c r="F52" s="236"/>
      <c r="G52" s="236"/>
      <c r="H52" s="236"/>
      <c r="I52" s="236"/>
      <c r="J52" s="236"/>
      <c r="K52" s="236"/>
      <c r="L52" s="236"/>
      <c r="M52" s="236"/>
      <c r="N52" s="236"/>
      <c r="O52" s="236"/>
      <c r="P52" s="236"/>
      <c r="Q52" s="236"/>
      <c r="R52" s="236"/>
      <c r="S52" s="236"/>
      <c r="T52" s="236"/>
      <c r="U52" s="236"/>
      <c r="V52" s="236"/>
      <c r="W52" s="236"/>
      <c r="X52" s="236"/>
      <c r="Y52" s="237"/>
      <c r="Z52" s="236"/>
      <c r="AA52" s="236"/>
      <c r="AB52" s="236"/>
      <c r="AC52" s="236"/>
      <c r="AD52" s="236"/>
      <c r="AE52" s="105"/>
      <c r="AF52" s="105"/>
      <c r="AG52" s="105"/>
      <c r="AH52" s="105"/>
      <c r="AI52" s="105"/>
      <c r="AJ52" s="105"/>
      <c r="AK52" s="105"/>
      <c r="AL52" s="105"/>
      <c r="AM52" s="105"/>
      <c r="AN52" s="105"/>
      <c r="AO52" s="105"/>
      <c r="AP52" s="105"/>
      <c r="AQ52" s="105"/>
      <c r="AR52" s="105"/>
      <c r="AS52" s="105"/>
    </row>
    <row r="53" spans="1:45" s="137" customFormat="1">
      <c r="A53" s="236"/>
      <c r="B53" s="236"/>
      <c r="C53" s="236"/>
      <c r="D53" s="236"/>
      <c r="E53" s="236"/>
      <c r="F53" s="236"/>
      <c r="G53" s="236"/>
      <c r="H53" s="236"/>
      <c r="I53" s="236"/>
      <c r="J53" s="236"/>
      <c r="K53" s="236"/>
      <c r="L53" s="236"/>
      <c r="M53" s="236"/>
      <c r="N53" s="236"/>
      <c r="O53" s="236"/>
      <c r="P53" s="236"/>
      <c r="Q53" s="236"/>
      <c r="R53" s="236"/>
      <c r="S53" s="236"/>
      <c r="T53" s="236"/>
      <c r="U53" s="236"/>
      <c r="V53" s="236"/>
      <c r="W53" s="236"/>
      <c r="X53" s="236"/>
      <c r="Y53" s="237"/>
      <c r="Z53" s="236"/>
      <c r="AA53" s="236"/>
      <c r="AB53" s="236"/>
      <c r="AC53" s="236"/>
      <c r="AD53" s="236"/>
      <c r="AE53" s="105"/>
      <c r="AF53" s="105"/>
      <c r="AG53" s="105"/>
      <c r="AH53" s="105"/>
      <c r="AI53" s="105"/>
      <c r="AJ53" s="105"/>
      <c r="AK53" s="105"/>
      <c r="AL53" s="105"/>
      <c r="AM53" s="105"/>
      <c r="AN53" s="105"/>
      <c r="AO53" s="105"/>
      <c r="AP53" s="105"/>
      <c r="AQ53" s="105"/>
      <c r="AR53" s="105"/>
      <c r="AS53" s="105"/>
    </row>
    <row r="54" spans="1:45" s="137" customFormat="1">
      <c r="A54" s="236"/>
      <c r="B54" s="236"/>
      <c r="C54" s="236"/>
      <c r="D54" s="236"/>
      <c r="E54" s="236"/>
      <c r="F54" s="236"/>
      <c r="G54" s="236"/>
      <c r="H54" s="236"/>
      <c r="I54" s="236"/>
      <c r="J54" s="236"/>
      <c r="K54" s="236"/>
      <c r="L54" s="236"/>
      <c r="M54" s="236"/>
      <c r="N54" s="236"/>
      <c r="O54" s="236"/>
      <c r="P54" s="236"/>
      <c r="Q54" s="236"/>
      <c r="R54" s="236"/>
      <c r="S54" s="236"/>
      <c r="T54" s="236"/>
      <c r="U54" s="236"/>
      <c r="V54" s="236"/>
      <c r="W54" s="236"/>
      <c r="X54" s="236"/>
      <c r="Y54" s="237"/>
      <c r="Z54" s="236"/>
      <c r="AA54" s="236"/>
      <c r="AB54" s="236"/>
      <c r="AC54" s="236"/>
      <c r="AD54" s="236"/>
      <c r="AE54" s="105"/>
      <c r="AF54" s="105"/>
      <c r="AG54" s="105"/>
      <c r="AH54" s="105"/>
      <c r="AI54" s="105"/>
      <c r="AJ54" s="105"/>
      <c r="AK54" s="105"/>
      <c r="AL54" s="105"/>
      <c r="AM54" s="105"/>
      <c r="AN54" s="105"/>
      <c r="AO54" s="105"/>
      <c r="AP54" s="105"/>
      <c r="AQ54" s="105"/>
      <c r="AR54" s="105"/>
      <c r="AS54" s="105"/>
    </row>
    <row r="55" spans="1:45" s="137" customFormat="1">
      <c r="A55" s="236"/>
      <c r="B55" s="236"/>
      <c r="C55" s="236"/>
      <c r="D55" s="236"/>
      <c r="E55" s="236"/>
      <c r="F55" s="236"/>
      <c r="G55" s="236"/>
      <c r="H55" s="236"/>
      <c r="I55" s="236"/>
      <c r="J55" s="236"/>
      <c r="K55" s="236"/>
      <c r="L55" s="236"/>
      <c r="M55" s="236"/>
      <c r="N55" s="236"/>
      <c r="O55" s="236"/>
      <c r="P55" s="236"/>
      <c r="Q55" s="236"/>
      <c r="R55" s="236"/>
      <c r="S55" s="236"/>
      <c r="T55" s="236"/>
      <c r="U55" s="236"/>
      <c r="V55" s="236"/>
      <c r="W55" s="236"/>
      <c r="X55" s="236"/>
      <c r="Y55" s="237"/>
      <c r="Z55" s="236"/>
      <c r="AA55" s="236"/>
      <c r="AB55" s="236"/>
      <c r="AC55" s="236"/>
      <c r="AD55" s="236"/>
      <c r="AE55" s="105"/>
      <c r="AF55" s="105"/>
      <c r="AG55" s="105"/>
      <c r="AH55" s="105"/>
      <c r="AI55" s="105"/>
      <c r="AJ55" s="105"/>
      <c r="AK55" s="105"/>
      <c r="AL55" s="105"/>
      <c r="AM55" s="105"/>
      <c r="AN55" s="105"/>
      <c r="AO55" s="105"/>
      <c r="AP55" s="105"/>
      <c r="AQ55" s="105"/>
      <c r="AR55" s="105"/>
      <c r="AS55" s="105"/>
    </row>
    <row r="56" spans="1:45" s="137" customFormat="1">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37"/>
      <c r="Z56" s="236"/>
      <c r="AA56" s="236"/>
      <c r="AB56" s="236"/>
      <c r="AC56" s="236"/>
      <c r="AD56" s="236"/>
      <c r="AE56" s="105"/>
      <c r="AF56" s="105"/>
      <c r="AG56" s="105"/>
      <c r="AH56" s="105"/>
      <c r="AI56" s="105"/>
      <c r="AJ56" s="105"/>
      <c r="AK56" s="105"/>
      <c r="AL56" s="105"/>
      <c r="AM56" s="105"/>
      <c r="AN56" s="105"/>
      <c r="AO56" s="105"/>
      <c r="AP56" s="105"/>
      <c r="AQ56" s="105"/>
      <c r="AR56" s="105"/>
      <c r="AS56" s="105"/>
    </row>
    <row r="57" spans="1:45" s="137" customFormat="1">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7"/>
      <c r="Z57" s="236"/>
      <c r="AA57" s="236"/>
      <c r="AB57" s="236"/>
      <c r="AC57" s="236"/>
      <c r="AD57" s="236"/>
      <c r="AE57" s="105"/>
      <c r="AF57" s="105"/>
      <c r="AG57" s="105"/>
      <c r="AH57" s="105"/>
      <c r="AI57" s="105"/>
      <c r="AJ57" s="105"/>
      <c r="AK57" s="105"/>
      <c r="AL57" s="105"/>
      <c r="AM57" s="105"/>
      <c r="AN57" s="105"/>
      <c r="AO57" s="105"/>
      <c r="AP57" s="105"/>
      <c r="AQ57" s="105"/>
      <c r="AR57" s="105"/>
      <c r="AS57" s="105"/>
    </row>
    <row r="58" spans="1:45" s="137" customFormat="1">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7"/>
      <c r="Z58" s="236"/>
      <c r="AA58" s="236"/>
      <c r="AB58" s="236"/>
      <c r="AC58" s="236"/>
      <c r="AD58" s="236"/>
      <c r="AE58" s="105"/>
      <c r="AF58" s="105"/>
      <c r="AG58" s="105"/>
      <c r="AH58" s="105"/>
      <c r="AI58" s="105"/>
      <c r="AJ58" s="105"/>
      <c r="AK58" s="105"/>
      <c r="AL58" s="105"/>
      <c r="AM58" s="105"/>
      <c r="AN58" s="105"/>
      <c r="AO58" s="105"/>
      <c r="AP58" s="105"/>
      <c r="AQ58" s="105"/>
      <c r="AR58" s="105"/>
      <c r="AS58" s="105"/>
    </row>
    <row r="59" spans="1:45" s="137" customFormat="1">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7"/>
      <c r="Z59" s="236"/>
      <c r="AA59" s="236"/>
      <c r="AB59" s="236"/>
      <c r="AC59" s="236"/>
      <c r="AD59" s="236"/>
      <c r="AE59" s="105"/>
      <c r="AF59" s="105"/>
      <c r="AG59" s="105"/>
      <c r="AH59" s="105"/>
      <c r="AI59" s="105"/>
      <c r="AJ59" s="105"/>
      <c r="AK59" s="105"/>
      <c r="AL59" s="105"/>
      <c r="AM59" s="105"/>
      <c r="AN59" s="105"/>
      <c r="AO59" s="105"/>
      <c r="AP59" s="105"/>
      <c r="AQ59" s="105"/>
      <c r="AR59" s="105"/>
      <c r="AS59" s="105"/>
    </row>
    <row r="60" spans="1:45" s="137" customFormat="1">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7"/>
      <c r="Z60" s="236"/>
      <c r="AA60" s="236"/>
      <c r="AB60" s="236"/>
      <c r="AC60" s="236"/>
      <c r="AD60" s="236"/>
      <c r="AE60" s="105"/>
      <c r="AF60" s="105"/>
      <c r="AG60" s="105"/>
      <c r="AH60" s="105"/>
      <c r="AI60" s="105"/>
      <c r="AJ60" s="105"/>
      <c r="AK60" s="105"/>
      <c r="AL60" s="105"/>
      <c r="AM60" s="105"/>
      <c r="AN60" s="105"/>
      <c r="AO60" s="105"/>
      <c r="AP60" s="105"/>
      <c r="AQ60" s="105"/>
      <c r="AR60" s="105"/>
      <c r="AS60" s="105"/>
    </row>
    <row r="61" spans="1:45" s="137" customFormat="1">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7"/>
      <c r="Z61" s="236"/>
      <c r="AA61" s="236"/>
      <c r="AB61" s="236"/>
      <c r="AC61" s="236"/>
      <c r="AD61" s="236"/>
      <c r="AE61" s="105"/>
      <c r="AF61" s="105"/>
      <c r="AG61" s="105"/>
      <c r="AH61" s="105"/>
      <c r="AI61" s="105"/>
      <c r="AJ61" s="105"/>
      <c r="AK61" s="105"/>
      <c r="AL61" s="105"/>
      <c r="AM61" s="105"/>
      <c r="AN61" s="105"/>
      <c r="AO61" s="105"/>
      <c r="AP61" s="105"/>
      <c r="AQ61" s="105"/>
      <c r="AR61" s="105"/>
      <c r="AS61" s="105"/>
    </row>
    <row r="62" spans="1:45" s="137" customFormat="1">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7"/>
      <c r="Z62" s="236"/>
      <c r="AA62" s="236"/>
      <c r="AB62" s="236"/>
      <c r="AC62" s="236"/>
      <c r="AD62" s="236"/>
      <c r="AE62" s="105"/>
      <c r="AF62" s="105"/>
      <c r="AG62" s="105"/>
      <c r="AH62" s="105"/>
      <c r="AI62" s="105"/>
      <c r="AJ62" s="105"/>
      <c r="AK62" s="105"/>
      <c r="AL62" s="105"/>
      <c r="AM62" s="105"/>
      <c r="AN62" s="105"/>
      <c r="AO62" s="105"/>
      <c r="AP62" s="105"/>
      <c r="AQ62" s="105"/>
      <c r="AR62" s="105"/>
      <c r="AS62" s="105"/>
    </row>
    <row r="63" spans="1:45" s="137" customFormat="1">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7"/>
      <c r="Z63" s="236"/>
      <c r="AA63" s="236"/>
      <c r="AB63" s="236"/>
      <c r="AC63" s="236"/>
      <c r="AD63" s="236"/>
      <c r="AE63" s="105"/>
      <c r="AF63" s="105"/>
      <c r="AG63" s="105"/>
      <c r="AH63" s="105"/>
      <c r="AI63" s="105"/>
      <c r="AJ63" s="105"/>
      <c r="AK63" s="105"/>
      <c r="AL63" s="105"/>
      <c r="AM63" s="105"/>
      <c r="AN63" s="105"/>
      <c r="AO63" s="105"/>
      <c r="AP63" s="105"/>
      <c r="AQ63" s="105"/>
      <c r="AR63" s="105"/>
      <c r="AS63" s="105"/>
    </row>
    <row r="64" spans="1:45" s="137" customFormat="1">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7"/>
      <c r="Z64" s="236"/>
      <c r="AA64" s="236"/>
      <c r="AB64" s="236"/>
      <c r="AC64" s="236"/>
      <c r="AD64" s="236"/>
      <c r="AE64" s="105"/>
      <c r="AF64" s="105"/>
      <c r="AG64" s="105"/>
      <c r="AH64" s="105"/>
      <c r="AI64" s="105"/>
      <c r="AJ64" s="105"/>
      <c r="AK64" s="105"/>
      <c r="AL64" s="105"/>
      <c r="AM64" s="105"/>
      <c r="AN64" s="105"/>
      <c r="AO64" s="105"/>
      <c r="AP64" s="105"/>
      <c r="AQ64" s="105"/>
      <c r="AR64" s="105"/>
      <c r="AS64" s="105"/>
    </row>
    <row r="65" spans="1:45" s="137" customFormat="1">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7"/>
      <c r="Z65" s="236"/>
      <c r="AA65" s="236"/>
      <c r="AB65" s="236"/>
      <c r="AC65" s="236"/>
      <c r="AD65" s="236"/>
      <c r="AE65" s="105"/>
      <c r="AF65" s="105"/>
      <c r="AG65" s="105"/>
      <c r="AH65" s="105"/>
      <c r="AI65" s="105"/>
      <c r="AJ65" s="105"/>
      <c r="AK65" s="105"/>
      <c r="AL65" s="105"/>
      <c r="AM65" s="105"/>
      <c r="AN65" s="105"/>
      <c r="AO65" s="105"/>
      <c r="AP65" s="105"/>
      <c r="AQ65" s="105"/>
      <c r="AR65" s="105"/>
      <c r="AS65" s="105"/>
    </row>
    <row r="66" spans="1:45" s="137" customFormat="1">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7"/>
      <c r="Z66" s="236"/>
      <c r="AA66" s="236"/>
      <c r="AB66" s="236"/>
      <c r="AC66" s="236"/>
      <c r="AD66" s="236"/>
      <c r="AE66" s="105"/>
      <c r="AF66" s="105"/>
      <c r="AG66" s="105"/>
      <c r="AH66" s="105"/>
      <c r="AI66" s="105"/>
      <c r="AJ66" s="105"/>
      <c r="AK66" s="105"/>
      <c r="AL66" s="105"/>
      <c r="AM66" s="105"/>
      <c r="AN66" s="105"/>
      <c r="AO66" s="105"/>
      <c r="AP66" s="105"/>
      <c r="AQ66" s="105"/>
      <c r="AR66" s="105"/>
      <c r="AS66" s="105"/>
    </row>
    <row r="67" spans="1:45" s="137" customFormat="1">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7"/>
      <c r="Z67" s="236"/>
      <c r="AA67" s="236"/>
      <c r="AB67" s="236"/>
      <c r="AC67" s="236"/>
      <c r="AD67" s="236"/>
      <c r="AE67" s="105"/>
      <c r="AF67" s="105"/>
      <c r="AG67" s="105"/>
      <c r="AH67" s="105"/>
      <c r="AI67" s="105"/>
      <c r="AJ67" s="105"/>
      <c r="AK67" s="105"/>
      <c r="AL67" s="105"/>
      <c r="AM67" s="105"/>
      <c r="AN67" s="105"/>
      <c r="AO67" s="105"/>
      <c r="AP67" s="105"/>
      <c r="AQ67" s="105"/>
      <c r="AR67" s="105"/>
      <c r="AS67" s="105"/>
    </row>
    <row r="68" spans="1:45">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7"/>
      <c r="Z68" s="236"/>
      <c r="AA68" s="236"/>
      <c r="AB68" s="236"/>
      <c r="AC68" s="236"/>
      <c r="AD68" s="236"/>
      <c r="AE68" s="105"/>
      <c r="AF68" s="105"/>
      <c r="AG68" s="105"/>
      <c r="AH68" s="105"/>
      <c r="AI68" s="105"/>
      <c r="AJ68" s="105"/>
      <c r="AK68" s="105"/>
      <c r="AL68" s="105"/>
      <c r="AM68" s="105"/>
      <c r="AN68" s="105"/>
      <c r="AO68" s="105"/>
      <c r="AP68" s="105"/>
      <c r="AQ68" s="105"/>
      <c r="AR68" s="105"/>
      <c r="AS68" s="105"/>
    </row>
    <row r="69" spans="1:45">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7"/>
      <c r="Z69" s="236"/>
      <c r="AA69" s="236"/>
      <c r="AB69" s="236"/>
      <c r="AC69" s="236"/>
      <c r="AD69" s="236"/>
      <c r="AE69" s="105"/>
      <c r="AF69" s="105"/>
      <c r="AG69" s="105"/>
      <c r="AH69" s="105"/>
      <c r="AI69" s="105"/>
      <c r="AJ69" s="105"/>
      <c r="AK69" s="105"/>
      <c r="AL69" s="105"/>
      <c r="AM69" s="105"/>
      <c r="AN69" s="105"/>
      <c r="AO69" s="105"/>
      <c r="AP69" s="105"/>
      <c r="AQ69" s="105"/>
      <c r="AR69" s="105"/>
      <c r="AS69" s="105"/>
    </row>
    <row r="70" spans="1:45">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7"/>
      <c r="Z70" s="236"/>
      <c r="AA70" s="236"/>
      <c r="AB70" s="236"/>
      <c r="AC70" s="236"/>
      <c r="AD70" s="236"/>
      <c r="AE70" s="105"/>
      <c r="AF70" s="105"/>
      <c r="AG70" s="105"/>
      <c r="AH70" s="105"/>
      <c r="AI70" s="105"/>
      <c r="AJ70" s="105"/>
      <c r="AK70" s="105"/>
      <c r="AL70" s="105"/>
      <c r="AM70" s="105"/>
      <c r="AN70" s="105"/>
      <c r="AO70" s="105"/>
      <c r="AP70" s="105"/>
      <c r="AQ70" s="105"/>
      <c r="AR70" s="105"/>
      <c r="AS70" s="105"/>
    </row>
    <row r="71" spans="1:45">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7"/>
      <c r="Z71" s="236"/>
      <c r="AA71" s="236"/>
      <c r="AB71" s="236"/>
      <c r="AC71" s="236"/>
      <c r="AD71" s="236"/>
      <c r="AE71" s="105"/>
      <c r="AF71" s="105"/>
      <c r="AG71" s="105"/>
      <c r="AH71" s="105"/>
      <c r="AI71" s="105"/>
      <c r="AJ71" s="105"/>
      <c r="AK71" s="105"/>
      <c r="AL71" s="105"/>
      <c r="AM71" s="105"/>
      <c r="AN71" s="105"/>
      <c r="AO71" s="105"/>
      <c r="AP71" s="105"/>
      <c r="AQ71" s="105"/>
      <c r="AR71" s="105"/>
      <c r="AS71" s="105"/>
    </row>
    <row r="72" spans="1:45">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7"/>
      <c r="Z72" s="236"/>
      <c r="AA72" s="236"/>
      <c r="AB72" s="236"/>
      <c r="AC72" s="236"/>
      <c r="AD72" s="236"/>
      <c r="AE72" s="105"/>
      <c r="AF72" s="105"/>
      <c r="AG72" s="105"/>
      <c r="AH72" s="105"/>
      <c r="AI72" s="105"/>
      <c r="AJ72" s="105"/>
      <c r="AK72" s="105"/>
      <c r="AL72" s="105"/>
      <c r="AM72" s="105"/>
      <c r="AN72" s="105"/>
      <c r="AO72" s="105"/>
      <c r="AP72" s="105"/>
      <c r="AQ72" s="105"/>
      <c r="AR72" s="105"/>
      <c r="AS72" s="105"/>
    </row>
    <row r="73" spans="1:45">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7"/>
      <c r="Z73" s="236"/>
      <c r="AA73" s="236"/>
      <c r="AB73" s="236"/>
      <c r="AC73" s="236"/>
      <c r="AD73" s="236"/>
      <c r="AE73" s="105"/>
      <c r="AF73" s="105"/>
      <c r="AG73" s="105"/>
      <c r="AH73" s="105"/>
      <c r="AI73" s="105"/>
      <c r="AJ73" s="105"/>
      <c r="AK73" s="105"/>
      <c r="AL73" s="105"/>
      <c r="AM73" s="105"/>
      <c r="AN73" s="105"/>
      <c r="AO73" s="105"/>
      <c r="AP73" s="105"/>
      <c r="AQ73" s="105"/>
      <c r="AR73" s="105"/>
      <c r="AS73" s="105"/>
    </row>
    <row r="74" spans="1:45">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7"/>
      <c r="Z74" s="236"/>
      <c r="AA74" s="236"/>
      <c r="AB74" s="236"/>
      <c r="AC74" s="236"/>
      <c r="AD74" s="236"/>
      <c r="AE74" s="105"/>
      <c r="AF74" s="105"/>
      <c r="AG74" s="105"/>
      <c r="AH74" s="105"/>
      <c r="AI74" s="105"/>
      <c r="AJ74" s="105"/>
      <c r="AK74" s="105"/>
      <c r="AL74" s="105"/>
      <c r="AM74" s="105"/>
      <c r="AN74" s="105"/>
      <c r="AO74" s="105"/>
      <c r="AP74" s="105"/>
      <c r="AQ74" s="105"/>
      <c r="AR74" s="105"/>
      <c r="AS74" s="105"/>
    </row>
    <row r="75" spans="1:45">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7"/>
      <c r="Z75" s="236"/>
      <c r="AA75" s="236"/>
      <c r="AB75" s="236"/>
      <c r="AC75" s="236"/>
      <c r="AD75" s="236"/>
      <c r="AE75" s="105"/>
      <c r="AF75" s="105"/>
      <c r="AG75" s="105"/>
      <c r="AH75" s="105"/>
      <c r="AI75" s="105"/>
      <c r="AJ75" s="105"/>
      <c r="AK75" s="105"/>
      <c r="AL75" s="105"/>
      <c r="AM75" s="105"/>
      <c r="AN75" s="105"/>
      <c r="AO75" s="105"/>
      <c r="AP75" s="105"/>
      <c r="AQ75" s="105"/>
      <c r="AR75" s="105"/>
      <c r="AS75" s="105"/>
    </row>
    <row r="76" spans="1:45">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7"/>
      <c r="Z76" s="236"/>
      <c r="AA76" s="236"/>
      <c r="AB76" s="236"/>
      <c r="AC76" s="236"/>
      <c r="AD76" s="236"/>
      <c r="AE76" s="105"/>
      <c r="AF76" s="105"/>
      <c r="AG76" s="105"/>
      <c r="AH76" s="105"/>
      <c r="AI76" s="105"/>
      <c r="AJ76" s="105"/>
      <c r="AK76" s="105"/>
      <c r="AL76" s="105"/>
      <c r="AM76" s="105"/>
      <c r="AN76" s="105"/>
      <c r="AO76" s="105"/>
      <c r="AP76" s="105"/>
      <c r="AQ76" s="105"/>
      <c r="AR76" s="105"/>
      <c r="AS76" s="105"/>
    </row>
    <row r="77" spans="1:45">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7"/>
      <c r="Z77" s="236"/>
      <c r="AA77" s="236"/>
      <c r="AB77" s="236"/>
      <c r="AC77" s="236"/>
      <c r="AD77" s="236"/>
      <c r="AE77" s="105"/>
      <c r="AF77" s="105"/>
      <c r="AG77" s="105"/>
      <c r="AH77" s="105"/>
      <c r="AI77" s="105"/>
      <c r="AJ77" s="105"/>
      <c r="AK77" s="105"/>
      <c r="AL77" s="105"/>
      <c r="AM77" s="105"/>
      <c r="AN77" s="105"/>
      <c r="AO77" s="105"/>
      <c r="AP77" s="105"/>
      <c r="AQ77" s="105"/>
      <c r="AR77" s="105"/>
      <c r="AS77" s="105"/>
    </row>
    <row r="78" spans="1:45">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7"/>
      <c r="Z78" s="236"/>
      <c r="AA78" s="236"/>
      <c r="AB78" s="236"/>
      <c r="AC78" s="236"/>
      <c r="AD78" s="236"/>
      <c r="AE78" s="105"/>
      <c r="AF78" s="105"/>
      <c r="AG78" s="105"/>
      <c r="AH78" s="105"/>
      <c r="AI78" s="105"/>
      <c r="AJ78" s="105"/>
      <c r="AK78" s="105"/>
      <c r="AL78" s="105"/>
      <c r="AM78" s="105"/>
      <c r="AN78" s="105"/>
      <c r="AO78" s="105"/>
      <c r="AP78" s="105"/>
      <c r="AQ78" s="105"/>
      <c r="AR78" s="105"/>
      <c r="AS78" s="105"/>
    </row>
    <row r="79" spans="1:45">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7"/>
      <c r="Z79" s="236"/>
      <c r="AA79" s="236"/>
      <c r="AB79" s="236"/>
      <c r="AC79" s="236"/>
      <c r="AD79" s="236"/>
      <c r="AE79" s="105"/>
      <c r="AF79" s="105"/>
      <c r="AG79" s="105"/>
      <c r="AH79" s="105"/>
      <c r="AI79" s="105"/>
      <c r="AJ79" s="105"/>
      <c r="AK79" s="105"/>
      <c r="AL79" s="105"/>
      <c r="AM79" s="105"/>
      <c r="AN79" s="105"/>
      <c r="AO79" s="105"/>
      <c r="AP79" s="105"/>
      <c r="AQ79" s="105"/>
      <c r="AR79" s="105"/>
      <c r="AS79" s="105"/>
    </row>
    <row r="80" spans="1:45">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7"/>
      <c r="Z80" s="236"/>
      <c r="AA80" s="236"/>
      <c r="AB80" s="236"/>
      <c r="AC80" s="236"/>
      <c r="AD80" s="236"/>
      <c r="AE80" s="105"/>
      <c r="AF80" s="105"/>
      <c r="AG80" s="105"/>
      <c r="AH80" s="105"/>
      <c r="AI80" s="105"/>
      <c r="AJ80" s="105"/>
      <c r="AK80" s="105"/>
      <c r="AL80" s="105"/>
      <c r="AM80" s="105"/>
      <c r="AN80" s="105"/>
      <c r="AO80" s="105"/>
      <c r="AP80" s="105"/>
      <c r="AQ80" s="105"/>
      <c r="AR80" s="105"/>
      <c r="AS80" s="105"/>
    </row>
    <row r="81" spans="1:45">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7"/>
      <c r="Z81" s="236"/>
      <c r="AA81" s="236"/>
      <c r="AB81" s="236"/>
      <c r="AC81" s="236"/>
      <c r="AD81" s="236"/>
      <c r="AE81" s="105"/>
      <c r="AF81" s="105"/>
      <c r="AG81" s="105"/>
      <c r="AH81" s="105"/>
      <c r="AI81" s="105"/>
      <c r="AJ81" s="105"/>
      <c r="AK81" s="105"/>
      <c r="AL81" s="105"/>
      <c r="AM81" s="105"/>
      <c r="AN81" s="105"/>
      <c r="AO81" s="105"/>
      <c r="AP81" s="105"/>
      <c r="AQ81" s="105"/>
      <c r="AR81" s="105"/>
      <c r="AS81" s="105"/>
    </row>
    <row r="82" spans="1:45">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7"/>
      <c r="Z82" s="236"/>
      <c r="AA82" s="236"/>
      <c r="AB82" s="236"/>
      <c r="AC82" s="236"/>
      <c r="AD82" s="236"/>
      <c r="AE82" s="105"/>
      <c r="AF82" s="105"/>
      <c r="AG82" s="105"/>
      <c r="AH82" s="105"/>
      <c r="AI82" s="105"/>
      <c r="AJ82" s="105"/>
      <c r="AK82" s="105"/>
      <c r="AL82" s="105"/>
      <c r="AM82" s="105"/>
      <c r="AN82" s="105"/>
      <c r="AO82" s="105"/>
      <c r="AP82" s="105"/>
      <c r="AQ82" s="105"/>
      <c r="AR82" s="105"/>
      <c r="AS82" s="105"/>
    </row>
    <row r="83" spans="1:45">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6"/>
      <c r="Y83" s="237"/>
      <c r="Z83" s="236"/>
      <c r="AA83" s="236"/>
      <c r="AB83" s="236"/>
      <c r="AC83" s="236"/>
      <c r="AD83" s="236"/>
      <c r="AE83" s="105"/>
      <c r="AF83" s="105"/>
      <c r="AG83" s="105"/>
      <c r="AH83" s="105"/>
      <c r="AI83" s="105"/>
      <c r="AJ83" s="105"/>
      <c r="AK83" s="105"/>
      <c r="AL83" s="105"/>
      <c r="AM83" s="105"/>
      <c r="AN83" s="105"/>
      <c r="AO83" s="105"/>
      <c r="AP83" s="105"/>
      <c r="AQ83" s="105"/>
      <c r="AR83" s="105"/>
      <c r="AS83" s="105"/>
    </row>
    <row r="84" spans="1:45">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6"/>
      <c r="Y84" s="237"/>
      <c r="Z84" s="236"/>
      <c r="AA84" s="236"/>
      <c r="AB84" s="236"/>
      <c r="AC84" s="236"/>
      <c r="AD84" s="236"/>
      <c r="AE84" s="105"/>
      <c r="AF84" s="105"/>
      <c r="AG84" s="105"/>
      <c r="AH84" s="105"/>
      <c r="AI84" s="105"/>
      <c r="AJ84" s="105"/>
      <c r="AK84" s="105"/>
      <c r="AL84" s="105"/>
      <c r="AM84" s="105"/>
      <c r="AN84" s="105"/>
      <c r="AO84" s="105"/>
      <c r="AP84" s="105"/>
      <c r="AQ84" s="105"/>
      <c r="AR84" s="105"/>
      <c r="AS84" s="105"/>
    </row>
    <row r="85" spans="1:45">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6"/>
      <c r="Y85" s="237"/>
      <c r="Z85" s="236"/>
      <c r="AA85" s="236"/>
      <c r="AB85" s="236"/>
      <c r="AC85" s="236"/>
      <c r="AD85" s="236"/>
      <c r="AE85" s="105"/>
      <c r="AF85" s="105"/>
      <c r="AG85" s="105"/>
      <c r="AH85" s="105"/>
      <c r="AI85" s="105"/>
      <c r="AJ85" s="105"/>
      <c r="AK85" s="105"/>
      <c r="AL85" s="105"/>
      <c r="AM85" s="105"/>
      <c r="AN85" s="105"/>
      <c r="AO85" s="105"/>
      <c r="AP85" s="105"/>
      <c r="AQ85" s="105"/>
      <c r="AR85" s="105"/>
      <c r="AS85" s="105"/>
    </row>
    <row r="86" spans="1:45">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6"/>
      <c r="Y86" s="237"/>
      <c r="Z86" s="236"/>
      <c r="AA86" s="236"/>
      <c r="AB86" s="236"/>
      <c r="AC86" s="236"/>
      <c r="AD86" s="236"/>
      <c r="AE86" s="105"/>
      <c r="AF86" s="105"/>
      <c r="AG86" s="105"/>
      <c r="AH86" s="105"/>
      <c r="AI86" s="105"/>
      <c r="AJ86" s="105"/>
      <c r="AK86" s="105"/>
      <c r="AL86" s="105"/>
      <c r="AM86" s="105"/>
      <c r="AN86" s="105"/>
      <c r="AO86" s="105"/>
      <c r="AP86" s="105"/>
      <c r="AQ86" s="105"/>
      <c r="AR86" s="105"/>
      <c r="AS86" s="105"/>
    </row>
    <row r="87" spans="1:45">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6"/>
      <c r="Y87" s="237"/>
      <c r="Z87" s="236"/>
      <c r="AA87" s="236"/>
      <c r="AB87" s="236"/>
      <c r="AC87" s="236"/>
      <c r="AD87" s="236"/>
      <c r="AE87" s="105"/>
      <c r="AF87" s="105"/>
      <c r="AG87" s="105"/>
      <c r="AH87" s="105"/>
      <c r="AI87" s="105"/>
      <c r="AJ87" s="105"/>
      <c r="AK87" s="105"/>
      <c r="AL87" s="105"/>
      <c r="AM87" s="105"/>
      <c r="AN87" s="105"/>
      <c r="AO87" s="105"/>
      <c r="AP87" s="105"/>
      <c r="AQ87" s="105"/>
      <c r="AR87" s="105"/>
      <c r="AS87" s="105"/>
    </row>
    <row r="88" spans="1:45">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6"/>
      <c r="Y88" s="237"/>
      <c r="Z88" s="236"/>
      <c r="AA88" s="236"/>
      <c r="AB88" s="236"/>
      <c r="AC88" s="236"/>
      <c r="AD88" s="236"/>
      <c r="AE88" s="105"/>
      <c r="AF88" s="105"/>
      <c r="AG88" s="105"/>
      <c r="AH88" s="105"/>
      <c r="AI88" s="105"/>
      <c r="AJ88" s="105"/>
      <c r="AK88" s="105"/>
      <c r="AL88" s="105"/>
      <c r="AM88" s="105"/>
      <c r="AN88" s="105"/>
      <c r="AO88" s="105"/>
      <c r="AP88" s="105"/>
      <c r="AQ88" s="105"/>
      <c r="AR88" s="105"/>
      <c r="AS88" s="105"/>
    </row>
    <row r="89" spans="1:45">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7"/>
      <c r="Z89" s="236"/>
      <c r="AA89" s="236"/>
      <c r="AB89" s="236"/>
      <c r="AC89" s="236"/>
      <c r="AD89" s="236"/>
      <c r="AE89" s="105"/>
      <c r="AF89" s="105"/>
      <c r="AG89" s="105"/>
      <c r="AH89" s="105"/>
      <c r="AI89" s="105"/>
      <c r="AJ89" s="105"/>
      <c r="AK89" s="105"/>
      <c r="AL89" s="105"/>
      <c r="AM89" s="105"/>
      <c r="AN89" s="105"/>
      <c r="AO89" s="105"/>
      <c r="AP89" s="105"/>
      <c r="AQ89" s="105"/>
      <c r="AR89" s="105"/>
      <c r="AS89" s="105"/>
    </row>
    <row r="90" spans="1:45">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6"/>
      <c r="Y90" s="237"/>
      <c r="Z90" s="236"/>
      <c r="AA90" s="236"/>
      <c r="AB90" s="236"/>
      <c r="AC90" s="236"/>
      <c r="AD90" s="236"/>
      <c r="AE90" s="105"/>
      <c r="AF90" s="105"/>
      <c r="AG90" s="105"/>
      <c r="AH90" s="105"/>
      <c r="AI90" s="105"/>
      <c r="AJ90" s="105"/>
      <c r="AK90" s="105"/>
      <c r="AL90" s="105"/>
      <c r="AM90" s="105"/>
      <c r="AN90" s="105"/>
      <c r="AO90" s="105"/>
      <c r="AP90" s="105"/>
      <c r="AQ90" s="105"/>
      <c r="AR90" s="105"/>
      <c r="AS90" s="105"/>
    </row>
    <row r="91" spans="1:45">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6"/>
      <c r="Y91" s="237"/>
      <c r="Z91" s="236"/>
      <c r="AA91" s="236"/>
      <c r="AB91" s="236"/>
      <c r="AC91" s="236"/>
      <c r="AD91" s="236"/>
      <c r="AE91" s="105"/>
      <c r="AF91" s="105"/>
      <c r="AG91" s="105"/>
      <c r="AH91" s="105"/>
      <c r="AI91" s="105"/>
      <c r="AJ91" s="105"/>
      <c r="AK91" s="105"/>
      <c r="AL91" s="105"/>
      <c r="AM91" s="105"/>
      <c r="AN91" s="105"/>
      <c r="AO91" s="105"/>
      <c r="AP91" s="105"/>
      <c r="AQ91" s="105"/>
      <c r="AR91" s="105"/>
      <c r="AS91" s="105"/>
    </row>
    <row r="92" spans="1:45">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6"/>
      <c r="Y92" s="237"/>
      <c r="Z92" s="236"/>
      <c r="AA92" s="236"/>
      <c r="AB92" s="236"/>
      <c r="AC92" s="236"/>
      <c r="AD92" s="236"/>
      <c r="AE92" s="105"/>
      <c r="AF92" s="105"/>
      <c r="AG92" s="105"/>
      <c r="AH92" s="105"/>
      <c r="AI92" s="105"/>
      <c r="AJ92" s="105"/>
      <c r="AK92" s="105"/>
      <c r="AL92" s="105"/>
      <c r="AM92" s="105"/>
      <c r="AN92" s="105"/>
      <c r="AO92" s="105"/>
      <c r="AP92" s="105"/>
      <c r="AQ92" s="105"/>
      <c r="AR92" s="105"/>
      <c r="AS92" s="105"/>
    </row>
    <row r="93" spans="1:45">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6"/>
      <c r="Y93" s="237"/>
      <c r="Z93" s="236"/>
      <c r="AA93" s="236"/>
      <c r="AB93" s="236"/>
      <c r="AC93" s="236"/>
      <c r="AD93" s="236"/>
      <c r="AE93" s="105"/>
      <c r="AF93" s="105"/>
      <c r="AG93" s="105"/>
      <c r="AH93" s="105"/>
      <c r="AI93" s="105"/>
      <c r="AJ93" s="105"/>
      <c r="AK93" s="105"/>
      <c r="AL93" s="105"/>
      <c r="AM93" s="105"/>
      <c r="AN93" s="105"/>
      <c r="AO93" s="105"/>
      <c r="AP93" s="105"/>
      <c r="AQ93" s="105"/>
      <c r="AR93" s="105"/>
      <c r="AS93" s="105"/>
    </row>
    <row r="94" spans="1:45">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7"/>
      <c r="Z94" s="236"/>
      <c r="AA94" s="236"/>
      <c r="AB94" s="236"/>
      <c r="AC94" s="236"/>
      <c r="AD94" s="236"/>
      <c r="AE94" s="105"/>
      <c r="AF94" s="105"/>
      <c r="AG94" s="105"/>
      <c r="AH94" s="105"/>
      <c r="AI94" s="105"/>
      <c r="AJ94" s="105"/>
      <c r="AK94" s="105"/>
      <c r="AL94" s="105"/>
      <c r="AM94" s="105"/>
      <c r="AN94" s="105"/>
      <c r="AO94" s="105"/>
      <c r="AP94" s="105"/>
      <c r="AQ94" s="105"/>
      <c r="AR94" s="105"/>
      <c r="AS94" s="105"/>
    </row>
    <row r="95" spans="1:45">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6"/>
      <c r="Y95" s="237"/>
      <c r="Z95" s="236"/>
      <c r="AA95" s="236"/>
      <c r="AB95" s="236"/>
      <c r="AC95" s="236"/>
      <c r="AD95" s="236"/>
      <c r="AE95" s="105"/>
      <c r="AF95" s="105"/>
      <c r="AG95" s="105"/>
      <c r="AH95" s="105"/>
      <c r="AI95" s="105"/>
      <c r="AJ95" s="105"/>
      <c r="AK95" s="105"/>
      <c r="AL95" s="105"/>
      <c r="AM95" s="105"/>
      <c r="AN95" s="105"/>
      <c r="AO95" s="105"/>
      <c r="AP95" s="105"/>
      <c r="AQ95" s="105"/>
      <c r="AR95" s="105"/>
      <c r="AS95" s="105"/>
    </row>
    <row r="96" spans="1:45">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6"/>
      <c r="Y96" s="237"/>
      <c r="Z96" s="236"/>
      <c r="AA96" s="236"/>
      <c r="AB96" s="236"/>
      <c r="AC96" s="236"/>
      <c r="AD96" s="236"/>
      <c r="AE96" s="105"/>
      <c r="AF96" s="105"/>
      <c r="AG96" s="105"/>
      <c r="AH96" s="105"/>
      <c r="AI96" s="105"/>
      <c r="AJ96" s="105"/>
      <c r="AK96" s="105"/>
      <c r="AL96" s="105"/>
      <c r="AM96" s="105"/>
      <c r="AN96" s="105"/>
      <c r="AO96" s="105"/>
      <c r="AP96" s="105"/>
      <c r="AQ96" s="105"/>
      <c r="AR96" s="105"/>
      <c r="AS96" s="105"/>
    </row>
    <row r="97" spans="1:45">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6"/>
      <c r="Y97" s="237"/>
      <c r="Z97" s="236"/>
      <c r="AA97" s="236"/>
      <c r="AB97" s="236"/>
      <c r="AC97" s="236"/>
      <c r="AD97" s="236"/>
      <c r="AE97" s="105"/>
      <c r="AF97" s="105"/>
      <c r="AG97" s="105"/>
      <c r="AH97" s="105"/>
      <c r="AI97" s="105"/>
      <c r="AJ97" s="105"/>
      <c r="AK97" s="105"/>
      <c r="AL97" s="105"/>
      <c r="AM97" s="105"/>
      <c r="AN97" s="105"/>
      <c r="AO97" s="105"/>
      <c r="AP97" s="105"/>
      <c r="AQ97" s="105"/>
      <c r="AR97" s="105"/>
      <c r="AS97" s="105"/>
    </row>
    <row r="98" spans="1:45">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6"/>
      <c r="Y98" s="237"/>
      <c r="Z98" s="236"/>
      <c r="AA98" s="236"/>
      <c r="AB98" s="236"/>
      <c r="AC98" s="236"/>
      <c r="AD98" s="236"/>
      <c r="AE98" s="105"/>
      <c r="AF98" s="105"/>
      <c r="AG98" s="105"/>
      <c r="AH98" s="105"/>
      <c r="AI98" s="105"/>
      <c r="AJ98" s="105"/>
      <c r="AK98" s="105"/>
      <c r="AL98" s="105"/>
      <c r="AM98" s="105"/>
      <c r="AN98" s="105"/>
      <c r="AO98" s="105"/>
      <c r="AP98" s="105"/>
      <c r="AQ98" s="105"/>
      <c r="AR98" s="105"/>
      <c r="AS98" s="105"/>
    </row>
    <row r="99" spans="1:45">
      <c r="A99" s="236"/>
      <c r="B99" s="236"/>
      <c r="C99" s="236"/>
      <c r="D99" s="236"/>
      <c r="E99" s="236"/>
      <c r="F99" s="236"/>
      <c r="G99" s="236"/>
      <c r="H99" s="236"/>
      <c r="I99" s="236"/>
      <c r="J99" s="236"/>
      <c r="K99" s="236"/>
      <c r="L99" s="236"/>
      <c r="M99" s="236"/>
      <c r="N99" s="236"/>
      <c r="O99" s="236"/>
      <c r="P99" s="236"/>
      <c r="Q99" s="236"/>
      <c r="S99" s="236"/>
      <c r="T99" s="236"/>
      <c r="U99" s="236"/>
      <c r="V99" s="236"/>
      <c r="W99" s="236"/>
      <c r="X99" s="236"/>
      <c r="Y99" s="237"/>
      <c r="Z99" s="236"/>
      <c r="AA99" s="236"/>
      <c r="AB99" s="236"/>
      <c r="AC99" s="236"/>
      <c r="AD99" s="236"/>
      <c r="AE99" s="105"/>
      <c r="AF99" s="105"/>
      <c r="AG99" s="105"/>
      <c r="AH99" s="105"/>
      <c r="AI99" s="105"/>
      <c r="AJ99" s="105"/>
      <c r="AK99" s="105"/>
      <c r="AL99" s="105"/>
      <c r="AM99" s="105"/>
      <c r="AN99" s="105"/>
      <c r="AO99" s="105"/>
      <c r="AP99" s="105"/>
      <c r="AQ99" s="105"/>
      <c r="AR99" s="105"/>
      <c r="AS99" s="105"/>
    </row>
    <row r="100" spans="1:45">
      <c r="A100" s="236"/>
      <c r="B100" s="236"/>
      <c r="C100" s="236"/>
      <c r="D100" s="236"/>
      <c r="E100" s="236"/>
      <c r="F100" s="236"/>
      <c r="G100" s="236"/>
      <c r="H100" s="236"/>
      <c r="I100" s="236"/>
      <c r="J100" s="236"/>
      <c r="K100" s="236"/>
      <c r="L100" s="236"/>
      <c r="M100" s="236"/>
      <c r="N100" s="236"/>
      <c r="O100" s="236"/>
      <c r="P100" s="236"/>
      <c r="Q100" s="236"/>
      <c r="S100" s="236"/>
      <c r="T100" s="236"/>
      <c r="U100" s="236"/>
      <c r="V100" s="236"/>
      <c r="W100" s="236"/>
      <c r="X100" s="236"/>
      <c r="Y100" s="237"/>
      <c r="Z100" s="236"/>
      <c r="AA100" s="236"/>
      <c r="AB100" s="236"/>
      <c r="AC100" s="236"/>
      <c r="AD100" s="236"/>
      <c r="AE100" s="105"/>
      <c r="AF100" s="105"/>
      <c r="AG100" s="105"/>
      <c r="AH100" s="105"/>
      <c r="AI100" s="105"/>
      <c r="AJ100" s="105"/>
      <c r="AK100" s="105"/>
      <c r="AL100" s="105"/>
      <c r="AM100" s="105"/>
      <c r="AN100" s="105"/>
      <c r="AO100" s="105"/>
      <c r="AP100" s="105"/>
      <c r="AQ100" s="105"/>
      <c r="AR100" s="105"/>
      <c r="AS100" s="105"/>
    </row>
  </sheetData>
  <sheetProtection algorithmName="SHA-512" hashValue="hmeeIc7INwhjDy9LZHuvzKa1bOscQMxssg1rBU/6NHXHOnPgzUOUug7be9iWTNJ+zcpf9817nxu81pL/6YDbMg==" saltValue="cR5Rk/c05BNQ1dV7J98vSg==" spinCount="100000" sheet="1" objects="1" scenarios="1" selectLockedCells="1" selectUnlockedCells="1"/>
  <mergeCells count="124">
    <mergeCell ref="A8:E8"/>
    <mergeCell ref="A11:O12"/>
    <mergeCell ref="A1:R4"/>
    <mergeCell ref="A5:E5"/>
    <mergeCell ref="A6:E6"/>
    <mergeCell ref="A7:E7"/>
    <mergeCell ref="A16:F16"/>
    <mergeCell ref="F18:G18"/>
    <mergeCell ref="F19:G19"/>
    <mergeCell ref="F17:G17"/>
    <mergeCell ref="A23:E23"/>
    <mergeCell ref="F23:G23"/>
    <mergeCell ref="A24:E24"/>
    <mergeCell ref="F24:G24"/>
    <mergeCell ref="A25:E25"/>
    <mergeCell ref="F25:G25"/>
    <mergeCell ref="A15:G15"/>
    <mergeCell ref="A21:E21"/>
    <mergeCell ref="F21:G21"/>
    <mergeCell ref="F22:G22"/>
    <mergeCell ref="B38:Q38"/>
    <mergeCell ref="B39:Q40"/>
    <mergeCell ref="N32:O32"/>
    <mergeCell ref="S33:T33"/>
    <mergeCell ref="B34:Q35"/>
    <mergeCell ref="B36:Q36"/>
    <mergeCell ref="B37:Q37"/>
    <mergeCell ref="A26:E26"/>
    <mergeCell ref="F26:G26"/>
    <mergeCell ref="C29:G29"/>
    <mergeCell ref="A30:J30"/>
    <mergeCell ref="S30:T30"/>
    <mergeCell ref="AM4:AO4"/>
    <mergeCell ref="AP4:AR4"/>
    <mergeCell ref="AS4:AU4"/>
    <mergeCell ref="AV4:AX4"/>
    <mergeCell ref="AY4:BA4"/>
    <mergeCell ref="BB4:BD4"/>
    <mergeCell ref="T3:Z3"/>
    <mergeCell ref="AA3:BD3"/>
    <mergeCell ref="AA4:AC4"/>
    <mergeCell ref="AD4:AF4"/>
    <mergeCell ref="AG4:AI4"/>
    <mergeCell ref="AJ4:AL4"/>
    <mergeCell ref="BB5:BD5"/>
    <mergeCell ref="AA6:AC6"/>
    <mergeCell ref="AD6:AF6"/>
    <mergeCell ref="AG6:AI6"/>
    <mergeCell ref="AJ6:AL6"/>
    <mergeCell ref="AM6:AO6"/>
    <mergeCell ref="AP6:AR6"/>
    <mergeCell ref="AS6:AU6"/>
    <mergeCell ref="AV6:AX6"/>
    <mergeCell ref="AY6:BA6"/>
    <mergeCell ref="AJ5:AL5"/>
    <mergeCell ref="AM5:AO5"/>
    <mergeCell ref="AP5:AR5"/>
    <mergeCell ref="AS5:AU5"/>
    <mergeCell ref="AV5:AX5"/>
    <mergeCell ref="AY5:BA5"/>
    <mergeCell ref="AA5:AC5"/>
    <mergeCell ref="AD5:AF5"/>
    <mergeCell ref="AG5:AI5"/>
    <mergeCell ref="BB6:BD6"/>
    <mergeCell ref="BB7:BD7"/>
    <mergeCell ref="AA8:AC8"/>
    <mergeCell ref="AD8:AF8"/>
    <mergeCell ref="AG8:AI8"/>
    <mergeCell ref="AJ8:AL8"/>
    <mergeCell ref="AM8:AO8"/>
    <mergeCell ref="AP8:AR8"/>
    <mergeCell ref="AS8:AU8"/>
    <mergeCell ref="AV8:AX8"/>
    <mergeCell ref="AY8:BA8"/>
    <mergeCell ref="BB8:BD8"/>
    <mergeCell ref="AA7:AC7"/>
    <mergeCell ref="AD7:AF7"/>
    <mergeCell ref="AG7:AI7"/>
    <mergeCell ref="AJ7:AL7"/>
    <mergeCell ref="AM7:AO7"/>
    <mergeCell ref="AP7:AR7"/>
    <mergeCell ref="AS7:AU7"/>
    <mergeCell ref="AV7:AX7"/>
    <mergeCell ref="AY7:BA7"/>
    <mergeCell ref="AA9:AC9"/>
    <mergeCell ref="AD9:AF9"/>
    <mergeCell ref="AG9:AI9"/>
    <mergeCell ref="AJ9:AL9"/>
    <mergeCell ref="AM9:AO9"/>
    <mergeCell ref="AP9:AR9"/>
    <mergeCell ref="AS9:AU9"/>
    <mergeCell ref="AV9:AX9"/>
    <mergeCell ref="AS10:AU10"/>
    <mergeCell ref="AV10:AX10"/>
    <mergeCell ref="AA11:AC11"/>
    <mergeCell ref="AD11:AF11"/>
    <mergeCell ref="AG11:AI11"/>
    <mergeCell ref="AJ11:AL11"/>
    <mergeCell ref="AM11:AO11"/>
    <mergeCell ref="AP11:AR11"/>
    <mergeCell ref="AS11:AU11"/>
    <mergeCell ref="AV11:AX11"/>
    <mergeCell ref="AA10:AC10"/>
    <mergeCell ref="AD10:AF10"/>
    <mergeCell ref="AG10:AI10"/>
    <mergeCell ref="AJ10:AL10"/>
    <mergeCell ref="AM10:AO10"/>
    <mergeCell ref="AP10:AR10"/>
    <mergeCell ref="AS12:AU12"/>
    <mergeCell ref="AV12:AX12"/>
    <mergeCell ref="AA13:AC13"/>
    <mergeCell ref="AD13:AF13"/>
    <mergeCell ref="AG13:AI13"/>
    <mergeCell ref="AJ13:AL13"/>
    <mergeCell ref="AM13:AO13"/>
    <mergeCell ref="AP13:AR13"/>
    <mergeCell ref="AS13:AU13"/>
    <mergeCell ref="AV13:AX13"/>
    <mergeCell ref="AA12:AC12"/>
    <mergeCell ref="AD12:AF12"/>
    <mergeCell ref="AG12:AI12"/>
    <mergeCell ref="AJ12:AL12"/>
    <mergeCell ref="AM12:AO12"/>
    <mergeCell ref="AP12:AR12"/>
  </mergeCells>
  <conditionalFormatting sqref="S28:S40 W28:X40 N32:N33">
    <cfRule type="expression" dxfId="50" priority="1" stopIfTrue="1">
      <formula>N28=0</formula>
    </cfRule>
  </conditionalFormatting>
  <pageMargins left="0.74803149606299213" right="0.19685039370078741" top="0.39370078740157483" bottom="0.39370078740157483" header="0.19685039370078741" footer="0.19685039370078741"/>
  <pageSetup paperSize="9" scale="76"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9FBAF-C468-4CB7-B32A-A405BBB124D3}">
  <sheetPr>
    <tabColor theme="3"/>
    <pageSetUpPr fitToPage="1"/>
  </sheetPr>
  <dimension ref="A1:CL102"/>
  <sheetViews>
    <sheetView showGridLines="0" view="pageBreakPreview" zoomScaleNormal="100" zoomScaleSheetLayoutView="100" workbookViewId="0">
      <selection sqref="A1:AG4"/>
    </sheetView>
  </sheetViews>
  <sheetFormatPr defaultColWidth="9.28515625" defaultRowHeight="15"/>
  <cols>
    <col min="1" max="13" width="3.7109375" style="290" customWidth="1"/>
    <col min="14" max="14" width="4.7109375" style="290" customWidth="1"/>
    <col min="15" max="15" width="6.42578125" style="290" customWidth="1"/>
    <col min="16" max="19" width="3.7109375" style="290" customWidth="1"/>
    <col min="20" max="20" width="9" style="290" bestFit="1" customWidth="1"/>
    <col min="21" max="21" width="6.7109375" style="290" customWidth="1"/>
    <col min="22" max="22" width="5.28515625" style="290" customWidth="1"/>
    <col min="23" max="23" width="3.7109375" style="290" customWidth="1"/>
    <col min="24" max="24" width="6.42578125" style="290" customWidth="1"/>
    <col min="25" max="33" width="3.7109375" style="290" customWidth="1"/>
    <col min="34" max="34" width="9.28515625" style="247"/>
    <col min="35" max="46" width="8.7109375" style="247" customWidth="1"/>
    <col min="47" max="53" width="9.28515625" style="247"/>
    <col min="54" max="55" width="9.28515625" style="285"/>
    <col min="56" max="16384" width="9.28515625" style="247"/>
  </cols>
  <sheetData>
    <row r="1" spans="1:90"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8"/>
      <c r="AH1" s="238"/>
      <c r="AI1" s="238"/>
      <c r="AJ1" s="238"/>
      <c r="AK1" s="238"/>
      <c r="AL1" s="238"/>
      <c r="AM1" s="238"/>
      <c r="AN1" s="238"/>
      <c r="AO1" s="238"/>
      <c r="AP1" s="238"/>
      <c r="AQ1" s="238"/>
      <c r="AR1" s="238"/>
      <c r="AS1" s="238"/>
      <c r="AT1" s="238"/>
      <c r="AU1" s="238"/>
      <c r="AV1" s="238"/>
      <c r="AW1" s="238"/>
      <c r="AX1" s="238"/>
      <c r="AY1" s="238"/>
      <c r="AZ1" s="238"/>
      <c r="BA1" s="238"/>
      <c r="BB1" s="239"/>
      <c r="BC1" s="239"/>
      <c r="BD1" s="238"/>
      <c r="BE1" s="238"/>
      <c r="BF1" s="238"/>
      <c r="BG1" s="238"/>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row>
    <row r="2" spans="1:90"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1"/>
      <c r="AH2" s="238"/>
      <c r="AI2" s="238"/>
      <c r="AJ2" s="238"/>
      <c r="AK2" s="238"/>
      <c r="AL2" s="238"/>
      <c r="AM2" s="238"/>
      <c r="AN2" s="238"/>
      <c r="AO2" s="238"/>
      <c r="AP2" s="238"/>
      <c r="AQ2" s="238"/>
      <c r="AR2" s="238"/>
      <c r="AS2" s="238"/>
      <c r="AT2" s="238"/>
      <c r="AU2" s="238"/>
      <c r="AV2" s="238"/>
      <c r="AW2" s="238"/>
      <c r="AX2" s="238"/>
      <c r="AY2" s="238"/>
      <c r="AZ2" s="238"/>
      <c r="BA2" s="238"/>
      <c r="BB2" s="239"/>
      <c r="BC2" s="239"/>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row>
    <row r="3" spans="1:90"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1"/>
      <c r="AH3" s="238"/>
      <c r="AI3" s="238"/>
      <c r="AJ3" s="238"/>
      <c r="AK3" s="238"/>
      <c r="AL3" s="238"/>
      <c r="AM3" s="238"/>
      <c r="AN3" s="238"/>
      <c r="AO3" s="238"/>
      <c r="AP3" s="238"/>
      <c r="AQ3" s="238"/>
      <c r="AR3" s="238"/>
      <c r="AS3" s="238"/>
      <c r="AT3" s="238"/>
      <c r="AU3" s="238"/>
      <c r="AV3" s="238"/>
      <c r="AW3" s="238"/>
      <c r="AX3" s="238"/>
      <c r="AY3" s="238"/>
      <c r="AZ3" s="238"/>
      <c r="BA3" s="238"/>
      <c r="BB3" s="239"/>
      <c r="BC3" s="239"/>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row>
    <row r="4" spans="1:90"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4"/>
      <c r="AH4" s="238"/>
      <c r="AI4" s="241"/>
      <c r="AJ4" s="241"/>
      <c r="AK4" s="241"/>
      <c r="AL4" s="242" t="s">
        <v>576</v>
      </c>
      <c r="AM4" s="242" t="s">
        <v>577</v>
      </c>
      <c r="AN4" s="242" t="s">
        <v>578</v>
      </c>
      <c r="AO4" s="241"/>
      <c r="AP4" s="241"/>
      <c r="AQ4" s="241"/>
      <c r="AR4" s="241"/>
      <c r="AS4" s="241"/>
      <c r="AT4" s="238"/>
      <c r="AU4" s="238"/>
      <c r="AV4" s="238"/>
      <c r="AW4" s="238"/>
      <c r="AX4" s="238"/>
      <c r="AY4" s="238"/>
      <c r="AZ4" s="238"/>
      <c r="BA4" s="238"/>
      <c r="BB4" s="239"/>
      <c r="BC4" s="239"/>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row>
    <row r="5" spans="1:90" ht="15" customHeight="1">
      <c r="A5" s="875" t="s">
        <v>22</v>
      </c>
      <c r="B5" s="876"/>
      <c r="C5" s="876"/>
      <c r="D5" s="876"/>
      <c r="E5" s="876"/>
      <c r="F5" s="876"/>
      <c r="G5" s="876"/>
      <c r="H5" s="27" t="str">
        <f>'Emiss. Ops'!$C$2</f>
        <v>OMVP</v>
      </c>
      <c r="I5" s="27"/>
      <c r="J5" s="27"/>
      <c r="K5" s="27"/>
      <c r="L5" s="27"/>
      <c r="M5" s="27"/>
      <c r="N5" s="27"/>
      <c r="O5" s="27"/>
      <c r="P5" s="27"/>
      <c r="Q5" s="27"/>
      <c r="R5" s="27"/>
      <c r="S5" s="27"/>
      <c r="T5" s="27"/>
      <c r="U5" s="876" t="s">
        <v>23</v>
      </c>
      <c r="V5" s="876"/>
      <c r="W5" s="876"/>
      <c r="X5" s="876"/>
      <c r="Y5" s="877" t="str">
        <f>Effluents!$K$2</f>
        <v>PRJ-001030</v>
      </c>
      <c r="Z5" s="877"/>
      <c r="AA5" s="877"/>
      <c r="AB5" s="877"/>
      <c r="AC5" s="877"/>
      <c r="AD5" s="877"/>
      <c r="AE5" s="877"/>
      <c r="AF5" s="877"/>
      <c r="AG5" s="878"/>
      <c r="AH5" s="243"/>
      <c r="AI5" s="244"/>
      <c r="AJ5" s="244"/>
      <c r="AK5" s="244"/>
      <c r="AL5" s="245" t="s">
        <v>386</v>
      </c>
      <c r="AM5" s="245" t="s">
        <v>729</v>
      </c>
      <c r="AN5" s="242">
        <v>1020</v>
      </c>
      <c r="AO5" s="244"/>
      <c r="AP5" s="244"/>
      <c r="AQ5" s="244"/>
      <c r="AR5" s="244"/>
      <c r="AS5" s="244"/>
      <c r="AT5" s="238"/>
      <c r="AU5" s="238"/>
      <c r="AV5" s="238"/>
      <c r="AW5" s="243"/>
      <c r="AX5" s="243"/>
      <c r="AY5" s="243"/>
      <c r="AZ5" s="243"/>
      <c r="BA5" s="243"/>
      <c r="BB5" s="246"/>
      <c r="BC5" s="246"/>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row>
    <row r="6" spans="1:90" ht="15" customHeight="1">
      <c r="A6" s="862" t="s">
        <v>24</v>
      </c>
      <c r="B6" s="863"/>
      <c r="C6" s="863"/>
      <c r="D6" s="863"/>
      <c r="E6" s="863"/>
      <c r="F6" s="863"/>
      <c r="G6" s="863"/>
      <c r="H6" s="30" t="str">
        <f>'Emiss. Ops'!$C$3</f>
        <v>OMV Neptun BAT Study &amp; ESIA</v>
      </c>
      <c r="I6" s="30"/>
      <c r="J6" s="30"/>
      <c r="K6" s="30"/>
      <c r="L6" s="30"/>
      <c r="M6" s="30"/>
      <c r="N6" s="30"/>
      <c r="O6" s="30"/>
      <c r="P6" s="30"/>
      <c r="Q6" s="30"/>
      <c r="R6" s="30"/>
      <c r="S6" s="30"/>
      <c r="T6" s="30"/>
      <c r="U6" s="863" t="s">
        <v>25</v>
      </c>
      <c r="V6" s="863"/>
      <c r="W6" s="863"/>
      <c r="X6" s="863"/>
      <c r="Y6" s="860"/>
      <c r="Z6" s="860"/>
      <c r="AA6" s="860"/>
      <c r="AB6" s="860"/>
      <c r="AC6" s="860"/>
      <c r="AD6" s="860"/>
      <c r="AE6" s="860"/>
      <c r="AF6" s="860"/>
      <c r="AG6" s="861"/>
      <c r="AH6" s="243"/>
      <c r="AI6" s="244"/>
      <c r="AJ6" s="244"/>
      <c r="AK6" s="242"/>
      <c r="AL6" s="245" t="s">
        <v>406</v>
      </c>
      <c r="AM6" s="245" t="s">
        <v>339</v>
      </c>
      <c r="AN6" s="245">
        <v>0.45400000000000001</v>
      </c>
      <c r="AO6" s="242"/>
      <c r="AP6" s="244"/>
      <c r="AQ6" s="244"/>
      <c r="AR6" s="244"/>
      <c r="AS6" s="244"/>
      <c r="AT6" s="238"/>
      <c r="AU6" s="238"/>
      <c r="AV6" s="238"/>
      <c r="AW6" s="243"/>
      <c r="AX6" s="243"/>
      <c r="AY6" s="243"/>
      <c r="AZ6" s="243"/>
      <c r="BA6" s="243"/>
      <c r="BB6" s="246"/>
      <c r="BC6" s="246"/>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row>
    <row r="7" spans="1:90" ht="15" customHeight="1">
      <c r="A7" s="862" t="s">
        <v>26</v>
      </c>
      <c r="B7" s="863"/>
      <c r="C7" s="863"/>
      <c r="D7" s="863"/>
      <c r="E7" s="863"/>
      <c r="F7" s="863"/>
      <c r="G7" s="863"/>
      <c r="H7" s="30" t="str">
        <f>'Emiss. Ops'!$C$4</f>
        <v>Emissions Inventory</v>
      </c>
      <c r="I7" s="30"/>
      <c r="J7" s="30"/>
      <c r="K7" s="30"/>
      <c r="L7" s="30"/>
      <c r="M7" s="30"/>
      <c r="N7" s="30"/>
      <c r="O7" s="30"/>
      <c r="P7" s="30"/>
      <c r="Q7" s="30"/>
      <c r="R7" s="30"/>
      <c r="S7" s="30"/>
      <c r="T7" s="30"/>
      <c r="U7" s="863" t="s">
        <v>27</v>
      </c>
      <c r="V7" s="863"/>
      <c r="W7" s="863"/>
      <c r="X7" s="863"/>
      <c r="Y7" s="30" t="str">
        <f>'Emiss. Ops'!$I$4</f>
        <v>Normal Operations</v>
      </c>
      <c r="Z7" s="31"/>
      <c r="AA7" s="31"/>
      <c r="AB7" s="31"/>
      <c r="AC7" s="31"/>
      <c r="AD7" s="31"/>
      <c r="AE7" s="31"/>
      <c r="AF7" s="31"/>
      <c r="AG7" s="32"/>
      <c r="AH7" s="243"/>
      <c r="AI7" s="244"/>
      <c r="AJ7" s="244"/>
      <c r="AK7" s="242"/>
      <c r="AL7" s="245" t="s">
        <v>407</v>
      </c>
      <c r="AM7" s="245" t="s">
        <v>730</v>
      </c>
      <c r="AN7" s="248">
        <f>0.305^3</f>
        <v>2.8372624999999999E-2</v>
      </c>
      <c r="AO7" s="242"/>
      <c r="AP7" s="244"/>
      <c r="AQ7" s="244"/>
      <c r="AR7" s="244"/>
      <c r="AS7" s="244"/>
      <c r="AT7" s="238"/>
      <c r="AU7" s="238"/>
      <c r="AV7" s="238"/>
      <c r="AW7" s="243"/>
      <c r="AX7" s="243"/>
      <c r="AY7" s="243"/>
      <c r="AZ7" s="243"/>
      <c r="BA7" s="243"/>
      <c r="BB7" s="246"/>
      <c r="BC7" s="246"/>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row>
    <row r="8" spans="1:90"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9"/>
      <c r="AH8" s="243"/>
      <c r="AI8" s="244"/>
      <c r="AJ8" s="244"/>
      <c r="AK8" s="242"/>
      <c r="AL8" s="245" t="s">
        <v>729</v>
      </c>
      <c r="AM8" s="245" t="s">
        <v>731</v>
      </c>
      <c r="AN8" s="249" t="e">
        <f>AN6/AN7 * ((#REF!+273.15)/(#REF!+273.15))</f>
        <v>#REF!</v>
      </c>
      <c r="AO8" s="242"/>
      <c r="AP8" s="244"/>
      <c r="AQ8" s="244"/>
      <c r="AR8" s="244"/>
      <c r="AS8" s="244"/>
      <c r="AT8" s="238"/>
      <c r="AU8" s="238"/>
      <c r="AV8" s="238"/>
      <c r="AW8" s="243"/>
      <c r="AX8" s="243"/>
      <c r="AY8" s="243"/>
      <c r="AZ8" s="243"/>
      <c r="BA8" s="243"/>
      <c r="BB8" s="246"/>
      <c r="BC8" s="246"/>
      <c r="BD8" s="243"/>
      <c r="BE8" s="243"/>
      <c r="BF8" s="243"/>
      <c r="BG8" s="243"/>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row>
    <row r="9" spans="1:90"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9"/>
      <c r="AH9" s="243"/>
      <c r="AI9" s="244"/>
      <c r="AJ9" s="244"/>
      <c r="AK9" s="242"/>
      <c r="AL9" s="242" t="s">
        <v>409</v>
      </c>
      <c r="AM9" s="242" t="s">
        <v>410</v>
      </c>
      <c r="AN9" s="242">
        <v>947</v>
      </c>
      <c r="AO9" s="242"/>
      <c r="AP9" s="244"/>
      <c r="AQ9" s="244"/>
      <c r="AR9" s="244"/>
      <c r="AS9" s="244"/>
      <c r="AT9" s="238"/>
      <c r="AU9" s="238"/>
      <c r="AV9" s="238"/>
      <c r="AW9" s="243"/>
      <c r="AX9" s="243"/>
      <c r="AY9" s="243"/>
      <c r="AZ9" s="243"/>
      <c r="BA9" s="243"/>
      <c r="BB9" s="246"/>
      <c r="BC9" s="246"/>
      <c r="BD9" s="243"/>
      <c r="BE9" s="243"/>
      <c r="BF9" s="243"/>
      <c r="BG9" s="243"/>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row>
    <row r="10" spans="1:90"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859" t="s">
        <v>28</v>
      </c>
      <c r="V10" s="859"/>
      <c r="W10" s="859"/>
      <c r="X10" s="859"/>
      <c r="Y10" s="1284"/>
      <c r="Z10" s="1284"/>
      <c r="AA10" s="1284"/>
      <c r="AB10" s="1285"/>
      <c r="AC10" s="1285"/>
      <c r="AD10" s="1285"/>
      <c r="AE10" s="1286"/>
      <c r="AF10" s="1286"/>
      <c r="AG10" s="1287"/>
      <c r="AH10" s="238"/>
      <c r="AI10" s="241"/>
      <c r="AJ10" s="241"/>
      <c r="AK10" s="245"/>
      <c r="AL10" s="245" t="s">
        <v>710</v>
      </c>
      <c r="AM10" s="245" t="s">
        <v>709</v>
      </c>
      <c r="AN10" s="245">
        <v>1E-3</v>
      </c>
      <c r="AO10" s="245"/>
      <c r="AP10" s="241"/>
      <c r="AQ10" s="241"/>
      <c r="AR10" s="241"/>
      <c r="AS10" s="241"/>
      <c r="AT10" s="238"/>
      <c r="AU10" s="238"/>
      <c r="AV10" s="238"/>
      <c r="AW10" s="238"/>
      <c r="AX10" s="238"/>
      <c r="AY10" s="238"/>
      <c r="AZ10" s="238"/>
      <c r="BA10" s="238"/>
      <c r="BB10" s="239"/>
      <c r="BC10" s="239"/>
      <c r="BD10" s="238"/>
      <c r="BE10" s="238"/>
      <c r="BF10" s="238"/>
      <c r="BG10" s="238"/>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row>
    <row r="11" spans="1:90" s="240" customFormat="1" ht="14.25" customHeight="1">
      <c r="A11" s="1271" t="s">
        <v>210</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3"/>
      <c r="AH11" s="238"/>
      <c r="AI11" s="241"/>
      <c r="AJ11" s="241"/>
      <c r="AK11" s="245"/>
      <c r="AL11" s="245" t="s">
        <v>732</v>
      </c>
      <c r="AM11" s="245" t="s">
        <v>409</v>
      </c>
      <c r="AN11" s="245">
        <f>1/(AN9/1000000)</f>
        <v>1055.9662090813094</v>
      </c>
      <c r="AO11" s="245"/>
      <c r="AP11" s="241"/>
      <c r="AQ11" s="241"/>
      <c r="AR11" s="241"/>
      <c r="AS11" s="241"/>
      <c r="AT11" s="238"/>
      <c r="AU11" s="238"/>
      <c r="AV11" s="238"/>
      <c r="AW11" s="238"/>
      <c r="AX11" s="238"/>
      <c r="AY11" s="238"/>
      <c r="AZ11" s="238"/>
      <c r="BA11" s="238"/>
      <c r="BB11" s="239"/>
      <c r="BC11" s="239"/>
      <c r="BD11" s="238"/>
      <c r="BE11" s="238"/>
      <c r="BF11" s="238"/>
      <c r="BG11" s="238"/>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row>
    <row r="12" spans="1:90" s="240" customFormat="1" ht="14.25" customHeight="1">
      <c r="A12" s="1274"/>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6"/>
      <c r="AH12" s="238"/>
      <c r="AI12" s="241"/>
      <c r="AJ12" s="241"/>
      <c r="AK12" s="245"/>
      <c r="AL12" s="245"/>
      <c r="AM12" s="245"/>
      <c r="AN12" s="245"/>
      <c r="AO12" s="245"/>
      <c r="AP12" s="241"/>
      <c r="AQ12" s="241"/>
      <c r="AR12" s="241"/>
      <c r="AS12" s="241"/>
      <c r="AT12" s="238"/>
      <c r="AU12" s="238"/>
      <c r="AV12" s="238"/>
      <c r="AW12" s="238"/>
      <c r="AX12" s="238"/>
      <c r="AY12" s="238"/>
      <c r="AZ12" s="238"/>
      <c r="BA12" s="238"/>
      <c r="BB12" s="239"/>
      <c r="BC12" s="239"/>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row>
    <row r="13" spans="1:90" s="240" customFormat="1" ht="14.25" customHeight="1">
      <c r="A13" s="250"/>
      <c r="B13" s="251"/>
      <c r="C13" s="251"/>
      <c r="D13" s="251"/>
      <c r="E13" s="251"/>
      <c r="F13" s="251"/>
      <c r="G13" s="251"/>
      <c r="H13" s="252"/>
      <c r="I13" s="251"/>
      <c r="J13" s="251"/>
      <c r="K13" s="251"/>
      <c r="L13" s="251"/>
      <c r="M13" s="251"/>
      <c r="N13" s="251"/>
      <c r="O13" s="251"/>
      <c r="P13" s="251"/>
      <c r="Q13" s="251"/>
      <c r="R13" s="860"/>
      <c r="S13" s="860"/>
      <c r="T13" s="1293"/>
      <c r="U13" s="1293"/>
      <c r="V13" s="1293"/>
      <c r="W13" s="860"/>
      <c r="X13" s="860"/>
      <c r="Y13" s="1293"/>
      <c r="Z13" s="1293"/>
      <c r="AA13" s="860"/>
      <c r="AB13" s="860"/>
      <c r="AC13" s="860"/>
      <c r="AD13" s="1293"/>
      <c r="AE13" s="1293"/>
      <c r="AF13" s="30"/>
      <c r="AG13" s="253"/>
      <c r="AH13" s="238"/>
      <c r="AI13" s="254" t="e">
        <f>#REF!*SUM(N20:O29)</f>
        <v>#REF!</v>
      </c>
      <c r="AJ13" s="241"/>
      <c r="AK13" s="241"/>
      <c r="AL13" s="241"/>
      <c r="AM13" s="241"/>
      <c r="AN13" s="241"/>
      <c r="AO13" s="241"/>
      <c r="AP13" s="241"/>
      <c r="AQ13" s="241"/>
      <c r="AR13" s="241"/>
      <c r="AS13" s="241"/>
      <c r="AT13" s="238"/>
      <c r="AU13" s="238"/>
      <c r="AV13" s="238"/>
      <c r="AW13" s="238"/>
      <c r="AX13" s="238"/>
      <c r="AY13" s="238"/>
      <c r="AZ13" s="238"/>
      <c r="BA13" s="238"/>
      <c r="BB13" s="239"/>
      <c r="BC13" s="239"/>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row>
    <row r="14" spans="1:90" s="240" customFormat="1" ht="14.25" customHeight="1">
      <c r="A14" s="1370" t="s">
        <v>718</v>
      </c>
      <c r="B14" s="1370"/>
      <c r="C14" s="1370"/>
      <c r="D14" s="1370"/>
      <c r="E14" s="1370"/>
      <c r="F14" s="1371" t="s">
        <v>789</v>
      </c>
      <c r="G14" s="1372"/>
      <c r="H14" s="1372"/>
      <c r="I14" s="1372"/>
      <c r="J14" s="1372"/>
      <c r="K14" s="1372"/>
      <c r="L14" s="1372"/>
      <c r="M14" s="1372"/>
      <c r="N14" s="1372"/>
      <c r="O14" s="1372"/>
      <c r="P14" s="1372"/>
      <c r="Q14" s="1372"/>
      <c r="R14" s="30"/>
      <c r="S14" s="1402" t="s">
        <v>910</v>
      </c>
      <c r="T14" s="1184"/>
      <c r="U14" s="1184"/>
      <c r="V14" s="1184"/>
      <c r="W14" s="1184"/>
      <c r="X14" s="1184"/>
      <c r="Y14" s="1184"/>
      <c r="Z14" s="1184"/>
      <c r="AA14" s="1184"/>
      <c r="AB14" s="1184"/>
      <c r="AC14" s="1184"/>
      <c r="AD14" s="1184"/>
      <c r="AE14" s="1184"/>
      <c r="AF14" s="1184"/>
      <c r="AG14" s="253"/>
      <c r="AH14" s="255"/>
      <c r="AI14" s="241"/>
      <c r="AJ14" s="241"/>
      <c r="AK14" s="241"/>
      <c r="AL14" s="241"/>
      <c r="AM14" s="241"/>
      <c r="AN14" s="241"/>
      <c r="AO14" s="241"/>
      <c r="AP14" s="241"/>
      <c r="AQ14" s="241"/>
      <c r="AR14" s="241"/>
      <c r="AS14" s="241"/>
      <c r="AT14" s="241"/>
      <c r="AU14" s="241"/>
      <c r="AV14" s="238"/>
      <c r="AW14" s="238"/>
      <c r="AX14" s="238"/>
      <c r="AY14" s="238"/>
      <c r="AZ14" s="238"/>
      <c r="BA14" s="238"/>
      <c r="BB14" s="239"/>
      <c r="BC14" s="239"/>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row>
    <row r="15" spans="1:90" s="240" customFormat="1" ht="14.25" customHeight="1">
      <c r="A15" s="256" t="s">
        <v>620</v>
      </c>
      <c r="B15" s="30"/>
      <c r="C15" s="30"/>
      <c r="D15" s="30"/>
      <c r="E15" s="30"/>
      <c r="F15" s="1529" t="s">
        <v>791</v>
      </c>
      <c r="G15" s="1530"/>
      <c r="H15" s="1530"/>
      <c r="I15" s="1531"/>
      <c r="J15" s="1529" t="s">
        <v>792</v>
      </c>
      <c r="K15" s="1530"/>
      <c r="L15" s="1530"/>
      <c r="M15" s="1531"/>
      <c r="N15" s="1535" t="s">
        <v>793</v>
      </c>
      <c r="O15" s="1536"/>
      <c r="P15" s="1537"/>
      <c r="Q15" s="1538"/>
      <c r="R15" s="257"/>
      <c r="S15" s="1184"/>
      <c r="T15" s="1184"/>
      <c r="U15" s="1184"/>
      <c r="V15" s="1184"/>
      <c r="W15" s="1184"/>
      <c r="X15" s="1184"/>
      <c r="Y15" s="1184"/>
      <c r="Z15" s="1184"/>
      <c r="AA15" s="1184"/>
      <c r="AB15" s="1184"/>
      <c r="AC15" s="1184"/>
      <c r="AD15" s="1184"/>
      <c r="AE15" s="1184"/>
      <c r="AF15" s="1184"/>
      <c r="AG15" s="253"/>
      <c r="AH15" s="255"/>
      <c r="AI15" s="241"/>
      <c r="AJ15" s="241"/>
      <c r="AK15" s="241"/>
      <c r="AL15" s="241"/>
      <c r="AM15" s="241"/>
      <c r="AN15" s="241"/>
      <c r="AO15" s="241"/>
      <c r="AP15" s="241"/>
      <c r="AQ15" s="241"/>
      <c r="AR15" s="241"/>
      <c r="AS15" s="241"/>
      <c r="AT15" s="241"/>
      <c r="AU15" s="241"/>
      <c r="AV15" s="238"/>
      <c r="AW15" s="238"/>
      <c r="AX15" s="238"/>
      <c r="AY15" s="238"/>
      <c r="AZ15" s="238"/>
      <c r="BA15" s="238"/>
      <c r="BB15" s="239"/>
      <c r="BC15" s="239"/>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row>
    <row r="16" spans="1:90" s="240" customFormat="1" ht="14.25" customHeight="1">
      <c r="A16" s="133"/>
      <c r="B16" s="30"/>
      <c r="C16" s="30"/>
      <c r="D16" s="30"/>
      <c r="E16" s="30"/>
      <c r="F16" s="1532"/>
      <c r="G16" s="1533"/>
      <c r="H16" s="1533"/>
      <c r="I16" s="1534"/>
      <c r="J16" s="1532"/>
      <c r="K16" s="1533"/>
      <c r="L16" s="1533"/>
      <c r="M16" s="1534"/>
      <c r="N16" s="1539"/>
      <c r="O16" s="1540"/>
      <c r="P16" s="1533"/>
      <c r="Q16" s="1534"/>
      <c r="R16" s="257"/>
      <c r="S16" s="1184"/>
      <c r="T16" s="1184"/>
      <c r="U16" s="1184"/>
      <c r="V16" s="1184"/>
      <c r="W16" s="1184"/>
      <c r="X16" s="1184"/>
      <c r="Y16" s="1184"/>
      <c r="Z16" s="1184"/>
      <c r="AA16" s="1184"/>
      <c r="AB16" s="1184"/>
      <c r="AC16" s="1184"/>
      <c r="AD16" s="1184"/>
      <c r="AE16" s="1184"/>
      <c r="AF16" s="1184"/>
      <c r="AG16" s="253"/>
      <c r="AH16" s="258"/>
      <c r="AI16" s="259" t="s">
        <v>740</v>
      </c>
      <c r="AJ16" s="259"/>
      <c r="AK16" s="259"/>
      <c r="AL16" s="259"/>
      <c r="AM16" s="259"/>
      <c r="AN16" s="259"/>
      <c r="AO16" s="259" t="s">
        <v>741</v>
      </c>
      <c r="AP16" s="259"/>
      <c r="AQ16" s="259" t="s">
        <v>742</v>
      </c>
      <c r="AR16" s="259"/>
      <c r="AS16" s="259"/>
      <c r="AT16" s="259"/>
      <c r="AU16" s="258"/>
      <c r="AV16" s="238"/>
      <c r="AW16" s="238"/>
      <c r="AX16" s="238"/>
      <c r="AY16" s="238"/>
      <c r="AZ16" s="238"/>
      <c r="BA16" s="238"/>
      <c r="BB16" s="239"/>
      <c r="BC16" s="239"/>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row>
    <row r="17" spans="1:90" s="240" customFormat="1" ht="14.25" customHeight="1">
      <c r="A17" s="1376" t="s">
        <v>630</v>
      </c>
      <c r="B17" s="1376"/>
      <c r="C17" s="1376"/>
      <c r="D17" s="1376"/>
      <c r="E17" s="1376"/>
      <c r="F17" s="1375" t="s">
        <v>794</v>
      </c>
      <c r="G17" s="1375"/>
      <c r="H17" s="1375" t="s">
        <v>590</v>
      </c>
      <c r="I17" s="1375"/>
      <c r="J17" s="1371" t="s">
        <v>795</v>
      </c>
      <c r="K17" s="1372"/>
      <c r="L17" s="1541"/>
      <c r="M17" s="1542"/>
      <c r="N17" s="1375" t="s">
        <v>617</v>
      </c>
      <c r="O17" s="1375"/>
      <c r="P17" s="1375" t="s">
        <v>332</v>
      </c>
      <c r="Q17" s="1375"/>
      <c r="R17" s="30"/>
      <c r="S17" s="1184"/>
      <c r="T17" s="1184"/>
      <c r="U17" s="1184"/>
      <c r="V17" s="1184"/>
      <c r="W17" s="1184"/>
      <c r="X17" s="1184"/>
      <c r="Y17" s="1184"/>
      <c r="Z17" s="1184"/>
      <c r="AA17" s="1184"/>
      <c r="AB17" s="1184"/>
      <c r="AC17" s="1184"/>
      <c r="AD17" s="1184"/>
      <c r="AE17" s="1184"/>
      <c r="AF17" s="1184"/>
      <c r="AG17" s="253"/>
      <c r="AH17" s="258"/>
      <c r="AI17" s="259" t="s">
        <v>633</v>
      </c>
      <c r="AJ17" s="259" t="s">
        <v>634</v>
      </c>
      <c r="AK17" s="259" t="s">
        <v>635</v>
      </c>
      <c r="AL17" s="259" t="s">
        <v>636</v>
      </c>
      <c r="AM17" s="259" t="s">
        <v>637</v>
      </c>
      <c r="AN17" s="259" t="s">
        <v>590</v>
      </c>
      <c r="AO17" s="259" t="s">
        <v>428</v>
      </c>
      <c r="AP17" s="259" t="s">
        <v>429</v>
      </c>
      <c r="AQ17" s="259" t="s">
        <v>126</v>
      </c>
      <c r="AR17" s="259" t="s">
        <v>431</v>
      </c>
      <c r="AS17" s="259" t="s">
        <v>429</v>
      </c>
      <c r="AT17" s="259" t="s">
        <v>124</v>
      </c>
      <c r="AU17" s="258"/>
      <c r="AV17" s="238"/>
      <c r="AW17" s="238"/>
      <c r="AX17" s="238"/>
      <c r="AY17" s="238"/>
      <c r="AZ17" s="238"/>
      <c r="BA17" s="238"/>
      <c r="BB17" s="239" t="s">
        <v>128</v>
      </c>
      <c r="BC17" s="239" t="s">
        <v>743</v>
      </c>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row>
    <row r="18" spans="1:90" s="240" customFormat="1" ht="14.25" customHeight="1">
      <c r="A18" s="260" t="s">
        <v>638</v>
      </c>
      <c r="B18" s="261"/>
      <c r="C18" s="261"/>
      <c r="D18" s="261"/>
      <c r="E18" s="262"/>
      <c r="F18" s="1377">
        <v>0</v>
      </c>
      <c r="G18" s="1378"/>
      <c r="H18" s="1379"/>
      <c r="I18" s="1381"/>
      <c r="J18" s="1380"/>
      <c r="K18" s="1380"/>
      <c r="L18" s="1379"/>
      <c r="M18" s="1380"/>
      <c r="N18" s="1379">
        <f>SUM(H18,J18,L18)*AN18</f>
        <v>0</v>
      </c>
      <c r="O18" s="1380"/>
      <c r="P18" s="1379"/>
      <c r="Q18" s="1381"/>
      <c r="R18" s="263"/>
      <c r="S18" s="1184"/>
      <c r="T18" s="1184"/>
      <c r="U18" s="1184"/>
      <c r="V18" s="1184"/>
      <c r="W18" s="1184"/>
      <c r="X18" s="1184"/>
      <c r="Y18" s="1184"/>
      <c r="Z18" s="1184"/>
      <c r="AA18" s="1184"/>
      <c r="AB18" s="1184"/>
      <c r="AC18" s="1184"/>
      <c r="AD18" s="1184"/>
      <c r="AE18" s="1184"/>
      <c r="AF18" s="1184"/>
      <c r="AG18" s="264"/>
      <c r="AH18" s="258"/>
      <c r="AI18" s="259"/>
      <c r="AJ18" s="259">
        <v>2</v>
      </c>
      <c r="AK18" s="259"/>
      <c r="AL18" s="259"/>
      <c r="AM18" s="259"/>
      <c r="AN18" s="265">
        <f>AI18*12.01+AJ18*1.008+AK18*16+AL18*14+AM18*32</f>
        <v>2.016</v>
      </c>
      <c r="AO18" s="259">
        <f>AI18*1+AJ18*0.25+AM18*1</f>
        <v>0.5</v>
      </c>
      <c r="AP18" s="266">
        <f>0.79/0.21*AO18</f>
        <v>1.8809523809523812</v>
      </c>
      <c r="AQ18" s="259">
        <f>1*AI18</f>
        <v>0</v>
      </c>
      <c r="AR18" s="259">
        <f>AJ18/2</f>
        <v>1</v>
      </c>
      <c r="AS18" s="266">
        <f>AL18*0.5+AP18</f>
        <v>1.8809523809523812</v>
      </c>
      <c r="AT18" s="259">
        <f>AM18*1</f>
        <v>0</v>
      </c>
      <c r="AU18" s="258"/>
      <c r="AV18" s="238"/>
      <c r="AW18" s="238"/>
      <c r="AX18" s="238"/>
      <c r="AY18" s="238"/>
      <c r="AZ18" s="238"/>
      <c r="BA18" s="239" t="s">
        <v>639</v>
      </c>
      <c r="BB18" s="239">
        <v>1.4200000000000001E-2</v>
      </c>
      <c r="BC18" s="239">
        <v>2.9999999999999997E-4</v>
      </c>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row>
    <row r="19" spans="1:90" s="240" customFormat="1" ht="14.25" customHeight="1">
      <c r="A19" s="267" t="s">
        <v>122</v>
      </c>
      <c r="B19" s="268"/>
      <c r="C19" s="268"/>
      <c r="D19" s="268"/>
      <c r="E19" s="269"/>
      <c r="F19" s="1377">
        <f>CO2eEF!P26</f>
        <v>0.99629999999999996</v>
      </c>
      <c r="G19" s="1378"/>
      <c r="H19" s="1546">
        <v>16.042999999999999</v>
      </c>
      <c r="I19" s="1549"/>
      <c r="J19" s="1550">
        <f>F19*H19</f>
        <v>15.983640899999999</v>
      </c>
      <c r="K19" s="1550"/>
      <c r="L19" s="1546">
        <f>J19/$J$39</f>
        <v>0.99103593622983144</v>
      </c>
      <c r="M19" s="1545"/>
      <c r="N19" s="1547">
        <f>L19*$V$20</f>
        <v>0.13566542590415215</v>
      </c>
      <c r="O19" s="1548"/>
      <c r="P19" s="1547">
        <f>N19*365.25*24/1000</f>
        <v>1.1892431234757979</v>
      </c>
      <c r="Q19" s="1548"/>
      <c r="R19" s="1382"/>
      <c r="S19" s="1384"/>
      <c r="T19" s="263"/>
      <c r="U19" s="263"/>
      <c r="V19" s="263"/>
      <c r="W19" s="263"/>
      <c r="X19" s="263"/>
      <c r="Y19" s="263"/>
      <c r="Z19" s="263"/>
      <c r="AA19" s="263"/>
      <c r="AB19" s="263"/>
      <c r="AC19" s="263"/>
      <c r="AD19" s="263"/>
      <c r="AE19" s="263"/>
      <c r="AF19" s="263"/>
      <c r="AG19" s="264"/>
      <c r="AH19" s="258"/>
      <c r="AI19" s="259">
        <v>1</v>
      </c>
      <c r="AJ19" s="259">
        <v>4</v>
      </c>
      <c r="AK19" s="259"/>
      <c r="AL19" s="259"/>
      <c r="AM19" s="259"/>
      <c r="AN19" s="265">
        <f t="shared" ref="AN19:AN34" si="0">AI19*12.01+AJ19*1.008+AK19*16+AL19*14+AM19*32</f>
        <v>16.042000000000002</v>
      </c>
      <c r="AO19" s="259">
        <f t="shared" ref="AO19:AO33" si="1">AI19*1+AJ19*0.25+AM19*1</f>
        <v>2</v>
      </c>
      <c r="AP19" s="266">
        <f t="shared" ref="AP19:AP33" si="2">0.79/0.21*AO19</f>
        <v>7.5238095238095246</v>
      </c>
      <c r="AQ19" s="259">
        <f t="shared" ref="AQ19:AQ33" si="3">1*AI19</f>
        <v>1</v>
      </c>
      <c r="AR19" s="259">
        <f t="shared" ref="AR19:AR33" si="4">AJ19/2</f>
        <v>2</v>
      </c>
      <c r="AS19" s="266">
        <f t="shared" ref="AS19:AS33" si="5">AL19*0.5+AP19</f>
        <v>7.5238095238095246</v>
      </c>
      <c r="AT19" s="259">
        <f t="shared" ref="AT19:AT33" si="6">AM19*1</f>
        <v>0</v>
      </c>
      <c r="AU19" s="258"/>
      <c r="AV19" s="238"/>
      <c r="AW19" s="238"/>
      <c r="AX19" s="238"/>
      <c r="AY19" s="238"/>
      <c r="AZ19" s="238"/>
      <c r="BA19" s="239" t="s">
        <v>126</v>
      </c>
      <c r="BB19" s="239">
        <v>9.5999999999999992E-3</v>
      </c>
      <c r="BC19" s="239">
        <v>0.77539999999999998</v>
      </c>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row>
    <row r="20" spans="1:90" s="240" customFormat="1" ht="14.25" customHeight="1">
      <c r="A20" s="267" t="s">
        <v>641</v>
      </c>
      <c r="B20" s="268"/>
      <c r="C20" s="268"/>
      <c r="D20" s="268"/>
      <c r="E20" s="269"/>
      <c r="F20" s="1377">
        <v>0</v>
      </c>
      <c r="G20" s="1378"/>
      <c r="H20" s="1299"/>
      <c r="I20" s="1301"/>
      <c r="J20" s="1300"/>
      <c r="K20" s="1300"/>
      <c r="L20" s="1299"/>
      <c r="M20" s="1300"/>
      <c r="N20" s="1299">
        <f>SUM(H20,J20,L20)*AN20</f>
        <v>0</v>
      </c>
      <c r="O20" s="1301"/>
      <c r="P20" s="1299"/>
      <c r="Q20" s="1301"/>
      <c r="R20" s="263"/>
      <c r="S20" s="263"/>
      <c r="T20" s="270"/>
      <c r="U20" s="31"/>
      <c r="V20" s="271">
        <f>1.2*1000/365.25/24</f>
        <v>0.13689253935660506</v>
      </c>
      <c r="W20" s="263" t="s">
        <v>617</v>
      </c>
      <c r="X20" s="263"/>
      <c r="Y20" s="263"/>
      <c r="Z20" s="263"/>
      <c r="AA20" s="263"/>
      <c r="AB20" s="263"/>
      <c r="AC20" s="263"/>
      <c r="AD20" s="263"/>
      <c r="AE20" s="263"/>
      <c r="AF20" s="263"/>
      <c r="AG20" s="264"/>
      <c r="AH20" s="258"/>
      <c r="AI20" s="259">
        <v>2</v>
      </c>
      <c r="AJ20" s="259">
        <v>4</v>
      </c>
      <c r="AK20" s="259"/>
      <c r="AL20" s="259"/>
      <c r="AM20" s="259"/>
      <c r="AN20" s="265">
        <f t="shared" si="0"/>
        <v>28.052</v>
      </c>
      <c r="AO20" s="259">
        <f t="shared" si="1"/>
        <v>3</v>
      </c>
      <c r="AP20" s="266">
        <f t="shared" si="2"/>
        <v>11.285714285714286</v>
      </c>
      <c r="AQ20" s="259">
        <f t="shared" si="3"/>
        <v>2</v>
      </c>
      <c r="AR20" s="259">
        <f t="shared" si="4"/>
        <v>2</v>
      </c>
      <c r="AS20" s="266">
        <f t="shared" si="5"/>
        <v>11.285714285714286</v>
      </c>
      <c r="AT20" s="259">
        <f t="shared" si="6"/>
        <v>0</v>
      </c>
      <c r="AU20" s="258"/>
      <c r="AV20" s="238"/>
      <c r="AW20" s="238"/>
      <c r="AX20" s="238"/>
      <c r="AY20" s="238"/>
      <c r="AZ20" s="238"/>
      <c r="BA20" s="239" t="s">
        <v>642</v>
      </c>
      <c r="BB20" s="239">
        <v>0.60499999999999998</v>
      </c>
      <c r="BC20" s="239">
        <v>1.43E-2</v>
      </c>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row>
    <row r="21" spans="1:90" s="240" customFormat="1" ht="14.25" customHeight="1">
      <c r="A21" s="267" t="s">
        <v>643</v>
      </c>
      <c r="B21" s="268"/>
      <c r="C21" s="268"/>
      <c r="D21" s="268"/>
      <c r="E21" s="269"/>
      <c r="F21" s="1377">
        <f>CO2eEF!P27</f>
        <v>7.000000000000001E-4</v>
      </c>
      <c r="G21" s="1378"/>
      <c r="H21" s="1543">
        <v>30.07</v>
      </c>
      <c r="I21" s="1544"/>
      <c r="J21" s="1545">
        <f>F21*H21</f>
        <v>2.1049000000000002E-2</v>
      </c>
      <c r="K21" s="1545"/>
      <c r="L21" s="1546">
        <f>J21/$J$39</f>
        <v>1.3051041093961092E-3</v>
      </c>
      <c r="M21" s="1545"/>
      <c r="N21" s="1547">
        <f>L21*$V$20</f>
        <v>1.7865901565997387E-4</v>
      </c>
      <c r="O21" s="1548"/>
      <c r="P21" s="1547">
        <f>N21*365.25*24/1000</f>
        <v>1.5661249312753308E-3</v>
      </c>
      <c r="Q21" s="1548"/>
      <c r="R21" s="263"/>
      <c r="S21" s="263"/>
      <c r="T21" s="31"/>
      <c r="U21" s="270">
        <f>0.6*1000/X22</f>
        <v>1800</v>
      </c>
      <c r="V21" s="263" t="s">
        <v>617</v>
      </c>
      <c r="W21" s="263" t="s">
        <v>911</v>
      </c>
      <c r="X21" s="263">
        <v>20</v>
      </c>
      <c r="Y21" s="263" t="s">
        <v>434</v>
      </c>
      <c r="Z21" s="263"/>
      <c r="AA21" s="263" t="s">
        <v>912</v>
      </c>
      <c r="AB21" s="263"/>
      <c r="AC21" s="263"/>
      <c r="AD21" s="263"/>
      <c r="AE21" s="263"/>
      <c r="AF21" s="264"/>
      <c r="AG21" s="264"/>
      <c r="AH21" s="258"/>
      <c r="AI21" s="259">
        <v>2</v>
      </c>
      <c r="AJ21" s="259">
        <v>6</v>
      </c>
      <c r="AK21" s="259"/>
      <c r="AL21" s="259"/>
      <c r="AM21" s="259"/>
      <c r="AN21" s="265">
        <f t="shared" si="0"/>
        <v>30.067999999999998</v>
      </c>
      <c r="AO21" s="259">
        <f t="shared" si="1"/>
        <v>3.5</v>
      </c>
      <c r="AP21" s="266">
        <f t="shared" si="2"/>
        <v>13.166666666666668</v>
      </c>
      <c r="AQ21" s="259">
        <f t="shared" si="3"/>
        <v>2</v>
      </c>
      <c r="AR21" s="259">
        <f t="shared" si="4"/>
        <v>3</v>
      </c>
      <c r="AS21" s="266">
        <f t="shared" si="5"/>
        <v>13.166666666666668</v>
      </c>
      <c r="AT21" s="259">
        <f t="shared" si="6"/>
        <v>0</v>
      </c>
      <c r="AU21" s="258"/>
      <c r="AV21" s="238"/>
      <c r="AW21" s="238"/>
      <c r="AX21" s="238"/>
      <c r="AY21" s="238"/>
      <c r="AZ21" s="238"/>
      <c r="BA21" s="239" t="s">
        <v>644</v>
      </c>
      <c r="BB21" s="239">
        <v>0.17519999999999999</v>
      </c>
      <c r="BC21" s="239">
        <v>1.9E-3</v>
      </c>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row>
    <row r="22" spans="1:90" s="240" customFormat="1" ht="14.25" customHeight="1">
      <c r="A22" s="267" t="s">
        <v>418</v>
      </c>
      <c r="B22" s="268"/>
      <c r="C22" s="268"/>
      <c r="D22" s="268"/>
      <c r="E22" s="269"/>
      <c r="F22" s="1377">
        <v>0</v>
      </c>
      <c r="G22" s="1378"/>
      <c r="H22" s="1299"/>
      <c r="I22" s="1301"/>
      <c r="J22" s="1300"/>
      <c r="K22" s="1300"/>
      <c r="L22" s="1299"/>
      <c r="M22" s="1300"/>
      <c r="N22" s="1299">
        <f>SUM(H22,J22,L22)*AN22</f>
        <v>0</v>
      </c>
      <c r="O22" s="1301"/>
      <c r="P22" s="1299"/>
      <c r="Q22" s="1301"/>
      <c r="R22" s="263"/>
      <c r="S22" s="263"/>
      <c r="T22" s="272"/>
      <c r="U22" s="270"/>
      <c r="V22" s="263"/>
      <c r="W22" s="263"/>
      <c r="X22" s="263">
        <f>X21/60</f>
        <v>0.33333333333333331</v>
      </c>
      <c r="Y22" s="263" t="s">
        <v>763</v>
      </c>
      <c r="Z22" s="263"/>
      <c r="AA22" s="263" t="s">
        <v>803</v>
      </c>
      <c r="AB22" s="263"/>
      <c r="AC22" s="263"/>
      <c r="AD22" s="263"/>
      <c r="AE22" s="263"/>
      <c r="AF22" s="264"/>
      <c r="AG22" s="264"/>
      <c r="AH22" s="258"/>
      <c r="AI22" s="259">
        <v>3</v>
      </c>
      <c r="AJ22" s="259">
        <v>6</v>
      </c>
      <c r="AK22" s="259"/>
      <c r="AL22" s="259"/>
      <c r="AM22" s="259"/>
      <c r="AN22" s="265">
        <f t="shared" si="0"/>
        <v>42.078000000000003</v>
      </c>
      <c r="AO22" s="259">
        <f t="shared" si="1"/>
        <v>4.5</v>
      </c>
      <c r="AP22" s="266">
        <f t="shared" si="2"/>
        <v>16.928571428571431</v>
      </c>
      <c r="AQ22" s="259">
        <f t="shared" si="3"/>
        <v>3</v>
      </c>
      <c r="AR22" s="259">
        <f t="shared" si="4"/>
        <v>3</v>
      </c>
      <c r="AS22" s="266">
        <f t="shared" si="5"/>
        <v>16.928571428571431</v>
      </c>
      <c r="AT22" s="259">
        <f t="shared" si="6"/>
        <v>0</v>
      </c>
      <c r="AU22" s="258"/>
      <c r="AV22" s="238"/>
      <c r="AW22" s="238"/>
      <c r="AX22" s="238"/>
      <c r="AY22" s="238"/>
      <c r="AZ22" s="238"/>
      <c r="BA22" s="239" t="s">
        <v>645</v>
      </c>
      <c r="BB22" s="239">
        <v>0.1139</v>
      </c>
      <c r="BC22" s="239">
        <v>3.5999999999999999E-3</v>
      </c>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row>
    <row r="23" spans="1:90" s="240" customFormat="1" ht="14.25" customHeight="1">
      <c r="A23" s="267" t="s">
        <v>419</v>
      </c>
      <c r="B23" s="268"/>
      <c r="C23" s="268"/>
      <c r="D23" s="268"/>
      <c r="E23" s="269"/>
      <c r="F23" s="1377">
        <f>CO2eEF!P28</f>
        <v>2.0000000000000001E-4</v>
      </c>
      <c r="G23" s="1378"/>
      <c r="H23" s="1546">
        <v>44.097000000000001</v>
      </c>
      <c r="I23" s="1549"/>
      <c r="J23" s="1545">
        <f>F23*H23</f>
        <v>8.8194000000000015E-3</v>
      </c>
      <c r="K23" s="1545"/>
      <c r="L23" s="1546">
        <f>J23/$J$39</f>
        <v>5.4683049942553315E-4</v>
      </c>
      <c r="M23" s="1545"/>
      <c r="N23" s="1547">
        <f>L23*$V$20</f>
        <v>7.4857015664001798E-5</v>
      </c>
      <c r="O23" s="1548"/>
      <c r="P23" s="1547">
        <f>N23*365.25*24/1000</f>
        <v>6.561965993106398E-4</v>
      </c>
      <c r="Q23" s="1548"/>
      <c r="R23" s="263"/>
      <c r="S23" s="263"/>
      <c r="T23" s="272"/>
      <c r="U23" s="270"/>
      <c r="V23" s="263"/>
      <c r="W23" s="263"/>
      <c r="X23" s="263">
        <v>2</v>
      </c>
      <c r="Y23" s="263" t="s">
        <v>913</v>
      </c>
      <c r="Z23" s="263"/>
      <c r="AA23" s="263"/>
      <c r="AB23" s="263"/>
      <c r="AC23" s="263"/>
      <c r="AD23" s="263"/>
      <c r="AE23" s="263"/>
      <c r="AF23" s="264"/>
      <c r="AG23" s="264"/>
      <c r="AH23" s="258"/>
      <c r="AI23" s="259">
        <v>3</v>
      </c>
      <c r="AJ23" s="259">
        <v>8</v>
      </c>
      <c r="AK23" s="259"/>
      <c r="AL23" s="259"/>
      <c r="AM23" s="259"/>
      <c r="AN23" s="265">
        <f t="shared" si="0"/>
        <v>44.094000000000001</v>
      </c>
      <c r="AO23" s="259">
        <f t="shared" si="1"/>
        <v>5</v>
      </c>
      <c r="AP23" s="266">
        <f t="shared" si="2"/>
        <v>18.80952380952381</v>
      </c>
      <c r="AQ23" s="259">
        <f t="shared" si="3"/>
        <v>3</v>
      </c>
      <c r="AR23" s="259">
        <f t="shared" si="4"/>
        <v>4</v>
      </c>
      <c r="AS23" s="266">
        <f t="shared" si="5"/>
        <v>18.80952380952381</v>
      </c>
      <c r="AT23" s="259">
        <f t="shared" si="6"/>
        <v>0</v>
      </c>
      <c r="AU23" s="258"/>
      <c r="AV23" s="238"/>
      <c r="AW23" s="238"/>
      <c r="AX23" s="238"/>
      <c r="AY23" s="238"/>
      <c r="AZ23" s="238"/>
      <c r="BA23" s="239" t="s">
        <v>646</v>
      </c>
      <c r="BB23" s="239">
        <v>1.7100000000000001E-2</v>
      </c>
      <c r="BC23" s="239">
        <v>1E-3</v>
      </c>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row>
    <row r="24" spans="1:90" s="240" customFormat="1" ht="14.25" customHeight="1">
      <c r="A24" s="267" t="s">
        <v>420</v>
      </c>
      <c r="B24" s="268"/>
      <c r="C24" s="268"/>
      <c r="D24" s="268"/>
      <c r="E24" s="269"/>
      <c r="F24" s="1377">
        <v>0</v>
      </c>
      <c r="G24" s="1378"/>
      <c r="H24" s="1299"/>
      <c r="I24" s="1301"/>
      <c r="J24" s="1300"/>
      <c r="K24" s="1300"/>
      <c r="L24" s="1299"/>
      <c r="M24" s="1300"/>
      <c r="N24" s="1299">
        <f>SUM(H24,J24,L24)*AN24</f>
        <v>0</v>
      </c>
      <c r="O24" s="1301"/>
      <c r="P24" s="1299"/>
      <c r="Q24" s="1301"/>
      <c r="R24" s="263"/>
      <c r="S24" s="263"/>
      <c r="T24" s="263"/>
      <c r="U24" s="263"/>
      <c r="V24" s="263"/>
      <c r="W24" s="263"/>
      <c r="X24" s="263"/>
      <c r="Y24" s="263"/>
      <c r="Z24" s="263"/>
      <c r="AA24" s="263"/>
      <c r="AB24" s="263"/>
      <c r="AC24" s="263"/>
      <c r="AD24" s="263"/>
      <c r="AE24" s="263"/>
      <c r="AF24" s="263"/>
      <c r="AG24" s="264"/>
      <c r="AH24" s="258"/>
      <c r="AI24" s="259">
        <v>4</v>
      </c>
      <c r="AJ24" s="259">
        <v>8</v>
      </c>
      <c r="AK24" s="259"/>
      <c r="AL24" s="259"/>
      <c r="AM24" s="259"/>
      <c r="AN24" s="265">
        <f t="shared" si="0"/>
        <v>56.103999999999999</v>
      </c>
      <c r="AO24" s="259">
        <f t="shared" si="1"/>
        <v>6</v>
      </c>
      <c r="AP24" s="266">
        <f t="shared" si="2"/>
        <v>22.571428571428573</v>
      </c>
      <c r="AQ24" s="259">
        <f t="shared" si="3"/>
        <v>4</v>
      </c>
      <c r="AR24" s="259">
        <f t="shared" si="4"/>
        <v>4</v>
      </c>
      <c r="AS24" s="266">
        <f t="shared" si="5"/>
        <v>22.571428571428573</v>
      </c>
      <c r="AT24" s="259">
        <f t="shared" si="6"/>
        <v>0</v>
      </c>
      <c r="AU24" s="258"/>
      <c r="AV24" s="238"/>
      <c r="AW24" s="238"/>
      <c r="AX24" s="238"/>
      <c r="AY24" s="238"/>
      <c r="AZ24" s="238"/>
      <c r="BA24" s="239" t="s">
        <v>647</v>
      </c>
      <c r="BB24" s="239">
        <v>4.5900000000000003E-2</v>
      </c>
      <c r="BC24" s="239">
        <v>2.3999999999999998E-3</v>
      </c>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row>
    <row r="25" spans="1:90" s="240" customFormat="1" ht="14.25" customHeight="1">
      <c r="A25" s="267" t="s">
        <v>421</v>
      </c>
      <c r="B25" s="268"/>
      <c r="C25" s="268"/>
      <c r="D25" s="268"/>
      <c r="E25" s="269"/>
      <c r="F25" s="1377">
        <f>CO2eEF!P29</f>
        <v>1E-4</v>
      </c>
      <c r="G25" s="1378"/>
      <c r="H25" s="1546">
        <v>58.122999999999998</v>
      </c>
      <c r="I25" s="1549"/>
      <c r="J25" s="1545">
        <f>F25*H25</f>
        <v>5.8123000000000003E-3</v>
      </c>
      <c r="K25" s="1545"/>
      <c r="L25" s="1546">
        <f>J25/$J$39</f>
        <v>3.6038085491201508E-4</v>
      </c>
      <c r="M25" s="1545"/>
      <c r="N25" s="1547">
        <f>L25*$V$20</f>
        <v>4.9333450364410001E-5</v>
      </c>
      <c r="O25" s="1548"/>
      <c r="P25" s="1547">
        <f>N25*365.25*24/1000</f>
        <v>4.3245702589441809E-4</v>
      </c>
      <c r="Q25" s="1548"/>
      <c r="R25" s="263"/>
      <c r="S25" s="263"/>
      <c r="T25" s="263"/>
      <c r="U25" s="263"/>
      <c r="V25" s="263"/>
      <c r="W25" s="263"/>
      <c r="X25" s="263"/>
      <c r="Y25" s="263"/>
      <c r="Z25" s="263"/>
      <c r="AA25" s="263"/>
      <c r="AB25" s="263"/>
      <c r="AC25" s="263"/>
      <c r="AD25" s="263"/>
      <c r="AE25" s="263"/>
      <c r="AF25" s="263"/>
      <c r="AG25" s="264"/>
      <c r="AH25" s="258"/>
      <c r="AI25" s="259">
        <v>4</v>
      </c>
      <c r="AJ25" s="259">
        <v>10</v>
      </c>
      <c r="AK25" s="259"/>
      <c r="AL25" s="259"/>
      <c r="AM25" s="259"/>
      <c r="AN25" s="265">
        <f>AI25*12.01+AJ25*1.008+AK25*16+AL25*14+AM25*32</f>
        <v>58.12</v>
      </c>
      <c r="AO25" s="259">
        <f t="shared" si="1"/>
        <v>6.5</v>
      </c>
      <c r="AP25" s="266">
        <f t="shared" si="2"/>
        <v>24.452380952380956</v>
      </c>
      <c r="AQ25" s="259">
        <f t="shared" si="3"/>
        <v>4</v>
      </c>
      <c r="AR25" s="259">
        <f t="shared" si="4"/>
        <v>5</v>
      </c>
      <c r="AS25" s="266">
        <f t="shared" si="5"/>
        <v>24.452380952380956</v>
      </c>
      <c r="AT25" s="259">
        <f t="shared" si="6"/>
        <v>0</v>
      </c>
      <c r="AU25" s="258"/>
      <c r="AV25" s="238"/>
      <c r="AW25" s="238"/>
      <c r="AX25" s="238"/>
      <c r="AY25" s="238"/>
      <c r="AZ25" s="238"/>
      <c r="BA25" s="239" t="s">
        <v>648</v>
      </c>
      <c r="BB25" s="239">
        <v>8.2000000000000007E-3</v>
      </c>
      <c r="BC25" s="239">
        <v>1.6000000000000001E-3</v>
      </c>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row>
    <row r="26" spans="1:90" s="240" customFormat="1" ht="14.25" customHeight="1">
      <c r="A26" s="267" t="s">
        <v>422</v>
      </c>
      <c r="B26" s="268"/>
      <c r="C26" s="268"/>
      <c r="D26" s="268"/>
      <c r="E26" s="269"/>
      <c r="F26" s="1377">
        <f>CO2eEF!P30</f>
        <v>0</v>
      </c>
      <c r="G26" s="1378"/>
      <c r="H26" s="1299"/>
      <c r="I26" s="1301"/>
      <c r="J26" s="1300"/>
      <c r="K26" s="1300"/>
      <c r="L26" s="1299"/>
      <c r="M26" s="1300"/>
      <c r="N26" s="1299">
        <f>SUM(H26,J26,L26)*AN26</f>
        <v>0</v>
      </c>
      <c r="O26" s="1301"/>
      <c r="P26" s="1299"/>
      <c r="Q26" s="1301"/>
      <c r="R26" s="263"/>
      <c r="S26" s="263"/>
      <c r="T26" s="263" t="s">
        <v>761</v>
      </c>
      <c r="U26" s="263"/>
      <c r="V26" s="263"/>
      <c r="W26" s="263"/>
      <c r="X26" s="263"/>
      <c r="Y26" s="263"/>
      <c r="Z26" s="263"/>
      <c r="AA26" s="263"/>
      <c r="AB26" s="263"/>
      <c r="AC26" s="263"/>
      <c r="AD26" s="263"/>
      <c r="AE26" s="263"/>
      <c r="AF26" s="263"/>
      <c r="AG26" s="264"/>
      <c r="AH26" s="258"/>
      <c r="AI26" s="259">
        <v>4</v>
      </c>
      <c r="AJ26" s="259">
        <v>10</v>
      </c>
      <c r="AK26" s="259"/>
      <c r="AL26" s="259"/>
      <c r="AM26" s="259"/>
      <c r="AN26" s="265">
        <f t="shared" si="0"/>
        <v>58.12</v>
      </c>
      <c r="AO26" s="259">
        <f t="shared" si="1"/>
        <v>6.5</v>
      </c>
      <c r="AP26" s="266">
        <f t="shared" si="2"/>
        <v>24.452380952380956</v>
      </c>
      <c r="AQ26" s="259">
        <f t="shared" si="3"/>
        <v>4</v>
      </c>
      <c r="AR26" s="259">
        <f t="shared" si="4"/>
        <v>5</v>
      </c>
      <c r="AS26" s="266">
        <f t="shared" si="5"/>
        <v>24.452380952380956</v>
      </c>
      <c r="AT26" s="259">
        <f t="shared" si="6"/>
        <v>0</v>
      </c>
      <c r="AU26" s="258"/>
      <c r="AV26" s="238"/>
      <c r="AW26" s="238"/>
      <c r="AX26" s="238"/>
      <c r="AY26" s="238"/>
      <c r="AZ26" s="238"/>
      <c r="BA26" s="239" t="s">
        <v>649</v>
      </c>
      <c r="BB26" s="239">
        <v>2.0000000000000001E-4</v>
      </c>
      <c r="BC26" s="239">
        <v>0</v>
      </c>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row>
    <row r="27" spans="1:90" s="240" customFormat="1" ht="14.25" customHeight="1">
      <c r="A27" s="267" t="s">
        <v>423</v>
      </c>
      <c r="B27" s="268"/>
      <c r="C27" s="268"/>
      <c r="D27" s="268"/>
      <c r="E27" s="269"/>
      <c r="F27" s="1377">
        <f>CO2eEF!P31</f>
        <v>1E-4</v>
      </c>
      <c r="G27" s="1378"/>
      <c r="H27" s="1543">
        <v>72.150000000000006</v>
      </c>
      <c r="I27" s="1544"/>
      <c r="J27" s="1545">
        <f t="shared" ref="J27:J29" si="7">F27*H27</f>
        <v>7.2150000000000009E-3</v>
      </c>
      <c r="K27" s="1545"/>
      <c r="L27" s="1546">
        <f t="shared" ref="L27:L29" si="8">J27/$J$39</f>
        <v>4.4735266042533745E-4</v>
      </c>
      <c r="M27" s="1545"/>
      <c r="N27" s="1547">
        <f t="shared" ref="N27:N29" si="9">L27*$V$20</f>
        <v>6.1239241673557483E-5</v>
      </c>
      <c r="O27" s="1548"/>
      <c r="P27" s="1547">
        <f t="shared" ref="P27:P29" si="10">N27*365.25*24/1000</f>
        <v>5.3682319251040494E-4</v>
      </c>
      <c r="Q27" s="1548"/>
      <c r="R27" s="263"/>
      <c r="S27" s="263"/>
      <c r="T27" s="263"/>
      <c r="U27" s="263"/>
      <c r="V27" s="263"/>
      <c r="W27" s="263"/>
      <c r="X27" s="263"/>
      <c r="Y27" s="263"/>
      <c r="Z27" s="263"/>
      <c r="AA27" s="263"/>
      <c r="AB27" s="263"/>
      <c r="AC27" s="263"/>
      <c r="AD27" s="263"/>
      <c r="AE27" s="263"/>
      <c r="AF27" s="263"/>
      <c r="AG27" s="264"/>
      <c r="AH27" s="258"/>
      <c r="AI27" s="259">
        <v>5</v>
      </c>
      <c r="AJ27" s="259">
        <v>12</v>
      </c>
      <c r="AK27" s="259"/>
      <c r="AL27" s="259"/>
      <c r="AM27" s="259"/>
      <c r="AN27" s="265">
        <f t="shared" si="0"/>
        <v>72.146000000000001</v>
      </c>
      <c r="AO27" s="259">
        <f t="shared" si="1"/>
        <v>8</v>
      </c>
      <c r="AP27" s="266">
        <f t="shared" si="2"/>
        <v>30.095238095238098</v>
      </c>
      <c r="AQ27" s="259">
        <f t="shared" si="3"/>
        <v>5</v>
      </c>
      <c r="AR27" s="259">
        <f t="shared" si="4"/>
        <v>6</v>
      </c>
      <c r="AS27" s="266">
        <f t="shared" si="5"/>
        <v>30.095238095238098</v>
      </c>
      <c r="AT27" s="259">
        <f t="shared" si="6"/>
        <v>0</v>
      </c>
      <c r="AU27" s="258"/>
      <c r="AV27" s="238"/>
      <c r="AW27" s="238"/>
      <c r="AX27" s="238"/>
      <c r="AY27" s="238"/>
      <c r="AZ27" s="238"/>
      <c r="BA27" s="239" t="s">
        <v>650</v>
      </c>
      <c r="BB27" s="239">
        <v>8.8999999999999999E-3</v>
      </c>
      <c r="BC27" s="239">
        <v>1.9E-3</v>
      </c>
      <c r="BD27" s="238"/>
      <c r="BE27" s="238"/>
      <c r="BF27" s="238"/>
      <c r="BG27" s="238"/>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row>
    <row r="28" spans="1:90" s="240" customFormat="1" ht="14.25" customHeight="1">
      <c r="A28" s="267" t="s">
        <v>424</v>
      </c>
      <c r="B28" s="268"/>
      <c r="C28" s="268"/>
      <c r="D28" s="268"/>
      <c r="E28" s="269"/>
      <c r="F28" s="1377">
        <f>CO2eEF!P33</f>
        <v>1E-4</v>
      </c>
      <c r="G28" s="1378"/>
      <c r="H28" s="1543">
        <v>72.150000000000006</v>
      </c>
      <c r="I28" s="1544"/>
      <c r="J28" s="1545">
        <f t="shared" si="7"/>
        <v>7.2150000000000009E-3</v>
      </c>
      <c r="K28" s="1545"/>
      <c r="L28" s="1546">
        <f t="shared" si="8"/>
        <v>4.4735266042533745E-4</v>
      </c>
      <c r="M28" s="1545"/>
      <c r="N28" s="1547">
        <f t="shared" si="9"/>
        <v>6.1239241673557483E-5</v>
      </c>
      <c r="O28" s="1548"/>
      <c r="P28" s="1547">
        <f t="shared" si="10"/>
        <v>5.3682319251040494E-4</v>
      </c>
      <c r="Q28" s="1548"/>
      <c r="R28" s="263"/>
      <c r="S28" s="263"/>
      <c r="T28" s="1528"/>
      <c r="U28" s="1184"/>
      <c r="V28" s="1184"/>
      <c r="W28" s="1184"/>
      <c r="X28" s="1184"/>
      <c r="Y28" s="1184"/>
      <c r="Z28" s="1184"/>
      <c r="AA28" s="1184"/>
      <c r="AB28" s="1184"/>
      <c r="AC28" s="1184"/>
      <c r="AD28" s="1184"/>
      <c r="AE28" s="1184"/>
      <c r="AF28" s="263"/>
      <c r="AG28" s="264"/>
      <c r="AH28" s="258"/>
      <c r="AI28" s="259">
        <v>5</v>
      </c>
      <c r="AJ28" s="259">
        <v>12</v>
      </c>
      <c r="AK28" s="259"/>
      <c r="AL28" s="259"/>
      <c r="AM28" s="259"/>
      <c r="AN28" s="265">
        <f t="shared" si="0"/>
        <v>72.146000000000001</v>
      </c>
      <c r="AO28" s="259">
        <f t="shared" si="1"/>
        <v>8</v>
      </c>
      <c r="AP28" s="266">
        <f t="shared" si="2"/>
        <v>30.095238095238098</v>
      </c>
      <c r="AQ28" s="259">
        <f t="shared" si="3"/>
        <v>5</v>
      </c>
      <c r="AR28" s="259">
        <f t="shared" si="4"/>
        <v>6</v>
      </c>
      <c r="AS28" s="266">
        <f t="shared" si="5"/>
        <v>30.095238095238098</v>
      </c>
      <c r="AT28" s="259">
        <f t="shared" si="6"/>
        <v>0</v>
      </c>
      <c r="AU28" s="258"/>
      <c r="AV28" s="238"/>
      <c r="AW28" s="238"/>
      <c r="AX28" s="238"/>
      <c r="AY28" s="238"/>
      <c r="AZ28" s="238"/>
      <c r="BA28" s="239" t="s">
        <v>651</v>
      </c>
      <c r="BB28" s="239">
        <v>2.0000000000000001E-4</v>
      </c>
      <c r="BC28" s="239">
        <v>2.9999999999999997E-4</v>
      </c>
      <c r="BD28" s="238"/>
      <c r="BE28" s="238"/>
      <c r="BF28" s="238"/>
      <c r="BG28" s="238"/>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row>
    <row r="29" spans="1:90" s="240" customFormat="1" ht="14.25" customHeight="1">
      <c r="A29" s="267" t="s">
        <v>721</v>
      </c>
      <c r="B29" s="268"/>
      <c r="C29" s="268"/>
      <c r="D29" s="268"/>
      <c r="E29" s="269"/>
      <c r="F29" s="1377">
        <f>1-(SUM(F18:F28)+SUM(F30:G38))</f>
        <v>2.00000000000089E-4</v>
      </c>
      <c r="G29" s="1378"/>
      <c r="H29" s="1546">
        <v>86.177000000000007</v>
      </c>
      <c r="I29" s="1549"/>
      <c r="J29" s="1545">
        <f t="shared" si="7"/>
        <v>1.7235400000007672E-2</v>
      </c>
      <c r="K29" s="1545"/>
      <c r="L29" s="1546">
        <f t="shared" si="8"/>
        <v>1.0686489318777951E-3</v>
      </c>
      <c r="M29" s="1545"/>
      <c r="N29" s="1547">
        <f t="shared" si="9"/>
        <v>1.4629006596547504E-4</v>
      </c>
      <c r="O29" s="1548"/>
      <c r="P29" s="1547">
        <f t="shared" si="10"/>
        <v>1.2823787182533542E-3</v>
      </c>
      <c r="Q29" s="1548"/>
      <c r="R29" s="263"/>
      <c r="S29" s="263"/>
      <c r="T29" s="1184"/>
      <c r="U29" s="1184"/>
      <c r="V29" s="1184"/>
      <c r="W29" s="1184"/>
      <c r="X29" s="1184"/>
      <c r="Y29" s="1184"/>
      <c r="Z29" s="1184"/>
      <c r="AA29" s="1184"/>
      <c r="AB29" s="1184"/>
      <c r="AC29" s="1184"/>
      <c r="AD29" s="1184"/>
      <c r="AE29" s="1184"/>
      <c r="AF29" s="263"/>
      <c r="AG29" s="264"/>
      <c r="AH29" s="258"/>
      <c r="AI29" s="259">
        <v>6</v>
      </c>
      <c r="AJ29" s="259">
        <v>14</v>
      </c>
      <c r="AK29" s="259"/>
      <c r="AL29" s="259"/>
      <c r="AM29" s="259"/>
      <c r="AN29" s="265">
        <f t="shared" si="0"/>
        <v>86.171999999999997</v>
      </c>
      <c r="AO29" s="259">
        <f t="shared" si="1"/>
        <v>9.5</v>
      </c>
      <c r="AP29" s="266">
        <f t="shared" si="2"/>
        <v>35.738095238095241</v>
      </c>
      <c r="AQ29" s="259">
        <f t="shared" si="3"/>
        <v>6</v>
      </c>
      <c r="AR29" s="259">
        <f t="shared" si="4"/>
        <v>7</v>
      </c>
      <c r="AS29" s="266">
        <f t="shared" si="5"/>
        <v>35.738095238095241</v>
      </c>
      <c r="AT29" s="259">
        <f t="shared" si="6"/>
        <v>0</v>
      </c>
      <c r="AU29" s="258"/>
      <c r="AV29" s="238"/>
      <c r="AW29" s="238"/>
      <c r="AX29" s="238"/>
      <c r="AY29" s="238"/>
      <c r="AZ29" s="238"/>
      <c r="BA29" s="239" t="s">
        <v>652</v>
      </c>
      <c r="BB29" s="239">
        <v>0</v>
      </c>
      <c r="BC29" s="239">
        <v>5.0000000000000001E-4</v>
      </c>
      <c r="BD29" s="238"/>
      <c r="BE29" s="238"/>
      <c r="BF29" s="238"/>
      <c r="BG29" s="238"/>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row>
    <row r="30" spans="1:90" s="240" customFormat="1" ht="14.25" customHeight="1">
      <c r="A30" s="267" t="s">
        <v>426</v>
      </c>
      <c r="B30" s="268"/>
      <c r="C30" s="268"/>
      <c r="D30" s="268"/>
      <c r="E30" s="269"/>
      <c r="F30" s="1377">
        <v>0</v>
      </c>
      <c r="G30" s="1378"/>
      <c r="H30" s="1299"/>
      <c r="I30" s="1301"/>
      <c r="J30" s="1300"/>
      <c r="K30" s="1300"/>
      <c r="L30" s="1299"/>
      <c r="M30" s="1300"/>
      <c r="N30" s="1299">
        <f>SUM(H30,J30,L30)*AN30</f>
        <v>0</v>
      </c>
      <c r="O30" s="1301"/>
      <c r="P30" s="1299"/>
      <c r="Q30" s="1301"/>
      <c r="R30" s="263"/>
      <c r="S30" s="263"/>
      <c r="T30" s="1184"/>
      <c r="U30" s="1184"/>
      <c r="V30" s="1184"/>
      <c r="W30" s="1184"/>
      <c r="X30" s="1184"/>
      <c r="Y30" s="1184"/>
      <c r="Z30" s="1184"/>
      <c r="AA30" s="1184"/>
      <c r="AB30" s="1184"/>
      <c r="AC30" s="1184"/>
      <c r="AD30" s="1184"/>
      <c r="AE30" s="1184"/>
      <c r="AF30" s="263"/>
      <c r="AG30" s="264"/>
      <c r="AH30" s="258"/>
      <c r="AI30" s="259"/>
      <c r="AJ30" s="259"/>
      <c r="AK30" s="259"/>
      <c r="AL30" s="259"/>
      <c r="AM30" s="259"/>
      <c r="AN30" s="265">
        <v>4.0030000000000001</v>
      </c>
      <c r="AO30" s="259"/>
      <c r="AP30" s="266"/>
      <c r="AQ30" s="259"/>
      <c r="AR30" s="259"/>
      <c r="AS30" s="266"/>
      <c r="AT30" s="259"/>
      <c r="AU30" s="258"/>
      <c r="AV30" s="238"/>
      <c r="AW30" s="238"/>
      <c r="AX30" s="238"/>
      <c r="AY30" s="238"/>
      <c r="AZ30" s="238"/>
      <c r="BA30" s="239" t="s">
        <v>653</v>
      </c>
      <c r="BB30" s="239">
        <v>0</v>
      </c>
      <c r="BC30" s="239">
        <v>1E-4</v>
      </c>
      <c r="BD30" s="238"/>
      <c r="BE30" s="238"/>
      <c r="BF30" s="238"/>
      <c r="BG30" s="238"/>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row>
    <row r="31" spans="1:90" s="240" customFormat="1" ht="14.25" customHeight="1">
      <c r="A31" s="267" t="s">
        <v>427</v>
      </c>
      <c r="B31" s="268"/>
      <c r="C31" s="268"/>
      <c r="D31" s="268"/>
      <c r="E31" s="269"/>
      <c r="F31" s="1377">
        <v>0</v>
      </c>
      <c r="G31" s="1378"/>
      <c r="H31" s="1299"/>
      <c r="I31" s="1301"/>
      <c r="J31" s="1300"/>
      <c r="K31" s="1300"/>
      <c r="L31" s="1299"/>
      <c r="M31" s="1300"/>
      <c r="N31" s="1299">
        <f>SUM(H31,J31,L31)*AN31</f>
        <v>0</v>
      </c>
      <c r="O31" s="1301"/>
      <c r="P31" s="1299"/>
      <c r="Q31" s="1301"/>
      <c r="R31" s="263"/>
      <c r="S31" s="263"/>
      <c r="T31" s="1184"/>
      <c r="U31" s="1184"/>
      <c r="V31" s="1184"/>
      <c r="W31" s="1184"/>
      <c r="X31" s="1184"/>
      <c r="Y31" s="1184"/>
      <c r="Z31" s="1184"/>
      <c r="AA31" s="1184"/>
      <c r="AB31" s="1184"/>
      <c r="AC31" s="1184"/>
      <c r="AD31" s="1184"/>
      <c r="AE31" s="1184"/>
      <c r="AF31" s="263"/>
      <c r="AG31" s="264"/>
      <c r="AH31" s="258"/>
      <c r="AI31" s="259"/>
      <c r="AJ31" s="259">
        <v>2</v>
      </c>
      <c r="AK31" s="259"/>
      <c r="AL31" s="259"/>
      <c r="AM31" s="259">
        <v>1</v>
      </c>
      <c r="AN31" s="265">
        <f t="shared" si="0"/>
        <v>34.015999999999998</v>
      </c>
      <c r="AO31" s="259">
        <f t="shared" si="1"/>
        <v>1.5</v>
      </c>
      <c r="AP31" s="266">
        <f t="shared" si="2"/>
        <v>5.6428571428571432</v>
      </c>
      <c r="AQ31" s="259">
        <f t="shared" si="3"/>
        <v>0</v>
      </c>
      <c r="AR31" s="259">
        <f t="shared" si="4"/>
        <v>1</v>
      </c>
      <c r="AS31" s="266">
        <f t="shared" si="5"/>
        <v>5.6428571428571432</v>
      </c>
      <c r="AT31" s="259">
        <f t="shared" si="6"/>
        <v>1</v>
      </c>
      <c r="AU31" s="258"/>
      <c r="AV31" s="238"/>
      <c r="AW31" s="238"/>
      <c r="AX31" s="238"/>
      <c r="AY31" s="238"/>
      <c r="AZ31" s="238"/>
      <c r="BA31" s="239" t="s">
        <v>654</v>
      </c>
      <c r="BB31" s="239">
        <v>0</v>
      </c>
      <c r="BC31" s="239">
        <v>4.0000000000000002E-4</v>
      </c>
      <c r="BD31" s="238"/>
      <c r="BE31" s="238"/>
      <c r="BF31" s="238"/>
      <c r="BG31" s="238"/>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row>
    <row r="32" spans="1:90" s="240" customFormat="1" ht="14.25" customHeight="1">
      <c r="A32" s="267" t="s">
        <v>428</v>
      </c>
      <c r="B32" s="268"/>
      <c r="C32" s="268"/>
      <c r="D32" s="268"/>
      <c r="E32" s="269"/>
      <c r="F32" s="1377">
        <v>0</v>
      </c>
      <c r="G32" s="1378"/>
      <c r="H32" s="1299"/>
      <c r="I32" s="1301"/>
      <c r="J32" s="1300"/>
      <c r="K32" s="1300"/>
      <c r="L32" s="1299">
        <v>0</v>
      </c>
      <c r="M32" s="1300"/>
      <c r="N32" s="1299">
        <f>SUM(H32,J32,L32)*AN32</f>
        <v>0</v>
      </c>
      <c r="O32" s="1301"/>
      <c r="P32" s="1299"/>
      <c r="Q32" s="1301"/>
      <c r="R32" s="263"/>
      <c r="S32" s="263"/>
      <c r="T32" s="1184"/>
      <c r="U32" s="1184"/>
      <c r="V32" s="1184"/>
      <c r="W32" s="1184"/>
      <c r="X32" s="1184"/>
      <c r="Y32" s="1184"/>
      <c r="Z32" s="1184"/>
      <c r="AA32" s="1184"/>
      <c r="AB32" s="1184"/>
      <c r="AC32" s="1184"/>
      <c r="AD32" s="1184"/>
      <c r="AE32" s="1184"/>
      <c r="AF32" s="263"/>
      <c r="AG32" s="264"/>
      <c r="AH32" s="258"/>
      <c r="AI32" s="259"/>
      <c r="AJ32" s="259"/>
      <c r="AK32" s="259">
        <v>2</v>
      </c>
      <c r="AL32" s="259"/>
      <c r="AM32" s="259"/>
      <c r="AN32" s="265">
        <f t="shared" si="0"/>
        <v>32</v>
      </c>
      <c r="AO32" s="259">
        <f t="shared" si="1"/>
        <v>0</v>
      </c>
      <c r="AP32" s="266">
        <f t="shared" si="2"/>
        <v>0</v>
      </c>
      <c r="AQ32" s="259">
        <f t="shared" si="3"/>
        <v>0</v>
      </c>
      <c r="AR32" s="259">
        <f t="shared" si="4"/>
        <v>0</v>
      </c>
      <c r="AS32" s="266">
        <f t="shared" si="5"/>
        <v>0</v>
      </c>
      <c r="AT32" s="259">
        <f t="shared" si="6"/>
        <v>0</v>
      </c>
      <c r="AU32" s="258"/>
      <c r="AV32" s="238"/>
      <c r="AW32" s="238"/>
      <c r="AX32" s="238"/>
      <c r="AY32" s="238"/>
      <c r="AZ32" s="238"/>
      <c r="BA32" s="239" t="s">
        <v>655</v>
      </c>
      <c r="BB32" s="239">
        <v>0</v>
      </c>
      <c r="BC32" s="239">
        <v>2.0000000000000001E-4</v>
      </c>
      <c r="BD32" s="238"/>
      <c r="BE32" s="238"/>
      <c r="BF32" s="238"/>
      <c r="BG32" s="238"/>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row>
    <row r="33" spans="1:90" s="240" customFormat="1" ht="14.25" customHeight="1">
      <c r="A33" s="267" t="s">
        <v>429</v>
      </c>
      <c r="B33" s="268"/>
      <c r="C33" s="268"/>
      <c r="D33" s="268"/>
      <c r="E33" s="269"/>
      <c r="F33" s="1377">
        <f>CO2eEF!P24</f>
        <v>1.5E-3</v>
      </c>
      <c r="G33" s="1378"/>
      <c r="H33" s="1547">
        <v>28.013500000000001</v>
      </c>
      <c r="I33" s="1548"/>
      <c r="J33" s="1545">
        <f t="shared" ref="J33" si="11">F33*H33</f>
        <v>4.2020250000000002E-2</v>
      </c>
      <c r="K33" s="1545"/>
      <c r="L33" s="1546">
        <f t="shared" ref="L33" si="12">J33/$J$39</f>
        <v>2.6053874745998315E-3</v>
      </c>
      <c r="M33" s="1545"/>
      <c r="N33" s="1547">
        <f t="shared" ref="N33" si="13">L33*$V$20</f>
        <v>3.5665810740586327E-4</v>
      </c>
      <c r="O33" s="1548"/>
      <c r="P33" s="1547">
        <f t="shared" ref="P33" si="14">N33*365.25*24/1000</f>
        <v>3.1264649695197971E-3</v>
      </c>
      <c r="Q33" s="1548"/>
      <c r="R33" s="263"/>
      <c r="S33" s="263"/>
      <c r="T33" s="1184"/>
      <c r="U33" s="1184"/>
      <c r="V33" s="1184"/>
      <c r="W33" s="1184"/>
      <c r="X33" s="1184"/>
      <c r="Y33" s="1184"/>
      <c r="Z33" s="1184"/>
      <c r="AA33" s="1184"/>
      <c r="AB33" s="1184"/>
      <c r="AC33" s="1184"/>
      <c r="AD33" s="1184"/>
      <c r="AE33" s="1184"/>
      <c r="AF33" s="263"/>
      <c r="AG33" s="264"/>
      <c r="AH33" s="258"/>
      <c r="AI33" s="259"/>
      <c r="AJ33" s="259"/>
      <c r="AK33" s="259"/>
      <c r="AL33" s="259">
        <v>2</v>
      </c>
      <c r="AM33" s="259"/>
      <c r="AN33" s="265">
        <f t="shared" si="0"/>
        <v>28</v>
      </c>
      <c r="AO33" s="259">
        <f t="shared" si="1"/>
        <v>0</v>
      </c>
      <c r="AP33" s="266">
        <f t="shared" si="2"/>
        <v>0</v>
      </c>
      <c r="AQ33" s="259">
        <f t="shared" si="3"/>
        <v>0</v>
      </c>
      <c r="AR33" s="259">
        <f t="shared" si="4"/>
        <v>0</v>
      </c>
      <c r="AS33" s="266">
        <f t="shared" si="5"/>
        <v>1</v>
      </c>
      <c r="AT33" s="259">
        <f t="shared" si="6"/>
        <v>0</v>
      </c>
      <c r="AU33" s="258"/>
      <c r="AV33" s="238"/>
      <c r="AW33" s="238"/>
      <c r="AX33" s="238"/>
      <c r="AY33" s="238"/>
      <c r="AZ33" s="238"/>
      <c r="BA33" s="239" t="s">
        <v>656</v>
      </c>
      <c r="BB33" s="239">
        <v>1.5E-3</v>
      </c>
      <c r="BC33" s="239">
        <v>0</v>
      </c>
      <c r="BD33" s="238"/>
      <c r="BE33" s="238"/>
      <c r="BF33" s="238"/>
      <c r="BG33" s="238"/>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row>
    <row r="34" spans="1:90" s="240" customFormat="1" ht="14.25" customHeight="1">
      <c r="A34" s="267" t="s">
        <v>115</v>
      </c>
      <c r="B34" s="268"/>
      <c r="C34" s="268"/>
      <c r="D34" s="268"/>
      <c r="E34" s="269"/>
      <c r="F34" s="1377">
        <v>0</v>
      </c>
      <c r="G34" s="1378"/>
      <c r="H34" s="1299"/>
      <c r="I34" s="1301"/>
      <c r="J34" s="1300"/>
      <c r="K34" s="1300"/>
      <c r="L34" s="1299"/>
      <c r="M34" s="1300"/>
      <c r="N34" s="1299">
        <f>SUM(H34,J34,L34)*AN34</f>
        <v>0</v>
      </c>
      <c r="O34" s="1301"/>
      <c r="P34" s="1299"/>
      <c r="Q34" s="1301"/>
      <c r="R34" s="263"/>
      <c r="S34" s="263"/>
      <c r="T34" s="1184"/>
      <c r="U34" s="1184"/>
      <c r="V34" s="1184"/>
      <c r="W34" s="1184"/>
      <c r="X34" s="1184"/>
      <c r="Y34" s="1184"/>
      <c r="Z34" s="1184"/>
      <c r="AA34" s="1184"/>
      <c r="AB34" s="1184"/>
      <c r="AC34" s="1184"/>
      <c r="AD34" s="1184"/>
      <c r="AE34" s="1184"/>
      <c r="AF34" s="263"/>
      <c r="AG34" s="264"/>
      <c r="AH34" s="258"/>
      <c r="AI34" s="258">
        <v>1</v>
      </c>
      <c r="AJ34" s="258"/>
      <c r="AK34" s="258">
        <v>1</v>
      </c>
      <c r="AL34" s="258"/>
      <c r="AM34" s="258"/>
      <c r="AN34" s="265">
        <f t="shared" si="0"/>
        <v>28.009999999999998</v>
      </c>
      <c r="AO34" s="259"/>
      <c r="AP34" s="258"/>
      <c r="AQ34" s="258"/>
      <c r="AR34" s="258"/>
      <c r="AS34" s="258"/>
      <c r="AT34" s="258"/>
      <c r="AU34" s="258"/>
      <c r="AV34" s="238"/>
      <c r="AW34" s="238"/>
      <c r="AX34" s="238"/>
      <c r="AY34" s="238"/>
      <c r="AZ34" s="238"/>
      <c r="BA34" s="239" t="s">
        <v>657</v>
      </c>
      <c r="BB34" s="239">
        <v>1E-4</v>
      </c>
      <c r="BC34" s="239">
        <v>0</v>
      </c>
      <c r="BD34" s="238"/>
      <c r="BE34" s="238"/>
      <c r="BF34" s="238"/>
      <c r="BG34" s="238"/>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row>
    <row r="35" spans="1:90" s="240" customFormat="1" ht="14.25" customHeight="1">
      <c r="A35" s="267" t="s">
        <v>126</v>
      </c>
      <c r="B35" s="268"/>
      <c r="C35" s="268"/>
      <c r="D35" s="268"/>
      <c r="E35" s="269"/>
      <c r="F35" s="1377">
        <f>CO2eEF!P25</f>
        <v>8.0000000000000004E-4</v>
      </c>
      <c r="G35" s="1378"/>
      <c r="H35" s="1543">
        <v>44.01</v>
      </c>
      <c r="I35" s="1544"/>
      <c r="J35" s="1545">
        <f t="shared" ref="J35" si="15">F35*H35</f>
        <v>3.5208000000000003E-2</v>
      </c>
      <c r="K35" s="1545"/>
      <c r="L35" s="1546">
        <f t="shared" ref="L35" si="16">J35/$J$39</f>
        <v>2.1830065791067612E-3</v>
      </c>
      <c r="M35" s="1545"/>
      <c r="N35" s="1547">
        <f t="shared" ref="N35" si="17">L35*$V$20</f>
        <v>2.9883731404610009E-4</v>
      </c>
      <c r="O35" s="1548"/>
      <c r="P35" s="1547">
        <f t="shared" ref="P35" si="18">N35*365.25*24/1000</f>
        <v>2.6196078949281137E-3</v>
      </c>
      <c r="Q35" s="1548"/>
      <c r="R35" s="263"/>
      <c r="S35" s="263"/>
      <c r="T35" s="1184"/>
      <c r="U35" s="1184"/>
      <c r="V35" s="1184"/>
      <c r="W35" s="1184"/>
      <c r="X35" s="1184"/>
      <c r="Y35" s="1184"/>
      <c r="Z35" s="1184"/>
      <c r="AA35" s="1184"/>
      <c r="AB35" s="1184"/>
      <c r="AC35" s="1184"/>
      <c r="AD35" s="1184"/>
      <c r="AE35" s="1184"/>
      <c r="AF35" s="263"/>
      <c r="AG35" s="264"/>
      <c r="AH35" s="258"/>
      <c r="AI35" s="259">
        <v>1</v>
      </c>
      <c r="AJ35" s="259"/>
      <c r="AK35" s="259">
        <v>2</v>
      </c>
      <c r="AL35" s="259"/>
      <c r="AM35" s="259"/>
      <c r="AN35" s="265">
        <f>AI35*12.01+AJ35*1.008+AK35*16+AL35*14+AM35*32</f>
        <v>44.01</v>
      </c>
      <c r="AO35" s="259"/>
      <c r="AP35" s="259"/>
      <c r="AQ35" s="259"/>
      <c r="AR35" s="259"/>
      <c r="AS35" s="259"/>
      <c r="AT35" s="259"/>
      <c r="AU35" s="258"/>
      <c r="AV35" s="238"/>
      <c r="AW35" s="238"/>
      <c r="AX35" s="238"/>
      <c r="AY35" s="238"/>
      <c r="AZ35" s="238"/>
      <c r="BA35" s="239" t="s">
        <v>658</v>
      </c>
      <c r="BB35" s="239">
        <v>0</v>
      </c>
      <c r="BC35" s="239">
        <v>0</v>
      </c>
      <c r="BD35" s="238"/>
      <c r="BE35" s="238"/>
      <c r="BF35" s="238"/>
      <c r="BG35" s="238"/>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row>
    <row r="36" spans="1:90" s="240" customFormat="1" ht="14.25" customHeight="1">
      <c r="A36" s="267" t="s">
        <v>430</v>
      </c>
      <c r="B36" s="268"/>
      <c r="C36" s="268"/>
      <c r="D36" s="268"/>
      <c r="E36" s="269"/>
      <c r="F36" s="1377">
        <v>0</v>
      </c>
      <c r="G36" s="1378"/>
      <c r="H36" s="1299"/>
      <c r="I36" s="1301"/>
      <c r="J36" s="1300"/>
      <c r="K36" s="1300"/>
      <c r="L36" s="1299"/>
      <c r="M36" s="1300"/>
      <c r="N36" s="1299">
        <f>SUM(H36,J36,L36)*AN36</f>
        <v>0</v>
      </c>
      <c r="O36" s="1301"/>
      <c r="P36" s="1299"/>
      <c r="Q36" s="1301"/>
      <c r="R36" s="263"/>
      <c r="S36" s="263"/>
      <c r="T36" s="1184"/>
      <c r="U36" s="1184"/>
      <c r="V36" s="1184"/>
      <c r="W36" s="1184"/>
      <c r="X36" s="1184"/>
      <c r="Y36" s="1184"/>
      <c r="Z36" s="1184"/>
      <c r="AA36" s="1184"/>
      <c r="AB36" s="1184"/>
      <c r="AC36" s="1184"/>
      <c r="AD36" s="1184"/>
      <c r="AE36" s="1184"/>
      <c r="AF36" s="263"/>
      <c r="AG36" s="264"/>
      <c r="AH36" s="258"/>
      <c r="AI36" s="258"/>
      <c r="AJ36" s="258"/>
      <c r="AK36" s="258">
        <v>2</v>
      </c>
      <c r="AL36" s="258">
        <v>1</v>
      </c>
      <c r="AM36" s="258"/>
      <c r="AN36" s="265">
        <f>AI36*12.01+AJ36*1.008+AK36*16+AL36*14+AM36*32</f>
        <v>46</v>
      </c>
      <c r="AO36" s="259"/>
      <c r="AP36" s="258"/>
      <c r="AQ36" s="258"/>
      <c r="AR36" s="258"/>
      <c r="AS36" s="258"/>
      <c r="AT36" s="258"/>
      <c r="AU36" s="258"/>
      <c r="AV36" s="238"/>
      <c r="AW36" s="238"/>
      <c r="AX36" s="238"/>
      <c r="AY36" s="238"/>
      <c r="AZ36" s="238"/>
      <c r="BA36" s="239" t="s">
        <v>659</v>
      </c>
      <c r="BB36" s="239">
        <v>0</v>
      </c>
      <c r="BC36" s="239">
        <v>0</v>
      </c>
      <c r="BD36" s="238"/>
      <c r="BE36" s="238"/>
      <c r="BF36" s="238"/>
      <c r="BG36" s="238"/>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row>
    <row r="37" spans="1:90" s="240" customFormat="1" ht="14.25" customHeight="1">
      <c r="A37" s="267" t="s">
        <v>124</v>
      </c>
      <c r="B37" s="268"/>
      <c r="C37" s="268"/>
      <c r="D37" s="268"/>
      <c r="E37" s="269"/>
      <c r="F37" s="1377">
        <v>0</v>
      </c>
      <c r="G37" s="1378"/>
      <c r="H37" s="1299"/>
      <c r="I37" s="1301"/>
      <c r="J37" s="1300"/>
      <c r="K37" s="1300"/>
      <c r="L37" s="1299"/>
      <c r="M37" s="1300"/>
      <c r="N37" s="1299">
        <f>SUM(H37,J37,L37)*AN37</f>
        <v>0</v>
      </c>
      <c r="O37" s="1301"/>
      <c r="P37" s="1299"/>
      <c r="Q37" s="1301"/>
      <c r="R37" s="263"/>
      <c r="S37" s="263"/>
      <c r="T37" s="263"/>
      <c r="U37" s="263"/>
      <c r="V37" s="263"/>
      <c r="W37" s="263"/>
      <c r="X37" s="263"/>
      <c r="Y37" s="263"/>
      <c r="Z37" s="263"/>
      <c r="AA37" s="263"/>
      <c r="AB37" s="263"/>
      <c r="AC37" s="263"/>
      <c r="AD37" s="263"/>
      <c r="AE37" s="263"/>
      <c r="AF37" s="263"/>
      <c r="AG37" s="264"/>
      <c r="AH37" s="258"/>
      <c r="AI37" s="258"/>
      <c r="AJ37" s="258"/>
      <c r="AK37" s="258">
        <v>2</v>
      </c>
      <c r="AL37" s="258"/>
      <c r="AM37" s="258">
        <v>1</v>
      </c>
      <c r="AN37" s="265">
        <f>AI37*12.01+AJ37*1.008+AK37*16+AL37*14+AM37*32</f>
        <v>64</v>
      </c>
      <c r="AO37" s="259"/>
      <c r="AP37" s="258"/>
      <c r="AQ37" s="258"/>
      <c r="AR37" s="258"/>
      <c r="AS37" s="258"/>
      <c r="AT37" s="258"/>
      <c r="AU37" s="258"/>
      <c r="AV37" s="238"/>
      <c r="AW37" s="238"/>
      <c r="AX37" s="238"/>
      <c r="AY37" s="238"/>
      <c r="AZ37" s="238"/>
      <c r="BA37" s="239" t="s">
        <v>660</v>
      </c>
      <c r="BB37" s="239">
        <v>0</v>
      </c>
      <c r="BC37" s="239">
        <v>0</v>
      </c>
      <c r="BD37" s="238"/>
      <c r="BE37" s="238"/>
      <c r="BF37" s="238"/>
      <c r="BG37" s="238"/>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row>
    <row r="38" spans="1:90" s="240" customFormat="1" ht="14.25" customHeight="1">
      <c r="A38" s="273" t="s">
        <v>431</v>
      </c>
      <c r="B38" s="274"/>
      <c r="C38" s="274"/>
      <c r="D38" s="274"/>
      <c r="E38" s="274"/>
      <c r="F38" s="1377">
        <f>CO2eEF!P47</f>
        <v>0</v>
      </c>
      <c r="G38" s="1378"/>
      <c r="H38" s="1299"/>
      <c r="I38" s="1301"/>
      <c r="J38" s="1384"/>
      <c r="K38" s="1384"/>
      <c r="L38" s="1382"/>
      <c r="M38" s="1384"/>
      <c r="N38" s="1299">
        <f>SUM(H38,J38,L38)*AN38</f>
        <v>0</v>
      </c>
      <c r="O38" s="1301"/>
      <c r="P38" s="1299"/>
      <c r="Q38" s="1301"/>
      <c r="R38" s="263"/>
      <c r="S38" s="263"/>
      <c r="T38" s="263"/>
      <c r="U38" s="263"/>
      <c r="V38" s="263"/>
      <c r="W38" s="263"/>
      <c r="X38" s="263"/>
      <c r="Y38" s="263"/>
      <c r="Z38" s="263"/>
      <c r="AA38" s="263"/>
      <c r="AB38" s="263"/>
      <c r="AC38" s="263"/>
      <c r="AD38" s="263"/>
      <c r="AE38" s="263"/>
      <c r="AF38" s="263"/>
      <c r="AG38" s="264"/>
      <c r="AH38" s="258"/>
      <c r="AI38" s="258"/>
      <c r="AJ38" s="258">
        <v>2</v>
      </c>
      <c r="AK38" s="258">
        <v>1</v>
      </c>
      <c r="AL38" s="258"/>
      <c r="AM38" s="258"/>
      <c r="AN38" s="265">
        <f>AI38*12.01+AJ38*1.008+AK38*16+AL38*14+AM38*32</f>
        <v>18.015999999999998</v>
      </c>
      <c r="AO38" s="259"/>
      <c r="AP38" s="258"/>
      <c r="AQ38" s="258"/>
      <c r="AR38" s="258"/>
      <c r="AS38" s="258"/>
      <c r="AT38" s="258"/>
      <c r="AU38" s="258"/>
      <c r="AV38" s="238"/>
      <c r="AW38" s="238"/>
      <c r="AX38" s="238"/>
      <c r="AY38" s="238"/>
      <c r="AZ38" s="238"/>
      <c r="BA38" s="239" t="s">
        <v>661</v>
      </c>
      <c r="BB38" s="239">
        <v>0</v>
      </c>
      <c r="BC38" s="239">
        <v>0</v>
      </c>
      <c r="BD38" s="238"/>
      <c r="BE38" s="238"/>
      <c r="BF38" s="238"/>
      <c r="BG38" s="238"/>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row>
    <row r="39" spans="1:90" s="240" customFormat="1" ht="14.25" customHeight="1">
      <c r="A39" s="1391" t="s">
        <v>663</v>
      </c>
      <c r="B39" s="1392"/>
      <c r="C39" s="1392"/>
      <c r="D39" s="1392"/>
      <c r="E39" s="1393"/>
      <c r="F39" s="1394">
        <f>SUM(F18:F38)</f>
        <v>1</v>
      </c>
      <c r="G39" s="1395"/>
      <c r="H39" s="1371">
        <v>6106.1389961389959</v>
      </c>
      <c r="I39" s="1373"/>
      <c r="J39" s="1395">
        <f>SUM(J18:K38)</f>
        <v>16.128215250000004</v>
      </c>
      <c r="K39" s="1395"/>
      <c r="L39" s="1371">
        <v>0</v>
      </c>
      <c r="M39" s="1372"/>
      <c r="N39" s="1394">
        <f>SUM(N18:O38)</f>
        <v>0.13689253935660509</v>
      </c>
      <c r="O39" s="1551"/>
      <c r="P39" s="1552">
        <f>SUM(P19:Q38)</f>
        <v>1.2000000000000004</v>
      </c>
      <c r="Q39" s="1553"/>
      <c r="R39" s="275"/>
      <c r="S39" s="275"/>
      <c r="T39" s="30"/>
      <c r="U39" s="30"/>
      <c r="V39" s="276"/>
      <c r="W39" s="276"/>
      <c r="X39" s="30"/>
      <c r="Y39" s="30"/>
      <c r="Z39" s="277"/>
      <c r="AA39" s="277"/>
      <c r="AB39" s="263"/>
      <c r="AC39" s="263"/>
      <c r="AD39" s="30"/>
      <c r="AE39" s="30"/>
      <c r="AF39" s="277"/>
      <c r="AG39" s="278"/>
      <c r="AH39" s="238"/>
      <c r="AI39" s="238"/>
      <c r="AJ39" s="238"/>
      <c r="AK39" s="238"/>
      <c r="AL39" s="238"/>
      <c r="AM39" s="238"/>
      <c r="AN39" s="238"/>
      <c r="AO39" s="238"/>
      <c r="AP39" s="238"/>
      <c r="AQ39" s="238"/>
      <c r="AR39" s="238"/>
      <c r="AS39" s="238"/>
      <c r="AT39" s="238"/>
      <c r="AU39" s="238"/>
      <c r="AV39" s="238"/>
      <c r="AW39" s="238"/>
      <c r="AX39" s="238"/>
      <c r="AY39" s="238"/>
      <c r="AZ39" s="238"/>
      <c r="BA39" s="239" t="s">
        <v>662</v>
      </c>
      <c r="BB39" s="239">
        <v>0</v>
      </c>
      <c r="BC39" s="239">
        <v>0</v>
      </c>
      <c r="BD39" s="238"/>
      <c r="BE39" s="238"/>
      <c r="BF39" s="238"/>
      <c r="BG39" s="238"/>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row>
    <row r="40" spans="1:90" s="240" customFormat="1" ht="14.25" customHeight="1">
      <c r="A40" s="279" t="s">
        <v>749</v>
      </c>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280"/>
      <c r="AH40" s="238"/>
      <c r="AI40" s="238"/>
      <c r="AJ40" s="238"/>
      <c r="AK40" s="281"/>
      <c r="AL40" s="238"/>
      <c r="AM40" s="238"/>
      <c r="AN40" s="238"/>
      <c r="AO40" s="238"/>
      <c r="AP40" s="238"/>
      <c r="AQ40" s="238"/>
      <c r="AR40" s="238"/>
      <c r="AS40" s="238"/>
      <c r="AT40" s="238"/>
      <c r="AU40" s="238"/>
      <c r="AV40" s="238"/>
      <c r="AW40" s="238"/>
      <c r="AX40" s="238"/>
      <c r="AY40" s="238"/>
      <c r="AZ40" s="238"/>
      <c r="BA40" s="239"/>
      <c r="BB40" s="239"/>
      <c r="BC40" s="239"/>
      <c r="BD40" s="238"/>
      <c r="BE40" s="238"/>
      <c r="BF40" s="238"/>
      <c r="BG40" s="238"/>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row>
    <row r="41" spans="1:90" s="240" customFormat="1" ht="14.25" customHeight="1">
      <c r="A41" s="282" t="s">
        <v>31</v>
      </c>
      <c r="B41" s="31" t="s">
        <v>751</v>
      </c>
      <c r="C41" s="30"/>
      <c r="D41" s="30"/>
      <c r="E41" s="30"/>
      <c r="F41" s="30"/>
      <c r="G41" s="30"/>
      <c r="H41" s="30"/>
      <c r="I41" s="30"/>
      <c r="J41" s="30"/>
      <c r="K41" s="30"/>
      <c r="L41" s="30"/>
      <c r="M41" s="30"/>
      <c r="N41" s="283"/>
      <c r="O41" s="283"/>
      <c r="P41" s="283"/>
      <c r="Q41" s="30"/>
      <c r="R41" s="30"/>
      <c r="S41" s="30"/>
      <c r="T41" s="30"/>
      <c r="U41" s="30"/>
      <c r="V41" s="30"/>
      <c r="W41" s="30"/>
      <c r="X41" s="30"/>
      <c r="Y41" s="30"/>
      <c r="Z41" s="30"/>
      <c r="AA41" s="30"/>
      <c r="AB41" s="30"/>
      <c r="AC41" s="30"/>
      <c r="AD41" s="30"/>
      <c r="AE41" s="30"/>
      <c r="AF41" s="30"/>
      <c r="AG41" s="253"/>
      <c r="AH41" s="238"/>
      <c r="AI41" s="238"/>
      <c r="AJ41" s="238"/>
      <c r="AK41" s="238"/>
      <c r="AL41" s="238"/>
      <c r="AM41" s="238"/>
      <c r="AN41" s="238"/>
      <c r="AO41" s="238"/>
      <c r="AP41" s="238"/>
      <c r="AQ41" s="238"/>
      <c r="AR41" s="238"/>
      <c r="AS41" s="238"/>
      <c r="AT41" s="238"/>
      <c r="AU41" s="238"/>
      <c r="AV41" s="238"/>
      <c r="AW41" s="238"/>
      <c r="AX41" s="238"/>
      <c r="AY41" s="238"/>
      <c r="AZ41" s="238"/>
      <c r="BA41" s="239" t="s">
        <v>679</v>
      </c>
      <c r="BB41" s="239">
        <v>0</v>
      </c>
      <c r="BC41" s="239">
        <v>0</v>
      </c>
      <c r="BD41" s="238"/>
      <c r="BE41" s="238"/>
      <c r="BF41" s="238"/>
      <c r="BG41" s="238"/>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row>
    <row r="42" spans="1:90" ht="14.25" customHeight="1">
      <c r="A42" s="282" t="s">
        <v>33</v>
      </c>
      <c r="B42" s="284" t="s">
        <v>726</v>
      </c>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6"/>
      <c r="AH42" s="243"/>
      <c r="AI42" s="243"/>
      <c r="AJ42" s="243"/>
      <c r="AK42" s="243"/>
      <c r="AL42" s="243"/>
      <c r="AM42" s="243"/>
      <c r="AN42" s="243"/>
      <c r="AO42" s="243"/>
      <c r="AP42" s="243"/>
      <c r="AQ42" s="243"/>
      <c r="AR42" s="243"/>
      <c r="AS42" s="243"/>
      <c r="AT42" s="243"/>
      <c r="AU42" s="243"/>
      <c r="AV42" s="243"/>
      <c r="AW42" s="243"/>
      <c r="AX42" s="243"/>
      <c r="AY42" s="243"/>
      <c r="AZ42" s="243"/>
      <c r="BA42" s="246" t="s">
        <v>681</v>
      </c>
      <c r="BB42" s="246">
        <v>0</v>
      </c>
      <c r="BC42" s="246">
        <v>0</v>
      </c>
      <c r="BD42" s="243"/>
      <c r="BE42" s="243"/>
      <c r="BF42" s="243"/>
      <c r="BG42" s="243"/>
      <c r="BH42" s="243"/>
      <c r="BI42" s="243"/>
      <c r="BJ42" s="243"/>
      <c r="BK42" s="243"/>
      <c r="BL42" s="243"/>
      <c r="BM42" s="243"/>
      <c r="BN42" s="243"/>
      <c r="BO42" s="243"/>
      <c r="BP42" s="243"/>
      <c r="BQ42" s="243"/>
      <c r="BR42" s="243"/>
      <c r="BS42" s="243"/>
      <c r="BT42" s="243"/>
      <c r="BU42" s="243"/>
      <c r="BV42" s="243"/>
      <c r="BW42" s="243"/>
      <c r="BX42" s="243"/>
      <c r="BY42" s="243"/>
      <c r="BZ42" s="243"/>
      <c r="CA42" s="243"/>
      <c r="CB42" s="243"/>
      <c r="CC42" s="243"/>
      <c r="CD42" s="243"/>
      <c r="CE42" s="243"/>
      <c r="CF42" s="243"/>
      <c r="CG42" s="243"/>
      <c r="CH42" s="243"/>
      <c r="CI42" s="243"/>
      <c r="CJ42" s="243"/>
      <c r="CK42" s="243"/>
      <c r="CL42" s="243"/>
    </row>
    <row r="43" spans="1:90" ht="14.25" customHeight="1">
      <c r="A43" s="282" t="s">
        <v>752</v>
      </c>
      <c r="B43" s="284"/>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5"/>
      <c r="AA43" s="285"/>
      <c r="AB43" s="285"/>
      <c r="AC43" s="285"/>
      <c r="AD43" s="285"/>
      <c r="AE43" s="285"/>
      <c r="AF43" s="285"/>
      <c r="AG43" s="286"/>
      <c r="AH43" s="243"/>
      <c r="AI43" s="243"/>
      <c r="AJ43" s="243"/>
      <c r="AK43" s="243"/>
      <c r="AL43" s="243"/>
      <c r="AM43" s="243"/>
      <c r="AN43" s="243"/>
      <c r="AO43" s="243"/>
      <c r="AP43" s="243"/>
      <c r="AQ43" s="243"/>
      <c r="AR43" s="243"/>
      <c r="AS43" s="243"/>
      <c r="AT43" s="243"/>
      <c r="AU43" s="243"/>
      <c r="AV43" s="243"/>
      <c r="AW43" s="243"/>
      <c r="AX43" s="243"/>
      <c r="AY43" s="243"/>
      <c r="AZ43" s="243"/>
      <c r="BA43" s="246" t="s">
        <v>684</v>
      </c>
      <c r="BB43" s="246">
        <v>0</v>
      </c>
      <c r="BC43" s="246">
        <v>0</v>
      </c>
      <c r="BD43" s="243"/>
      <c r="BE43" s="243"/>
      <c r="BF43" s="243"/>
      <c r="BG43" s="243"/>
      <c r="BH43" s="243"/>
      <c r="BI43" s="243"/>
      <c r="BJ43" s="243"/>
      <c r="BK43" s="243"/>
      <c r="BL43" s="243"/>
      <c r="BM43" s="243"/>
      <c r="BN43" s="243"/>
      <c r="BO43" s="243"/>
      <c r="BP43" s="243"/>
      <c r="BQ43" s="243"/>
      <c r="BR43" s="243"/>
      <c r="BS43" s="243"/>
      <c r="BT43" s="243"/>
      <c r="BU43" s="243"/>
      <c r="BV43" s="243"/>
      <c r="BW43" s="243"/>
      <c r="BX43" s="243"/>
      <c r="BY43" s="243"/>
      <c r="BZ43" s="243"/>
      <c r="CA43" s="243"/>
      <c r="CB43" s="243"/>
      <c r="CC43" s="243"/>
      <c r="CD43" s="243"/>
      <c r="CE43" s="243"/>
      <c r="CF43" s="243"/>
      <c r="CG43" s="243"/>
      <c r="CH43" s="243"/>
      <c r="CI43" s="243"/>
      <c r="CJ43" s="243"/>
      <c r="CK43" s="243"/>
      <c r="CL43" s="243"/>
    </row>
    <row r="44" spans="1:90" ht="14.25">
      <c r="A44" s="282" t="s">
        <v>38</v>
      </c>
      <c r="B44" s="284"/>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6"/>
      <c r="AH44" s="243"/>
      <c r="AI44" s="243"/>
      <c r="AJ44" s="243"/>
      <c r="AK44" s="243"/>
      <c r="AL44" s="243"/>
      <c r="AM44" s="243"/>
      <c r="AN44" s="243"/>
      <c r="AO44" s="243"/>
      <c r="AP44" s="243"/>
      <c r="AQ44" s="243"/>
      <c r="AR44" s="243"/>
      <c r="AS44" s="243"/>
      <c r="AT44" s="243"/>
      <c r="AU44" s="243"/>
      <c r="AV44" s="243"/>
      <c r="AW44" s="243"/>
      <c r="AX44" s="243"/>
      <c r="AY44" s="243"/>
      <c r="AZ44" s="243"/>
      <c r="BA44" s="246"/>
      <c r="BB44" s="246"/>
      <c r="BC44" s="246"/>
      <c r="BD44" s="243"/>
      <c r="BE44" s="243"/>
      <c r="BF44" s="243"/>
      <c r="BG44" s="243"/>
      <c r="BH44" s="243"/>
      <c r="BI44" s="243"/>
      <c r="BJ44" s="243"/>
      <c r="BK44" s="243"/>
      <c r="BL44" s="243"/>
      <c r="BM44" s="243"/>
      <c r="BN44" s="243"/>
      <c r="BO44" s="243"/>
      <c r="BP44" s="243"/>
      <c r="BQ44" s="243"/>
      <c r="BR44" s="243"/>
      <c r="BS44" s="243"/>
      <c r="BT44" s="243"/>
      <c r="BU44" s="243"/>
      <c r="BV44" s="243"/>
      <c r="BW44" s="243"/>
      <c r="BX44" s="243"/>
      <c r="BY44" s="243"/>
      <c r="BZ44" s="243"/>
      <c r="CA44" s="243"/>
      <c r="CB44" s="243"/>
      <c r="CC44" s="243"/>
      <c r="CD44" s="243"/>
      <c r="CE44" s="243"/>
      <c r="CF44" s="243"/>
      <c r="CG44" s="243"/>
      <c r="CH44" s="243"/>
      <c r="CI44" s="243"/>
      <c r="CJ44" s="243"/>
      <c r="CK44" s="243"/>
      <c r="CL44" s="243"/>
    </row>
    <row r="45" spans="1:90" ht="14.25">
      <c r="A45" s="282" t="s">
        <v>41</v>
      </c>
      <c r="B45" s="284"/>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43"/>
      <c r="AI45" s="243"/>
      <c r="AJ45" s="243"/>
      <c r="AK45" s="243"/>
      <c r="AL45" s="243"/>
      <c r="AM45" s="243"/>
      <c r="AN45" s="243"/>
      <c r="AO45" s="243"/>
      <c r="AP45" s="243"/>
      <c r="AQ45" s="243"/>
      <c r="AR45" s="243"/>
      <c r="AS45" s="243"/>
      <c r="AT45" s="243"/>
      <c r="AU45" s="243"/>
      <c r="AV45" s="243"/>
      <c r="AW45" s="243"/>
      <c r="AX45" s="243"/>
      <c r="AY45" s="243"/>
      <c r="AZ45" s="243"/>
      <c r="BA45" s="246" t="s">
        <v>688</v>
      </c>
      <c r="BB45" s="246">
        <v>0</v>
      </c>
      <c r="BC45" s="246">
        <v>0</v>
      </c>
      <c r="BD45" s="243"/>
      <c r="BE45" s="243"/>
      <c r="BF45" s="243"/>
      <c r="BG45" s="243"/>
      <c r="BH45" s="243"/>
      <c r="BI45" s="243"/>
      <c r="BJ45" s="243"/>
      <c r="BK45" s="243"/>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row>
    <row r="46" spans="1:90">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288"/>
      <c r="AF46" s="288"/>
      <c r="AG46" s="289"/>
      <c r="AH46" s="289"/>
      <c r="AI46" s="289"/>
      <c r="AJ46" s="289"/>
      <c r="AK46" s="289"/>
      <c r="AL46" s="289"/>
      <c r="AM46" s="289"/>
      <c r="AN46" s="243"/>
      <c r="AO46" s="243"/>
      <c r="AP46" s="243"/>
      <c r="AQ46" s="243"/>
      <c r="AR46" s="243"/>
      <c r="AS46" s="243"/>
      <c r="AT46" s="243"/>
      <c r="AU46" s="243"/>
      <c r="AV46" s="243"/>
      <c r="AW46" s="243"/>
      <c r="AX46" s="243"/>
      <c r="AY46" s="243"/>
      <c r="AZ46" s="243"/>
      <c r="BA46" s="246" t="s">
        <v>690</v>
      </c>
      <c r="BB46" s="246">
        <v>2.9999999999999997E-4</v>
      </c>
      <c r="BC46" s="246">
        <v>0</v>
      </c>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row>
    <row r="47" spans="1:90">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9"/>
      <c r="AH47" s="289"/>
      <c r="AI47" s="289"/>
      <c r="AJ47" s="289"/>
      <c r="AK47" s="289"/>
      <c r="AL47" s="289"/>
      <c r="AM47" s="289"/>
      <c r="AN47" s="243"/>
      <c r="AO47" s="243"/>
      <c r="AP47" s="243"/>
      <c r="AQ47" s="243"/>
      <c r="AR47" s="243"/>
      <c r="AS47" s="243"/>
      <c r="AT47" s="243"/>
      <c r="AU47" s="243"/>
      <c r="AV47" s="243"/>
      <c r="AW47" s="243"/>
      <c r="AX47" s="243"/>
      <c r="AY47" s="243"/>
      <c r="AZ47" s="243"/>
      <c r="BA47" s="246" t="s">
        <v>691</v>
      </c>
      <c r="BB47" s="246">
        <v>0</v>
      </c>
      <c r="BC47" s="246">
        <v>0</v>
      </c>
      <c r="BD47" s="243"/>
      <c r="BE47" s="243"/>
      <c r="BF47" s="243"/>
      <c r="BG47" s="243"/>
      <c r="BH47" s="243"/>
      <c r="BI47" s="243"/>
      <c r="BJ47" s="243"/>
      <c r="BK47" s="243"/>
      <c r="BL47" s="243"/>
      <c r="BM47" s="243"/>
      <c r="BN47" s="243"/>
      <c r="BO47" s="243"/>
      <c r="BP47" s="243"/>
      <c r="BQ47" s="243"/>
      <c r="BR47" s="243"/>
      <c r="BS47" s="243"/>
      <c r="BT47" s="243"/>
      <c r="BU47" s="243"/>
      <c r="BV47" s="243"/>
      <c r="BW47" s="243"/>
      <c r="BX47" s="243"/>
      <c r="BY47" s="243"/>
      <c r="BZ47" s="243"/>
      <c r="CA47" s="243"/>
      <c r="CB47" s="243"/>
      <c r="CC47" s="243"/>
      <c r="CD47" s="243"/>
      <c r="CE47" s="243"/>
      <c r="CF47" s="243"/>
      <c r="CG47" s="243"/>
      <c r="CH47" s="243"/>
      <c r="CI47" s="243"/>
      <c r="CJ47" s="243"/>
      <c r="CK47" s="243"/>
      <c r="CL47" s="243"/>
    </row>
    <row r="48" spans="1:90">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9"/>
      <c r="AH48" s="289"/>
      <c r="AI48" s="289"/>
      <c r="AJ48" s="289"/>
      <c r="AK48" s="289"/>
      <c r="AL48" s="289"/>
      <c r="AM48" s="289"/>
      <c r="AN48" s="243"/>
      <c r="AO48" s="243"/>
      <c r="AP48" s="243"/>
      <c r="AQ48" s="243"/>
      <c r="AR48" s="243"/>
      <c r="AS48" s="243"/>
      <c r="AT48" s="243"/>
      <c r="AU48" s="243"/>
      <c r="AV48" s="243"/>
      <c r="AW48" s="243"/>
      <c r="AX48" s="243"/>
      <c r="AY48" s="243"/>
      <c r="AZ48" s="243"/>
      <c r="BA48" s="246" t="s">
        <v>692</v>
      </c>
      <c r="BB48" s="246">
        <v>0</v>
      </c>
      <c r="BC48" s="246">
        <v>0</v>
      </c>
      <c r="BD48" s="243"/>
      <c r="BE48" s="243"/>
      <c r="BF48" s="243"/>
      <c r="BG48" s="243"/>
      <c r="BH48" s="243"/>
      <c r="BI48" s="243"/>
      <c r="BJ48" s="243"/>
      <c r="BK48" s="243"/>
      <c r="BL48" s="243"/>
      <c r="BM48" s="243"/>
      <c r="BN48" s="243"/>
      <c r="BO48" s="243"/>
      <c r="BP48" s="243"/>
      <c r="BQ48" s="243"/>
      <c r="BR48" s="243"/>
      <c r="BS48" s="243"/>
      <c r="BT48" s="243"/>
      <c r="BU48" s="243"/>
      <c r="BV48" s="243"/>
      <c r="BW48" s="243"/>
      <c r="BX48" s="243"/>
      <c r="BY48" s="243"/>
      <c r="BZ48" s="243"/>
      <c r="CA48" s="243"/>
      <c r="CB48" s="243"/>
      <c r="CC48" s="243"/>
      <c r="CD48" s="243"/>
      <c r="CE48" s="243"/>
      <c r="CF48" s="243"/>
      <c r="CG48" s="243"/>
      <c r="CH48" s="243"/>
      <c r="CI48" s="243"/>
      <c r="CJ48" s="243"/>
      <c r="CK48" s="243"/>
      <c r="CL48" s="243"/>
    </row>
    <row r="49" spans="1:90">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9"/>
      <c r="AH49" s="289"/>
      <c r="AI49" s="289"/>
      <c r="AJ49" s="289"/>
      <c r="AK49" s="289"/>
      <c r="AL49" s="289"/>
      <c r="AM49" s="289"/>
      <c r="AN49" s="243"/>
      <c r="AO49" s="243"/>
      <c r="AP49" s="243"/>
      <c r="AQ49" s="243"/>
      <c r="AR49" s="243"/>
      <c r="AS49" s="243"/>
      <c r="AT49" s="243"/>
      <c r="AU49" s="243"/>
      <c r="AV49" s="243"/>
      <c r="AW49" s="243"/>
      <c r="AX49" s="243"/>
      <c r="AY49" s="243"/>
      <c r="AZ49" s="243"/>
      <c r="BA49" s="246" t="s">
        <v>693</v>
      </c>
      <c r="BB49" s="246">
        <v>0</v>
      </c>
      <c r="BC49" s="246">
        <v>0</v>
      </c>
      <c r="BD49" s="243"/>
      <c r="BE49" s="243"/>
      <c r="BF49" s="243"/>
      <c r="BG49" s="243"/>
      <c r="BH49" s="243"/>
      <c r="BI49" s="243"/>
      <c r="BJ49" s="243"/>
      <c r="BK49" s="243"/>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row>
    <row r="50" spans="1:90">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9"/>
      <c r="AH50" s="289"/>
      <c r="AI50" s="289"/>
      <c r="AJ50" s="289"/>
      <c r="AK50" s="289"/>
      <c r="AL50" s="289"/>
      <c r="AM50" s="289"/>
      <c r="AN50" s="243"/>
      <c r="AO50" s="243"/>
      <c r="AP50" s="243"/>
      <c r="AQ50" s="243"/>
      <c r="AR50" s="243"/>
      <c r="AS50" s="243"/>
      <c r="AT50" s="243"/>
      <c r="AU50" s="243"/>
      <c r="AV50" s="243"/>
      <c r="AW50" s="243"/>
      <c r="AX50" s="243"/>
      <c r="AY50" s="243"/>
      <c r="AZ50" s="243"/>
      <c r="BA50" s="246" t="s">
        <v>694</v>
      </c>
      <c r="BB50" s="246">
        <v>0</v>
      </c>
      <c r="BC50" s="246">
        <v>0</v>
      </c>
      <c r="BD50" s="243"/>
      <c r="BE50" s="243"/>
      <c r="BF50" s="243"/>
      <c r="BG50" s="243"/>
      <c r="BH50" s="243"/>
      <c r="BI50" s="243"/>
      <c r="BJ50" s="243"/>
      <c r="BK50" s="243"/>
      <c r="BL50" s="243"/>
      <c r="BM50" s="243"/>
      <c r="BN50" s="243"/>
      <c r="BO50" s="243"/>
      <c r="BP50" s="243"/>
      <c r="BQ50" s="243"/>
      <c r="BR50" s="243"/>
      <c r="BS50" s="243"/>
      <c r="BT50" s="243"/>
      <c r="BU50" s="243"/>
      <c r="BV50" s="243"/>
      <c r="BW50" s="243"/>
      <c r="BX50" s="243"/>
      <c r="BY50" s="243"/>
      <c r="BZ50" s="243"/>
      <c r="CA50" s="243"/>
      <c r="CB50" s="243"/>
      <c r="CC50" s="243"/>
      <c r="CD50" s="243"/>
      <c r="CE50" s="243"/>
      <c r="CF50" s="243"/>
      <c r="CG50" s="243"/>
      <c r="CH50" s="243"/>
      <c r="CI50" s="243"/>
      <c r="CJ50" s="243"/>
      <c r="CK50" s="243"/>
      <c r="CL50" s="243"/>
    </row>
    <row r="51" spans="1:90">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9"/>
      <c r="AH51" s="289"/>
      <c r="AI51" s="289"/>
      <c r="AJ51" s="289"/>
      <c r="AK51" s="289"/>
      <c r="AL51" s="289"/>
      <c r="AM51" s="289"/>
      <c r="AN51" s="243"/>
      <c r="AO51" s="243"/>
      <c r="AP51" s="243"/>
      <c r="AQ51" s="243"/>
      <c r="AR51" s="243"/>
      <c r="AS51" s="243"/>
      <c r="AT51" s="243"/>
      <c r="AU51" s="243"/>
      <c r="AV51" s="243"/>
      <c r="AW51" s="243"/>
      <c r="AX51" s="243"/>
      <c r="AY51" s="243"/>
      <c r="AZ51" s="243"/>
      <c r="BA51" s="246" t="s">
        <v>695</v>
      </c>
      <c r="BB51" s="246">
        <v>0</v>
      </c>
      <c r="BC51" s="246">
        <v>0</v>
      </c>
      <c r="BD51" s="243"/>
      <c r="BE51" s="243"/>
      <c r="BF51" s="243"/>
      <c r="BG51" s="243"/>
      <c r="BH51" s="243"/>
      <c r="BI51" s="243"/>
      <c r="BJ51" s="243"/>
      <c r="BK51" s="243"/>
      <c r="BL51" s="243"/>
      <c r="BM51" s="243"/>
      <c r="BN51" s="243"/>
      <c r="BO51" s="243"/>
      <c r="BP51" s="243"/>
      <c r="BQ51" s="243"/>
      <c r="BR51" s="243"/>
      <c r="BS51" s="243"/>
      <c r="BT51" s="243"/>
      <c r="BU51" s="243"/>
      <c r="BV51" s="243"/>
      <c r="BW51" s="243"/>
      <c r="BX51" s="243"/>
      <c r="BY51" s="243"/>
      <c r="BZ51" s="243"/>
      <c r="CA51" s="243"/>
      <c r="CB51" s="243"/>
      <c r="CC51" s="243"/>
      <c r="CD51" s="243"/>
      <c r="CE51" s="243"/>
      <c r="CF51" s="243"/>
      <c r="CG51" s="243"/>
      <c r="CH51" s="243"/>
      <c r="CI51" s="243"/>
      <c r="CJ51" s="243"/>
      <c r="CK51" s="243"/>
      <c r="CL51" s="243"/>
    </row>
    <row r="52" spans="1:90">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9"/>
      <c r="AH52" s="289"/>
      <c r="AI52" s="289"/>
      <c r="AJ52" s="289"/>
      <c r="AK52" s="289"/>
      <c r="AL52" s="289"/>
      <c r="AM52" s="289"/>
      <c r="AN52" s="243"/>
      <c r="AO52" s="243"/>
      <c r="AP52" s="243"/>
      <c r="AQ52" s="243"/>
      <c r="AR52" s="243"/>
      <c r="AS52" s="243"/>
      <c r="AT52" s="243"/>
      <c r="AU52" s="243"/>
      <c r="AV52" s="243"/>
      <c r="AW52" s="243"/>
      <c r="AX52" s="243"/>
      <c r="AY52" s="243"/>
      <c r="AZ52" s="243"/>
      <c r="BA52" s="246" t="s">
        <v>696</v>
      </c>
      <c r="BB52" s="246">
        <v>0</v>
      </c>
      <c r="BC52" s="246">
        <v>0</v>
      </c>
      <c r="BD52" s="243"/>
      <c r="BE52" s="243"/>
      <c r="BF52" s="243"/>
      <c r="BG52" s="243"/>
      <c r="BH52" s="243"/>
      <c r="BI52" s="243"/>
      <c r="BJ52" s="243"/>
      <c r="BK52" s="243"/>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row>
    <row r="53" spans="1:90" s="290" customFormat="1">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9"/>
      <c r="AH53" s="289"/>
      <c r="AI53" s="289"/>
      <c r="AJ53" s="289"/>
      <c r="AK53" s="289"/>
      <c r="AL53" s="289"/>
      <c r="AM53" s="289"/>
      <c r="AN53" s="243"/>
      <c r="AO53" s="243"/>
      <c r="AP53" s="243"/>
      <c r="AQ53" s="243"/>
      <c r="AR53" s="243"/>
      <c r="AS53" s="243"/>
      <c r="AT53" s="243"/>
      <c r="AU53" s="243"/>
      <c r="AV53" s="243"/>
      <c r="AW53" s="243"/>
      <c r="AX53" s="243"/>
      <c r="AY53" s="243"/>
      <c r="AZ53" s="243"/>
      <c r="BA53" s="246" t="s">
        <v>697</v>
      </c>
      <c r="BB53" s="246">
        <v>0</v>
      </c>
      <c r="BC53" s="246">
        <v>0</v>
      </c>
      <c r="BD53" s="243"/>
      <c r="BE53" s="243"/>
      <c r="BF53" s="243"/>
      <c r="BG53" s="243"/>
      <c r="BH53" s="243"/>
      <c r="BI53" s="243"/>
      <c r="BJ53" s="243"/>
      <c r="BK53" s="243"/>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row>
    <row r="54" spans="1:90" s="290" customFormat="1">
      <c r="A54" s="288"/>
      <c r="B54" s="288"/>
      <c r="C54" s="288"/>
      <c r="D54" s="288"/>
      <c r="E54" s="288"/>
      <c r="F54" s="288"/>
      <c r="G54" s="288"/>
      <c r="H54" s="288"/>
      <c r="I54" s="288"/>
      <c r="J54" s="288"/>
      <c r="K54" s="288"/>
      <c r="L54" s="288"/>
      <c r="M54" s="288"/>
      <c r="N54" s="288"/>
      <c r="O54" s="263"/>
      <c r="P54" s="288"/>
      <c r="Q54" s="288"/>
      <c r="R54" s="288"/>
      <c r="S54" s="288"/>
      <c r="T54" s="288"/>
      <c r="U54" s="288"/>
      <c r="V54" s="288"/>
      <c r="W54" s="288"/>
      <c r="X54" s="288"/>
      <c r="Y54" s="288"/>
      <c r="Z54" s="288"/>
      <c r="AA54" s="288"/>
      <c r="AB54" s="288"/>
      <c r="AC54" s="288"/>
      <c r="AD54" s="288"/>
      <c r="AE54" s="288"/>
      <c r="AF54" s="288"/>
      <c r="AG54" s="289"/>
      <c r="AH54" s="289"/>
      <c r="AI54" s="289"/>
      <c r="AJ54" s="289"/>
      <c r="AK54" s="289"/>
      <c r="AL54" s="289"/>
      <c r="AM54" s="289"/>
      <c r="AN54" s="243"/>
      <c r="AO54" s="243"/>
      <c r="AP54" s="243"/>
      <c r="AQ54" s="243"/>
      <c r="AR54" s="243"/>
      <c r="AS54" s="243"/>
      <c r="AT54" s="243"/>
      <c r="AU54" s="243"/>
      <c r="AV54" s="243"/>
      <c r="AW54" s="243"/>
      <c r="AX54" s="243"/>
      <c r="AY54" s="243"/>
      <c r="AZ54" s="243"/>
      <c r="BA54" s="246" t="s">
        <v>431</v>
      </c>
      <c r="BB54" s="246">
        <v>1E-4</v>
      </c>
      <c r="BC54" s="246">
        <v>0.17530000000000001</v>
      </c>
      <c r="BD54" s="243"/>
      <c r="BE54" s="243"/>
      <c r="BF54" s="243"/>
      <c r="BG54" s="243"/>
      <c r="BH54" s="243"/>
      <c r="BI54" s="243"/>
      <c r="BJ54" s="243"/>
      <c r="BK54" s="243"/>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row>
    <row r="55" spans="1:90" s="290" customFormat="1">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9"/>
      <c r="AH55" s="289"/>
      <c r="AI55" s="289"/>
      <c r="AJ55" s="289"/>
      <c r="AK55" s="289"/>
      <c r="AL55" s="289"/>
      <c r="AM55" s="289"/>
      <c r="AN55" s="243"/>
      <c r="AO55" s="243"/>
      <c r="AP55" s="243"/>
      <c r="AQ55" s="243"/>
      <c r="AR55" s="243"/>
      <c r="AS55" s="243"/>
      <c r="AT55" s="243"/>
      <c r="AU55" s="243"/>
      <c r="AV55" s="243"/>
      <c r="AW55" s="243"/>
      <c r="AX55" s="243"/>
      <c r="AY55" s="243"/>
      <c r="AZ55" s="243"/>
      <c r="BA55" s="243"/>
      <c r="BB55" s="246"/>
      <c r="BC55" s="246"/>
      <c r="BD55" s="243"/>
      <c r="BE55" s="243"/>
      <c r="BF55" s="243"/>
      <c r="BG55" s="243"/>
      <c r="BH55" s="243"/>
      <c r="BI55" s="243"/>
      <c r="BJ55" s="243"/>
      <c r="BK55" s="243"/>
      <c r="BL55" s="243"/>
      <c r="BM55" s="243"/>
      <c r="BN55" s="243"/>
      <c r="BO55" s="243"/>
      <c r="BP55" s="243"/>
      <c r="BQ55" s="243"/>
      <c r="BR55" s="243"/>
      <c r="BS55" s="243"/>
      <c r="BT55" s="243"/>
      <c r="BU55" s="243"/>
      <c r="BV55" s="243"/>
      <c r="BW55" s="243"/>
      <c r="BX55" s="243"/>
      <c r="BY55" s="243"/>
      <c r="BZ55" s="243"/>
      <c r="CA55" s="243"/>
      <c r="CB55" s="243"/>
      <c r="CC55" s="243"/>
      <c r="CD55" s="243"/>
      <c r="CE55" s="243"/>
      <c r="CF55" s="243"/>
      <c r="CG55" s="243"/>
      <c r="CH55" s="243"/>
      <c r="CI55" s="243"/>
      <c r="CJ55" s="243"/>
      <c r="CK55" s="243"/>
      <c r="CL55" s="243"/>
    </row>
    <row r="56" spans="1:90" s="290" customFormat="1">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9"/>
      <c r="AH56" s="289"/>
      <c r="AI56" s="289"/>
      <c r="AJ56" s="289"/>
      <c r="AK56" s="289"/>
      <c r="AL56" s="289"/>
      <c r="AM56" s="289"/>
      <c r="AN56" s="243"/>
      <c r="AO56" s="243"/>
      <c r="AP56" s="243"/>
      <c r="AQ56" s="243"/>
      <c r="AR56" s="243"/>
      <c r="AS56" s="243"/>
      <c r="AT56" s="243"/>
      <c r="AU56" s="243"/>
      <c r="AV56" s="243"/>
      <c r="AW56" s="243"/>
      <c r="AX56" s="243"/>
      <c r="AY56" s="243"/>
      <c r="AZ56" s="243"/>
      <c r="BA56" s="243"/>
      <c r="BB56" s="246"/>
      <c r="BC56" s="246"/>
      <c r="BD56" s="243"/>
      <c r="BE56" s="243"/>
      <c r="BF56" s="243"/>
      <c r="BG56" s="243"/>
      <c r="BH56" s="243"/>
      <c r="BI56" s="243"/>
      <c r="BJ56" s="243"/>
      <c r="BK56" s="243"/>
      <c r="BL56" s="243"/>
      <c r="BM56" s="243"/>
      <c r="BN56" s="243"/>
      <c r="BO56" s="243"/>
      <c r="BP56" s="243"/>
      <c r="BQ56" s="243"/>
      <c r="BR56" s="243"/>
      <c r="BS56" s="243"/>
      <c r="BT56" s="243"/>
      <c r="BU56" s="243"/>
      <c r="BV56" s="243"/>
      <c r="BW56" s="243"/>
      <c r="BX56" s="243"/>
      <c r="BY56" s="243"/>
      <c r="BZ56" s="243"/>
      <c r="CA56" s="243"/>
      <c r="CB56" s="243"/>
      <c r="CC56" s="243"/>
      <c r="CD56" s="243"/>
      <c r="CE56" s="243"/>
      <c r="CF56" s="243"/>
      <c r="CG56" s="243"/>
      <c r="CH56" s="243"/>
      <c r="CI56" s="243"/>
      <c r="CJ56" s="243"/>
      <c r="CK56" s="243"/>
      <c r="CL56" s="243"/>
    </row>
    <row r="57" spans="1:90" s="290" customFormat="1">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88"/>
      <c r="AE57" s="288"/>
      <c r="AF57" s="288"/>
      <c r="AG57" s="289"/>
      <c r="AH57" s="289"/>
      <c r="AI57" s="289"/>
      <c r="AJ57" s="289"/>
      <c r="AK57" s="289"/>
      <c r="AL57" s="289"/>
      <c r="AM57" s="289"/>
      <c r="AN57" s="243"/>
      <c r="AO57" s="243"/>
      <c r="AP57" s="243"/>
      <c r="AQ57" s="243"/>
      <c r="AR57" s="243"/>
      <c r="AS57" s="243"/>
      <c r="AT57" s="243"/>
      <c r="AU57" s="243"/>
      <c r="AV57" s="243"/>
      <c r="AW57" s="243"/>
      <c r="AX57" s="243"/>
      <c r="AY57" s="243"/>
      <c r="AZ57" s="243"/>
      <c r="BA57" s="243"/>
      <c r="BB57" s="246"/>
      <c r="BC57" s="246"/>
      <c r="BD57" s="243"/>
      <c r="BE57" s="243"/>
      <c r="BF57" s="243"/>
      <c r="BG57" s="243"/>
      <c r="BH57" s="243"/>
      <c r="BI57" s="243"/>
      <c r="BJ57" s="243"/>
      <c r="BK57" s="243"/>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row>
    <row r="58" spans="1:90" s="290" customFormat="1">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9"/>
      <c r="AH58" s="289"/>
      <c r="AI58" s="289"/>
      <c r="AJ58" s="289"/>
      <c r="AK58" s="289"/>
      <c r="AL58" s="289"/>
      <c r="AM58" s="289"/>
      <c r="AN58" s="243"/>
      <c r="AO58" s="243"/>
      <c r="AP58" s="243"/>
      <c r="AQ58" s="243"/>
      <c r="AR58" s="243"/>
      <c r="AS58" s="243"/>
      <c r="AT58" s="243"/>
      <c r="AU58" s="243"/>
      <c r="AV58" s="243"/>
      <c r="AW58" s="243"/>
      <c r="AX58" s="243"/>
      <c r="AY58" s="243"/>
      <c r="AZ58" s="243"/>
      <c r="BA58" s="243"/>
      <c r="BB58" s="246"/>
      <c r="BC58" s="246"/>
      <c r="BD58" s="243"/>
      <c r="BE58" s="243"/>
      <c r="BF58" s="243"/>
      <c r="BG58" s="243"/>
      <c r="BH58" s="243"/>
      <c r="BI58" s="243"/>
      <c r="BJ58" s="243"/>
      <c r="BK58" s="243"/>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row>
    <row r="59" spans="1:90" s="290" customFormat="1">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9"/>
      <c r="AH59" s="289"/>
      <c r="AI59" s="289"/>
      <c r="AJ59" s="289"/>
      <c r="AK59" s="289"/>
      <c r="AL59" s="289"/>
      <c r="AM59" s="289"/>
      <c r="AN59" s="243"/>
      <c r="AO59" s="243"/>
      <c r="AP59" s="243"/>
      <c r="AQ59" s="243"/>
      <c r="AR59" s="243"/>
      <c r="AS59" s="243"/>
      <c r="AT59" s="243"/>
      <c r="AU59" s="243"/>
      <c r="AV59" s="243"/>
      <c r="AW59" s="243"/>
      <c r="AX59" s="243"/>
      <c r="AY59" s="243"/>
      <c r="AZ59" s="243"/>
      <c r="BA59" s="243"/>
      <c r="BB59" s="246"/>
      <c r="BC59" s="246"/>
      <c r="BD59" s="243"/>
      <c r="BE59" s="243"/>
      <c r="BF59" s="243"/>
      <c r="BG59" s="243"/>
      <c r="BH59" s="243"/>
      <c r="BI59" s="243"/>
      <c r="BJ59" s="243"/>
      <c r="BK59" s="243"/>
      <c r="BL59" s="243"/>
      <c r="BM59" s="243"/>
      <c r="BN59" s="243"/>
      <c r="BO59" s="243"/>
      <c r="BP59" s="243"/>
      <c r="BQ59" s="243"/>
      <c r="BR59" s="243"/>
      <c r="BS59" s="243"/>
      <c r="BT59" s="243"/>
      <c r="BU59" s="243"/>
      <c r="BV59" s="243"/>
      <c r="BW59" s="243"/>
      <c r="BX59" s="243"/>
      <c r="BY59" s="243"/>
      <c r="BZ59" s="243"/>
      <c r="CA59" s="243"/>
      <c r="CB59" s="243"/>
      <c r="CC59" s="243"/>
      <c r="CD59" s="243"/>
      <c r="CE59" s="243"/>
      <c r="CF59" s="243"/>
      <c r="CG59" s="243"/>
      <c r="CH59" s="243"/>
      <c r="CI59" s="243"/>
      <c r="CJ59" s="243"/>
      <c r="CK59" s="243"/>
      <c r="CL59" s="243"/>
    </row>
    <row r="60" spans="1:90" s="290" customFormat="1">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9"/>
      <c r="AH60" s="289"/>
      <c r="AI60" s="289"/>
      <c r="AJ60" s="289"/>
      <c r="AK60" s="289"/>
      <c r="AL60" s="289"/>
      <c r="AM60" s="289"/>
      <c r="AN60" s="243"/>
      <c r="AO60" s="243"/>
      <c r="AP60" s="243"/>
      <c r="AQ60" s="243"/>
      <c r="AR60" s="243"/>
      <c r="AS60" s="243"/>
      <c r="AT60" s="243"/>
      <c r="AU60" s="243"/>
      <c r="AV60" s="243"/>
      <c r="AW60" s="243"/>
      <c r="AX60" s="243"/>
      <c r="AY60" s="243"/>
      <c r="AZ60" s="243"/>
      <c r="BA60" s="243"/>
      <c r="BB60" s="246"/>
      <c r="BC60" s="246"/>
      <c r="BD60" s="243"/>
      <c r="BE60" s="243"/>
      <c r="BF60" s="243"/>
      <c r="BG60" s="243"/>
      <c r="BH60" s="243"/>
      <c r="BI60" s="243"/>
      <c r="BJ60" s="243"/>
      <c r="BK60" s="243"/>
      <c r="BL60" s="243"/>
      <c r="BM60" s="243"/>
      <c r="BN60" s="243"/>
      <c r="BO60" s="243"/>
      <c r="BP60" s="243"/>
      <c r="BQ60" s="243"/>
      <c r="BR60" s="243"/>
      <c r="BS60" s="243"/>
      <c r="BT60" s="243"/>
      <c r="BU60" s="243"/>
      <c r="BV60" s="243"/>
      <c r="BW60" s="243"/>
      <c r="BX60" s="243"/>
      <c r="BY60" s="243"/>
      <c r="BZ60" s="243"/>
      <c r="CA60" s="243"/>
      <c r="CB60" s="243"/>
      <c r="CC60" s="243"/>
      <c r="CD60" s="243"/>
      <c r="CE60" s="243"/>
      <c r="CF60" s="243"/>
      <c r="CG60" s="243"/>
      <c r="CH60" s="243"/>
      <c r="CI60" s="243"/>
      <c r="CJ60" s="243"/>
      <c r="CK60" s="243"/>
      <c r="CL60" s="243"/>
    </row>
    <row r="61" spans="1:90" s="290" customFormat="1">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8"/>
      <c r="AG61" s="289"/>
      <c r="AH61" s="289"/>
      <c r="AI61" s="289"/>
      <c r="AJ61" s="289"/>
      <c r="AK61" s="289"/>
      <c r="AL61" s="289"/>
      <c r="AM61" s="289"/>
      <c r="AN61" s="243"/>
      <c r="AO61" s="243"/>
      <c r="AP61" s="243"/>
      <c r="AQ61" s="243"/>
      <c r="AR61" s="243"/>
      <c r="AS61" s="243"/>
      <c r="AT61" s="243"/>
      <c r="AU61" s="243"/>
      <c r="AV61" s="243"/>
      <c r="AW61" s="243"/>
      <c r="AX61" s="243"/>
      <c r="AY61" s="243"/>
      <c r="AZ61" s="243"/>
      <c r="BA61" s="243"/>
      <c r="BB61" s="246"/>
      <c r="BC61" s="246"/>
      <c r="BD61" s="243"/>
      <c r="BE61" s="243"/>
      <c r="BF61" s="243"/>
      <c r="BG61" s="243"/>
      <c r="BH61" s="243"/>
      <c r="BI61" s="243"/>
      <c r="BJ61" s="243"/>
      <c r="BK61" s="243"/>
      <c r="BL61" s="243"/>
      <c r="BM61" s="243"/>
      <c r="BN61" s="243"/>
      <c r="BO61" s="243"/>
      <c r="BP61" s="243"/>
      <c r="BQ61" s="243"/>
      <c r="BR61" s="243"/>
      <c r="BS61" s="243"/>
      <c r="BT61" s="243"/>
      <c r="BU61" s="243"/>
      <c r="BV61" s="243"/>
      <c r="BW61" s="243"/>
      <c r="BX61" s="243"/>
      <c r="BY61" s="243"/>
      <c r="BZ61" s="243"/>
      <c r="CA61" s="243"/>
      <c r="CB61" s="243"/>
      <c r="CC61" s="243"/>
      <c r="CD61" s="243"/>
      <c r="CE61" s="243"/>
      <c r="CF61" s="243"/>
      <c r="CG61" s="243"/>
      <c r="CH61" s="243"/>
      <c r="CI61" s="243"/>
      <c r="CJ61" s="243"/>
      <c r="CK61" s="243"/>
      <c r="CL61" s="243"/>
    </row>
    <row r="62" spans="1:90" s="290" customFormat="1">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8"/>
      <c r="AG62" s="289"/>
      <c r="AH62" s="289"/>
      <c r="AI62" s="289"/>
      <c r="AJ62" s="289"/>
      <c r="AK62" s="289"/>
      <c r="AL62" s="289"/>
      <c r="AM62" s="289"/>
      <c r="AN62" s="243"/>
      <c r="AO62" s="243"/>
      <c r="AP62" s="243"/>
      <c r="AQ62" s="243"/>
      <c r="AR62" s="243"/>
      <c r="AS62" s="243"/>
      <c r="AT62" s="243"/>
      <c r="AU62" s="243"/>
      <c r="AV62" s="243"/>
      <c r="AW62" s="243"/>
      <c r="AX62" s="243"/>
      <c r="AY62" s="243"/>
      <c r="AZ62" s="243"/>
      <c r="BA62" s="243"/>
      <c r="BB62" s="246"/>
      <c r="BC62" s="246"/>
      <c r="BD62" s="243"/>
      <c r="BE62" s="243"/>
      <c r="BF62" s="243"/>
      <c r="BG62" s="243"/>
      <c r="BH62" s="243"/>
      <c r="BI62" s="243"/>
      <c r="BJ62" s="243"/>
      <c r="BK62" s="243"/>
      <c r="BL62" s="243"/>
      <c r="BM62" s="243"/>
      <c r="BN62" s="243"/>
      <c r="BO62" s="243"/>
      <c r="BP62" s="243"/>
      <c r="BQ62" s="243"/>
      <c r="BR62" s="243"/>
      <c r="BS62" s="243"/>
      <c r="BT62" s="243"/>
      <c r="BU62" s="243"/>
      <c r="BV62" s="243"/>
      <c r="BW62" s="243"/>
      <c r="BX62" s="243"/>
      <c r="BY62" s="243"/>
      <c r="BZ62" s="243"/>
      <c r="CA62" s="243"/>
      <c r="CB62" s="243"/>
      <c r="CC62" s="243"/>
      <c r="CD62" s="243"/>
      <c r="CE62" s="243"/>
      <c r="CF62" s="243"/>
      <c r="CG62" s="243"/>
      <c r="CH62" s="243"/>
      <c r="CI62" s="243"/>
      <c r="CJ62" s="243"/>
      <c r="CK62" s="243"/>
      <c r="CL62" s="243"/>
    </row>
    <row r="63" spans="1:90" s="290" customFormat="1">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9"/>
      <c r="AH63" s="289"/>
      <c r="AI63" s="289"/>
      <c r="AJ63" s="289"/>
      <c r="AK63" s="289"/>
      <c r="AL63" s="289"/>
      <c r="AM63" s="289"/>
      <c r="AN63" s="243"/>
      <c r="AO63" s="243"/>
      <c r="AP63" s="243"/>
      <c r="AQ63" s="243"/>
      <c r="AR63" s="243"/>
      <c r="AS63" s="243"/>
      <c r="AT63" s="243"/>
      <c r="AU63" s="243"/>
      <c r="AV63" s="243"/>
      <c r="AW63" s="243"/>
      <c r="AX63" s="243"/>
      <c r="AY63" s="243"/>
      <c r="AZ63" s="243"/>
      <c r="BA63" s="243"/>
      <c r="BB63" s="246"/>
      <c r="BC63" s="246"/>
      <c r="BD63" s="243"/>
      <c r="BE63" s="243"/>
      <c r="BF63" s="243"/>
      <c r="BG63" s="243"/>
      <c r="BH63" s="243"/>
      <c r="BI63" s="243"/>
      <c r="BJ63" s="243"/>
      <c r="BK63" s="243"/>
      <c r="BL63" s="243"/>
      <c r="BM63" s="243"/>
      <c r="BN63" s="243"/>
      <c r="BO63" s="243"/>
      <c r="BP63" s="243"/>
      <c r="BQ63" s="243"/>
      <c r="BR63" s="243"/>
      <c r="BS63" s="243"/>
      <c r="BT63" s="243"/>
      <c r="BU63" s="243"/>
      <c r="BV63" s="243"/>
      <c r="BW63" s="243"/>
      <c r="BX63" s="243"/>
      <c r="BY63" s="243"/>
      <c r="BZ63" s="243"/>
      <c r="CA63" s="243"/>
      <c r="CB63" s="243"/>
      <c r="CC63" s="243"/>
      <c r="CD63" s="243"/>
      <c r="CE63" s="243"/>
      <c r="CF63" s="243"/>
      <c r="CG63" s="243"/>
      <c r="CH63" s="243"/>
      <c r="CI63" s="243"/>
      <c r="CJ63" s="243"/>
      <c r="CK63" s="243"/>
      <c r="CL63" s="243"/>
    </row>
    <row r="64" spans="1:90" s="290" customFormat="1">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8"/>
      <c r="AG64" s="289"/>
      <c r="AH64" s="289"/>
      <c r="AI64" s="289"/>
      <c r="AJ64" s="289"/>
      <c r="AK64" s="289"/>
      <c r="AL64" s="289"/>
      <c r="AM64" s="289"/>
      <c r="AN64" s="243"/>
      <c r="AO64" s="243"/>
      <c r="AP64" s="243"/>
      <c r="AQ64" s="243"/>
      <c r="AR64" s="243"/>
      <c r="AS64" s="243"/>
      <c r="AT64" s="243"/>
      <c r="AU64" s="243"/>
      <c r="AV64" s="243"/>
      <c r="AW64" s="243"/>
      <c r="AX64" s="243"/>
      <c r="AY64" s="243"/>
      <c r="AZ64" s="243"/>
      <c r="BA64" s="243"/>
      <c r="BB64" s="246"/>
      <c r="BC64" s="246"/>
      <c r="BD64" s="243"/>
      <c r="BE64" s="243"/>
      <c r="BF64" s="243"/>
      <c r="BG64" s="243"/>
      <c r="BH64" s="243"/>
      <c r="BI64" s="243"/>
      <c r="BJ64" s="243"/>
      <c r="BK64" s="243"/>
      <c r="BL64" s="243"/>
      <c r="BM64" s="243"/>
      <c r="BN64" s="243"/>
      <c r="BO64" s="243"/>
      <c r="BP64" s="243"/>
      <c r="BQ64" s="243"/>
      <c r="BR64" s="243"/>
      <c r="BS64" s="243"/>
      <c r="BT64" s="243"/>
      <c r="BU64" s="243"/>
      <c r="BV64" s="243"/>
      <c r="BW64" s="243"/>
      <c r="BX64" s="243"/>
      <c r="BY64" s="243"/>
      <c r="BZ64" s="243"/>
      <c r="CA64" s="243"/>
      <c r="CB64" s="243"/>
      <c r="CC64" s="243"/>
      <c r="CD64" s="243"/>
      <c r="CE64" s="243"/>
      <c r="CF64" s="243"/>
      <c r="CG64" s="243"/>
      <c r="CH64" s="243"/>
      <c r="CI64" s="243"/>
      <c r="CJ64" s="243"/>
      <c r="CK64" s="243"/>
      <c r="CL64" s="243"/>
    </row>
    <row r="65" spans="1:90" s="290" customFormat="1">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9"/>
      <c r="AH65" s="289"/>
      <c r="AI65" s="289"/>
      <c r="AJ65" s="289"/>
      <c r="AK65" s="289"/>
      <c r="AL65" s="289"/>
      <c r="AM65" s="289"/>
      <c r="AN65" s="243"/>
      <c r="AO65" s="243"/>
      <c r="AP65" s="243"/>
      <c r="AQ65" s="243"/>
      <c r="AR65" s="243"/>
      <c r="AS65" s="243"/>
      <c r="AT65" s="243"/>
      <c r="AU65" s="243"/>
      <c r="AV65" s="243"/>
      <c r="AW65" s="243"/>
      <c r="AX65" s="243"/>
      <c r="AY65" s="243"/>
      <c r="AZ65" s="243"/>
      <c r="BA65" s="243"/>
      <c r="BB65" s="246"/>
      <c r="BC65" s="246"/>
      <c r="BD65" s="243"/>
      <c r="BE65" s="243"/>
      <c r="BF65" s="243"/>
      <c r="BG65" s="243"/>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row>
    <row r="66" spans="1:90" s="290" customFormat="1">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9"/>
      <c r="AH66" s="289"/>
      <c r="AI66" s="289"/>
      <c r="AJ66" s="289"/>
      <c r="AK66" s="289"/>
      <c r="AL66" s="289"/>
      <c r="AM66" s="289"/>
      <c r="AN66" s="243"/>
      <c r="AO66" s="243"/>
      <c r="AP66" s="243"/>
      <c r="AQ66" s="243"/>
      <c r="AR66" s="243"/>
      <c r="AS66" s="243"/>
      <c r="AT66" s="243"/>
      <c r="AU66" s="243"/>
      <c r="AV66" s="243"/>
      <c r="AW66" s="243"/>
      <c r="AX66" s="243"/>
      <c r="AY66" s="243"/>
      <c r="AZ66" s="243"/>
      <c r="BA66" s="243"/>
      <c r="BB66" s="246"/>
      <c r="BC66" s="246"/>
      <c r="BD66" s="243"/>
      <c r="BE66" s="243"/>
      <c r="BF66" s="243"/>
      <c r="BG66" s="243"/>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row>
    <row r="67" spans="1:90" s="290" customFormat="1">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9"/>
      <c r="AH67" s="289"/>
      <c r="AI67" s="289"/>
      <c r="AJ67" s="289"/>
      <c r="AK67" s="289"/>
      <c r="AL67" s="289"/>
      <c r="AM67" s="289"/>
      <c r="AN67" s="243"/>
      <c r="AO67" s="243"/>
      <c r="AP67" s="243"/>
      <c r="AQ67" s="243"/>
      <c r="AR67" s="243"/>
      <c r="AS67" s="243"/>
      <c r="AT67" s="243"/>
      <c r="AU67" s="243"/>
      <c r="AV67" s="243"/>
      <c r="AW67" s="243"/>
      <c r="AX67" s="243"/>
      <c r="AY67" s="243"/>
      <c r="AZ67" s="243"/>
      <c r="BA67" s="243"/>
      <c r="BB67" s="246"/>
      <c r="BC67" s="246"/>
      <c r="BD67" s="243"/>
      <c r="BE67" s="243"/>
      <c r="BF67" s="243"/>
      <c r="BG67" s="243"/>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row>
    <row r="68" spans="1:90" s="290" customFormat="1">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9"/>
      <c r="AH68" s="289"/>
      <c r="AI68" s="289"/>
      <c r="AJ68" s="289"/>
      <c r="AK68" s="289"/>
      <c r="AL68" s="289"/>
      <c r="AM68" s="289"/>
      <c r="AN68" s="243"/>
      <c r="AO68" s="243"/>
      <c r="AP68" s="243"/>
      <c r="AQ68" s="243"/>
      <c r="AR68" s="243"/>
      <c r="AS68" s="243"/>
      <c r="AT68" s="243"/>
      <c r="AU68" s="243"/>
      <c r="AV68" s="243"/>
      <c r="AW68" s="243"/>
      <c r="AX68" s="243"/>
      <c r="AY68" s="243"/>
      <c r="AZ68" s="243"/>
      <c r="BA68" s="243"/>
      <c r="BB68" s="246"/>
      <c r="BC68" s="246"/>
      <c r="BD68" s="243"/>
      <c r="BE68" s="243"/>
      <c r="BF68" s="243"/>
      <c r="BG68" s="243"/>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row>
    <row r="69" spans="1:90">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9"/>
      <c r="AH69" s="289"/>
      <c r="AI69" s="289"/>
      <c r="AJ69" s="289"/>
      <c r="AK69" s="289"/>
      <c r="AL69" s="289"/>
      <c r="AM69" s="289"/>
      <c r="AN69" s="243"/>
      <c r="AO69" s="243"/>
      <c r="AP69" s="243"/>
      <c r="AQ69" s="243"/>
      <c r="AR69" s="243"/>
      <c r="AS69" s="243"/>
      <c r="AT69" s="243"/>
      <c r="AU69" s="243"/>
      <c r="AV69" s="243"/>
      <c r="AW69" s="243"/>
      <c r="AX69" s="243"/>
      <c r="AY69" s="243"/>
      <c r="AZ69" s="243"/>
      <c r="BA69" s="243"/>
      <c r="BB69" s="246"/>
      <c r="BC69" s="246"/>
      <c r="BD69" s="243"/>
      <c r="BE69" s="243"/>
      <c r="BF69" s="243"/>
      <c r="BG69" s="243"/>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row>
    <row r="70" spans="1:90">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9"/>
      <c r="AH70" s="289"/>
      <c r="AI70" s="289"/>
      <c r="AJ70" s="289"/>
      <c r="AK70" s="289"/>
      <c r="AL70" s="289"/>
      <c r="AM70" s="289"/>
      <c r="AN70" s="243"/>
      <c r="AO70" s="243"/>
      <c r="AP70" s="243"/>
      <c r="AQ70" s="243"/>
      <c r="AR70" s="243"/>
      <c r="AS70" s="243"/>
      <c r="AT70" s="243"/>
      <c r="AU70" s="243"/>
      <c r="AV70" s="243"/>
      <c r="AW70" s="243"/>
      <c r="AX70" s="243"/>
      <c r="AY70" s="243"/>
      <c r="AZ70" s="243"/>
      <c r="BA70" s="243"/>
      <c r="BB70" s="246"/>
      <c r="BC70" s="246"/>
      <c r="BD70" s="243"/>
      <c r="BE70" s="243"/>
      <c r="BF70" s="243"/>
      <c r="BG70" s="243"/>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row>
    <row r="71" spans="1:90">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9"/>
      <c r="AH71" s="289"/>
      <c r="AI71" s="289"/>
      <c r="AJ71" s="289"/>
      <c r="AK71" s="289"/>
      <c r="AL71" s="289"/>
      <c r="AM71" s="289"/>
      <c r="AN71" s="243"/>
      <c r="AO71" s="243"/>
      <c r="AP71" s="243"/>
      <c r="AQ71" s="243"/>
      <c r="AR71" s="243"/>
      <c r="AS71" s="243"/>
      <c r="AT71" s="243"/>
      <c r="AU71" s="243"/>
      <c r="AV71" s="243"/>
      <c r="AW71" s="243"/>
      <c r="AX71" s="243"/>
      <c r="AY71" s="243"/>
      <c r="AZ71" s="243"/>
      <c r="BA71" s="243"/>
      <c r="BB71" s="246"/>
      <c r="BC71" s="246"/>
      <c r="BD71" s="243"/>
      <c r="BE71" s="243"/>
      <c r="BF71" s="243"/>
      <c r="BG71" s="243"/>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row>
    <row r="72" spans="1:90">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9"/>
      <c r="AH72" s="289"/>
      <c r="AI72" s="289"/>
      <c r="AJ72" s="289"/>
      <c r="AK72" s="289"/>
      <c r="AL72" s="289"/>
      <c r="AM72" s="289"/>
      <c r="AN72" s="243"/>
      <c r="AO72" s="243"/>
      <c r="AP72" s="243"/>
      <c r="AQ72" s="243"/>
      <c r="AR72" s="243"/>
      <c r="AS72" s="243"/>
      <c r="AT72" s="243"/>
      <c r="AU72" s="243"/>
      <c r="AV72" s="243"/>
      <c r="AW72" s="243"/>
      <c r="AX72" s="243"/>
      <c r="AY72" s="243"/>
      <c r="AZ72" s="243"/>
      <c r="BA72" s="243"/>
      <c r="BB72" s="246"/>
      <c r="BC72" s="246"/>
      <c r="BD72" s="243"/>
      <c r="BE72" s="243"/>
      <c r="BF72" s="243"/>
      <c r="BG72" s="243"/>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row>
    <row r="73" spans="1:90">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9"/>
      <c r="AH73" s="289"/>
      <c r="AI73" s="289"/>
      <c r="AJ73" s="289"/>
      <c r="AK73" s="289"/>
      <c r="AL73" s="289"/>
      <c r="AM73" s="289"/>
      <c r="AN73" s="243"/>
      <c r="AO73" s="243"/>
      <c r="AP73" s="243"/>
      <c r="AQ73" s="243"/>
      <c r="AR73" s="243"/>
      <c r="AS73" s="243"/>
      <c r="AT73" s="243"/>
      <c r="AU73" s="243"/>
      <c r="AV73" s="243"/>
      <c r="AW73" s="243"/>
      <c r="AX73" s="243"/>
      <c r="AY73" s="243"/>
      <c r="AZ73" s="243"/>
      <c r="BA73" s="243"/>
      <c r="BB73" s="246"/>
      <c r="BC73" s="246"/>
      <c r="BD73" s="243"/>
      <c r="BE73" s="243"/>
      <c r="BF73" s="243"/>
      <c r="BG73" s="243"/>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row>
    <row r="74" spans="1:90">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9"/>
      <c r="AH74" s="289"/>
      <c r="AI74" s="289"/>
      <c r="AJ74" s="289"/>
      <c r="AK74" s="289"/>
      <c r="AL74" s="289"/>
      <c r="AM74" s="289"/>
      <c r="AN74" s="243"/>
      <c r="AO74" s="243"/>
      <c r="AP74" s="243"/>
      <c r="AQ74" s="243"/>
      <c r="AR74" s="243"/>
      <c r="AS74" s="243"/>
      <c r="AT74" s="243"/>
      <c r="AU74" s="243"/>
      <c r="AV74" s="243"/>
      <c r="AW74" s="243"/>
      <c r="AX74" s="243"/>
      <c r="AY74" s="243"/>
      <c r="AZ74" s="243"/>
      <c r="BA74" s="243"/>
      <c r="BB74" s="246"/>
      <c r="BC74" s="246"/>
      <c r="BD74" s="243"/>
      <c r="BE74" s="243"/>
      <c r="BF74" s="243"/>
      <c r="BG74" s="243"/>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row>
    <row r="75" spans="1:90">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9"/>
      <c r="AH75" s="289"/>
      <c r="AI75" s="289"/>
      <c r="AJ75" s="289"/>
      <c r="AK75" s="289"/>
      <c r="AL75" s="289"/>
      <c r="AM75" s="289"/>
      <c r="AN75" s="243"/>
      <c r="AO75" s="243"/>
      <c r="AP75" s="243"/>
      <c r="AQ75" s="243"/>
      <c r="AR75" s="243"/>
      <c r="AS75" s="243"/>
      <c r="AT75" s="243"/>
      <c r="AU75" s="243"/>
      <c r="AV75" s="243"/>
      <c r="AW75" s="243"/>
      <c r="AX75" s="243"/>
      <c r="AY75" s="243"/>
      <c r="AZ75" s="243"/>
      <c r="BA75" s="243"/>
      <c r="BB75" s="246"/>
      <c r="BC75" s="246"/>
      <c r="BD75" s="243"/>
      <c r="BE75" s="243"/>
      <c r="BF75" s="243"/>
      <c r="BG75" s="243"/>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row>
    <row r="76" spans="1:90">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9"/>
      <c r="AH76" s="289"/>
      <c r="AI76" s="289"/>
      <c r="AJ76" s="289"/>
      <c r="AK76" s="289"/>
      <c r="AL76" s="289"/>
      <c r="AM76" s="289"/>
      <c r="AN76" s="243"/>
      <c r="AO76" s="243"/>
      <c r="AP76" s="243"/>
      <c r="AQ76" s="243"/>
      <c r="AR76" s="243"/>
      <c r="AS76" s="243"/>
      <c r="AT76" s="243"/>
      <c r="AU76" s="243"/>
      <c r="AV76" s="243"/>
      <c r="AW76" s="243"/>
      <c r="AX76" s="243"/>
      <c r="AY76" s="243"/>
      <c r="AZ76" s="243"/>
      <c r="BA76" s="243"/>
      <c r="BB76" s="246"/>
      <c r="BC76" s="246"/>
      <c r="BD76" s="243"/>
      <c r="BE76" s="243"/>
      <c r="BF76" s="243"/>
      <c r="BG76" s="243"/>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row>
    <row r="77" spans="1:90">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9"/>
      <c r="AH77" s="289"/>
      <c r="AI77" s="289"/>
      <c r="AJ77" s="289"/>
      <c r="AK77" s="289"/>
      <c r="AL77" s="289"/>
      <c r="AM77" s="289"/>
      <c r="AN77" s="243"/>
      <c r="AO77" s="243"/>
      <c r="AP77" s="243"/>
      <c r="AQ77" s="243"/>
      <c r="AR77" s="243"/>
      <c r="AS77" s="243"/>
      <c r="AT77" s="243"/>
      <c r="AU77" s="243"/>
      <c r="AV77" s="243"/>
      <c r="AW77" s="243"/>
      <c r="AX77" s="243"/>
      <c r="AY77" s="243"/>
      <c r="AZ77" s="243"/>
      <c r="BA77" s="243"/>
      <c r="BB77" s="246"/>
      <c r="BC77" s="246"/>
      <c r="BD77" s="243"/>
      <c r="BE77" s="243"/>
      <c r="BF77" s="243"/>
      <c r="BG77" s="243"/>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row>
    <row r="78" spans="1:90">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9"/>
      <c r="AH78" s="289"/>
      <c r="AI78" s="289"/>
      <c r="AJ78" s="289"/>
      <c r="AK78" s="289"/>
      <c r="AL78" s="289"/>
      <c r="AM78" s="289"/>
      <c r="AN78" s="243"/>
      <c r="AO78" s="243"/>
      <c r="AP78" s="243"/>
      <c r="AQ78" s="243"/>
      <c r="AR78" s="243"/>
      <c r="AS78" s="243"/>
      <c r="AT78" s="243"/>
      <c r="AU78" s="243"/>
      <c r="AV78" s="243"/>
      <c r="AW78" s="243"/>
      <c r="AX78" s="243"/>
      <c r="AY78" s="243"/>
      <c r="AZ78" s="243"/>
      <c r="BA78" s="243"/>
      <c r="BB78" s="246"/>
      <c r="BC78" s="246"/>
      <c r="BD78" s="243"/>
      <c r="BE78" s="243"/>
      <c r="BF78" s="243"/>
      <c r="BG78" s="243"/>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row>
    <row r="79" spans="1:90">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9"/>
      <c r="AH79" s="289"/>
      <c r="AI79" s="289"/>
      <c r="AJ79" s="289"/>
      <c r="AK79" s="289"/>
      <c r="AL79" s="289"/>
      <c r="AM79" s="289"/>
      <c r="AN79" s="243"/>
      <c r="AO79" s="243"/>
      <c r="AP79" s="243"/>
      <c r="AQ79" s="243"/>
      <c r="AR79" s="243"/>
      <c r="AS79" s="243"/>
      <c r="AT79" s="243"/>
      <c r="AU79" s="243"/>
      <c r="AV79" s="243"/>
      <c r="AW79" s="243"/>
      <c r="AX79" s="243"/>
      <c r="AY79" s="243"/>
      <c r="AZ79" s="243"/>
      <c r="BA79" s="243"/>
      <c r="BB79" s="246"/>
      <c r="BC79" s="246"/>
      <c r="BD79" s="243"/>
      <c r="BE79" s="243"/>
      <c r="BF79" s="243"/>
      <c r="BG79" s="243"/>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row>
    <row r="80" spans="1:90">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9"/>
      <c r="AH80" s="289"/>
      <c r="AI80" s="289"/>
      <c r="AJ80" s="289"/>
      <c r="AK80" s="289"/>
      <c r="AL80" s="289"/>
      <c r="AM80" s="289"/>
      <c r="AN80" s="243"/>
      <c r="AO80" s="243"/>
      <c r="AP80" s="243"/>
      <c r="AQ80" s="243"/>
      <c r="AR80" s="243"/>
      <c r="AS80" s="243"/>
      <c r="AT80" s="243"/>
      <c r="AU80" s="243"/>
      <c r="AV80" s="243"/>
      <c r="AW80" s="243"/>
      <c r="AX80" s="243"/>
      <c r="AY80" s="243"/>
      <c r="AZ80" s="243"/>
      <c r="BA80" s="243"/>
      <c r="BB80" s="246"/>
      <c r="BC80" s="246"/>
      <c r="BD80" s="243"/>
      <c r="BE80" s="243"/>
      <c r="BF80" s="243"/>
      <c r="BG80" s="243"/>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row>
    <row r="81" spans="1:90">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9"/>
      <c r="AH81" s="289"/>
      <c r="AI81" s="289"/>
      <c r="AJ81" s="289"/>
      <c r="AK81" s="289"/>
      <c r="AL81" s="289"/>
      <c r="AM81" s="289"/>
      <c r="AN81" s="243"/>
      <c r="AO81" s="243"/>
      <c r="AP81" s="243"/>
      <c r="AQ81" s="243"/>
      <c r="AR81" s="243"/>
      <c r="AS81" s="243"/>
      <c r="AT81" s="243"/>
      <c r="AU81" s="243"/>
      <c r="AV81" s="243"/>
      <c r="AW81" s="243"/>
      <c r="AX81" s="243"/>
      <c r="AY81" s="243"/>
      <c r="AZ81" s="243"/>
      <c r="BA81" s="243"/>
      <c r="BB81" s="246"/>
      <c r="BC81" s="246"/>
      <c r="BD81" s="243"/>
      <c r="BE81" s="243"/>
      <c r="BF81" s="243"/>
      <c r="BG81" s="243"/>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row>
    <row r="82" spans="1:90">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9"/>
      <c r="AH82" s="289"/>
      <c r="AI82" s="289"/>
      <c r="AJ82" s="289"/>
      <c r="AK82" s="289"/>
      <c r="AL82" s="289"/>
      <c r="AM82" s="289"/>
      <c r="AN82" s="243"/>
      <c r="AO82" s="243"/>
      <c r="AP82" s="243"/>
      <c r="AQ82" s="243"/>
      <c r="AR82" s="243"/>
      <c r="AS82" s="243"/>
      <c r="AT82" s="243"/>
      <c r="AU82" s="243"/>
      <c r="AV82" s="243"/>
      <c r="AW82" s="243"/>
      <c r="AX82" s="243"/>
      <c r="AY82" s="243"/>
      <c r="AZ82" s="243"/>
      <c r="BA82" s="243"/>
      <c r="BB82" s="246"/>
      <c r="BC82" s="246"/>
      <c r="BD82" s="243"/>
      <c r="BE82" s="243"/>
      <c r="BF82" s="243"/>
      <c r="BG82" s="243"/>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row>
    <row r="83" spans="1:90">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9"/>
      <c r="AH83" s="289"/>
      <c r="AI83" s="289"/>
      <c r="AJ83" s="289"/>
      <c r="AK83" s="289"/>
      <c r="AL83" s="289"/>
      <c r="AM83" s="289"/>
      <c r="AN83" s="243"/>
      <c r="AO83" s="243"/>
      <c r="AP83" s="243"/>
      <c r="AQ83" s="243"/>
      <c r="AR83" s="243"/>
      <c r="AS83" s="243"/>
      <c r="AT83" s="243"/>
      <c r="AU83" s="243"/>
      <c r="AV83" s="243"/>
      <c r="AW83" s="243"/>
      <c r="AX83" s="243"/>
      <c r="AY83" s="243"/>
      <c r="AZ83" s="243"/>
      <c r="BA83" s="243"/>
      <c r="BB83" s="246"/>
      <c r="BC83" s="246"/>
      <c r="BD83" s="243"/>
      <c r="BE83" s="243"/>
      <c r="BF83" s="243"/>
      <c r="BG83" s="243"/>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row>
    <row r="84" spans="1:90">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9"/>
      <c r="AH84" s="289"/>
      <c r="AI84" s="289"/>
      <c r="AJ84" s="289"/>
      <c r="AK84" s="289"/>
      <c r="AL84" s="289"/>
      <c r="AM84" s="289"/>
      <c r="AN84" s="243"/>
      <c r="AO84" s="243"/>
      <c r="AP84" s="243"/>
      <c r="AQ84" s="243"/>
      <c r="AR84" s="243"/>
      <c r="AS84" s="243"/>
      <c r="AT84" s="243"/>
      <c r="AU84" s="243"/>
      <c r="AV84" s="243"/>
      <c r="AW84" s="243"/>
      <c r="AX84" s="243"/>
      <c r="AY84" s="243"/>
      <c r="AZ84" s="243"/>
      <c r="BA84" s="243"/>
      <c r="BB84" s="246"/>
      <c r="BC84" s="246"/>
      <c r="BD84" s="243"/>
      <c r="BE84" s="243"/>
      <c r="BF84" s="243"/>
      <c r="BG84" s="243"/>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row>
    <row r="85" spans="1:90">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9"/>
      <c r="AH85" s="289"/>
      <c r="AI85" s="289"/>
      <c r="AJ85" s="289"/>
      <c r="AK85" s="289"/>
      <c r="AL85" s="289"/>
      <c r="AM85" s="289"/>
      <c r="AN85" s="243"/>
      <c r="AO85" s="243"/>
      <c r="AP85" s="243"/>
      <c r="AQ85" s="243"/>
      <c r="AR85" s="243"/>
      <c r="AS85" s="243"/>
      <c r="AT85" s="243"/>
      <c r="AU85" s="243"/>
      <c r="AV85" s="243"/>
      <c r="AW85" s="243"/>
      <c r="AX85" s="243"/>
      <c r="AY85" s="243"/>
      <c r="AZ85" s="243"/>
      <c r="BA85" s="243"/>
      <c r="BB85" s="246"/>
      <c r="BC85" s="246"/>
      <c r="BD85" s="243"/>
      <c r="BE85" s="243"/>
      <c r="BF85" s="243"/>
      <c r="BG85" s="243"/>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row>
    <row r="86" spans="1:90">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9"/>
      <c r="AH86" s="289"/>
      <c r="AI86" s="289"/>
      <c r="AJ86" s="289"/>
      <c r="AK86" s="289"/>
      <c r="AL86" s="289"/>
      <c r="AM86" s="289"/>
      <c r="AN86" s="243"/>
      <c r="AO86" s="243"/>
      <c r="AP86" s="243"/>
      <c r="AQ86" s="243"/>
      <c r="AR86" s="243"/>
      <c r="AS86" s="243"/>
      <c r="AT86" s="243"/>
      <c r="AU86" s="243"/>
      <c r="AV86" s="243"/>
      <c r="AW86" s="243"/>
      <c r="AX86" s="243"/>
      <c r="AY86" s="243"/>
      <c r="AZ86" s="243"/>
      <c r="BA86" s="243"/>
      <c r="BB86" s="246"/>
      <c r="BC86" s="246"/>
      <c r="BD86" s="243"/>
      <c r="BE86" s="243"/>
      <c r="BF86" s="243"/>
      <c r="BG86" s="243"/>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row>
    <row r="87" spans="1:90">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9"/>
      <c r="AH87" s="289"/>
      <c r="AI87" s="289"/>
      <c r="AJ87" s="289"/>
      <c r="AK87" s="289"/>
      <c r="AL87" s="289"/>
      <c r="AM87" s="289"/>
      <c r="AN87" s="243"/>
      <c r="AO87" s="243"/>
      <c r="AP87" s="243"/>
      <c r="AQ87" s="243"/>
      <c r="AR87" s="243"/>
      <c r="AS87" s="243"/>
      <c r="AT87" s="243"/>
      <c r="AU87" s="243"/>
      <c r="AV87" s="243"/>
      <c r="AW87" s="243"/>
      <c r="AX87" s="243"/>
      <c r="AY87" s="243"/>
      <c r="AZ87" s="243"/>
      <c r="BA87" s="243"/>
      <c r="BB87" s="246"/>
      <c r="BC87" s="246"/>
      <c r="BD87" s="243"/>
      <c r="BE87" s="243"/>
      <c r="BF87" s="243"/>
      <c r="BG87" s="243"/>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row>
    <row r="88" spans="1:90">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9"/>
      <c r="AH88" s="289"/>
      <c r="AI88" s="289"/>
      <c r="AJ88" s="289"/>
      <c r="AK88" s="289"/>
      <c r="AL88" s="289"/>
      <c r="AM88" s="289"/>
      <c r="AN88" s="243"/>
      <c r="AO88" s="243"/>
      <c r="AP88" s="243"/>
      <c r="AQ88" s="243"/>
      <c r="AR88" s="243"/>
      <c r="AS88" s="243"/>
      <c r="AT88" s="243"/>
      <c r="AU88" s="243"/>
      <c r="AV88" s="243"/>
      <c r="AW88" s="243"/>
      <c r="AX88" s="243"/>
      <c r="AY88" s="243"/>
      <c r="AZ88" s="243"/>
      <c r="BA88" s="243"/>
      <c r="BB88" s="246"/>
      <c r="BC88" s="246"/>
      <c r="BD88" s="243"/>
      <c r="BE88" s="243"/>
      <c r="BF88" s="243"/>
      <c r="BG88" s="243"/>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row>
    <row r="89" spans="1:90">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9"/>
      <c r="AH89" s="289"/>
      <c r="AI89" s="289"/>
      <c r="AJ89" s="289"/>
      <c r="AK89" s="289"/>
      <c r="AL89" s="289"/>
      <c r="AM89" s="289"/>
      <c r="AN89" s="243"/>
      <c r="AO89" s="243"/>
      <c r="AP89" s="243"/>
      <c r="AQ89" s="243"/>
      <c r="AR89" s="243"/>
      <c r="AS89" s="243"/>
      <c r="AT89" s="243"/>
      <c r="AU89" s="243"/>
      <c r="AV89" s="243"/>
      <c r="AW89" s="243"/>
      <c r="AX89" s="243"/>
      <c r="AY89" s="243"/>
      <c r="AZ89" s="243"/>
      <c r="BA89" s="243"/>
      <c r="BB89" s="246"/>
      <c r="BC89" s="246"/>
      <c r="BD89" s="243"/>
      <c r="BE89" s="243"/>
      <c r="BF89" s="243"/>
      <c r="BG89" s="243"/>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row>
    <row r="90" spans="1:90">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9"/>
      <c r="AH90" s="289"/>
      <c r="AI90" s="289"/>
      <c r="AJ90" s="289"/>
      <c r="AK90" s="289"/>
      <c r="AL90" s="289"/>
      <c r="AM90" s="289"/>
      <c r="AN90" s="243"/>
      <c r="AO90" s="243"/>
      <c r="AP90" s="243"/>
      <c r="AQ90" s="243"/>
      <c r="AR90" s="243"/>
      <c r="AS90" s="243"/>
      <c r="AT90" s="243"/>
      <c r="AU90" s="243"/>
      <c r="AV90" s="243"/>
      <c r="AW90" s="243"/>
      <c r="AX90" s="243"/>
      <c r="AY90" s="243"/>
      <c r="AZ90" s="243"/>
      <c r="BA90" s="243"/>
      <c r="BB90" s="246"/>
      <c r="BC90" s="246"/>
      <c r="BD90" s="243"/>
      <c r="BE90" s="243"/>
      <c r="BF90" s="243"/>
      <c r="BG90" s="243"/>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row>
    <row r="91" spans="1:90">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9"/>
      <c r="AH91" s="289"/>
      <c r="AI91" s="289"/>
      <c r="AJ91" s="289"/>
      <c r="AK91" s="289"/>
      <c r="AL91" s="289"/>
      <c r="AM91" s="289"/>
      <c r="AN91" s="243"/>
      <c r="AO91" s="243"/>
      <c r="AP91" s="243"/>
      <c r="AQ91" s="243"/>
      <c r="AR91" s="243"/>
      <c r="AS91" s="243"/>
      <c r="AT91" s="243"/>
      <c r="AU91" s="243"/>
      <c r="AV91" s="243"/>
      <c r="AW91" s="243"/>
      <c r="AX91" s="243"/>
      <c r="AY91" s="243"/>
      <c r="AZ91" s="243"/>
      <c r="BA91" s="243"/>
      <c r="BB91" s="246"/>
      <c r="BC91" s="246"/>
      <c r="BD91" s="243"/>
      <c r="BE91" s="243"/>
      <c r="BF91" s="243"/>
      <c r="BG91" s="243"/>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row>
    <row r="92" spans="1:90">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9"/>
      <c r="AH92" s="289"/>
      <c r="AI92" s="289"/>
      <c r="AJ92" s="289"/>
      <c r="AK92" s="289"/>
      <c r="AL92" s="289"/>
      <c r="AM92" s="289"/>
      <c r="AN92" s="243"/>
      <c r="AO92" s="243"/>
      <c r="AP92" s="243"/>
      <c r="AQ92" s="243"/>
      <c r="AR92" s="243"/>
      <c r="AS92" s="243"/>
      <c r="AT92" s="243"/>
      <c r="AU92" s="243"/>
      <c r="AV92" s="243"/>
      <c r="AW92" s="243"/>
      <c r="AX92" s="243"/>
      <c r="AY92" s="243"/>
      <c r="AZ92" s="243"/>
      <c r="BA92" s="243"/>
      <c r="BB92" s="246"/>
      <c r="BC92" s="246"/>
      <c r="BD92" s="243"/>
      <c r="BE92" s="243"/>
      <c r="BF92" s="243"/>
      <c r="BG92" s="243"/>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row>
    <row r="93" spans="1:90">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9"/>
      <c r="AH93" s="289"/>
      <c r="AI93" s="289"/>
      <c r="AJ93" s="289"/>
      <c r="AK93" s="289"/>
      <c r="AL93" s="289"/>
      <c r="AM93" s="289"/>
      <c r="AN93" s="243"/>
      <c r="AO93" s="243"/>
      <c r="AP93" s="243"/>
      <c r="AQ93" s="243"/>
      <c r="AR93" s="243"/>
      <c r="AS93" s="243"/>
      <c r="AT93" s="243"/>
      <c r="AU93" s="243"/>
      <c r="AV93" s="243"/>
      <c r="AW93" s="243"/>
      <c r="AX93" s="243"/>
      <c r="AY93" s="243"/>
      <c r="AZ93" s="243"/>
      <c r="BA93" s="243"/>
      <c r="BB93" s="246"/>
      <c r="BC93" s="246"/>
      <c r="BD93" s="243"/>
      <c r="BE93" s="243"/>
      <c r="BF93" s="243"/>
      <c r="BG93" s="243"/>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row>
    <row r="94" spans="1:90">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9"/>
      <c r="AH94" s="289"/>
      <c r="AI94" s="289"/>
      <c r="AJ94" s="289"/>
      <c r="AK94" s="289"/>
      <c r="AL94" s="289"/>
      <c r="AM94" s="289"/>
      <c r="AN94" s="243"/>
      <c r="AO94" s="243"/>
      <c r="AP94" s="243"/>
      <c r="AQ94" s="243"/>
      <c r="AR94" s="243"/>
      <c r="AS94" s="243"/>
      <c r="AT94" s="243"/>
      <c r="AU94" s="243"/>
      <c r="AV94" s="243"/>
      <c r="AW94" s="243"/>
      <c r="AX94" s="243"/>
      <c r="AY94" s="243"/>
      <c r="AZ94" s="243"/>
      <c r="BA94" s="243"/>
      <c r="BB94" s="246"/>
      <c r="BC94" s="246"/>
      <c r="BD94" s="243"/>
      <c r="BE94" s="243"/>
      <c r="BF94" s="243"/>
      <c r="BG94" s="243"/>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row>
    <row r="95" spans="1:90">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9"/>
      <c r="AH95" s="289"/>
      <c r="AI95" s="289"/>
      <c r="AJ95" s="289"/>
      <c r="AK95" s="289"/>
      <c r="AL95" s="289"/>
      <c r="AM95" s="289"/>
      <c r="AN95" s="243"/>
      <c r="AO95" s="243"/>
      <c r="AP95" s="243"/>
      <c r="AQ95" s="243"/>
      <c r="AR95" s="243"/>
      <c r="AS95" s="243"/>
      <c r="AT95" s="243"/>
      <c r="AU95" s="243"/>
      <c r="AV95" s="243"/>
      <c r="AW95" s="243"/>
      <c r="AX95" s="243"/>
      <c r="AY95" s="243"/>
      <c r="AZ95" s="243"/>
      <c r="BA95" s="243"/>
      <c r="BB95" s="246"/>
      <c r="BC95" s="246"/>
      <c r="BD95" s="243"/>
      <c r="BE95" s="243"/>
      <c r="BF95" s="243"/>
      <c r="BG95" s="243"/>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row>
    <row r="96" spans="1:90">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9"/>
      <c r="AH96" s="289"/>
      <c r="AI96" s="289"/>
      <c r="AJ96" s="289"/>
      <c r="AK96" s="289"/>
      <c r="AL96" s="289"/>
      <c r="AM96" s="289"/>
      <c r="AN96" s="243"/>
      <c r="AO96" s="243"/>
      <c r="AP96" s="243"/>
      <c r="AQ96" s="243"/>
      <c r="AR96" s="243"/>
      <c r="AS96" s="243"/>
      <c r="AT96" s="243"/>
      <c r="AU96" s="243"/>
      <c r="AV96" s="243"/>
      <c r="AW96" s="243"/>
      <c r="AX96" s="243"/>
      <c r="AY96" s="243"/>
      <c r="AZ96" s="243"/>
      <c r="BA96" s="243"/>
      <c r="BB96" s="246"/>
      <c r="BC96" s="246"/>
      <c r="BD96" s="243"/>
      <c r="BE96" s="243"/>
      <c r="BF96" s="243"/>
      <c r="BG96" s="243"/>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row>
    <row r="97" spans="1:90">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9"/>
      <c r="AH97" s="289"/>
      <c r="AI97" s="289"/>
      <c r="AJ97" s="289"/>
      <c r="AK97" s="289"/>
      <c r="AL97" s="289"/>
      <c r="AM97" s="289"/>
      <c r="AN97" s="243"/>
      <c r="AO97" s="243"/>
      <c r="AP97" s="243"/>
      <c r="AQ97" s="243"/>
      <c r="AR97" s="243"/>
      <c r="AS97" s="243"/>
      <c r="AT97" s="243"/>
      <c r="AU97" s="243"/>
      <c r="AV97" s="243"/>
      <c r="AW97" s="243"/>
      <c r="AX97" s="243"/>
      <c r="AY97" s="243"/>
      <c r="AZ97" s="243"/>
      <c r="BA97" s="243"/>
      <c r="BB97" s="246"/>
      <c r="BC97" s="246"/>
      <c r="BD97" s="243"/>
      <c r="BE97" s="243"/>
      <c r="BF97" s="243"/>
      <c r="BG97" s="243"/>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row>
    <row r="98" spans="1:90">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9"/>
      <c r="AH98" s="289"/>
      <c r="AI98" s="289"/>
      <c r="AJ98" s="289"/>
      <c r="AK98" s="289"/>
      <c r="AL98" s="289"/>
      <c r="AM98" s="289"/>
      <c r="AN98" s="243"/>
      <c r="AO98" s="243"/>
      <c r="AP98" s="243"/>
      <c r="AQ98" s="243"/>
      <c r="AR98" s="243"/>
      <c r="AS98" s="243"/>
      <c r="AT98" s="243"/>
      <c r="AU98" s="243"/>
      <c r="AV98" s="243"/>
      <c r="AW98" s="243"/>
      <c r="AX98" s="243"/>
      <c r="AY98" s="243"/>
      <c r="AZ98" s="243"/>
      <c r="BA98" s="243"/>
      <c r="BB98" s="246"/>
      <c r="BC98" s="246"/>
      <c r="BD98" s="243"/>
      <c r="BE98" s="243"/>
      <c r="BF98" s="243"/>
      <c r="BG98" s="243"/>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row>
    <row r="99" spans="1:90">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9"/>
      <c r="AH99" s="289"/>
      <c r="AI99" s="289"/>
      <c r="AJ99" s="289"/>
      <c r="AK99" s="289"/>
      <c r="AL99" s="289"/>
      <c r="AM99" s="289"/>
      <c r="AN99" s="243"/>
      <c r="AO99" s="243"/>
      <c r="AP99" s="243"/>
      <c r="AQ99" s="243"/>
      <c r="AR99" s="243"/>
      <c r="AS99" s="243"/>
      <c r="AT99" s="243"/>
      <c r="AU99" s="243"/>
      <c r="AV99" s="243"/>
      <c r="AW99" s="243"/>
      <c r="AX99" s="243"/>
      <c r="AY99" s="243"/>
      <c r="AZ99" s="243"/>
      <c r="BA99" s="243"/>
      <c r="BB99" s="246"/>
      <c r="BC99" s="246"/>
      <c r="BD99" s="243"/>
      <c r="BE99" s="243"/>
      <c r="BF99" s="243"/>
      <c r="BG99" s="243"/>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row>
    <row r="100" spans="1:90">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9"/>
      <c r="AH100" s="289"/>
      <c r="AI100" s="289"/>
      <c r="AJ100" s="289"/>
      <c r="AK100" s="289"/>
      <c r="AL100" s="289"/>
      <c r="AM100" s="289"/>
      <c r="AN100" s="243"/>
      <c r="AO100" s="243"/>
      <c r="AP100" s="243"/>
      <c r="AQ100" s="243"/>
      <c r="AR100" s="243"/>
      <c r="AS100" s="243"/>
      <c r="AT100" s="243"/>
      <c r="AU100" s="243"/>
      <c r="AV100" s="243"/>
      <c r="AW100" s="243"/>
      <c r="AX100" s="243"/>
      <c r="AY100" s="243"/>
      <c r="AZ100" s="243"/>
      <c r="BA100" s="243"/>
      <c r="BB100" s="246"/>
      <c r="BC100" s="246"/>
      <c r="BD100" s="243"/>
      <c r="BE100" s="243"/>
      <c r="BF100" s="243"/>
      <c r="BG100" s="243"/>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row>
    <row r="101" spans="1:90">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9"/>
      <c r="AH101" s="289"/>
      <c r="AI101" s="289"/>
      <c r="AJ101" s="289"/>
      <c r="AK101" s="289"/>
      <c r="AL101" s="289"/>
      <c r="AM101" s="289"/>
      <c r="AN101" s="243"/>
      <c r="AO101" s="243"/>
      <c r="AP101" s="243"/>
      <c r="AQ101" s="243"/>
      <c r="AR101" s="243"/>
      <c r="AS101" s="243"/>
      <c r="AT101" s="243"/>
      <c r="AU101" s="243"/>
      <c r="AV101" s="243"/>
      <c r="AW101" s="243"/>
      <c r="AX101" s="243"/>
      <c r="AY101" s="243"/>
      <c r="AZ101" s="243"/>
      <c r="BA101" s="243"/>
      <c r="BB101" s="246"/>
      <c r="BC101" s="246"/>
      <c r="BD101" s="243"/>
      <c r="BE101" s="243"/>
      <c r="BF101" s="243"/>
      <c r="BG101" s="243"/>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row>
    <row r="102" spans="1:90">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9"/>
      <c r="AH102" s="289"/>
      <c r="AI102" s="289"/>
      <c r="AJ102" s="289"/>
      <c r="AK102" s="289"/>
      <c r="AL102" s="289"/>
      <c r="AM102" s="289"/>
      <c r="AN102" s="243"/>
      <c r="AO102" s="243"/>
      <c r="AP102" s="243"/>
      <c r="AQ102" s="243"/>
      <c r="AR102" s="243"/>
      <c r="AS102" s="243"/>
      <c r="AT102" s="243"/>
      <c r="AU102" s="243"/>
      <c r="AV102" s="243"/>
      <c r="AW102" s="243"/>
      <c r="AX102" s="243"/>
      <c r="AY102" s="243"/>
      <c r="AZ102" s="243"/>
      <c r="BA102" s="243"/>
      <c r="BB102" s="246"/>
      <c r="BC102" s="246"/>
      <c r="BD102" s="243"/>
      <c r="BE102" s="243"/>
      <c r="BF102" s="243"/>
      <c r="BG102" s="243"/>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row>
  </sheetData>
  <sheetProtection algorithmName="SHA-512" hashValue="7kVCYhOAUgtmI9MNVh4Iwds0yoDhpPVQxqQZxWGLfNHtiiEP3HSLgF+4KGAqlMaCc4eZP1CJBQ5pTxTLraNnMA==" saltValue="RpYMg+s3CC56VQx5DPwd9w==" spinCount="100000" sheet="1" objects="1" scenarios="1" selectLockedCells="1" selectUnlockedCells="1"/>
  <mergeCells count="171">
    <mergeCell ref="A1:AG4"/>
    <mergeCell ref="A5:G5"/>
    <mergeCell ref="U5:X5"/>
    <mergeCell ref="Y5:AG5"/>
    <mergeCell ref="A6:G6"/>
    <mergeCell ref="U6:X6"/>
    <mergeCell ref="Y6:AG6"/>
    <mergeCell ref="A7:G7"/>
    <mergeCell ref="U7:X7"/>
    <mergeCell ref="A8:G9"/>
    <mergeCell ref="H8:AG9"/>
    <mergeCell ref="A10:H10"/>
    <mergeCell ref="I10:T10"/>
    <mergeCell ref="U10:X10"/>
    <mergeCell ref="Y10:AA10"/>
    <mergeCell ref="AB10:AD10"/>
    <mergeCell ref="AE10:AG10"/>
    <mergeCell ref="S14:AF18"/>
    <mergeCell ref="F15:I16"/>
    <mergeCell ref="J15:M16"/>
    <mergeCell ref="N15:Q16"/>
    <mergeCell ref="A17:E17"/>
    <mergeCell ref="F17:G17"/>
    <mergeCell ref="H17:I17"/>
    <mergeCell ref="J17:M17"/>
    <mergeCell ref="A11:AG12"/>
    <mergeCell ref="R13:S13"/>
    <mergeCell ref="T13:V13"/>
    <mergeCell ref="W13:X13"/>
    <mergeCell ref="Y13:Z13"/>
    <mergeCell ref="AA13:AC13"/>
    <mergeCell ref="AD13:AE13"/>
    <mergeCell ref="N17:O17"/>
    <mergeCell ref="P17:Q17"/>
    <mergeCell ref="F18:G18"/>
    <mergeCell ref="H18:I18"/>
    <mergeCell ref="J18:K18"/>
    <mergeCell ref="L18:M18"/>
    <mergeCell ref="N18:O18"/>
    <mergeCell ref="P18:Q18"/>
    <mergeCell ref="A14:E14"/>
    <mergeCell ref="F14:Q14"/>
    <mergeCell ref="F21:G21"/>
    <mergeCell ref="H21:I21"/>
    <mergeCell ref="J21:K21"/>
    <mergeCell ref="L21:M21"/>
    <mergeCell ref="N21:O21"/>
    <mergeCell ref="P21:Q21"/>
    <mergeCell ref="R19:S19"/>
    <mergeCell ref="F20:G20"/>
    <mergeCell ref="H20:I20"/>
    <mergeCell ref="J20:K20"/>
    <mergeCell ref="L20:M20"/>
    <mergeCell ref="N20:O20"/>
    <mergeCell ref="P20:Q20"/>
    <mergeCell ref="F19:G19"/>
    <mergeCell ref="H19:I19"/>
    <mergeCell ref="J19:K19"/>
    <mergeCell ref="L19:M19"/>
    <mergeCell ref="N19:O19"/>
    <mergeCell ref="P19:Q19"/>
    <mergeCell ref="F23:G23"/>
    <mergeCell ref="H23:I23"/>
    <mergeCell ref="J23:K23"/>
    <mergeCell ref="L23:M23"/>
    <mergeCell ref="N23:O23"/>
    <mergeCell ref="P23:Q23"/>
    <mergeCell ref="F22:G22"/>
    <mergeCell ref="H22:I22"/>
    <mergeCell ref="J22:K22"/>
    <mergeCell ref="L22:M22"/>
    <mergeCell ref="N22:O22"/>
    <mergeCell ref="P22:Q22"/>
    <mergeCell ref="F25:G25"/>
    <mergeCell ref="H25:I25"/>
    <mergeCell ref="J25:K25"/>
    <mergeCell ref="L25:M25"/>
    <mergeCell ref="N25:O25"/>
    <mergeCell ref="P25:Q25"/>
    <mergeCell ref="F24:G24"/>
    <mergeCell ref="H24:I24"/>
    <mergeCell ref="J24:K24"/>
    <mergeCell ref="L24:M24"/>
    <mergeCell ref="N24:O24"/>
    <mergeCell ref="P24:Q24"/>
    <mergeCell ref="F27:G27"/>
    <mergeCell ref="H27:I27"/>
    <mergeCell ref="J27:K27"/>
    <mergeCell ref="L27:M27"/>
    <mergeCell ref="N27:O27"/>
    <mergeCell ref="P27:Q27"/>
    <mergeCell ref="F26:G26"/>
    <mergeCell ref="H26:I26"/>
    <mergeCell ref="J26:K26"/>
    <mergeCell ref="L26:M26"/>
    <mergeCell ref="N26:O26"/>
    <mergeCell ref="P26:Q26"/>
    <mergeCell ref="T28:AE36"/>
    <mergeCell ref="F29:G29"/>
    <mergeCell ref="H29:I29"/>
    <mergeCell ref="J29:K29"/>
    <mergeCell ref="L29:M29"/>
    <mergeCell ref="N29:O29"/>
    <mergeCell ref="P29:Q29"/>
    <mergeCell ref="F30:G30"/>
    <mergeCell ref="H30:I30"/>
    <mergeCell ref="J30:K30"/>
    <mergeCell ref="F28:G28"/>
    <mergeCell ref="H28:I28"/>
    <mergeCell ref="J28:K28"/>
    <mergeCell ref="L28:M28"/>
    <mergeCell ref="N28:O28"/>
    <mergeCell ref="P28:Q28"/>
    <mergeCell ref="L30:M30"/>
    <mergeCell ref="N30:O30"/>
    <mergeCell ref="P30:Q30"/>
    <mergeCell ref="F31:G31"/>
    <mergeCell ref="H31:I31"/>
    <mergeCell ref="J31:K31"/>
    <mergeCell ref="L31:M31"/>
    <mergeCell ref="N31:O31"/>
    <mergeCell ref="P31:Q31"/>
    <mergeCell ref="F33:G33"/>
    <mergeCell ref="H33:I33"/>
    <mergeCell ref="J33:K33"/>
    <mergeCell ref="L33:M33"/>
    <mergeCell ref="N33:O33"/>
    <mergeCell ref="P33:Q33"/>
    <mergeCell ref="F32:G32"/>
    <mergeCell ref="H32:I32"/>
    <mergeCell ref="J32:K32"/>
    <mergeCell ref="L32:M32"/>
    <mergeCell ref="N32:O32"/>
    <mergeCell ref="P32:Q32"/>
    <mergeCell ref="F35:G35"/>
    <mergeCell ref="H35:I35"/>
    <mergeCell ref="J35:K35"/>
    <mergeCell ref="L35:M35"/>
    <mergeCell ref="N35:O35"/>
    <mergeCell ref="P35:Q35"/>
    <mergeCell ref="F34:G34"/>
    <mergeCell ref="H34:I34"/>
    <mergeCell ref="J34:K34"/>
    <mergeCell ref="L34:M34"/>
    <mergeCell ref="N34:O34"/>
    <mergeCell ref="P34:Q34"/>
    <mergeCell ref="F37:G37"/>
    <mergeCell ref="H37:I37"/>
    <mergeCell ref="J37:K37"/>
    <mergeCell ref="L37:M37"/>
    <mergeCell ref="N37:O37"/>
    <mergeCell ref="P37:Q37"/>
    <mergeCell ref="F36:G36"/>
    <mergeCell ref="H36:I36"/>
    <mergeCell ref="J36:K36"/>
    <mergeCell ref="L36:M36"/>
    <mergeCell ref="N36:O36"/>
    <mergeCell ref="P36:Q36"/>
    <mergeCell ref="P39:Q39"/>
    <mergeCell ref="A39:E39"/>
    <mergeCell ref="F39:G39"/>
    <mergeCell ref="H39:I39"/>
    <mergeCell ref="J39:K39"/>
    <mergeCell ref="L39:M39"/>
    <mergeCell ref="N39:O39"/>
    <mergeCell ref="F38:G38"/>
    <mergeCell ref="H38:I38"/>
    <mergeCell ref="J38:K38"/>
    <mergeCell ref="L38:M38"/>
    <mergeCell ref="N38:O38"/>
    <mergeCell ref="P38:Q38"/>
  </mergeCells>
  <conditionalFormatting sqref="F39:M39 P39:Y39">
    <cfRule type="expression" dxfId="49" priority="10" stopIfTrue="1">
      <formula>F39=0</formula>
    </cfRule>
  </conditionalFormatting>
  <conditionalFormatting sqref="O54">
    <cfRule type="expression" dxfId="48" priority="7">
      <formula>O54=0</formula>
    </cfRule>
  </conditionalFormatting>
  <conditionalFormatting sqref="R18:R19 H18:Q38">
    <cfRule type="expression" dxfId="47" priority="8">
      <formula>H18=0</formula>
    </cfRule>
  </conditionalFormatting>
  <conditionalFormatting sqref="R24:AG27 R28:T28 AF28:AG36 R29:S36 R37:AG38">
    <cfRule type="expression" dxfId="46" priority="4">
      <formula>R24=0</formula>
    </cfRule>
  </conditionalFormatting>
  <conditionalFormatting sqref="U21:U23">
    <cfRule type="expression" dxfId="45" priority="1">
      <formula>(U21&lt;&gt;0)</formula>
    </cfRule>
    <cfRule type="expression" dxfId="44" priority="2">
      <formula>(U21=0)</formula>
    </cfRule>
  </conditionalFormatting>
  <conditionalFormatting sqref="V20">
    <cfRule type="expression" dxfId="43" priority="5">
      <formula>(V20&lt;&gt;0)</formula>
    </cfRule>
    <cfRule type="expression" dxfId="42" priority="6">
      <formula>(V20=0)</formula>
    </cfRule>
  </conditionalFormatting>
  <conditionalFormatting sqref="V21:AG23">
    <cfRule type="expression" dxfId="41" priority="3">
      <formula>V21=0</formula>
    </cfRule>
  </conditionalFormatting>
  <conditionalFormatting sqref="AB39:AE39">
    <cfRule type="expression" dxfId="40" priority="11" stopIfTrue="1">
      <formula>AB39=0</formula>
    </cfRule>
  </conditionalFormatting>
  <conditionalFormatting sqref="AG18 T19:AG19 W20:AG20 R20:S23">
    <cfRule type="expression" dxfId="39" priority="9">
      <formula>R18=0</formula>
    </cfRule>
  </conditionalFormatting>
  <pageMargins left="0.7" right="0.7" top="0.75" bottom="0.75" header="0.3" footer="0.3"/>
  <pageSetup paperSize="9" scale="64" orientation="portrait" r:id="rId1"/>
  <headerFooter>
    <oddFooter>&amp;C_x000D_&amp;1#&amp;"Calibri"&amp;10&amp;K000000 Internal</oddFooter>
  </headerFooter>
  <colBreaks count="1" manualBreakCount="1">
    <brk id="33" max="1048575" man="1"/>
  </col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EF53B-70CE-4772-86BC-8B815972EF4B}">
  <sheetPr>
    <tabColor theme="3"/>
    <pageSetUpPr fitToPage="1"/>
  </sheetPr>
  <dimension ref="A1:CL102"/>
  <sheetViews>
    <sheetView showGridLines="0" view="pageBreakPreview" zoomScaleNormal="100" zoomScaleSheetLayoutView="100" workbookViewId="0">
      <selection sqref="A1:AG4"/>
    </sheetView>
  </sheetViews>
  <sheetFormatPr defaultColWidth="9.28515625" defaultRowHeight="15"/>
  <cols>
    <col min="1" max="13" width="3.7109375" style="290" customWidth="1"/>
    <col min="14" max="14" width="4.7109375" style="290" customWidth="1"/>
    <col min="15" max="15" width="6.42578125" style="290" customWidth="1"/>
    <col min="16" max="19" width="3.7109375" style="290" customWidth="1"/>
    <col min="20" max="20" width="9" style="290" bestFit="1" customWidth="1"/>
    <col min="21" max="21" width="5.7109375" style="290" customWidth="1"/>
    <col min="22" max="22" width="5.28515625" style="290" customWidth="1"/>
    <col min="23" max="23" width="3.7109375" style="290" customWidth="1"/>
    <col min="24" max="24" width="4.42578125" style="290" customWidth="1"/>
    <col min="25" max="33" width="3.7109375" style="290" customWidth="1"/>
    <col min="34" max="34" width="9.28515625" style="247"/>
    <col min="35" max="46" width="8.7109375" style="247" customWidth="1"/>
    <col min="47" max="53" width="9.28515625" style="247"/>
    <col min="54" max="55" width="9.28515625" style="285"/>
    <col min="56" max="16384" width="9.28515625" style="247"/>
  </cols>
  <sheetData>
    <row r="1" spans="1:90"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8"/>
      <c r="AH1" s="238"/>
      <c r="AI1" s="238"/>
      <c r="AJ1" s="238"/>
      <c r="AK1" s="238"/>
      <c r="AL1" s="238"/>
      <c r="AM1" s="238"/>
      <c r="AN1" s="238"/>
      <c r="AO1" s="238"/>
      <c r="AP1" s="238"/>
      <c r="AQ1" s="238"/>
      <c r="AR1" s="238"/>
      <c r="AS1" s="238"/>
      <c r="AT1" s="238"/>
      <c r="AU1" s="238"/>
      <c r="AV1" s="238"/>
      <c r="AW1" s="238"/>
      <c r="AX1" s="238"/>
      <c r="AY1" s="238"/>
      <c r="AZ1" s="238"/>
      <c r="BA1" s="238"/>
      <c r="BB1" s="239"/>
      <c r="BC1" s="239"/>
      <c r="BD1" s="238"/>
      <c r="BE1" s="238"/>
      <c r="BF1" s="238"/>
      <c r="BG1" s="238"/>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row>
    <row r="2" spans="1:90"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1"/>
      <c r="AH2" s="238"/>
      <c r="AI2" s="238"/>
      <c r="AJ2" s="238"/>
      <c r="AK2" s="238"/>
      <c r="AL2" s="238"/>
      <c r="AM2" s="238"/>
      <c r="AN2" s="238"/>
      <c r="AO2" s="238"/>
      <c r="AP2" s="238"/>
      <c r="AQ2" s="238"/>
      <c r="AR2" s="238"/>
      <c r="AS2" s="238"/>
      <c r="AT2" s="238"/>
      <c r="AU2" s="238"/>
      <c r="AV2" s="238"/>
      <c r="AW2" s="238"/>
      <c r="AX2" s="238"/>
      <c r="AY2" s="238"/>
      <c r="AZ2" s="238"/>
      <c r="BA2" s="238"/>
      <c r="BB2" s="239"/>
      <c r="BC2" s="239"/>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row>
    <row r="3" spans="1:90"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1"/>
      <c r="AH3" s="238"/>
      <c r="AI3" s="238"/>
      <c r="AJ3" s="238"/>
      <c r="AK3" s="238"/>
      <c r="AL3" s="238"/>
      <c r="AM3" s="238"/>
      <c r="AN3" s="238"/>
      <c r="AO3" s="238"/>
      <c r="AP3" s="238"/>
      <c r="AQ3" s="238"/>
      <c r="AR3" s="238"/>
      <c r="AS3" s="238"/>
      <c r="AT3" s="238"/>
      <c r="AU3" s="238"/>
      <c r="AV3" s="238"/>
      <c r="AW3" s="238"/>
      <c r="AX3" s="238"/>
      <c r="AY3" s="238"/>
      <c r="AZ3" s="238"/>
      <c r="BA3" s="238"/>
      <c r="BB3" s="239"/>
      <c r="BC3" s="239"/>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row>
    <row r="4" spans="1:90"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4"/>
      <c r="AH4" s="238"/>
      <c r="AI4" s="241"/>
      <c r="AJ4" s="241"/>
      <c r="AK4" s="241"/>
      <c r="AL4" s="242" t="s">
        <v>576</v>
      </c>
      <c r="AM4" s="242" t="s">
        <v>577</v>
      </c>
      <c r="AN4" s="242" t="s">
        <v>578</v>
      </c>
      <c r="AO4" s="241"/>
      <c r="AP4" s="241"/>
      <c r="AQ4" s="241"/>
      <c r="AR4" s="241"/>
      <c r="AS4" s="241"/>
      <c r="AT4" s="238"/>
      <c r="AU4" s="238"/>
      <c r="AV4" s="238"/>
      <c r="AW4" s="238"/>
      <c r="AX4" s="238"/>
      <c r="AY4" s="238"/>
      <c r="AZ4" s="238"/>
      <c r="BA4" s="238"/>
      <c r="BB4" s="239"/>
      <c r="BC4" s="239"/>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row>
    <row r="5" spans="1:90" ht="15" customHeight="1">
      <c r="A5" s="875" t="s">
        <v>22</v>
      </c>
      <c r="B5" s="876"/>
      <c r="C5" s="876"/>
      <c r="D5" s="876"/>
      <c r="E5" s="876"/>
      <c r="F5" s="876"/>
      <c r="G5" s="876"/>
      <c r="H5" s="27" t="str">
        <f>'Emiss. Ops'!$C$2</f>
        <v>OMVP</v>
      </c>
      <c r="I5" s="27"/>
      <c r="J5" s="27"/>
      <c r="K5" s="27"/>
      <c r="L5" s="27"/>
      <c r="M5" s="27"/>
      <c r="N5" s="27"/>
      <c r="O5" s="27"/>
      <c r="P5" s="27"/>
      <c r="Q5" s="27"/>
      <c r="R5" s="27"/>
      <c r="S5" s="27"/>
      <c r="T5" s="27"/>
      <c r="U5" s="876" t="s">
        <v>23</v>
      </c>
      <c r="V5" s="876"/>
      <c r="W5" s="876"/>
      <c r="X5" s="876"/>
      <c r="Y5" s="877" t="str">
        <f>Effluents!$K$2</f>
        <v>PRJ-001030</v>
      </c>
      <c r="Z5" s="877"/>
      <c r="AA5" s="877"/>
      <c r="AB5" s="877"/>
      <c r="AC5" s="877"/>
      <c r="AD5" s="877"/>
      <c r="AE5" s="877"/>
      <c r="AF5" s="877"/>
      <c r="AG5" s="878"/>
      <c r="AH5" s="243"/>
      <c r="AI5" s="244"/>
      <c r="AJ5" s="244"/>
      <c r="AK5" s="244"/>
      <c r="AL5" s="245" t="s">
        <v>386</v>
      </c>
      <c r="AM5" s="245" t="s">
        <v>729</v>
      </c>
      <c r="AN5" s="242">
        <v>1020</v>
      </c>
      <c r="AO5" s="244"/>
      <c r="AP5" s="244"/>
      <c r="AQ5" s="244"/>
      <c r="AR5" s="244"/>
      <c r="AS5" s="244"/>
      <c r="AT5" s="238"/>
      <c r="AU5" s="238"/>
      <c r="AV5" s="238"/>
      <c r="AW5" s="243"/>
      <c r="AX5" s="243"/>
      <c r="AY5" s="243"/>
      <c r="AZ5" s="243"/>
      <c r="BA5" s="243"/>
      <c r="BB5" s="246"/>
      <c r="BC5" s="246"/>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row>
    <row r="6" spans="1:90" ht="15" customHeight="1">
      <c r="A6" s="862" t="s">
        <v>24</v>
      </c>
      <c r="B6" s="863"/>
      <c r="C6" s="863"/>
      <c r="D6" s="863"/>
      <c r="E6" s="863"/>
      <c r="F6" s="863"/>
      <c r="G6" s="863"/>
      <c r="H6" s="30" t="str">
        <f>'Emiss. Ops'!$C$3</f>
        <v>OMV Neptun BAT Study &amp; ESIA</v>
      </c>
      <c r="I6" s="30"/>
      <c r="J6" s="30"/>
      <c r="K6" s="30"/>
      <c r="L6" s="30"/>
      <c r="M6" s="30"/>
      <c r="N6" s="30"/>
      <c r="O6" s="30"/>
      <c r="P6" s="30"/>
      <c r="Q6" s="30"/>
      <c r="R6" s="30"/>
      <c r="S6" s="30"/>
      <c r="T6" s="30"/>
      <c r="U6" s="863" t="s">
        <v>25</v>
      </c>
      <c r="V6" s="863"/>
      <c r="W6" s="863"/>
      <c r="X6" s="863"/>
      <c r="Y6" s="860"/>
      <c r="Z6" s="860"/>
      <c r="AA6" s="860"/>
      <c r="AB6" s="860"/>
      <c r="AC6" s="860"/>
      <c r="AD6" s="860"/>
      <c r="AE6" s="860"/>
      <c r="AF6" s="860"/>
      <c r="AG6" s="861"/>
      <c r="AH6" s="243"/>
      <c r="AI6" s="244"/>
      <c r="AJ6" s="244"/>
      <c r="AK6" s="242"/>
      <c r="AL6" s="245" t="s">
        <v>406</v>
      </c>
      <c r="AM6" s="245" t="s">
        <v>339</v>
      </c>
      <c r="AN6" s="245">
        <v>0.45400000000000001</v>
      </c>
      <c r="AO6" s="242"/>
      <c r="AP6" s="244"/>
      <c r="AQ6" s="244"/>
      <c r="AR6" s="244"/>
      <c r="AS6" s="244"/>
      <c r="AT6" s="238"/>
      <c r="AU6" s="238"/>
      <c r="AV6" s="238"/>
      <c r="AW6" s="243"/>
      <c r="AX6" s="243"/>
      <c r="AY6" s="243"/>
      <c r="AZ6" s="243"/>
      <c r="BA6" s="243"/>
      <c r="BB6" s="246"/>
      <c r="BC6" s="246"/>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row>
    <row r="7" spans="1:90" ht="15" customHeight="1">
      <c r="A7" s="862" t="s">
        <v>26</v>
      </c>
      <c r="B7" s="863"/>
      <c r="C7" s="863"/>
      <c r="D7" s="863"/>
      <c r="E7" s="863"/>
      <c r="F7" s="863"/>
      <c r="G7" s="863"/>
      <c r="H7" s="30" t="str">
        <f>'Emiss. Ops'!$C$4</f>
        <v>Emissions Inventory</v>
      </c>
      <c r="I7" s="30"/>
      <c r="J7" s="30"/>
      <c r="K7" s="30"/>
      <c r="L7" s="30"/>
      <c r="M7" s="30"/>
      <c r="N7" s="30"/>
      <c r="O7" s="30"/>
      <c r="P7" s="30"/>
      <c r="Q7" s="30"/>
      <c r="R7" s="30"/>
      <c r="S7" s="30"/>
      <c r="T7" s="30"/>
      <c r="U7" s="863" t="s">
        <v>27</v>
      </c>
      <c r="V7" s="863"/>
      <c r="W7" s="863"/>
      <c r="X7" s="863"/>
      <c r="Y7" s="30" t="str">
        <f>'Emiss. Ops'!$I$4</f>
        <v>Normal Operations</v>
      </c>
      <c r="Z7" s="31"/>
      <c r="AA7" s="31"/>
      <c r="AB7" s="31"/>
      <c r="AC7" s="31"/>
      <c r="AD7" s="31"/>
      <c r="AE7" s="31"/>
      <c r="AF7" s="31"/>
      <c r="AG7" s="32"/>
      <c r="AH7" s="243"/>
      <c r="AI7" s="244"/>
      <c r="AJ7" s="244"/>
      <c r="AK7" s="242"/>
      <c r="AL7" s="245" t="s">
        <v>407</v>
      </c>
      <c r="AM7" s="245" t="s">
        <v>730</v>
      </c>
      <c r="AN7" s="248">
        <f>0.305^3</f>
        <v>2.8372624999999999E-2</v>
      </c>
      <c r="AO7" s="242"/>
      <c r="AP7" s="244"/>
      <c r="AQ7" s="244"/>
      <c r="AR7" s="244"/>
      <c r="AS7" s="244"/>
      <c r="AT7" s="238"/>
      <c r="AU7" s="238"/>
      <c r="AV7" s="238"/>
      <c r="AW7" s="243"/>
      <c r="AX7" s="243"/>
      <c r="AY7" s="243"/>
      <c r="AZ7" s="243"/>
      <c r="BA7" s="243"/>
      <c r="BB7" s="246"/>
      <c r="BC7" s="246"/>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row>
    <row r="8" spans="1:90"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9"/>
      <c r="AH8" s="243"/>
      <c r="AI8" s="244"/>
      <c r="AJ8" s="244"/>
      <c r="AK8" s="242"/>
      <c r="AL8" s="245" t="s">
        <v>729</v>
      </c>
      <c r="AM8" s="245" t="s">
        <v>731</v>
      </c>
      <c r="AN8" s="249" t="e">
        <f>AN6/AN7 * ((#REF!+273.15)/(#REF!+273.15))</f>
        <v>#REF!</v>
      </c>
      <c r="AO8" s="242"/>
      <c r="AP8" s="244"/>
      <c r="AQ8" s="244"/>
      <c r="AR8" s="244"/>
      <c r="AS8" s="244"/>
      <c r="AT8" s="238"/>
      <c r="AU8" s="238"/>
      <c r="AV8" s="238"/>
      <c r="AW8" s="243"/>
      <c r="AX8" s="243"/>
      <c r="AY8" s="243"/>
      <c r="AZ8" s="243"/>
      <c r="BA8" s="243"/>
      <c r="BB8" s="246"/>
      <c r="BC8" s="246"/>
      <c r="BD8" s="243"/>
      <c r="BE8" s="243"/>
      <c r="BF8" s="243"/>
      <c r="BG8" s="243"/>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row>
    <row r="9" spans="1:90"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9"/>
      <c r="AH9" s="243"/>
      <c r="AI9" s="244"/>
      <c r="AJ9" s="244"/>
      <c r="AK9" s="242"/>
      <c r="AL9" s="242" t="s">
        <v>409</v>
      </c>
      <c r="AM9" s="242" t="s">
        <v>410</v>
      </c>
      <c r="AN9" s="242">
        <v>947</v>
      </c>
      <c r="AO9" s="242"/>
      <c r="AP9" s="244"/>
      <c r="AQ9" s="244"/>
      <c r="AR9" s="244"/>
      <c r="AS9" s="244"/>
      <c r="AT9" s="238"/>
      <c r="AU9" s="238"/>
      <c r="AV9" s="238"/>
      <c r="AW9" s="243"/>
      <c r="AX9" s="243"/>
      <c r="AY9" s="243"/>
      <c r="AZ9" s="243"/>
      <c r="BA9" s="243"/>
      <c r="BB9" s="246"/>
      <c r="BC9" s="246"/>
      <c r="BD9" s="243"/>
      <c r="BE9" s="243"/>
      <c r="BF9" s="243"/>
      <c r="BG9" s="243"/>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row>
    <row r="10" spans="1:90"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859" t="s">
        <v>28</v>
      </c>
      <c r="V10" s="859"/>
      <c r="W10" s="859"/>
      <c r="X10" s="859"/>
      <c r="Y10" s="1284"/>
      <c r="Z10" s="1284"/>
      <c r="AA10" s="1284"/>
      <c r="AB10" s="1285"/>
      <c r="AC10" s="1285"/>
      <c r="AD10" s="1285"/>
      <c r="AE10" s="1286"/>
      <c r="AF10" s="1286"/>
      <c r="AG10" s="1287"/>
      <c r="AH10" s="238"/>
      <c r="AI10" s="241"/>
      <c r="AJ10" s="241"/>
      <c r="AK10" s="245"/>
      <c r="AL10" s="245" t="s">
        <v>710</v>
      </c>
      <c r="AM10" s="245" t="s">
        <v>709</v>
      </c>
      <c r="AN10" s="245">
        <v>1E-3</v>
      </c>
      <c r="AO10" s="245"/>
      <c r="AP10" s="241"/>
      <c r="AQ10" s="241"/>
      <c r="AR10" s="241"/>
      <c r="AS10" s="241"/>
      <c r="AT10" s="238"/>
      <c r="AU10" s="238"/>
      <c r="AV10" s="238"/>
      <c r="AW10" s="238"/>
      <c r="AX10" s="238"/>
      <c r="AY10" s="238"/>
      <c r="AZ10" s="238"/>
      <c r="BA10" s="238"/>
      <c r="BB10" s="239"/>
      <c r="BC10" s="239"/>
      <c r="BD10" s="238"/>
      <c r="BE10" s="238"/>
      <c r="BF10" s="238"/>
      <c r="BG10" s="238"/>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row>
    <row r="11" spans="1:90" s="240" customFormat="1" ht="14.25" customHeight="1">
      <c r="A11" s="1271" t="s">
        <v>212</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3"/>
      <c r="AH11" s="238"/>
      <c r="AI11" s="241"/>
      <c r="AJ11" s="241"/>
      <c r="AK11" s="245"/>
      <c r="AL11" s="245" t="s">
        <v>732</v>
      </c>
      <c r="AM11" s="245" t="s">
        <v>409</v>
      </c>
      <c r="AN11" s="245">
        <f>1/(AN9/1000000)</f>
        <v>1055.9662090813094</v>
      </c>
      <c r="AO11" s="245"/>
      <c r="AP11" s="241"/>
      <c r="AQ11" s="241"/>
      <c r="AR11" s="241"/>
      <c r="AS11" s="241"/>
      <c r="AT11" s="238"/>
      <c r="AU11" s="238"/>
      <c r="AV11" s="238"/>
      <c r="AW11" s="238"/>
      <c r="AX11" s="238"/>
      <c r="AY11" s="238"/>
      <c r="AZ11" s="238"/>
      <c r="BA11" s="238"/>
      <c r="BB11" s="239"/>
      <c r="BC11" s="239"/>
      <c r="BD11" s="238"/>
      <c r="BE11" s="238"/>
      <c r="BF11" s="238"/>
      <c r="BG11" s="238"/>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row>
    <row r="12" spans="1:90" s="240" customFormat="1" ht="14.25" customHeight="1">
      <c r="A12" s="1274"/>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6"/>
      <c r="AH12" s="238"/>
      <c r="AI12" s="241"/>
      <c r="AJ12" s="241"/>
      <c r="AK12" s="245"/>
      <c r="AL12" s="245"/>
      <c r="AM12" s="245"/>
      <c r="AN12" s="245"/>
      <c r="AO12" s="245"/>
      <c r="AP12" s="241"/>
      <c r="AQ12" s="241"/>
      <c r="AR12" s="241"/>
      <c r="AS12" s="241"/>
      <c r="AT12" s="238"/>
      <c r="AU12" s="238"/>
      <c r="AV12" s="238"/>
      <c r="AW12" s="238"/>
      <c r="AX12" s="238"/>
      <c r="AY12" s="238"/>
      <c r="AZ12" s="238"/>
      <c r="BA12" s="238"/>
      <c r="BB12" s="239"/>
      <c r="BC12" s="239"/>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row>
    <row r="13" spans="1:90" s="240" customFormat="1" ht="14.25" customHeight="1">
      <c r="A13" s="250"/>
      <c r="B13" s="251"/>
      <c r="C13" s="251"/>
      <c r="D13" s="251"/>
      <c r="E13" s="251"/>
      <c r="F13" s="251"/>
      <c r="G13" s="251"/>
      <c r="H13" s="252"/>
      <c r="I13" s="251"/>
      <c r="J13" s="251"/>
      <c r="K13" s="251"/>
      <c r="L13" s="251"/>
      <c r="M13" s="251"/>
      <c r="N13" s="251"/>
      <c r="O13" s="251"/>
      <c r="P13" s="251"/>
      <c r="Q13" s="251"/>
      <c r="R13" s="860"/>
      <c r="S13" s="860"/>
      <c r="T13" s="1293"/>
      <c r="U13" s="1293"/>
      <c r="V13" s="1293"/>
      <c r="W13" s="860"/>
      <c r="X13" s="860"/>
      <c r="Y13" s="1293"/>
      <c r="Z13" s="1293"/>
      <c r="AA13" s="860"/>
      <c r="AB13" s="860"/>
      <c r="AC13" s="860"/>
      <c r="AD13" s="1293"/>
      <c r="AE13" s="1293"/>
      <c r="AF13" s="30"/>
      <c r="AG13" s="253"/>
      <c r="AH13" s="238"/>
      <c r="AI13" s="254" t="e">
        <f>#REF!*SUM(N20:O29)</f>
        <v>#REF!</v>
      </c>
      <c r="AJ13" s="241"/>
      <c r="AK13" s="241"/>
      <c r="AL13" s="241"/>
      <c r="AM13" s="241"/>
      <c r="AN13" s="241"/>
      <c r="AO13" s="241"/>
      <c r="AP13" s="241"/>
      <c r="AQ13" s="241"/>
      <c r="AR13" s="241"/>
      <c r="AS13" s="241"/>
      <c r="AT13" s="238"/>
      <c r="AU13" s="238"/>
      <c r="AV13" s="238"/>
      <c r="AW13" s="238"/>
      <c r="AX13" s="238"/>
      <c r="AY13" s="238"/>
      <c r="AZ13" s="238"/>
      <c r="BA13" s="238"/>
      <c r="BB13" s="239"/>
      <c r="BC13" s="239"/>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row>
    <row r="14" spans="1:90" s="240" customFormat="1" ht="14.25" customHeight="1">
      <c r="A14" s="1370" t="s">
        <v>718</v>
      </c>
      <c r="B14" s="1370"/>
      <c r="C14" s="1370"/>
      <c r="D14" s="1370"/>
      <c r="E14" s="1370"/>
      <c r="F14" s="1371" t="s">
        <v>789</v>
      </c>
      <c r="G14" s="1372"/>
      <c r="H14" s="1372"/>
      <c r="I14" s="1372"/>
      <c r="J14" s="1372"/>
      <c r="K14" s="1372"/>
      <c r="L14" s="1372"/>
      <c r="M14" s="1372"/>
      <c r="N14" s="1372"/>
      <c r="O14" s="1372"/>
      <c r="P14" s="1372"/>
      <c r="Q14" s="1372"/>
      <c r="R14" s="30"/>
      <c r="S14" s="1402" t="s">
        <v>914</v>
      </c>
      <c r="T14" s="1184"/>
      <c r="U14" s="1184"/>
      <c r="V14" s="1184"/>
      <c r="W14" s="1184"/>
      <c r="X14" s="1184"/>
      <c r="Y14" s="1184"/>
      <c r="Z14" s="1184"/>
      <c r="AA14" s="1184"/>
      <c r="AB14" s="1184"/>
      <c r="AC14" s="1184"/>
      <c r="AD14" s="1184"/>
      <c r="AE14" s="1184"/>
      <c r="AF14" s="1184"/>
      <c r="AG14" s="253"/>
      <c r="AH14" s="255"/>
      <c r="AI14" s="241"/>
      <c r="AJ14" s="241"/>
      <c r="AK14" s="241"/>
      <c r="AL14" s="241"/>
      <c r="AM14" s="241"/>
      <c r="AN14" s="241"/>
      <c r="AO14" s="241"/>
      <c r="AP14" s="241"/>
      <c r="AQ14" s="241"/>
      <c r="AR14" s="241"/>
      <c r="AS14" s="241"/>
      <c r="AT14" s="241"/>
      <c r="AU14" s="241"/>
      <c r="AV14" s="238"/>
      <c r="AW14" s="238"/>
      <c r="AX14" s="238"/>
      <c r="AY14" s="238"/>
      <c r="AZ14" s="238"/>
      <c r="BA14" s="238"/>
      <c r="BB14" s="239"/>
      <c r="BC14" s="239"/>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row>
    <row r="15" spans="1:90" s="240" customFormat="1" ht="14.25" customHeight="1">
      <c r="A15" s="256" t="s">
        <v>620</v>
      </c>
      <c r="B15" s="30"/>
      <c r="C15" s="30"/>
      <c r="D15" s="30"/>
      <c r="E15" s="30"/>
      <c r="F15" s="1529" t="s">
        <v>791</v>
      </c>
      <c r="G15" s="1530"/>
      <c r="H15" s="1530"/>
      <c r="I15" s="1531"/>
      <c r="J15" s="1529" t="s">
        <v>792</v>
      </c>
      <c r="K15" s="1530"/>
      <c r="L15" s="1530"/>
      <c r="M15" s="1531"/>
      <c r="N15" s="1535" t="s">
        <v>793</v>
      </c>
      <c r="O15" s="1536"/>
      <c r="P15" s="1537"/>
      <c r="Q15" s="1538"/>
      <c r="R15" s="257"/>
      <c r="S15" s="1184"/>
      <c r="T15" s="1184"/>
      <c r="U15" s="1184"/>
      <c r="V15" s="1184"/>
      <c r="W15" s="1184"/>
      <c r="X15" s="1184"/>
      <c r="Y15" s="1184"/>
      <c r="Z15" s="1184"/>
      <c r="AA15" s="1184"/>
      <c r="AB15" s="1184"/>
      <c r="AC15" s="1184"/>
      <c r="AD15" s="1184"/>
      <c r="AE15" s="1184"/>
      <c r="AF15" s="1184"/>
      <c r="AG15" s="253"/>
      <c r="AH15" s="255"/>
      <c r="AI15" s="241"/>
      <c r="AJ15" s="241"/>
      <c r="AK15" s="241"/>
      <c r="AL15" s="241"/>
      <c r="AM15" s="241"/>
      <c r="AN15" s="241"/>
      <c r="AO15" s="241"/>
      <c r="AP15" s="241"/>
      <c r="AQ15" s="241"/>
      <c r="AR15" s="241"/>
      <c r="AS15" s="241"/>
      <c r="AT15" s="241"/>
      <c r="AU15" s="241"/>
      <c r="AV15" s="238"/>
      <c r="AW15" s="238"/>
      <c r="AX15" s="238"/>
      <c r="AY15" s="238"/>
      <c r="AZ15" s="238"/>
      <c r="BA15" s="238"/>
      <c r="BB15" s="239"/>
      <c r="BC15" s="239"/>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row>
    <row r="16" spans="1:90" s="240" customFormat="1" ht="14.25" customHeight="1">
      <c r="A16" s="133"/>
      <c r="B16" s="30"/>
      <c r="C16" s="30"/>
      <c r="D16" s="30"/>
      <c r="E16" s="30"/>
      <c r="F16" s="1532"/>
      <c r="G16" s="1533"/>
      <c r="H16" s="1533"/>
      <c r="I16" s="1534"/>
      <c r="J16" s="1532"/>
      <c r="K16" s="1533"/>
      <c r="L16" s="1533"/>
      <c r="M16" s="1534"/>
      <c r="N16" s="1539"/>
      <c r="O16" s="1540"/>
      <c r="P16" s="1533"/>
      <c r="Q16" s="1534"/>
      <c r="R16" s="257"/>
      <c r="S16" s="1184"/>
      <c r="T16" s="1184"/>
      <c r="U16" s="1184"/>
      <c r="V16" s="1184"/>
      <c r="W16" s="1184"/>
      <c r="X16" s="1184"/>
      <c r="Y16" s="1184"/>
      <c r="Z16" s="1184"/>
      <c r="AA16" s="1184"/>
      <c r="AB16" s="1184"/>
      <c r="AC16" s="1184"/>
      <c r="AD16" s="1184"/>
      <c r="AE16" s="1184"/>
      <c r="AF16" s="1184"/>
      <c r="AG16" s="253"/>
      <c r="AH16" s="258"/>
      <c r="AI16" s="259" t="s">
        <v>740</v>
      </c>
      <c r="AJ16" s="259"/>
      <c r="AK16" s="259"/>
      <c r="AL16" s="259"/>
      <c r="AM16" s="259"/>
      <c r="AN16" s="259"/>
      <c r="AO16" s="259" t="s">
        <v>741</v>
      </c>
      <c r="AP16" s="259"/>
      <c r="AQ16" s="259" t="s">
        <v>742</v>
      </c>
      <c r="AR16" s="259"/>
      <c r="AS16" s="259"/>
      <c r="AT16" s="259"/>
      <c r="AU16" s="258"/>
      <c r="AV16" s="238"/>
      <c r="AW16" s="238"/>
      <c r="AX16" s="238"/>
      <c r="AY16" s="238"/>
      <c r="AZ16" s="238"/>
      <c r="BA16" s="238"/>
      <c r="BB16" s="239"/>
      <c r="BC16" s="239"/>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row>
    <row r="17" spans="1:90" s="240" customFormat="1" ht="14.25" customHeight="1">
      <c r="A17" s="1376" t="s">
        <v>630</v>
      </c>
      <c r="B17" s="1376"/>
      <c r="C17" s="1376"/>
      <c r="D17" s="1376"/>
      <c r="E17" s="1376"/>
      <c r="F17" s="1375" t="s">
        <v>794</v>
      </c>
      <c r="G17" s="1375"/>
      <c r="H17" s="1375" t="s">
        <v>590</v>
      </c>
      <c r="I17" s="1375"/>
      <c r="J17" s="1371" t="s">
        <v>795</v>
      </c>
      <c r="K17" s="1372"/>
      <c r="L17" s="1541"/>
      <c r="M17" s="1542"/>
      <c r="N17" s="1375" t="s">
        <v>617</v>
      </c>
      <c r="O17" s="1375"/>
      <c r="P17" s="1375" t="s">
        <v>332</v>
      </c>
      <c r="Q17" s="1375"/>
      <c r="R17" s="30"/>
      <c r="S17" s="1184"/>
      <c r="T17" s="1184"/>
      <c r="U17" s="1184"/>
      <c r="V17" s="1184"/>
      <c r="W17" s="1184"/>
      <c r="X17" s="1184"/>
      <c r="Y17" s="1184"/>
      <c r="Z17" s="1184"/>
      <c r="AA17" s="1184"/>
      <c r="AB17" s="1184"/>
      <c r="AC17" s="1184"/>
      <c r="AD17" s="1184"/>
      <c r="AE17" s="1184"/>
      <c r="AF17" s="1184"/>
      <c r="AG17" s="253"/>
      <c r="AH17" s="258"/>
      <c r="AI17" s="259" t="s">
        <v>633</v>
      </c>
      <c r="AJ17" s="259" t="s">
        <v>634</v>
      </c>
      <c r="AK17" s="259" t="s">
        <v>635</v>
      </c>
      <c r="AL17" s="259" t="s">
        <v>636</v>
      </c>
      <c r="AM17" s="259" t="s">
        <v>637</v>
      </c>
      <c r="AN17" s="259" t="s">
        <v>590</v>
      </c>
      <c r="AO17" s="259" t="s">
        <v>428</v>
      </c>
      <c r="AP17" s="259" t="s">
        <v>429</v>
      </c>
      <c r="AQ17" s="259" t="s">
        <v>126</v>
      </c>
      <c r="AR17" s="259" t="s">
        <v>431</v>
      </c>
      <c r="AS17" s="259" t="s">
        <v>429</v>
      </c>
      <c r="AT17" s="259" t="s">
        <v>124</v>
      </c>
      <c r="AU17" s="258"/>
      <c r="AV17" s="238"/>
      <c r="AW17" s="238"/>
      <c r="AX17" s="238"/>
      <c r="AY17" s="238"/>
      <c r="AZ17" s="238"/>
      <c r="BA17" s="238"/>
      <c r="BB17" s="239" t="s">
        <v>128</v>
      </c>
      <c r="BC17" s="239" t="s">
        <v>743</v>
      </c>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row>
    <row r="18" spans="1:90" s="240" customFormat="1" ht="14.25" customHeight="1">
      <c r="A18" s="260" t="s">
        <v>638</v>
      </c>
      <c r="B18" s="261"/>
      <c r="C18" s="261"/>
      <c r="D18" s="261"/>
      <c r="E18" s="262"/>
      <c r="F18" s="1377">
        <v>0</v>
      </c>
      <c r="G18" s="1378"/>
      <c r="H18" s="1379"/>
      <c r="I18" s="1381"/>
      <c r="J18" s="1380"/>
      <c r="K18" s="1380"/>
      <c r="L18" s="1379"/>
      <c r="M18" s="1380"/>
      <c r="N18" s="1379">
        <f>SUM(H18,J18,L18)*AN18</f>
        <v>0</v>
      </c>
      <c r="O18" s="1380"/>
      <c r="P18" s="1379"/>
      <c r="Q18" s="1381"/>
      <c r="R18" s="263"/>
      <c r="S18" s="1184"/>
      <c r="T18" s="1184"/>
      <c r="U18" s="1184"/>
      <c r="V18" s="1184"/>
      <c r="W18" s="1184"/>
      <c r="X18" s="1184"/>
      <c r="Y18" s="1184"/>
      <c r="Z18" s="1184"/>
      <c r="AA18" s="1184"/>
      <c r="AB18" s="1184"/>
      <c r="AC18" s="1184"/>
      <c r="AD18" s="1184"/>
      <c r="AE18" s="1184"/>
      <c r="AF18" s="1184"/>
      <c r="AG18" s="264"/>
      <c r="AH18" s="258"/>
      <c r="AI18" s="259"/>
      <c r="AJ18" s="259">
        <v>2</v>
      </c>
      <c r="AK18" s="259"/>
      <c r="AL18" s="259"/>
      <c r="AM18" s="259"/>
      <c r="AN18" s="265">
        <f>AI18*12.01+AJ18*1.008+AK18*16+AL18*14+AM18*32</f>
        <v>2.016</v>
      </c>
      <c r="AO18" s="259">
        <f>AI18*1+AJ18*0.25+AM18*1</f>
        <v>0.5</v>
      </c>
      <c r="AP18" s="266">
        <f>0.79/0.21*AO18</f>
        <v>1.8809523809523812</v>
      </c>
      <c r="AQ18" s="259">
        <f>1*AI18</f>
        <v>0</v>
      </c>
      <c r="AR18" s="259">
        <f>AJ18/2</f>
        <v>1</v>
      </c>
      <c r="AS18" s="266">
        <f>AL18*0.5+AP18</f>
        <v>1.8809523809523812</v>
      </c>
      <c r="AT18" s="259">
        <f>AM18*1</f>
        <v>0</v>
      </c>
      <c r="AU18" s="258"/>
      <c r="AV18" s="238"/>
      <c r="AW18" s="238"/>
      <c r="AX18" s="238"/>
      <c r="AY18" s="238"/>
      <c r="AZ18" s="238"/>
      <c r="BA18" s="239" t="s">
        <v>639</v>
      </c>
      <c r="BB18" s="239">
        <v>1.4200000000000001E-2</v>
      </c>
      <c r="BC18" s="239">
        <v>2.9999999999999997E-4</v>
      </c>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row>
    <row r="19" spans="1:90" s="240" customFormat="1" ht="14.25" customHeight="1">
      <c r="A19" s="267" t="s">
        <v>122</v>
      </c>
      <c r="B19" s="268"/>
      <c r="C19" s="268"/>
      <c r="D19" s="268"/>
      <c r="E19" s="269"/>
      <c r="F19" s="1377">
        <f>CO2eEF!P26</f>
        <v>0.99629999999999996</v>
      </c>
      <c r="G19" s="1378"/>
      <c r="H19" s="1546">
        <v>16.042999999999999</v>
      </c>
      <c r="I19" s="1549"/>
      <c r="J19" s="1550">
        <f>F19*H19</f>
        <v>15.983640899999999</v>
      </c>
      <c r="K19" s="1550"/>
      <c r="L19" s="1546">
        <f>J19/$J$39</f>
        <v>0.99103593622983144</v>
      </c>
      <c r="M19" s="1545"/>
      <c r="N19" s="1547">
        <f>L19*$V$20</f>
        <v>2.1480359101490754E-2</v>
      </c>
      <c r="O19" s="1548"/>
      <c r="P19" s="1547">
        <f>N19*365.25*24/1000</f>
        <v>0.18829682788366797</v>
      </c>
      <c r="Q19" s="1548"/>
      <c r="R19" s="1382"/>
      <c r="S19" s="1384"/>
      <c r="T19" s="263"/>
      <c r="U19" s="263"/>
      <c r="V19" s="263"/>
      <c r="W19" s="263"/>
      <c r="X19" s="263"/>
      <c r="Y19" s="263"/>
      <c r="Z19" s="263"/>
      <c r="AA19" s="263"/>
      <c r="AB19" s="263"/>
      <c r="AC19" s="263"/>
      <c r="AD19" s="263"/>
      <c r="AE19" s="263"/>
      <c r="AF19" s="263"/>
      <c r="AG19" s="264"/>
      <c r="AH19" s="258"/>
      <c r="AI19" s="259">
        <v>1</v>
      </c>
      <c r="AJ19" s="259">
        <v>4</v>
      </c>
      <c r="AK19" s="259"/>
      <c r="AL19" s="259"/>
      <c r="AM19" s="259"/>
      <c r="AN19" s="265">
        <f t="shared" ref="AN19:AN34" si="0">AI19*12.01+AJ19*1.008+AK19*16+AL19*14+AM19*32</f>
        <v>16.042000000000002</v>
      </c>
      <c r="AO19" s="259">
        <f t="shared" ref="AO19:AO33" si="1">AI19*1+AJ19*0.25+AM19*1</f>
        <v>2</v>
      </c>
      <c r="AP19" s="266">
        <f t="shared" ref="AP19:AP33" si="2">0.79/0.21*AO19</f>
        <v>7.5238095238095246</v>
      </c>
      <c r="AQ19" s="259">
        <f t="shared" ref="AQ19:AQ33" si="3">1*AI19</f>
        <v>1</v>
      </c>
      <c r="AR19" s="259">
        <f t="shared" ref="AR19:AR33" si="4">AJ19/2</f>
        <v>2</v>
      </c>
      <c r="AS19" s="266">
        <f t="shared" ref="AS19:AS33" si="5">AL19*0.5+AP19</f>
        <v>7.5238095238095246</v>
      </c>
      <c r="AT19" s="259">
        <f t="shared" ref="AT19:AT33" si="6">AM19*1</f>
        <v>0</v>
      </c>
      <c r="AU19" s="258"/>
      <c r="AV19" s="238"/>
      <c r="AW19" s="238"/>
      <c r="AX19" s="238"/>
      <c r="AY19" s="238"/>
      <c r="AZ19" s="238"/>
      <c r="BA19" s="239" t="s">
        <v>126</v>
      </c>
      <c r="BB19" s="239">
        <v>9.5999999999999992E-3</v>
      </c>
      <c r="BC19" s="239">
        <v>0.77539999999999998</v>
      </c>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row>
    <row r="20" spans="1:90" s="240" customFormat="1" ht="14.25" customHeight="1">
      <c r="A20" s="267" t="s">
        <v>641</v>
      </c>
      <c r="B20" s="268"/>
      <c r="C20" s="268"/>
      <c r="D20" s="268"/>
      <c r="E20" s="269"/>
      <c r="F20" s="1377">
        <v>0</v>
      </c>
      <c r="G20" s="1378"/>
      <c r="H20" s="1299"/>
      <c r="I20" s="1301"/>
      <c r="J20" s="1300"/>
      <c r="K20" s="1300"/>
      <c r="L20" s="1299"/>
      <c r="M20" s="1300"/>
      <c r="N20" s="1299">
        <f>SUM(H20,J20,L20)*AN20</f>
        <v>0</v>
      </c>
      <c r="O20" s="1301"/>
      <c r="P20" s="1299"/>
      <c r="Q20" s="1301"/>
      <c r="R20" s="263"/>
      <c r="S20" s="263"/>
      <c r="T20" s="270"/>
      <c r="U20" s="31"/>
      <c r="V20" s="271">
        <f>0.19*1000/365.25/24</f>
        <v>2.16746520647958E-2</v>
      </c>
      <c r="W20" s="263" t="s">
        <v>617</v>
      </c>
      <c r="X20" s="263"/>
      <c r="Y20" s="263"/>
      <c r="Z20" s="263"/>
      <c r="AA20" s="263"/>
      <c r="AB20" s="263"/>
      <c r="AC20" s="263"/>
      <c r="AD20" s="263"/>
      <c r="AE20" s="263"/>
      <c r="AF20" s="263"/>
      <c r="AG20" s="264"/>
      <c r="AH20" s="258"/>
      <c r="AI20" s="259">
        <v>2</v>
      </c>
      <c r="AJ20" s="259">
        <v>4</v>
      </c>
      <c r="AK20" s="259"/>
      <c r="AL20" s="259"/>
      <c r="AM20" s="259"/>
      <c r="AN20" s="265">
        <f t="shared" si="0"/>
        <v>28.052</v>
      </c>
      <c r="AO20" s="259">
        <f t="shared" si="1"/>
        <v>3</v>
      </c>
      <c r="AP20" s="266">
        <f t="shared" si="2"/>
        <v>11.285714285714286</v>
      </c>
      <c r="AQ20" s="259">
        <f t="shared" si="3"/>
        <v>2</v>
      </c>
      <c r="AR20" s="259">
        <f t="shared" si="4"/>
        <v>2</v>
      </c>
      <c r="AS20" s="266">
        <f t="shared" si="5"/>
        <v>11.285714285714286</v>
      </c>
      <c r="AT20" s="259">
        <f t="shared" si="6"/>
        <v>0</v>
      </c>
      <c r="AU20" s="258"/>
      <c r="AV20" s="238"/>
      <c r="AW20" s="238"/>
      <c r="AX20" s="238"/>
      <c r="AY20" s="238"/>
      <c r="AZ20" s="238"/>
      <c r="BA20" s="239" t="s">
        <v>642</v>
      </c>
      <c r="BB20" s="239">
        <v>0.60499999999999998</v>
      </c>
      <c r="BC20" s="239">
        <v>1.43E-2</v>
      </c>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row>
    <row r="21" spans="1:90" s="240" customFormat="1" ht="14.25" customHeight="1">
      <c r="A21" s="267" t="s">
        <v>643</v>
      </c>
      <c r="B21" s="268"/>
      <c r="C21" s="268"/>
      <c r="D21" s="268"/>
      <c r="E21" s="269"/>
      <c r="F21" s="1377">
        <f>CO2eEF!P27</f>
        <v>7.000000000000001E-4</v>
      </c>
      <c r="G21" s="1378"/>
      <c r="H21" s="1543">
        <v>30.07</v>
      </c>
      <c r="I21" s="1544"/>
      <c r="J21" s="1545">
        <f>F21*H21</f>
        <v>2.1049000000000002E-2</v>
      </c>
      <c r="K21" s="1545"/>
      <c r="L21" s="1546">
        <f>J21/$J$39</f>
        <v>1.3051041093961092E-3</v>
      </c>
      <c r="M21" s="1545"/>
      <c r="N21" s="1547">
        <f>L21*$V$20</f>
        <v>2.8287677479495862E-5</v>
      </c>
      <c r="O21" s="1548"/>
      <c r="P21" s="1547">
        <f>N21*365.25*24/1000</f>
        <v>2.4796978078526073E-4</v>
      </c>
      <c r="Q21" s="1548"/>
      <c r="R21" s="263"/>
      <c r="S21" s="263"/>
      <c r="T21" s="31"/>
      <c r="U21" s="31"/>
      <c r="V21" s="270"/>
      <c r="W21" s="263"/>
      <c r="X21" s="263"/>
      <c r="Y21" s="263"/>
      <c r="Z21" s="263"/>
      <c r="AA21" s="263"/>
      <c r="AB21" s="263"/>
      <c r="AC21" s="263"/>
      <c r="AD21" s="263"/>
      <c r="AE21" s="263"/>
      <c r="AF21" s="263"/>
      <c r="AG21" s="264"/>
      <c r="AH21" s="258"/>
      <c r="AI21" s="259">
        <v>2</v>
      </c>
      <c r="AJ21" s="259">
        <v>6</v>
      </c>
      <c r="AK21" s="259"/>
      <c r="AL21" s="259"/>
      <c r="AM21" s="259"/>
      <c r="AN21" s="265">
        <f t="shared" si="0"/>
        <v>30.067999999999998</v>
      </c>
      <c r="AO21" s="259">
        <f t="shared" si="1"/>
        <v>3.5</v>
      </c>
      <c r="AP21" s="266">
        <f t="shared" si="2"/>
        <v>13.166666666666668</v>
      </c>
      <c r="AQ21" s="259">
        <f t="shared" si="3"/>
        <v>2</v>
      </c>
      <c r="AR21" s="259">
        <f t="shared" si="4"/>
        <v>3</v>
      </c>
      <c r="AS21" s="266">
        <f t="shared" si="5"/>
        <v>13.166666666666668</v>
      </c>
      <c r="AT21" s="259">
        <f t="shared" si="6"/>
        <v>0</v>
      </c>
      <c r="AU21" s="258"/>
      <c r="AV21" s="238"/>
      <c r="AW21" s="238"/>
      <c r="AX21" s="238"/>
      <c r="AY21" s="238"/>
      <c r="AZ21" s="238"/>
      <c r="BA21" s="239" t="s">
        <v>644</v>
      </c>
      <c r="BB21" s="239">
        <v>0.17519999999999999</v>
      </c>
      <c r="BC21" s="239">
        <v>1.9E-3</v>
      </c>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row>
    <row r="22" spans="1:90" s="240" customFormat="1" ht="14.25" customHeight="1">
      <c r="A22" s="267" t="s">
        <v>418</v>
      </c>
      <c r="B22" s="268"/>
      <c r="C22" s="268"/>
      <c r="D22" s="268"/>
      <c r="E22" s="269"/>
      <c r="F22" s="1377">
        <v>0</v>
      </c>
      <c r="G22" s="1378"/>
      <c r="H22" s="1299"/>
      <c r="I22" s="1301"/>
      <c r="J22" s="1300"/>
      <c r="K22" s="1300"/>
      <c r="L22" s="1299"/>
      <c r="M22" s="1300"/>
      <c r="N22" s="1299">
        <f>SUM(H22,J22,L22)*AN22</f>
        <v>0</v>
      </c>
      <c r="O22" s="1301"/>
      <c r="P22" s="1299"/>
      <c r="Q22" s="1301"/>
      <c r="R22" s="263"/>
      <c r="S22" s="263"/>
      <c r="T22" s="272"/>
      <c r="U22" s="270">
        <f>0.19*1000/X23</f>
        <v>570</v>
      </c>
      <c r="V22" s="263" t="s">
        <v>617</v>
      </c>
      <c r="W22" s="263"/>
      <c r="X22" s="263">
        <v>20</v>
      </c>
      <c r="Y22" s="263" t="s">
        <v>434</v>
      </c>
      <c r="Z22" s="263"/>
      <c r="AA22" s="263" t="s">
        <v>915</v>
      </c>
      <c r="AB22" s="263"/>
      <c r="AC22" s="263"/>
      <c r="AD22" s="263"/>
      <c r="AE22" s="263"/>
      <c r="AF22" s="263"/>
      <c r="AG22" s="264"/>
      <c r="AH22" s="258"/>
      <c r="AI22" s="259">
        <v>3</v>
      </c>
      <c r="AJ22" s="259">
        <v>6</v>
      </c>
      <c r="AK22" s="259"/>
      <c r="AL22" s="259"/>
      <c r="AM22" s="259"/>
      <c r="AN22" s="265">
        <f t="shared" si="0"/>
        <v>42.078000000000003</v>
      </c>
      <c r="AO22" s="259">
        <f t="shared" si="1"/>
        <v>4.5</v>
      </c>
      <c r="AP22" s="266">
        <f t="shared" si="2"/>
        <v>16.928571428571431</v>
      </c>
      <c r="AQ22" s="259">
        <f t="shared" si="3"/>
        <v>3</v>
      </c>
      <c r="AR22" s="259">
        <f t="shared" si="4"/>
        <v>3</v>
      </c>
      <c r="AS22" s="266">
        <f t="shared" si="5"/>
        <v>16.928571428571431</v>
      </c>
      <c r="AT22" s="259">
        <f t="shared" si="6"/>
        <v>0</v>
      </c>
      <c r="AU22" s="258"/>
      <c r="AV22" s="238"/>
      <c r="AW22" s="238"/>
      <c r="AX22" s="238"/>
      <c r="AY22" s="238"/>
      <c r="AZ22" s="238"/>
      <c r="BA22" s="239" t="s">
        <v>645</v>
      </c>
      <c r="BB22" s="239">
        <v>0.1139</v>
      </c>
      <c r="BC22" s="239">
        <v>3.5999999999999999E-3</v>
      </c>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row>
    <row r="23" spans="1:90" s="240" customFormat="1" ht="14.25" customHeight="1">
      <c r="A23" s="267" t="s">
        <v>419</v>
      </c>
      <c r="B23" s="268"/>
      <c r="C23" s="268"/>
      <c r="D23" s="268"/>
      <c r="E23" s="269"/>
      <c r="F23" s="1377">
        <f>CO2eEF!P28</f>
        <v>2.0000000000000001E-4</v>
      </c>
      <c r="G23" s="1378"/>
      <c r="H23" s="1546">
        <v>44.097000000000001</v>
      </c>
      <c r="I23" s="1549"/>
      <c r="J23" s="1545">
        <f>F23*H23</f>
        <v>8.8194000000000015E-3</v>
      </c>
      <c r="K23" s="1545"/>
      <c r="L23" s="1546">
        <f>J23/$J$39</f>
        <v>5.4683049942553315E-4</v>
      </c>
      <c r="M23" s="1545"/>
      <c r="N23" s="1547">
        <f>L23*$V$20</f>
        <v>1.185236081346695E-5</v>
      </c>
      <c r="O23" s="1548"/>
      <c r="P23" s="1547">
        <f>N23*365.25*24/1000</f>
        <v>1.038977948908513E-4</v>
      </c>
      <c r="Q23" s="1548"/>
      <c r="R23" s="263"/>
      <c r="S23" s="263"/>
      <c r="T23" s="272"/>
      <c r="U23" s="270"/>
      <c r="V23" s="263"/>
      <c r="W23" s="263"/>
      <c r="X23" s="263">
        <f>X22/60</f>
        <v>0.33333333333333331</v>
      </c>
      <c r="Y23" s="263" t="s">
        <v>763</v>
      </c>
      <c r="Z23" s="263"/>
      <c r="AA23" s="263" t="s">
        <v>803</v>
      </c>
      <c r="AB23" s="263"/>
      <c r="AC23" s="263"/>
      <c r="AD23" s="263"/>
      <c r="AE23" s="263"/>
      <c r="AF23" s="263"/>
      <c r="AG23" s="264"/>
      <c r="AH23" s="258"/>
      <c r="AI23" s="259">
        <v>3</v>
      </c>
      <c r="AJ23" s="259">
        <v>8</v>
      </c>
      <c r="AK23" s="259"/>
      <c r="AL23" s="259"/>
      <c r="AM23" s="259"/>
      <c r="AN23" s="265">
        <f t="shared" si="0"/>
        <v>44.094000000000001</v>
      </c>
      <c r="AO23" s="259">
        <f t="shared" si="1"/>
        <v>5</v>
      </c>
      <c r="AP23" s="266">
        <f t="shared" si="2"/>
        <v>18.80952380952381</v>
      </c>
      <c r="AQ23" s="259">
        <f t="shared" si="3"/>
        <v>3</v>
      </c>
      <c r="AR23" s="259">
        <f t="shared" si="4"/>
        <v>4</v>
      </c>
      <c r="AS23" s="266">
        <f t="shared" si="5"/>
        <v>18.80952380952381</v>
      </c>
      <c r="AT23" s="259">
        <f t="shared" si="6"/>
        <v>0</v>
      </c>
      <c r="AU23" s="258"/>
      <c r="AV23" s="238"/>
      <c r="AW23" s="238"/>
      <c r="AX23" s="238"/>
      <c r="AY23" s="238"/>
      <c r="AZ23" s="238"/>
      <c r="BA23" s="239" t="s">
        <v>646</v>
      </c>
      <c r="BB23" s="239">
        <v>1.7100000000000001E-2</v>
      </c>
      <c r="BC23" s="239">
        <v>1E-3</v>
      </c>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row>
    <row r="24" spans="1:90" s="240" customFormat="1" ht="14.25" customHeight="1">
      <c r="A24" s="267" t="s">
        <v>420</v>
      </c>
      <c r="B24" s="268"/>
      <c r="C24" s="268"/>
      <c r="D24" s="268"/>
      <c r="E24" s="269"/>
      <c r="F24" s="1377">
        <v>0</v>
      </c>
      <c r="G24" s="1378"/>
      <c r="H24" s="1299"/>
      <c r="I24" s="1301"/>
      <c r="J24" s="1300"/>
      <c r="K24" s="1300"/>
      <c r="L24" s="1299"/>
      <c r="M24" s="1300"/>
      <c r="N24" s="1299">
        <f>SUM(H24,J24,L24)*AN24</f>
        <v>0</v>
      </c>
      <c r="O24" s="1301"/>
      <c r="P24" s="1299"/>
      <c r="Q24" s="1301"/>
      <c r="R24" s="263"/>
      <c r="S24" s="263"/>
      <c r="T24" s="263"/>
      <c r="U24" s="263"/>
      <c r="V24" s="263"/>
      <c r="W24" s="263"/>
      <c r="X24" s="263"/>
      <c r="Y24" s="263"/>
      <c r="Z24" s="263"/>
      <c r="AA24" s="263"/>
      <c r="AB24" s="263"/>
      <c r="AC24" s="263"/>
      <c r="AD24" s="263"/>
      <c r="AE24" s="263"/>
      <c r="AF24" s="263"/>
      <c r="AG24" s="264"/>
      <c r="AH24" s="258"/>
      <c r="AI24" s="259">
        <v>4</v>
      </c>
      <c r="AJ24" s="259">
        <v>8</v>
      </c>
      <c r="AK24" s="259"/>
      <c r="AL24" s="259"/>
      <c r="AM24" s="259"/>
      <c r="AN24" s="265">
        <f t="shared" si="0"/>
        <v>56.103999999999999</v>
      </c>
      <c r="AO24" s="259">
        <f t="shared" si="1"/>
        <v>6</v>
      </c>
      <c r="AP24" s="266">
        <f t="shared" si="2"/>
        <v>22.571428571428573</v>
      </c>
      <c r="AQ24" s="259">
        <f t="shared" si="3"/>
        <v>4</v>
      </c>
      <c r="AR24" s="259">
        <f t="shared" si="4"/>
        <v>4</v>
      </c>
      <c r="AS24" s="266">
        <f t="shared" si="5"/>
        <v>22.571428571428573</v>
      </c>
      <c r="AT24" s="259">
        <f t="shared" si="6"/>
        <v>0</v>
      </c>
      <c r="AU24" s="258"/>
      <c r="AV24" s="238"/>
      <c r="AW24" s="238"/>
      <c r="AX24" s="238"/>
      <c r="AY24" s="238"/>
      <c r="AZ24" s="238"/>
      <c r="BA24" s="239" t="s">
        <v>647</v>
      </c>
      <c r="BB24" s="239">
        <v>4.5900000000000003E-2</v>
      </c>
      <c r="BC24" s="239">
        <v>2.3999999999999998E-3</v>
      </c>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row>
    <row r="25" spans="1:90" s="240" customFormat="1" ht="14.25" customHeight="1">
      <c r="A25" s="267" t="s">
        <v>421</v>
      </c>
      <c r="B25" s="268"/>
      <c r="C25" s="268"/>
      <c r="D25" s="268"/>
      <c r="E25" s="269"/>
      <c r="F25" s="1377">
        <f>CO2eEF!P29</f>
        <v>1E-4</v>
      </c>
      <c r="G25" s="1378"/>
      <c r="H25" s="1546">
        <v>58.122999999999998</v>
      </c>
      <c r="I25" s="1549"/>
      <c r="J25" s="1545">
        <f>F25*H25</f>
        <v>5.8123000000000003E-3</v>
      </c>
      <c r="K25" s="1545"/>
      <c r="L25" s="1546">
        <f>J25/$J$39</f>
        <v>3.6038085491201508E-4</v>
      </c>
      <c r="M25" s="1545"/>
      <c r="N25" s="1547">
        <f>L25*$V$20</f>
        <v>7.8111296410315832E-6</v>
      </c>
      <c r="O25" s="1548"/>
      <c r="P25" s="1547">
        <f>N25*365.25*24/1000</f>
        <v>6.8472362433282866E-5</v>
      </c>
      <c r="Q25" s="1548"/>
      <c r="R25" s="263"/>
      <c r="S25" s="263"/>
      <c r="T25" s="263"/>
      <c r="U25" s="263"/>
      <c r="V25" s="263"/>
      <c r="W25" s="263"/>
      <c r="X25" s="263"/>
      <c r="Y25" s="263"/>
      <c r="Z25" s="263"/>
      <c r="AA25" s="263"/>
      <c r="AB25" s="263"/>
      <c r="AC25" s="263"/>
      <c r="AD25" s="263"/>
      <c r="AE25" s="263"/>
      <c r="AF25" s="263"/>
      <c r="AG25" s="264"/>
      <c r="AH25" s="258"/>
      <c r="AI25" s="259">
        <v>4</v>
      </c>
      <c r="AJ25" s="259">
        <v>10</v>
      </c>
      <c r="AK25" s="259"/>
      <c r="AL25" s="259"/>
      <c r="AM25" s="259"/>
      <c r="AN25" s="265">
        <f>AI25*12.01+AJ25*1.008+AK25*16+AL25*14+AM25*32</f>
        <v>58.12</v>
      </c>
      <c r="AO25" s="259">
        <f t="shared" si="1"/>
        <v>6.5</v>
      </c>
      <c r="AP25" s="266">
        <f t="shared" si="2"/>
        <v>24.452380952380956</v>
      </c>
      <c r="AQ25" s="259">
        <f t="shared" si="3"/>
        <v>4</v>
      </c>
      <c r="AR25" s="259">
        <f t="shared" si="4"/>
        <v>5</v>
      </c>
      <c r="AS25" s="266">
        <f t="shared" si="5"/>
        <v>24.452380952380956</v>
      </c>
      <c r="AT25" s="259">
        <f t="shared" si="6"/>
        <v>0</v>
      </c>
      <c r="AU25" s="258"/>
      <c r="AV25" s="238"/>
      <c r="AW25" s="238"/>
      <c r="AX25" s="238"/>
      <c r="AY25" s="238"/>
      <c r="AZ25" s="238"/>
      <c r="BA25" s="239" t="s">
        <v>648</v>
      </c>
      <c r="BB25" s="239">
        <v>8.2000000000000007E-3</v>
      </c>
      <c r="BC25" s="239">
        <v>1.6000000000000001E-3</v>
      </c>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row>
    <row r="26" spans="1:90" s="240" customFormat="1" ht="14.25" customHeight="1">
      <c r="A26" s="267" t="s">
        <v>422</v>
      </c>
      <c r="B26" s="268"/>
      <c r="C26" s="268"/>
      <c r="D26" s="268"/>
      <c r="E26" s="269"/>
      <c r="F26" s="1377">
        <f>CO2eEF!P30</f>
        <v>0</v>
      </c>
      <c r="G26" s="1378"/>
      <c r="H26" s="1299"/>
      <c r="I26" s="1301"/>
      <c r="J26" s="1300"/>
      <c r="K26" s="1300"/>
      <c r="L26" s="1299"/>
      <c r="M26" s="1300"/>
      <c r="N26" s="1299">
        <f>SUM(H26,J26,L26)*AN26</f>
        <v>0</v>
      </c>
      <c r="O26" s="1301"/>
      <c r="P26" s="1299"/>
      <c r="Q26" s="1301"/>
      <c r="R26" s="263"/>
      <c r="S26" s="263"/>
      <c r="T26" s="263" t="s">
        <v>761</v>
      </c>
      <c r="U26" s="263"/>
      <c r="V26" s="263"/>
      <c r="W26" s="263"/>
      <c r="X26" s="263"/>
      <c r="Y26" s="263"/>
      <c r="Z26" s="263"/>
      <c r="AA26" s="263"/>
      <c r="AB26" s="263"/>
      <c r="AC26" s="263"/>
      <c r="AD26" s="263"/>
      <c r="AE26" s="263"/>
      <c r="AF26" s="263"/>
      <c r="AG26" s="264"/>
      <c r="AH26" s="258"/>
      <c r="AI26" s="259">
        <v>4</v>
      </c>
      <c r="AJ26" s="259">
        <v>10</v>
      </c>
      <c r="AK26" s="259"/>
      <c r="AL26" s="259"/>
      <c r="AM26" s="259"/>
      <c r="AN26" s="265">
        <f t="shared" si="0"/>
        <v>58.12</v>
      </c>
      <c r="AO26" s="259">
        <f t="shared" si="1"/>
        <v>6.5</v>
      </c>
      <c r="AP26" s="266">
        <f t="shared" si="2"/>
        <v>24.452380952380956</v>
      </c>
      <c r="AQ26" s="259">
        <f t="shared" si="3"/>
        <v>4</v>
      </c>
      <c r="AR26" s="259">
        <f t="shared" si="4"/>
        <v>5</v>
      </c>
      <c r="AS26" s="266">
        <f t="shared" si="5"/>
        <v>24.452380952380956</v>
      </c>
      <c r="AT26" s="259">
        <f t="shared" si="6"/>
        <v>0</v>
      </c>
      <c r="AU26" s="258"/>
      <c r="AV26" s="238"/>
      <c r="AW26" s="238"/>
      <c r="AX26" s="238"/>
      <c r="AY26" s="238"/>
      <c r="AZ26" s="238"/>
      <c r="BA26" s="239" t="s">
        <v>649</v>
      </c>
      <c r="BB26" s="239">
        <v>2.0000000000000001E-4</v>
      </c>
      <c r="BC26" s="239">
        <v>0</v>
      </c>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row>
    <row r="27" spans="1:90" s="240" customFormat="1" ht="14.25" customHeight="1">
      <c r="A27" s="267" t="s">
        <v>423</v>
      </c>
      <c r="B27" s="268"/>
      <c r="C27" s="268"/>
      <c r="D27" s="268"/>
      <c r="E27" s="269"/>
      <c r="F27" s="1377">
        <f>CO2eEF!P31</f>
        <v>1E-4</v>
      </c>
      <c r="G27" s="1378"/>
      <c r="H27" s="1543">
        <v>72.150000000000006</v>
      </c>
      <c r="I27" s="1544"/>
      <c r="J27" s="1545">
        <f t="shared" ref="J27:J29" si="7">F27*H27</f>
        <v>7.2150000000000009E-3</v>
      </c>
      <c r="K27" s="1545"/>
      <c r="L27" s="1546">
        <f t="shared" ref="L27:L29" si="8">J27/$J$39</f>
        <v>4.4735266042533745E-4</v>
      </c>
      <c r="M27" s="1545"/>
      <c r="N27" s="1547">
        <f t="shared" ref="N27:N29" si="9">L27*$V$20</f>
        <v>9.6962132649799352E-6</v>
      </c>
      <c r="O27" s="1548"/>
      <c r="P27" s="1547">
        <f t="shared" ref="P27:P29" si="10">N27*365.25*24/1000</f>
        <v>8.4997005480814112E-5</v>
      </c>
      <c r="Q27" s="1548"/>
      <c r="R27" s="263"/>
      <c r="S27" s="263"/>
      <c r="T27" s="263"/>
      <c r="U27" s="263"/>
      <c r="V27" s="263"/>
      <c r="W27" s="263"/>
      <c r="X27" s="263"/>
      <c r="Y27" s="263"/>
      <c r="Z27" s="263"/>
      <c r="AA27" s="263"/>
      <c r="AB27" s="263"/>
      <c r="AC27" s="263"/>
      <c r="AD27" s="263"/>
      <c r="AE27" s="263"/>
      <c r="AF27" s="263"/>
      <c r="AG27" s="264"/>
      <c r="AH27" s="258"/>
      <c r="AI27" s="259">
        <v>5</v>
      </c>
      <c r="AJ27" s="259">
        <v>12</v>
      </c>
      <c r="AK27" s="259"/>
      <c r="AL27" s="259"/>
      <c r="AM27" s="259"/>
      <c r="AN27" s="265">
        <f t="shared" si="0"/>
        <v>72.146000000000001</v>
      </c>
      <c r="AO27" s="259">
        <f t="shared" si="1"/>
        <v>8</v>
      </c>
      <c r="AP27" s="266">
        <f t="shared" si="2"/>
        <v>30.095238095238098</v>
      </c>
      <c r="AQ27" s="259">
        <f t="shared" si="3"/>
        <v>5</v>
      </c>
      <c r="AR27" s="259">
        <f t="shared" si="4"/>
        <v>6</v>
      </c>
      <c r="AS27" s="266">
        <f t="shared" si="5"/>
        <v>30.095238095238098</v>
      </c>
      <c r="AT27" s="259">
        <f t="shared" si="6"/>
        <v>0</v>
      </c>
      <c r="AU27" s="258"/>
      <c r="AV27" s="238"/>
      <c r="AW27" s="238"/>
      <c r="AX27" s="238"/>
      <c r="AY27" s="238"/>
      <c r="AZ27" s="238"/>
      <c r="BA27" s="239" t="s">
        <v>650</v>
      </c>
      <c r="BB27" s="239">
        <v>8.8999999999999999E-3</v>
      </c>
      <c r="BC27" s="239">
        <v>1.9E-3</v>
      </c>
      <c r="BD27" s="238"/>
      <c r="BE27" s="238"/>
      <c r="BF27" s="238"/>
      <c r="BG27" s="238"/>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row>
    <row r="28" spans="1:90" s="240" customFormat="1" ht="14.25" customHeight="1">
      <c r="A28" s="267" t="s">
        <v>424</v>
      </c>
      <c r="B28" s="268"/>
      <c r="C28" s="268"/>
      <c r="D28" s="268"/>
      <c r="E28" s="269"/>
      <c r="F28" s="1377">
        <f>CO2eEF!P33</f>
        <v>1E-4</v>
      </c>
      <c r="G28" s="1378"/>
      <c r="H28" s="1543">
        <v>72.150000000000006</v>
      </c>
      <c r="I28" s="1544"/>
      <c r="J28" s="1545">
        <f t="shared" si="7"/>
        <v>7.2150000000000009E-3</v>
      </c>
      <c r="K28" s="1545"/>
      <c r="L28" s="1546">
        <f t="shared" si="8"/>
        <v>4.4735266042533745E-4</v>
      </c>
      <c r="M28" s="1545"/>
      <c r="N28" s="1547">
        <f t="shared" si="9"/>
        <v>9.6962132649799352E-6</v>
      </c>
      <c r="O28" s="1548"/>
      <c r="P28" s="1547">
        <f t="shared" si="10"/>
        <v>8.4997005480814112E-5</v>
      </c>
      <c r="Q28" s="1548"/>
      <c r="R28" s="263"/>
      <c r="S28" s="263"/>
      <c r="T28" s="1528"/>
      <c r="U28" s="1184"/>
      <c r="V28" s="1184"/>
      <c r="W28" s="1184"/>
      <c r="X28" s="1184"/>
      <c r="Y28" s="1184"/>
      <c r="Z28" s="1184"/>
      <c r="AA28" s="1184"/>
      <c r="AB28" s="1184"/>
      <c r="AC28" s="1184"/>
      <c r="AD28" s="1184"/>
      <c r="AE28" s="1184"/>
      <c r="AF28" s="263"/>
      <c r="AG28" s="264"/>
      <c r="AH28" s="258"/>
      <c r="AI28" s="259">
        <v>5</v>
      </c>
      <c r="AJ28" s="259">
        <v>12</v>
      </c>
      <c r="AK28" s="259"/>
      <c r="AL28" s="259"/>
      <c r="AM28" s="259"/>
      <c r="AN28" s="265">
        <f t="shared" si="0"/>
        <v>72.146000000000001</v>
      </c>
      <c r="AO28" s="259">
        <f t="shared" si="1"/>
        <v>8</v>
      </c>
      <c r="AP28" s="266">
        <f t="shared" si="2"/>
        <v>30.095238095238098</v>
      </c>
      <c r="AQ28" s="259">
        <f t="shared" si="3"/>
        <v>5</v>
      </c>
      <c r="AR28" s="259">
        <f t="shared" si="4"/>
        <v>6</v>
      </c>
      <c r="AS28" s="266">
        <f t="shared" si="5"/>
        <v>30.095238095238098</v>
      </c>
      <c r="AT28" s="259">
        <f t="shared" si="6"/>
        <v>0</v>
      </c>
      <c r="AU28" s="258"/>
      <c r="AV28" s="238"/>
      <c r="AW28" s="238"/>
      <c r="AX28" s="238"/>
      <c r="AY28" s="238"/>
      <c r="AZ28" s="238"/>
      <c r="BA28" s="239" t="s">
        <v>651</v>
      </c>
      <c r="BB28" s="239">
        <v>2.0000000000000001E-4</v>
      </c>
      <c r="BC28" s="239">
        <v>2.9999999999999997E-4</v>
      </c>
      <c r="BD28" s="238"/>
      <c r="BE28" s="238"/>
      <c r="BF28" s="238"/>
      <c r="BG28" s="238"/>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row>
    <row r="29" spans="1:90" s="240" customFormat="1" ht="14.25" customHeight="1">
      <c r="A29" s="267" t="s">
        <v>721</v>
      </c>
      <c r="B29" s="268"/>
      <c r="C29" s="268"/>
      <c r="D29" s="268"/>
      <c r="E29" s="269"/>
      <c r="F29" s="1377">
        <f>1-(SUM(F18:F28)+SUM(F30:G38))</f>
        <v>2.00000000000089E-4</v>
      </c>
      <c r="G29" s="1378"/>
      <c r="H29" s="1546">
        <v>86.177000000000007</v>
      </c>
      <c r="I29" s="1549"/>
      <c r="J29" s="1545">
        <f t="shared" si="7"/>
        <v>1.7235400000007672E-2</v>
      </c>
      <c r="K29" s="1545"/>
      <c r="L29" s="1546">
        <f t="shared" si="8"/>
        <v>1.0686489318777951E-3</v>
      </c>
      <c r="M29" s="1545"/>
      <c r="N29" s="1547">
        <f t="shared" si="9"/>
        <v>2.3162593777866878E-5</v>
      </c>
      <c r="O29" s="1548"/>
      <c r="P29" s="1547">
        <f t="shared" si="10"/>
        <v>2.0304329705678106E-4</v>
      </c>
      <c r="Q29" s="1548"/>
      <c r="R29" s="263"/>
      <c r="S29" s="263"/>
      <c r="T29" s="1184"/>
      <c r="U29" s="1184"/>
      <c r="V29" s="1184"/>
      <c r="W29" s="1184"/>
      <c r="X29" s="1184"/>
      <c r="Y29" s="1184"/>
      <c r="Z29" s="1184"/>
      <c r="AA29" s="1184"/>
      <c r="AB29" s="1184"/>
      <c r="AC29" s="1184"/>
      <c r="AD29" s="1184"/>
      <c r="AE29" s="1184"/>
      <c r="AF29" s="263"/>
      <c r="AG29" s="264"/>
      <c r="AH29" s="258"/>
      <c r="AI29" s="259">
        <v>6</v>
      </c>
      <c r="AJ29" s="259">
        <v>14</v>
      </c>
      <c r="AK29" s="259"/>
      <c r="AL29" s="259"/>
      <c r="AM29" s="259"/>
      <c r="AN29" s="265">
        <f t="shared" si="0"/>
        <v>86.171999999999997</v>
      </c>
      <c r="AO29" s="259">
        <f t="shared" si="1"/>
        <v>9.5</v>
      </c>
      <c r="AP29" s="266">
        <f t="shared" si="2"/>
        <v>35.738095238095241</v>
      </c>
      <c r="AQ29" s="259">
        <f t="shared" si="3"/>
        <v>6</v>
      </c>
      <c r="AR29" s="259">
        <f t="shared" si="4"/>
        <v>7</v>
      </c>
      <c r="AS29" s="266">
        <f t="shared" si="5"/>
        <v>35.738095238095241</v>
      </c>
      <c r="AT29" s="259">
        <f t="shared" si="6"/>
        <v>0</v>
      </c>
      <c r="AU29" s="258"/>
      <c r="AV29" s="238"/>
      <c r="AW29" s="238"/>
      <c r="AX29" s="238"/>
      <c r="AY29" s="238"/>
      <c r="AZ29" s="238"/>
      <c r="BA29" s="239" t="s">
        <v>652</v>
      </c>
      <c r="BB29" s="239">
        <v>0</v>
      </c>
      <c r="BC29" s="239">
        <v>5.0000000000000001E-4</v>
      </c>
      <c r="BD29" s="238"/>
      <c r="BE29" s="238"/>
      <c r="BF29" s="238"/>
      <c r="BG29" s="238"/>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row>
    <row r="30" spans="1:90" s="240" customFormat="1" ht="14.25" customHeight="1">
      <c r="A30" s="267" t="s">
        <v>426</v>
      </c>
      <c r="B30" s="268"/>
      <c r="C30" s="268"/>
      <c r="D30" s="268"/>
      <c r="E30" s="269"/>
      <c r="F30" s="1377">
        <v>0</v>
      </c>
      <c r="G30" s="1378"/>
      <c r="H30" s="1299"/>
      <c r="I30" s="1301"/>
      <c r="J30" s="1300"/>
      <c r="K30" s="1300"/>
      <c r="L30" s="1299"/>
      <c r="M30" s="1300"/>
      <c r="N30" s="1299">
        <f>SUM(H30,J30,L30)*AN30</f>
        <v>0</v>
      </c>
      <c r="O30" s="1301"/>
      <c r="P30" s="1299"/>
      <c r="Q30" s="1301"/>
      <c r="R30" s="263"/>
      <c r="S30" s="263"/>
      <c r="T30" s="1184"/>
      <c r="U30" s="1184"/>
      <c r="V30" s="1184"/>
      <c r="W30" s="1184"/>
      <c r="X30" s="1184"/>
      <c r="Y30" s="1184"/>
      <c r="Z30" s="1184"/>
      <c r="AA30" s="1184"/>
      <c r="AB30" s="1184"/>
      <c r="AC30" s="1184"/>
      <c r="AD30" s="1184"/>
      <c r="AE30" s="1184"/>
      <c r="AF30" s="263"/>
      <c r="AG30" s="264"/>
      <c r="AH30" s="258"/>
      <c r="AI30" s="259"/>
      <c r="AJ30" s="259"/>
      <c r="AK30" s="259"/>
      <c r="AL30" s="259"/>
      <c r="AM30" s="259"/>
      <c r="AN30" s="265">
        <v>4.0030000000000001</v>
      </c>
      <c r="AO30" s="259"/>
      <c r="AP30" s="266"/>
      <c r="AQ30" s="259"/>
      <c r="AR30" s="259"/>
      <c r="AS30" s="266"/>
      <c r="AT30" s="259"/>
      <c r="AU30" s="258"/>
      <c r="AV30" s="238"/>
      <c r="AW30" s="238"/>
      <c r="AX30" s="238"/>
      <c r="AY30" s="238"/>
      <c r="AZ30" s="238"/>
      <c r="BA30" s="239" t="s">
        <v>653</v>
      </c>
      <c r="BB30" s="239">
        <v>0</v>
      </c>
      <c r="BC30" s="239">
        <v>1E-4</v>
      </c>
      <c r="BD30" s="238"/>
      <c r="BE30" s="238"/>
      <c r="BF30" s="238"/>
      <c r="BG30" s="238"/>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row>
    <row r="31" spans="1:90" s="240" customFormat="1" ht="14.25" customHeight="1">
      <c r="A31" s="267" t="s">
        <v>427</v>
      </c>
      <c r="B31" s="268"/>
      <c r="C31" s="268"/>
      <c r="D31" s="268"/>
      <c r="E31" s="269"/>
      <c r="F31" s="1377">
        <v>0</v>
      </c>
      <c r="G31" s="1378"/>
      <c r="H31" s="1299"/>
      <c r="I31" s="1301"/>
      <c r="J31" s="1300"/>
      <c r="K31" s="1300"/>
      <c r="L31" s="1299"/>
      <c r="M31" s="1300"/>
      <c r="N31" s="1299">
        <f>SUM(H31,J31,L31)*AN31</f>
        <v>0</v>
      </c>
      <c r="O31" s="1301"/>
      <c r="P31" s="1299"/>
      <c r="Q31" s="1301"/>
      <c r="R31" s="263"/>
      <c r="S31" s="263"/>
      <c r="T31" s="1184"/>
      <c r="U31" s="1184"/>
      <c r="V31" s="1184"/>
      <c r="W31" s="1184"/>
      <c r="X31" s="1184"/>
      <c r="Y31" s="1184"/>
      <c r="Z31" s="1184"/>
      <c r="AA31" s="1184"/>
      <c r="AB31" s="1184"/>
      <c r="AC31" s="1184"/>
      <c r="AD31" s="1184"/>
      <c r="AE31" s="1184"/>
      <c r="AF31" s="263"/>
      <c r="AG31" s="264"/>
      <c r="AH31" s="258"/>
      <c r="AI31" s="259"/>
      <c r="AJ31" s="259">
        <v>2</v>
      </c>
      <c r="AK31" s="259"/>
      <c r="AL31" s="259"/>
      <c r="AM31" s="259">
        <v>1</v>
      </c>
      <c r="AN31" s="265">
        <f t="shared" si="0"/>
        <v>34.015999999999998</v>
      </c>
      <c r="AO31" s="259">
        <f t="shared" si="1"/>
        <v>1.5</v>
      </c>
      <c r="AP31" s="266">
        <f t="shared" si="2"/>
        <v>5.6428571428571432</v>
      </c>
      <c r="AQ31" s="259">
        <f t="shared" si="3"/>
        <v>0</v>
      </c>
      <c r="AR31" s="259">
        <f t="shared" si="4"/>
        <v>1</v>
      </c>
      <c r="AS31" s="266">
        <f t="shared" si="5"/>
        <v>5.6428571428571432</v>
      </c>
      <c r="AT31" s="259">
        <f t="shared" si="6"/>
        <v>1</v>
      </c>
      <c r="AU31" s="258"/>
      <c r="AV31" s="238"/>
      <c r="AW31" s="238"/>
      <c r="AX31" s="238"/>
      <c r="AY31" s="238"/>
      <c r="AZ31" s="238"/>
      <c r="BA31" s="239" t="s">
        <v>654</v>
      </c>
      <c r="BB31" s="239">
        <v>0</v>
      </c>
      <c r="BC31" s="239">
        <v>4.0000000000000002E-4</v>
      </c>
      <c r="BD31" s="238"/>
      <c r="BE31" s="238"/>
      <c r="BF31" s="238"/>
      <c r="BG31" s="238"/>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row>
    <row r="32" spans="1:90" s="240" customFormat="1" ht="14.25" customHeight="1">
      <c r="A32" s="267" t="s">
        <v>428</v>
      </c>
      <c r="B32" s="268"/>
      <c r="C32" s="268"/>
      <c r="D32" s="268"/>
      <c r="E32" s="269"/>
      <c r="F32" s="1377">
        <v>0</v>
      </c>
      <c r="G32" s="1378"/>
      <c r="H32" s="1299"/>
      <c r="I32" s="1301"/>
      <c r="J32" s="1300"/>
      <c r="K32" s="1300"/>
      <c r="L32" s="1299">
        <v>0</v>
      </c>
      <c r="M32" s="1300"/>
      <c r="N32" s="1299">
        <f>SUM(H32,J32,L32)*AN32</f>
        <v>0</v>
      </c>
      <c r="O32" s="1301"/>
      <c r="P32" s="1299"/>
      <c r="Q32" s="1301"/>
      <c r="R32" s="263"/>
      <c r="S32" s="263"/>
      <c r="T32" s="1184"/>
      <c r="U32" s="1184"/>
      <c r="V32" s="1184"/>
      <c r="W32" s="1184"/>
      <c r="X32" s="1184"/>
      <c r="Y32" s="1184"/>
      <c r="Z32" s="1184"/>
      <c r="AA32" s="1184"/>
      <c r="AB32" s="1184"/>
      <c r="AC32" s="1184"/>
      <c r="AD32" s="1184"/>
      <c r="AE32" s="1184"/>
      <c r="AF32" s="263"/>
      <c r="AG32" s="264"/>
      <c r="AH32" s="258"/>
      <c r="AI32" s="259"/>
      <c r="AJ32" s="259"/>
      <c r="AK32" s="259">
        <v>2</v>
      </c>
      <c r="AL32" s="259"/>
      <c r="AM32" s="259"/>
      <c r="AN32" s="265">
        <f t="shared" si="0"/>
        <v>32</v>
      </c>
      <c r="AO32" s="259">
        <f t="shared" si="1"/>
        <v>0</v>
      </c>
      <c r="AP32" s="266">
        <f t="shared" si="2"/>
        <v>0</v>
      </c>
      <c r="AQ32" s="259">
        <f t="shared" si="3"/>
        <v>0</v>
      </c>
      <c r="AR32" s="259">
        <f t="shared" si="4"/>
        <v>0</v>
      </c>
      <c r="AS32" s="266">
        <f t="shared" si="5"/>
        <v>0</v>
      </c>
      <c r="AT32" s="259">
        <f t="shared" si="6"/>
        <v>0</v>
      </c>
      <c r="AU32" s="258"/>
      <c r="AV32" s="238"/>
      <c r="AW32" s="238"/>
      <c r="AX32" s="238"/>
      <c r="AY32" s="238"/>
      <c r="AZ32" s="238"/>
      <c r="BA32" s="239" t="s">
        <v>655</v>
      </c>
      <c r="BB32" s="239">
        <v>0</v>
      </c>
      <c r="BC32" s="239">
        <v>2.0000000000000001E-4</v>
      </c>
      <c r="BD32" s="238"/>
      <c r="BE32" s="238"/>
      <c r="BF32" s="238"/>
      <c r="BG32" s="238"/>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row>
    <row r="33" spans="1:90" s="240" customFormat="1" ht="14.25" customHeight="1">
      <c r="A33" s="267" t="s">
        <v>429</v>
      </c>
      <c r="B33" s="268"/>
      <c r="C33" s="268"/>
      <c r="D33" s="268"/>
      <c r="E33" s="269"/>
      <c r="F33" s="1377">
        <f>CO2eEF!P24</f>
        <v>1.5E-3</v>
      </c>
      <c r="G33" s="1378"/>
      <c r="H33" s="1547">
        <v>28.013500000000001</v>
      </c>
      <c r="I33" s="1548"/>
      <c r="J33" s="1545">
        <f t="shared" ref="J33" si="11">F33*H33</f>
        <v>4.2020250000000002E-2</v>
      </c>
      <c r="K33" s="1545"/>
      <c r="L33" s="1546">
        <f t="shared" ref="L33" si="12">J33/$J$39</f>
        <v>2.6053874745998315E-3</v>
      </c>
      <c r="M33" s="1545"/>
      <c r="N33" s="1547">
        <f t="shared" ref="N33" si="13">L33*$V$20</f>
        <v>5.6470867005928355E-5</v>
      </c>
      <c r="O33" s="1548"/>
      <c r="P33" s="1547">
        <f t="shared" ref="P33" si="14">N33*365.25*24/1000</f>
        <v>4.9502362017396799E-4</v>
      </c>
      <c r="Q33" s="1548"/>
      <c r="R33" s="263"/>
      <c r="S33" s="263"/>
      <c r="T33" s="1184"/>
      <c r="U33" s="1184"/>
      <c r="V33" s="1184"/>
      <c r="W33" s="1184"/>
      <c r="X33" s="1184"/>
      <c r="Y33" s="1184"/>
      <c r="Z33" s="1184"/>
      <c r="AA33" s="1184"/>
      <c r="AB33" s="1184"/>
      <c r="AC33" s="1184"/>
      <c r="AD33" s="1184"/>
      <c r="AE33" s="1184"/>
      <c r="AF33" s="263"/>
      <c r="AG33" s="264"/>
      <c r="AH33" s="258"/>
      <c r="AI33" s="259"/>
      <c r="AJ33" s="259"/>
      <c r="AK33" s="259"/>
      <c r="AL33" s="259">
        <v>2</v>
      </c>
      <c r="AM33" s="259"/>
      <c r="AN33" s="265">
        <f t="shared" si="0"/>
        <v>28</v>
      </c>
      <c r="AO33" s="259">
        <f t="shared" si="1"/>
        <v>0</v>
      </c>
      <c r="AP33" s="266">
        <f t="shared" si="2"/>
        <v>0</v>
      </c>
      <c r="AQ33" s="259">
        <f t="shared" si="3"/>
        <v>0</v>
      </c>
      <c r="AR33" s="259">
        <f t="shared" si="4"/>
        <v>0</v>
      </c>
      <c r="AS33" s="266">
        <f t="shared" si="5"/>
        <v>1</v>
      </c>
      <c r="AT33" s="259">
        <f t="shared" si="6"/>
        <v>0</v>
      </c>
      <c r="AU33" s="258"/>
      <c r="AV33" s="238"/>
      <c r="AW33" s="238"/>
      <c r="AX33" s="238"/>
      <c r="AY33" s="238"/>
      <c r="AZ33" s="238"/>
      <c r="BA33" s="239" t="s">
        <v>656</v>
      </c>
      <c r="BB33" s="239">
        <v>1.5E-3</v>
      </c>
      <c r="BC33" s="239">
        <v>0</v>
      </c>
      <c r="BD33" s="238"/>
      <c r="BE33" s="238"/>
      <c r="BF33" s="238"/>
      <c r="BG33" s="238"/>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row>
    <row r="34" spans="1:90" s="240" customFormat="1" ht="14.25" customHeight="1">
      <c r="A34" s="267" t="s">
        <v>115</v>
      </c>
      <c r="B34" s="268"/>
      <c r="C34" s="268"/>
      <c r="D34" s="268"/>
      <c r="E34" s="269"/>
      <c r="F34" s="1377">
        <v>0</v>
      </c>
      <c r="G34" s="1378"/>
      <c r="H34" s="1299"/>
      <c r="I34" s="1301"/>
      <c r="J34" s="1300"/>
      <c r="K34" s="1300"/>
      <c r="L34" s="1299"/>
      <c r="M34" s="1300"/>
      <c r="N34" s="1299">
        <f>SUM(H34,J34,L34)*AN34</f>
        <v>0</v>
      </c>
      <c r="O34" s="1301"/>
      <c r="P34" s="1299"/>
      <c r="Q34" s="1301"/>
      <c r="R34" s="263"/>
      <c r="S34" s="263"/>
      <c r="T34" s="1184"/>
      <c r="U34" s="1184"/>
      <c r="V34" s="1184"/>
      <c r="W34" s="1184"/>
      <c r="X34" s="1184"/>
      <c r="Y34" s="1184"/>
      <c r="Z34" s="1184"/>
      <c r="AA34" s="1184"/>
      <c r="AB34" s="1184"/>
      <c r="AC34" s="1184"/>
      <c r="AD34" s="1184"/>
      <c r="AE34" s="1184"/>
      <c r="AF34" s="263"/>
      <c r="AG34" s="264"/>
      <c r="AH34" s="258"/>
      <c r="AI34" s="258">
        <v>1</v>
      </c>
      <c r="AJ34" s="258"/>
      <c r="AK34" s="258">
        <v>1</v>
      </c>
      <c r="AL34" s="258"/>
      <c r="AM34" s="258"/>
      <c r="AN34" s="265">
        <f t="shared" si="0"/>
        <v>28.009999999999998</v>
      </c>
      <c r="AO34" s="259"/>
      <c r="AP34" s="258"/>
      <c r="AQ34" s="258"/>
      <c r="AR34" s="258"/>
      <c r="AS34" s="258"/>
      <c r="AT34" s="258"/>
      <c r="AU34" s="258"/>
      <c r="AV34" s="238"/>
      <c r="AW34" s="238"/>
      <c r="AX34" s="238"/>
      <c r="AY34" s="238"/>
      <c r="AZ34" s="238"/>
      <c r="BA34" s="239" t="s">
        <v>657</v>
      </c>
      <c r="BB34" s="239">
        <v>1E-4</v>
      </c>
      <c r="BC34" s="239">
        <v>0</v>
      </c>
      <c r="BD34" s="238"/>
      <c r="BE34" s="238"/>
      <c r="BF34" s="238"/>
      <c r="BG34" s="238"/>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row>
    <row r="35" spans="1:90" s="240" customFormat="1" ht="14.25" customHeight="1">
      <c r="A35" s="267" t="s">
        <v>126</v>
      </c>
      <c r="B35" s="268"/>
      <c r="C35" s="268"/>
      <c r="D35" s="268"/>
      <c r="E35" s="269"/>
      <c r="F35" s="1377">
        <f>CO2eEF!P25</f>
        <v>8.0000000000000004E-4</v>
      </c>
      <c r="G35" s="1378"/>
      <c r="H35" s="1543">
        <v>44.01</v>
      </c>
      <c r="I35" s="1544"/>
      <c r="J35" s="1545">
        <f t="shared" ref="J35" si="15">F35*H35</f>
        <v>3.5208000000000003E-2</v>
      </c>
      <c r="K35" s="1545"/>
      <c r="L35" s="1546">
        <f t="shared" ref="L35" si="16">J35/$J$39</f>
        <v>2.1830065791067612E-3</v>
      </c>
      <c r="M35" s="1545"/>
      <c r="N35" s="1547">
        <f t="shared" ref="N35" si="17">L35*$V$20</f>
        <v>4.7315908057299177E-5</v>
      </c>
      <c r="O35" s="1548"/>
      <c r="P35" s="1547">
        <f t="shared" ref="P35" si="18">N35*365.25*24/1000</f>
        <v>4.1477125003028459E-4</v>
      </c>
      <c r="Q35" s="1548"/>
      <c r="R35" s="263"/>
      <c r="S35" s="263"/>
      <c r="T35" s="1184"/>
      <c r="U35" s="1184"/>
      <c r="V35" s="1184"/>
      <c r="W35" s="1184"/>
      <c r="X35" s="1184"/>
      <c r="Y35" s="1184"/>
      <c r="Z35" s="1184"/>
      <c r="AA35" s="1184"/>
      <c r="AB35" s="1184"/>
      <c r="AC35" s="1184"/>
      <c r="AD35" s="1184"/>
      <c r="AE35" s="1184"/>
      <c r="AF35" s="263"/>
      <c r="AG35" s="264"/>
      <c r="AH35" s="258"/>
      <c r="AI35" s="259">
        <v>1</v>
      </c>
      <c r="AJ35" s="259"/>
      <c r="AK35" s="259">
        <v>2</v>
      </c>
      <c r="AL35" s="259"/>
      <c r="AM35" s="259"/>
      <c r="AN35" s="265">
        <f>AI35*12.01+AJ35*1.008+AK35*16+AL35*14+AM35*32</f>
        <v>44.01</v>
      </c>
      <c r="AO35" s="259"/>
      <c r="AP35" s="259"/>
      <c r="AQ35" s="259"/>
      <c r="AR35" s="259"/>
      <c r="AS35" s="259"/>
      <c r="AT35" s="259"/>
      <c r="AU35" s="258"/>
      <c r="AV35" s="238"/>
      <c r="AW35" s="238"/>
      <c r="AX35" s="238"/>
      <c r="AY35" s="238"/>
      <c r="AZ35" s="238"/>
      <c r="BA35" s="239" t="s">
        <v>658</v>
      </c>
      <c r="BB35" s="239">
        <v>0</v>
      </c>
      <c r="BC35" s="239">
        <v>0</v>
      </c>
      <c r="BD35" s="238"/>
      <c r="BE35" s="238"/>
      <c r="BF35" s="238"/>
      <c r="BG35" s="238"/>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row>
    <row r="36" spans="1:90" s="240" customFormat="1" ht="14.25" customHeight="1">
      <c r="A36" s="267" t="s">
        <v>430</v>
      </c>
      <c r="B36" s="268"/>
      <c r="C36" s="268"/>
      <c r="D36" s="268"/>
      <c r="E36" s="269"/>
      <c r="F36" s="1377">
        <v>0</v>
      </c>
      <c r="G36" s="1378"/>
      <c r="H36" s="1299"/>
      <c r="I36" s="1301"/>
      <c r="J36" s="1300"/>
      <c r="K36" s="1300"/>
      <c r="L36" s="1299"/>
      <c r="M36" s="1300"/>
      <c r="N36" s="1299">
        <f>SUM(H36,J36,L36)*AN36</f>
        <v>0</v>
      </c>
      <c r="O36" s="1301"/>
      <c r="P36" s="1299"/>
      <c r="Q36" s="1301"/>
      <c r="R36" s="263"/>
      <c r="S36" s="263"/>
      <c r="T36" s="1184"/>
      <c r="U36" s="1184"/>
      <c r="V36" s="1184"/>
      <c r="W36" s="1184"/>
      <c r="X36" s="1184"/>
      <c r="Y36" s="1184"/>
      <c r="Z36" s="1184"/>
      <c r="AA36" s="1184"/>
      <c r="AB36" s="1184"/>
      <c r="AC36" s="1184"/>
      <c r="AD36" s="1184"/>
      <c r="AE36" s="1184"/>
      <c r="AF36" s="263"/>
      <c r="AG36" s="264"/>
      <c r="AH36" s="258"/>
      <c r="AI36" s="258"/>
      <c r="AJ36" s="258"/>
      <c r="AK36" s="258">
        <v>2</v>
      </c>
      <c r="AL36" s="258">
        <v>1</v>
      </c>
      <c r="AM36" s="258"/>
      <c r="AN36" s="265">
        <f>AI36*12.01+AJ36*1.008+AK36*16+AL36*14+AM36*32</f>
        <v>46</v>
      </c>
      <c r="AO36" s="259"/>
      <c r="AP36" s="258"/>
      <c r="AQ36" s="258"/>
      <c r="AR36" s="258"/>
      <c r="AS36" s="258"/>
      <c r="AT36" s="258"/>
      <c r="AU36" s="258"/>
      <c r="AV36" s="238"/>
      <c r="AW36" s="238"/>
      <c r="AX36" s="238"/>
      <c r="AY36" s="238"/>
      <c r="AZ36" s="238"/>
      <c r="BA36" s="239" t="s">
        <v>659</v>
      </c>
      <c r="BB36" s="239">
        <v>0</v>
      </c>
      <c r="BC36" s="239">
        <v>0</v>
      </c>
      <c r="BD36" s="238"/>
      <c r="BE36" s="238"/>
      <c r="BF36" s="238"/>
      <c r="BG36" s="238"/>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row>
    <row r="37" spans="1:90" s="240" customFormat="1" ht="14.25" customHeight="1">
      <c r="A37" s="267" t="s">
        <v>124</v>
      </c>
      <c r="B37" s="268"/>
      <c r="C37" s="268"/>
      <c r="D37" s="268"/>
      <c r="E37" s="269"/>
      <c r="F37" s="1377">
        <v>0</v>
      </c>
      <c r="G37" s="1378"/>
      <c r="H37" s="1299"/>
      <c r="I37" s="1301"/>
      <c r="J37" s="1300"/>
      <c r="K37" s="1300"/>
      <c r="L37" s="1299"/>
      <c r="M37" s="1300"/>
      <c r="N37" s="1299">
        <f>SUM(H37,J37,L37)*AN37</f>
        <v>0</v>
      </c>
      <c r="O37" s="1301"/>
      <c r="P37" s="1299"/>
      <c r="Q37" s="1301"/>
      <c r="R37" s="263"/>
      <c r="S37" s="263"/>
      <c r="T37" s="263"/>
      <c r="U37" s="263"/>
      <c r="V37" s="263"/>
      <c r="W37" s="263"/>
      <c r="X37" s="263"/>
      <c r="Y37" s="263"/>
      <c r="Z37" s="263"/>
      <c r="AA37" s="263"/>
      <c r="AB37" s="263"/>
      <c r="AC37" s="263"/>
      <c r="AD37" s="263"/>
      <c r="AE37" s="263"/>
      <c r="AF37" s="263"/>
      <c r="AG37" s="264"/>
      <c r="AH37" s="258"/>
      <c r="AI37" s="258"/>
      <c r="AJ37" s="258"/>
      <c r="AK37" s="258">
        <v>2</v>
      </c>
      <c r="AL37" s="258"/>
      <c r="AM37" s="258">
        <v>1</v>
      </c>
      <c r="AN37" s="265">
        <f>AI37*12.01+AJ37*1.008+AK37*16+AL37*14+AM37*32</f>
        <v>64</v>
      </c>
      <c r="AO37" s="259"/>
      <c r="AP37" s="258"/>
      <c r="AQ37" s="258"/>
      <c r="AR37" s="258"/>
      <c r="AS37" s="258"/>
      <c r="AT37" s="258"/>
      <c r="AU37" s="258"/>
      <c r="AV37" s="238"/>
      <c r="AW37" s="238"/>
      <c r="AX37" s="238"/>
      <c r="AY37" s="238"/>
      <c r="AZ37" s="238"/>
      <c r="BA37" s="239" t="s">
        <v>660</v>
      </c>
      <c r="BB37" s="239">
        <v>0</v>
      </c>
      <c r="BC37" s="239">
        <v>0</v>
      </c>
      <c r="BD37" s="238"/>
      <c r="BE37" s="238"/>
      <c r="BF37" s="238"/>
      <c r="BG37" s="238"/>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row>
    <row r="38" spans="1:90" s="240" customFormat="1" ht="14.25" customHeight="1">
      <c r="A38" s="273" t="s">
        <v>431</v>
      </c>
      <c r="B38" s="274"/>
      <c r="C38" s="274"/>
      <c r="D38" s="274"/>
      <c r="E38" s="274"/>
      <c r="F38" s="1377">
        <f>CO2eEF!P47</f>
        <v>0</v>
      </c>
      <c r="G38" s="1378"/>
      <c r="H38" s="1299"/>
      <c r="I38" s="1301"/>
      <c r="J38" s="1384"/>
      <c r="K38" s="1384"/>
      <c r="L38" s="1382"/>
      <c r="M38" s="1384"/>
      <c r="N38" s="1299">
        <f>SUM(H38,J38,L38)*AN38</f>
        <v>0</v>
      </c>
      <c r="O38" s="1301"/>
      <c r="P38" s="1299"/>
      <c r="Q38" s="1301"/>
      <c r="R38" s="263"/>
      <c r="S38" s="263"/>
      <c r="T38" s="263"/>
      <c r="U38" s="263"/>
      <c r="V38" s="263"/>
      <c r="W38" s="263"/>
      <c r="X38" s="263"/>
      <c r="Y38" s="263"/>
      <c r="Z38" s="263"/>
      <c r="AA38" s="263"/>
      <c r="AB38" s="263"/>
      <c r="AC38" s="263"/>
      <c r="AD38" s="263"/>
      <c r="AE38" s="263"/>
      <c r="AF38" s="263"/>
      <c r="AG38" s="264"/>
      <c r="AH38" s="258"/>
      <c r="AI38" s="258"/>
      <c r="AJ38" s="258">
        <v>2</v>
      </c>
      <c r="AK38" s="258">
        <v>1</v>
      </c>
      <c r="AL38" s="258"/>
      <c r="AM38" s="258"/>
      <c r="AN38" s="265">
        <f>AI38*12.01+AJ38*1.008+AK38*16+AL38*14+AM38*32</f>
        <v>18.015999999999998</v>
      </c>
      <c r="AO38" s="259"/>
      <c r="AP38" s="258"/>
      <c r="AQ38" s="258"/>
      <c r="AR38" s="258"/>
      <c r="AS38" s="258"/>
      <c r="AT38" s="258"/>
      <c r="AU38" s="258"/>
      <c r="AV38" s="238"/>
      <c r="AW38" s="238"/>
      <c r="AX38" s="238"/>
      <c r="AY38" s="238"/>
      <c r="AZ38" s="238"/>
      <c r="BA38" s="239" t="s">
        <v>661</v>
      </c>
      <c r="BB38" s="239">
        <v>0</v>
      </c>
      <c r="BC38" s="239">
        <v>0</v>
      </c>
      <c r="BD38" s="238"/>
      <c r="BE38" s="238"/>
      <c r="BF38" s="238"/>
      <c r="BG38" s="238"/>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row>
    <row r="39" spans="1:90" s="240" customFormat="1" ht="14.25" customHeight="1">
      <c r="A39" s="1391" t="s">
        <v>663</v>
      </c>
      <c r="B39" s="1392"/>
      <c r="C39" s="1392"/>
      <c r="D39" s="1392"/>
      <c r="E39" s="1393"/>
      <c r="F39" s="1394">
        <f>SUM(F18:F38)</f>
        <v>1</v>
      </c>
      <c r="G39" s="1395"/>
      <c r="H39" s="1371">
        <v>6106.1389961389959</v>
      </c>
      <c r="I39" s="1373"/>
      <c r="J39" s="1395">
        <f>SUM(J18:K38)</f>
        <v>16.128215250000004</v>
      </c>
      <c r="K39" s="1395"/>
      <c r="L39" s="1371">
        <v>0</v>
      </c>
      <c r="M39" s="1372"/>
      <c r="N39" s="1394">
        <f>SUM(N18:O38)</f>
        <v>2.1674652064795796E-2</v>
      </c>
      <c r="O39" s="1551"/>
      <c r="P39" s="1552">
        <f>SUM(P19:Q38)</f>
        <v>0.19000000000000003</v>
      </c>
      <c r="Q39" s="1553"/>
      <c r="R39" s="275"/>
      <c r="S39" s="275"/>
      <c r="T39" s="30"/>
      <c r="U39" s="30"/>
      <c r="V39" s="276"/>
      <c r="W39" s="276"/>
      <c r="X39" s="30"/>
      <c r="Y39" s="30"/>
      <c r="Z39" s="277"/>
      <c r="AA39" s="277"/>
      <c r="AB39" s="263"/>
      <c r="AC39" s="263"/>
      <c r="AD39" s="30"/>
      <c r="AE39" s="30"/>
      <c r="AF39" s="277"/>
      <c r="AG39" s="278"/>
      <c r="AH39" s="238"/>
      <c r="AI39" s="238"/>
      <c r="AJ39" s="238"/>
      <c r="AK39" s="238"/>
      <c r="AL39" s="238"/>
      <c r="AM39" s="238"/>
      <c r="AN39" s="238"/>
      <c r="AO39" s="238"/>
      <c r="AP39" s="238"/>
      <c r="AQ39" s="238"/>
      <c r="AR39" s="238"/>
      <c r="AS39" s="238"/>
      <c r="AT39" s="238"/>
      <c r="AU39" s="238"/>
      <c r="AV39" s="238"/>
      <c r="AW39" s="238"/>
      <c r="AX39" s="238"/>
      <c r="AY39" s="238"/>
      <c r="AZ39" s="238"/>
      <c r="BA39" s="239" t="s">
        <v>662</v>
      </c>
      <c r="BB39" s="239">
        <v>0</v>
      </c>
      <c r="BC39" s="239">
        <v>0</v>
      </c>
      <c r="BD39" s="238"/>
      <c r="BE39" s="238"/>
      <c r="BF39" s="238"/>
      <c r="BG39" s="238"/>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row>
    <row r="40" spans="1:90" s="240" customFormat="1" ht="14.25" customHeight="1">
      <c r="A40" s="279" t="s">
        <v>749</v>
      </c>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280"/>
      <c r="AH40" s="238"/>
      <c r="AI40" s="238"/>
      <c r="AJ40" s="238"/>
      <c r="AK40" s="281"/>
      <c r="AL40" s="238"/>
      <c r="AM40" s="238"/>
      <c r="AN40" s="238"/>
      <c r="AO40" s="238"/>
      <c r="AP40" s="238"/>
      <c r="AQ40" s="238"/>
      <c r="AR40" s="238"/>
      <c r="AS40" s="238"/>
      <c r="AT40" s="238"/>
      <c r="AU40" s="238"/>
      <c r="AV40" s="238"/>
      <c r="AW40" s="238"/>
      <c r="AX40" s="238"/>
      <c r="AY40" s="238"/>
      <c r="AZ40" s="238"/>
      <c r="BA40" s="239"/>
      <c r="BB40" s="239"/>
      <c r="BC40" s="239"/>
      <c r="BD40" s="238"/>
      <c r="BE40" s="238"/>
      <c r="BF40" s="238"/>
      <c r="BG40" s="238"/>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row>
    <row r="41" spans="1:90" s="240" customFormat="1" ht="14.25" customHeight="1">
      <c r="A41" s="282" t="s">
        <v>31</v>
      </c>
      <c r="B41" s="31" t="s">
        <v>751</v>
      </c>
      <c r="C41" s="30"/>
      <c r="D41" s="30"/>
      <c r="E41" s="30"/>
      <c r="F41" s="30"/>
      <c r="G41" s="30"/>
      <c r="H41" s="30"/>
      <c r="I41" s="30"/>
      <c r="J41" s="30"/>
      <c r="K41" s="30"/>
      <c r="L41" s="30"/>
      <c r="M41" s="30"/>
      <c r="N41" s="283"/>
      <c r="O41" s="283"/>
      <c r="P41" s="283"/>
      <c r="Q41" s="30"/>
      <c r="R41" s="30"/>
      <c r="S41" s="30"/>
      <c r="T41" s="30"/>
      <c r="U41" s="30"/>
      <c r="V41" s="30"/>
      <c r="W41" s="30"/>
      <c r="X41" s="30"/>
      <c r="Y41" s="30"/>
      <c r="Z41" s="30"/>
      <c r="AA41" s="30"/>
      <c r="AB41" s="30"/>
      <c r="AC41" s="30"/>
      <c r="AD41" s="30"/>
      <c r="AE41" s="30"/>
      <c r="AF41" s="30"/>
      <c r="AG41" s="253"/>
      <c r="AH41" s="238"/>
      <c r="AI41" s="238"/>
      <c r="AJ41" s="238"/>
      <c r="AK41" s="238"/>
      <c r="AL41" s="238"/>
      <c r="AM41" s="238"/>
      <c r="AN41" s="238"/>
      <c r="AO41" s="238"/>
      <c r="AP41" s="238"/>
      <c r="AQ41" s="238"/>
      <c r="AR41" s="238"/>
      <c r="AS41" s="238"/>
      <c r="AT41" s="238"/>
      <c r="AU41" s="238"/>
      <c r="AV41" s="238"/>
      <c r="AW41" s="238"/>
      <c r="AX41" s="238"/>
      <c r="AY41" s="238"/>
      <c r="AZ41" s="238"/>
      <c r="BA41" s="239" t="s">
        <v>679</v>
      </c>
      <c r="BB41" s="239">
        <v>0</v>
      </c>
      <c r="BC41" s="239">
        <v>0</v>
      </c>
      <c r="BD41" s="238"/>
      <c r="BE41" s="238"/>
      <c r="BF41" s="238"/>
      <c r="BG41" s="238"/>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row>
    <row r="42" spans="1:90" ht="14.25" customHeight="1">
      <c r="A42" s="282" t="s">
        <v>33</v>
      </c>
      <c r="B42" s="284" t="s">
        <v>726</v>
      </c>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6"/>
      <c r="AH42" s="243"/>
      <c r="AI42" s="243"/>
      <c r="AJ42" s="243"/>
      <c r="AK42" s="243"/>
      <c r="AL42" s="243"/>
      <c r="AM42" s="243"/>
      <c r="AN42" s="243"/>
      <c r="AO42" s="243"/>
      <c r="AP42" s="243"/>
      <c r="AQ42" s="243"/>
      <c r="AR42" s="243"/>
      <c r="AS42" s="243"/>
      <c r="AT42" s="243"/>
      <c r="AU42" s="243"/>
      <c r="AV42" s="243"/>
      <c r="AW42" s="243"/>
      <c r="AX42" s="243"/>
      <c r="AY42" s="243"/>
      <c r="AZ42" s="243"/>
      <c r="BA42" s="246" t="s">
        <v>681</v>
      </c>
      <c r="BB42" s="246">
        <v>0</v>
      </c>
      <c r="BC42" s="246">
        <v>0</v>
      </c>
      <c r="BD42" s="243"/>
      <c r="BE42" s="243"/>
      <c r="BF42" s="243"/>
      <c r="BG42" s="243"/>
      <c r="BH42" s="243"/>
      <c r="BI42" s="243"/>
      <c r="BJ42" s="243"/>
      <c r="BK42" s="243"/>
      <c r="BL42" s="243"/>
      <c r="BM42" s="243"/>
      <c r="BN42" s="243"/>
      <c r="BO42" s="243"/>
      <c r="BP42" s="243"/>
      <c r="BQ42" s="243"/>
      <c r="BR42" s="243"/>
      <c r="BS42" s="243"/>
      <c r="BT42" s="243"/>
      <c r="BU42" s="243"/>
      <c r="BV42" s="243"/>
      <c r="BW42" s="243"/>
      <c r="BX42" s="243"/>
      <c r="BY42" s="243"/>
      <c r="BZ42" s="243"/>
      <c r="CA42" s="243"/>
      <c r="CB42" s="243"/>
      <c r="CC42" s="243"/>
      <c r="CD42" s="243"/>
      <c r="CE42" s="243"/>
      <c r="CF42" s="243"/>
      <c r="CG42" s="243"/>
      <c r="CH42" s="243"/>
      <c r="CI42" s="243"/>
      <c r="CJ42" s="243"/>
      <c r="CK42" s="243"/>
      <c r="CL42" s="243"/>
    </row>
    <row r="43" spans="1:90" ht="14.25" customHeight="1">
      <c r="A43" s="282" t="s">
        <v>752</v>
      </c>
      <c r="B43" s="284"/>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5"/>
      <c r="AA43" s="285"/>
      <c r="AB43" s="285"/>
      <c r="AC43" s="285"/>
      <c r="AD43" s="285"/>
      <c r="AE43" s="285"/>
      <c r="AF43" s="285"/>
      <c r="AG43" s="286"/>
      <c r="AH43" s="243"/>
      <c r="AI43" s="243"/>
      <c r="AJ43" s="243"/>
      <c r="AK43" s="243"/>
      <c r="AL43" s="243"/>
      <c r="AM43" s="243"/>
      <c r="AN43" s="243"/>
      <c r="AO43" s="243"/>
      <c r="AP43" s="243"/>
      <c r="AQ43" s="243"/>
      <c r="AR43" s="243"/>
      <c r="AS43" s="243"/>
      <c r="AT43" s="243"/>
      <c r="AU43" s="243"/>
      <c r="AV43" s="243"/>
      <c r="AW43" s="243"/>
      <c r="AX43" s="243"/>
      <c r="AY43" s="243"/>
      <c r="AZ43" s="243"/>
      <c r="BA43" s="246" t="s">
        <v>684</v>
      </c>
      <c r="BB43" s="246">
        <v>0</v>
      </c>
      <c r="BC43" s="246">
        <v>0</v>
      </c>
      <c r="BD43" s="243"/>
      <c r="BE43" s="243"/>
      <c r="BF43" s="243"/>
      <c r="BG43" s="243"/>
      <c r="BH43" s="243"/>
      <c r="BI43" s="243"/>
      <c r="BJ43" s="243"/>
      <c r="BK43" s="243"/>
      <c r="BL43" s="243"/>
      <c r="BM43" s="243"/>
      <c r="BN43" s="243"/>
      <c r="BO43" s="243"/>
      <c r="BP43" s="243"/>
      <c r="BQ43" s="243"/>
      <c r="BR43" s="243"/>
      <c r="BS43" s="243"/>
      <c r="BT43" s="243"/>
      <c r="BU43" s="243"/>
      <c r="BV43" s="243"/>
      <c r="BW43" s="243"/>
      <c r="BX43" s="243"/>
      <c r="BY43" s="243"/>
      <c r="BZ43" s="243"/>
      <c r="CA43" s="243"/>
      <c r="CB43" s="243"/>
      <c r="CC43" s="243"/>
      <c r="CD43" s="243"/>
      <c r="CE43" s="243"/>
      <c r="CF43" s="243"/>
      <c r="CG43" s="243"/>
      <c r="CH43" s="243"/>
      <c r="CI43" s="243"/>
      <c r="CJ43" s="243"/>
      <c r="CK43" s="243"/>
      <c r="CL43" s="243"/>
    </row>
    <row r="44" spans="1:90" ht="14.25">
      <c r="A44" s="282" t="s">
        <v>38</v>
      </c>
      <c r="B44" s="284"/>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6"/>
      <c r="AH44" s="243"/>
      <c r="AI44" s="243"/>
      <c r="AJ44" s="243"/>
      <c r="AK44" s="243"/>
      <c r="AL44" s="243"/>
      <c r="AM44" s="243"/>
      <c r="AN44" s="243"/>
      <c r="AO44" s="243"/>
      <c r="AP44" s="243"/>
      <c r="AQ44" s="243"/>
      <c r="AR44" s="243"/>
      <c r="AS44" s="243"/>
      <c r="AT44" s="243"/>
      <c r="AU44" s="243"/>
      <c r="AV44" s="243"/>
      <c r="AW44" s="243"/>
      <c r="AX44" s="243"/>
      <c r="AY44" s="243"/>
      <c r="AZ44" s="243"/>
      <c r="BA44" s="246"/>
      <c r="BB44" s="246"/>
      <c r="BC44" s="246"/>
      <c r="BD44" s="243"/>
      <c r="BE44" s="243"/>
      <c r="BF44" s="243"/>
      <c r="BG44" s="243"/>
      <c r="BH44" s="243"/>
      <c r="BI44" s="243"/>
      <c r="BJ44" s="243"/>
      <c r="BK44" s="243"/>
      <c r="BL44" s="243"/>
      <c r="BM44" s="243"/>
      <c r="BN44" s="243"/>
      <c r="BO44" s="243"/>
      <c r="BP44" s="243"/>
      <c r="BQ44" s="243"/>
      <c r="BR44" s="243"/>
      <c r="BS44" s="243"/>
      <c r="BT44" s="243"/>
      <c r="BU44" s="243"/>
      <c r="BV44" s="243"/>
      <c r="BW44" s="243"/>
      <c r="BX44" s="243"/>
      <c r="BY44" s="243"/>
      <c r="BZ44" s="243"/>
      <c r="CA44" s="243"/>
      <c r="CB44" s="243"/>
      <c r="CC44" s="243"/>
      <c r="CD44" s="243"/>
      <c r="CE44" s="243"/>
      <c r="CF44" s="243"/>
      <c r="CG44" s="243"/>
      <c r="CH44" s="243"/>
      <c r="CI44" s="243"/>
      <c r="CJ44" s="243"/>
      <c r="CK44" s="243"/>
      <c r="CL44" s="243"/>
    </row>
    <row r="45" spans="1:90" ht="14.25">
      <c r="A45" s="282" t="s">
        <v>41</v>
      </c>
      <c r="B45" s="284"/>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43"/>
      <c r="AI45" s="243"/>
      <c r="AJ45" s="243"/>
      <c r="AK45" s="243"/>
      <c r="AL45" s="243"/>
      <c r="AM45" s="243"/>
      <c r="AN45" s="243"/>
      <c r="AO45" s="243"/>
      <c r="AP45" s="243"/>
      <c r="AQ45" s="243"/>
      <c r="AR45" s="243"/>
      <c r="AS45" s="243"/>
      <c r="AT45" s="243"/>
      <c r="AU45" s="243"/>
      <c r="AV45" s="243"/>
      <c r="AW45" s="243"/>
      <c r="AX45" s="243"/>
      <c r="AY45" s="243"/>
      <c r="AZ45" s="243"/>
      <c r="BA45" s="246" t="s">
        <v>688</v>
      </c>
      <c r="BB45" s="246">
        <v>0</v>
      </c>
      <c r="BC45" s="246">
        <v>0</v>
      </c>
      <c r="BD45" s="243"/>
      <c r="BE45" s="243"/>
      <c r="BF45" s="243"/>
      <c r="BG45" s="243"/>
      <c r="BH45" s="243"/>
      <c r="BI45" s="243"/>
      <c r="BJ45" s="243"/>
      <c r="BK45" s="243"/>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row>
    <row r="46" spans="1:90">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288"/>
      <c r="AF46" s="288"/>
      <c r="AG46" s="289"/>
      <c r="AH46" s="289"/>
      <c r="AI46" s="289"/>
      <c r="AJ46" s="289"/>
      <c r="AK46" s="289"/>
      <c r="AL46" s="289"/>
      <c r="AM46" s="289"/>
      <c r="AN46" s="243"/>
      <c r="AO46" s="243"/>
      <c r="AP46" s="243"/>
      <c r="AQ46" s="243"/>
      <c r="AR46" s="243"/>
      <c r="AS46" s="243"/>
      <c r="AT46" s="243"/>
      <c r="AU46" s="243"/>
      <c r="AV46" s="243"/>
      <c r="AW46" s="243"/>
      <c r="AX46" s="243"/>
      <c r="AY46" s="243"/>
      <c r="AZ46" s="243"/>
      <c r="BA46" s="246" t="s">
        <v>690</v>
      </c>
      <c r="BB46" s="246">
        <v>2.9999999999999997E-4</v>
      </c>
      <c r="BC46" s="246">
        <v>0</v>
      </c>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row>
    <row r="47" spans="1:90">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9"/>
      <c r="AH47" s="289"/>
      <c r="AI47" s="289"/>
      <c r="AJ47" s="289"/>
      <c r="AK47" s="289"/>
      <c r="AL47" s="289"/>
      <c r="AM47" s="289"/>
      <c r="AN47" s="243"/>
      <c r="AO47" s="243"/>
      <c r="AP47" s="243"/>
      <c r="AQ47" s="243"/>
      <c r="AR47" s="243"/>
      <c r="AS47" s="243"/>
      <c r="AT47" s="243"/>
      <c r="AU47" s="243"/>
      <c r="AV47" s="243"/>
      <c r="AW47" s="243"/>
      <c r="AX47" s="243"/>
      <c r="AY47" s="243"/>
      <c r="AZ47" s="243"/>
      <c r="BA47" s="246" t="s">
        <v>691</v>
      </c>
      <c r="BB47" s="246">
        <v>0</v>
      </c>
      <c r="BC47" s="246">
        <v>0</v>
      </c>
      <c r="BD47" s="243"/>
      <c r="BE47" s="243"/>
      <c r="BF47" s="243"/>
      <c r="BG47" s="243"/>
      <c r="BH47" s="243"/>
      <c r="BI47" s="243"/>
      <c r="BJ47" s="243"/>
      <c r="BK47" s="243"/>
      <c r="BL47" s="243"/>
      <c r="BM47" s="243"/>
      <c r="BN47" s="243"/>
      <c r="BO47" s="243"/>
      <c r="BP47" s="243"/>
      <c r="BQ47" s="243"/>
      <c r="BR47" s="243"/>
      <c r="BS47" s="243"/>
      <c r="BT47" s="243"/>
      <c r="BU47" s="243"/>
      <c r="BV47" s="243"/>
      <c r="BW47" s="243"/>
      <c r="BX47" s="243"/>
      <c r="BY47" s="243"/>
      <c r="BZ47" s="243"/>
      <c r="CA47" s="243"/>
      <c r="CB47" s="243"/>
      <c r="CC47" s="243"/>
      <c r="CD47" s="243"/>
      <c r="CE47" s="243"/>
      <c r="CF47" s="243"/>
      <c r="CG47" s="243"/>
      <c r="CH47" s="243"/>
      <c r="CI47" s="243"/>
      <c r="CJ47" s="243"/>
      <c r="CK47" s="243"/>
      <c r="CL47" s="243"/>
    </row>
    <row r="48" spans="1:90">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9"/>
      <c r="AH48" s="289"/>
      <c r="AI48" s="289"/>
      <c r="AJ48" s="289"/>
      <c r="AK48" s="289"/>
      <c r="AL48" s="289"/>
      <c r="AM48" s="289"/>
      <c r="AN48" s="243"/>
      <c r="AO48" s="243"/>
      <c r="AP48" s="243"/>
      <c r="AQ48" s="243"/>
      <c r="AR48" s="243"/>
      <c r="AS48" s="243"/>
      <c r="AT48" s="243"/>
      <c r="AU48" s="243"/>
      <c r="AV48" s="243"/>
      <c r="AW48" s="243"/>
      <c r="AX48" s="243"/>
      <c r="AY48" s="243"/>
      <c r="AZ48" s="243"/>
      <c r="BA48" s="246" t="s">
        <v>692</v>
      </c>
      <c r="BB48" s="246">
        <v>0</v>
      </c>
      <c r="BC48" s="246">
        <v>0</v>
      </c>
      <c r="BD48" s="243"/>
      <c r="BE48" s="243"/>
      <c r="BF48" s="243"/>
      <c r="BG48" s="243"/>
      <c r="BH48" s="243"/>
      <c r="BI48" s="243"/>
      <c r="BJ48" s="243"/>
      <c r="BK48" s="243"/>
      <c r="BL48" s="243"/>
      <c r="BM48" s="243"/>
      <c r="BN48" s="243"/>
      <c r="BO48" s="243"/>
      <c r="BP48" s="243"/>
      <c r="BQ48" s="243"/>
      <c r="BR48" s="243"/>
      <c r="BS48" s="243"/>
      <c r="BT48" s="243"/>
      <c r="BU48" s="243"/>
      <c r="BV48" s="243"/>
      <c r="BW48" s="243"/>
      <c r="BX48" s="243"/>
      <c r="BY48" s="243"/>
      <c r="BZ48" s="243"/>
      <c r="CA48" s="243"/>
      <c r="CB48" s="243"/>
      <c r="CC48" s="243"/>
      <c r="CD48" s="243"/>
      <c r="CE48" s="243"/>
      <c r="CF48" s="243"/>
      <c r="CG48" s="243"/>
      <c r="CH48" s="243"/>
      <c r="CI48" s="243"/>
      <c r="CJ48" s="243"/>
      <c r="CK48" s="243"/>
      <c r="CL48" s="243"/>
    </row>
    <row r="49" spans="1:90">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9"/>
      <c r="AH49" s="289"/>
      <c r="AI49" s="289"/>
      <c r="AJ49" s="289"/>
      <c r="AK49" s="289"/>
      <c r="AL49" s="289"/>
      <c r="AM49" s="289"/>
      <c r="AN49" s="243"/>
      <c r="AO49" s="243"/>
      <c r="AP49" s="243"/>
      <c r="AQ49" s="243"/>
      <c r="AR49" s="243"/>
      <c r="AS49" s="243"/>
      <c r="AT49" s="243"/>
      <c r="AU49" s="243"/>
      <c r="AV49" s="243"/>
      <c r="AW49" s="243"/>
      <c r="AX49" s="243"/>
      <c r="AY49" s="243"/>
      <c r="AZ49" s="243"/>
      <c r="BA49" s="246" t="s">
        <v>693</v>
      </c>
      <c r="BB49" s="246">
        <v>0</v>
      </c>
      <c r="BC49" s="246">
        <v>0</v>
      </c>
      <c r="BD49" s="243"/>
      <c r="BE49" s="243"/>
      <c r="BF49" s="243"/>
      <c r="BG49" s="243"/>
      <c r="BH49" s="243"/>
      <c r="BI49" s="243"/>
      <c r="BJ49" s="243"/>
      <c r="BK49" s="243"/>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row>
    <row r="50" spans="1:90">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9"/>
      <c r="AH50" s="289"/>
      <c r="AI50" s="289"/>
      <c r="AJ50" s="289"/>
      <c r="AK50" s="289"/>
      <c r="AL50" s="289"/>
      <c r="AM50" s="289"/>
      <c r="AN50" s="243"/>
      <c r="AO50" s="243"/>
      <c r="AP50" s="243"/>
      <c r="AQ50" s="243"/>
      <c r="AR50" s="243"/>
      <c r="AS50" s="243"/>
      <c r="AT50" s="243"/>
      <c r="AU50" s="243"/>
      <c r="AV50" s="243"/>
      <c r="AW50" s="243"/>
      <c r="AX50" s="243"/>
      <c r="AY50" s="243"/>
      <c r="AZ50" s="243"/>
      <c r="BA50" s="246" t="s">
        <v>694</v>
      </c>
      <c r="BB50" s="246">
        <v>0</v>
      </c>
      <c r="BC50" s="246">
        <v>0</v>
      </c>
      <c r="BD50" s="243"/>
      <c r="BE50" s="243"/>
      <c r="BF50" s="243"/>
      <c r="BG50" s="243"/>
      <c r="BH50" s="243"/>
      <c r="BI50" s="243"/>
      <c r="BJ50" s="243"/>
      <c r="BK50" s="243"/>
      <c r="BL50" s="243"/>
      <c r="BM50" s="243"/>
      <c r="BN50" s="243"/>
      <c r="BO50" s="243"/>
      <c r="BP50" s="243"/>
      <c r="BQ50" s="243"/>
      <c r="BR50" s="243"/>
      <c r="BS50" s="243"/>
      <c r="BT50" s="243"/>
      <c r="BU50" s="243"/>
      <c r="BV50" s="243"/>
      <c r="BW50" s="243"/>
      <c r="BX50" s="243"/>
      <c r="BY50" s="243"/>
      <c r="BZ50" s="243"/>
      <c r="CA50" s="243"/>
      <c r="CB50" s="243"/>
      <c r="CC50" s="243"/>
      <c r="CD50" s="243"/>
      <c r="CE50" s="243"/>
      <c r="CF50" s="243"/>
      <c r="CG50" s="243"/>
      <c r="CH50" s="243"/>
      <c r="CI50" s="243"/>
      <c r="CJ50" s="243"/>
      <c r="CK50" s="243"/>
      <c r="CL50" s="243"/>
    </row>
    <row r="51" spans="1:90">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9"/>
      <c r="AH51" s="289"/>
      <c r="AI51" s="289"/>
      <c r="AJ51" s="289"/>
      <c r="AK51" s="289"/>
      <c r="AL51" s="289"/>
      <c r="AM51" s="289"/>
      <c r="AN51" s="243"/>
      <c r="AO51" s="243"/>
      <c r="AP51" s="243"/>
      <c r="AQ51" s="243"/>
      <c r="AR51" s="243"/>
      <c r="AS51" s="243"/>
      <c r="AT51" s="243"/>
      <c r="AU51" s="243"/>
      <c r="AV51" s="243"/>
      <c r="AW51" s="243"/>
      <c r="AX51" s="243"/>
      <c r="AY51" s="243"/>
      <c r="AZ51" s="243"/>
      <c r="BA51" s="246" t="s">
        <v>695</v>
      </c>
      <c r="BB51" s="246">
        <v>0</v>
      </c>
      <c r="BC51" s="246">
        <v>0</v>
      </c>
      <c r="BD51" s="243"/>
      <c r="BE51" s="243"/>
      <c r="BF51" s="243"/>
      <c r="BG51" s="243"/>
      <c r="BH51" s="243"/>
      <c r="BI51" s="243"/>
      <c r="BJ51" s="243"/>
      <c r="BK51" s="243"/>
      <c r="BL51" s="243"/>
      <c r="BM51" s="243"/>
      <c r="BN51" s="243"/>
      <c r="BO51" s="243"/>
      <c r="BP51" s="243"/>
      <c r="BQ51" s="243"/>
      <c r="BR51" s="243"/>
      <c r="BS51" s="243"/>
      <c r="BT51" s="243"/>
      <c r="BU51" s="243"/>
      <c r="BV51" s="243"/>
      <c r="BW51" s="243"/>
      <c r="BX51" s="243"/>
      <c r="BY51" s="243"/>
      <c r="BZ51" s="243"/>
      <c r="CA51" s="243"/>
      <c r="CB51" s="243"/>
      <c r="CC51" s="243"/>
      <c r="CD51" s="243"/>
      <c r="CE51" s="243"/>
      <c r="CF51" s="243"/>
      <c r="CG51" s="243"/>
      <c r="CH51" s="243"/>
      <c r="CI51" s="243"/>
      <c r="CJ51" s="243"/>
      <c r="CK51" s="243"/>
      <c r="CL51" s="243"/>
    </row>
    <row r="52" spans="1:90">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9"/>
      <c r="AH52" s="289"/>
      <c r="AI52" s="289"/>
      <c r="AJ52" s="289"/>
      <c r="AK52" s="289"/>
      <c r="AL52" s="289"/>
      <c r="AM52" s="289"/>
      <c r="AN52" s="243"/>
      <c r="AO52" s="243"/>
      <c r="AP52" s="243"/>
      <c r="AQ52" s="243"/>
      <c r="AR52" s="243"/>
      <c r="AS52" s="243"/>
      <c r="AT52" s="243"/>
      <c r="AU52" s="243"/>
      <c r="AV52" s="243"/>
      <c r="AW52" s="243"/>
      <c r="AX52" s="243"/>
      <c r="AY52" s="243"/>
      <c r="AZ52" s="243"/>
      <c r="BA52" s="246" t="s">
        <v>696</v>
      </c>
      <c r="BB52" s="246">
        <v>0</v>
      </c>
      <c r="BC52" s="246">
        <v>0</v>
      </c>
      <c r="BD52" s="243"/>
      <c r="BE52" s="243"/>
      <c r="BF52" s="243"/>
      <c r="BG52" s="243"/>
      <c r="BH52" s="243"/>
      <c r="BI52" s="243"/>
      <c r="BJ52" s="243"/>
      <c r="BK52" s="243"/>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row>
    <row r="53" spans="1:90" s="290" customFormat="1">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9"/>
      <c r="AH53" s="289"/>
      <c r="AI53" s="289"/>
      <c r="AJ53" s="289"/>
      <c r="AK53" s="289"/>
      <c r="AL53" s="289"/>
      <c r="AM53" s="289"/>
      <c r="AN53" s="243"/>
      <c r="AO53" s="243"/>
      <c r="AP53" s="243"/>
      <c r="AQ53" s="243"/>
      <c r="AR53" s="243"/>
      <c r="AS53" s="243"/>
      <c r="AT53" s="243"/>
      <c r="AU53" s="243"/>
      <c r="AV53" s="243"/>
      <c r="AW53" s="243"/>
      <c r="AX53" s="243"/>
      <c r="AY53" s="243"/>
      <c r="AZ53" s="243"/>
      <c r="BA53" s="246" t="s">
        <v>697</v>
      </c>
      <c r="BB53" s="246">
        <v>0</v>
      </c>
      <c r="BC53" s="246">
        <v>0</v>
      </c>
      <c r="BD53" s="243"/>
      <c r="BE53" s="243"/>
      <c r="BF53" s="243"/>
      <c r="BG53" s="243"/>
      <c r="BH53" s="243"/>
      <c r="BI53" s="243"/>
      <c r="BJ53" s="243"/>
      <c r="BK53" s="243"/>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row>
    <row r="54" spans="1:90" s="290" customFormat="1">
      <c r="A54" s="288"/>
      <c r="B54" s="288"/>
      <c r="C54" s="288"/>
      <c r="D54" s="288"/>
      <c r="E54" s="288"/>
      <c r="F54" s="288"/>
      <c r="G54" s="288"/>
      <c r="H54" s="288"/>
      <c r="I54" s="288"/>
      <c r="J54" s="288"/>
      <c r="K54" s="288"/>
      <c r="L54" s="288"/>
      <c r="M54" s="288"/>
      <c r="N54" s="288"/>
      <c r="O54" s="263"/>
      <c r="P54" s="288"/>
      <c r="Q54" s="288"/>
      <c r="R54" s="288"/>
      <c r="S54" s="288"/>
      <c r="T54" s="288"/>
      <c r="U54" s="288"/>
      <c r="V54" s="288"/>
      <c r="W54" s="288"/>
      <c r="X54" s="288"/>
      <c r="Y54" s="288"/>
      <c r="Z54" s="288"/>
      <c r="AA54" s="288"/>
      <c r="AB54" s="288"/>
      <c r="AC54" s="288"/>
      <c r="AD54" s="288"/>
      <c r="AE54" s="288"/>
      <c r="AF54" s="288"/>
      <c r="AG54" s="289"/>
      <c r="AH54" s="289"/>
      <c r="AI54" s="289"/>
      <c r="AJ54" s="289"/>
      <c r="AK54" s="289"/>
      <c r="AL54" s="289"/>
      <c r="AM54" s="289"/>
      <c r="AN54" s="243"/>
      <c r="AO54" s="243"/>
      <c r="AP54" s="243"/>
      <c r="AQ54" s="243"/>
      <c r="AR54" s="243"/>
      <c r="AS54" s="243"/>
      <c r="AT54" s="243"/>
      <c r="AU54" s="243"/>
      <c r="AV54" s="243"/>
      <c r="AW54" s="243"/>
      <c r="AX54" s="243"/>
      <c r="AY54" s="243"/>
      <c r="AZ54" s="243"/>
      <c r="BA54" s="246" t="s">
        <v>431</v>
      </c>
      <c r="BB54" s="246">
        <v>1E-4</v>
      </c>
      <c r="BC54" s="246">
        <v>0.17530000000000001</v>
      </c>
      <c r="BD54" s="243"/>
      <c r="BE54" s="243"/>
      <c r="BF54" s="243"/>
      <c r="BG54" s="243"/>
      <c r="BH54" s="243"/>
      <c r="BI54" s="243"/>
      <c r="BJ54" s="243"/>
      <c r="BK54" s="243"/>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row>
    <row r="55" spans="1:90" s="290" customFormat="1">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9"/>
      <c r="AH55" s="289"/>
      <c r="AI55" s="289"/>
      <c r="AJ55" s="289"/>
      <c r="AK55" s="289"/>
      <c r="AL55" s="289"/>
      <c r="AM55" s="289"/>
      <c r="AN55" s="243"/>
      <c r="AO55" s="243"/>
      <c r="AP55" s="243"/>
      <c r="AQ55" s="243"/>
      <c r="AR55" s="243"/>
      <c r="AS55" s="243"/>
      <c r="AT55" s="243"/>
      <c r="AU55" s="243"/>
      <c r="AV55" s="243"/>
      <c r="AW55" s="243"/>
      <c r="AX55" s="243"/>
      <c r="AY55" s="243"/>
      <c r="AZ55" s="243"/>
      <c r="BA55" s="243"/>
      <c r="BB55" s="246"/>
      <c r="BC55" s="246"/>
      <c r="BD55" s="243"/>
      <c r="BE55" s="243"/>
      <c r="BF55" s="243"/>
      <c r="BG55" s="243"/>
      <c r="BH55" s="243"/>
      <c r="BI55" s="243"/>
      <c r="BJ55" s="243"/>
      <c r="BK55" s="243"/>
      <c r="BL55" s="243"/>
      <c r="BM55" s="243"/>
      <c r="BN55" s="243"/>
      <c r="BO55" s="243"/>
      <c r="BP55" s="243"/>
      <c r="BQ55" s="243"/>
      <c r="BR55" s="243"/>
      <c r="BS55" s="243"/>
      <c r="BT55" s="243"/>
      <c r="BU55" s="243"/>
      <c r="BV55" s="243"/>
      <c r="BW55" s="243"/>
      <c r="BX55" s="243"/>
      <c r="BY55" s="243"/>
      <c r="BZ55" s="243"/>
      <c r="CA55" s="243"/>
      <c r="CB55" s="243"/>
      <c r="CC55" s="243"/>
      <c r="CD55" s="243"/>
      <c r="CE55" s="243"/>
      <c r="CF55" s="243"/>
      <c r="CG55" s="243"/>
      <c r="CH55" s="243"/>
      <c r="CI55" s="243"/>
      <c r="CJ55" s="243"/>
      <c r="CK55" s="243"/>
      <c r="CL55" s="243"/>
    </row>
    <row r="56" spans="1:90" s="290" customFormat="1">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9"/>
      <c r="AH56" s="289"/>
      <c r="AI56" s="289"/>
      <c r="AJ56" s="289"/>
      <c r="AK56" s="289"/>
      <c r="AL56" s="289"/>
      <c r="AM56" s="289"/>
      <c r="AN56" s="243"/>
      <c r="AO56" s="243"/>
      <c r="AP56" s="243"/>
      <c r="AQ56" s="243"/>
      <c r="AR56" s="243"/>
      <c r="AS56" s="243"/>
      <c r="AT56" s="243"/>
      <c r="AU56" s="243"/>
      <c r="AV56" s="243"/>
      <c r="AW56" s="243"/>
      <c r="AX56" s="243"/>
      <c r="AY56" s="243"/>
      <c r="AZ56" s="243"/>
      <c r="BA56" s="243"/>
      <c r="BB56" s="246"/>
      <c r="BC56" s="246"/>
      <c r="BD56" s="243"/>
      <c r="BE56" s="243"/>
      <c r="BF56" s="243"/>
      <c r="BG56" s="243"/>
      <c r="BH56" s="243"/>
      <c r="BI56" s="243"/>
      <c r="BJ56" s="243"/>
      <c r="BK56" s="243"/>
      <c r="BL56" s="243"/>
      <c r="BM56" s="243"/>
      <c r="BN56" s="243"/>
      <c r="BO56" s="243"/>
      <c r="BP56" s="243"/>
      <c r="BQ56" s="243"/>
      <c r="BR56" s="243"/>
      <c r="BS56" s="243"/>
      <c r="BT56" s="243"/>
      <c r="BU56" s="243"/>
      <c r="BV56" s="243"/>
      <c r="BW56" s="243"/>
      <c r="BX56" s="243"/>
      <c r="BY56" s="243"/>
      <c r="BZ56" s="243"/>
      <c r="CA56" s="243"/>
      <c r="CB56" s="243"/>
      <c r="CC56" s="243"/>
      <c r="CD56" s="243"/>
      <c r="CE56" s="243"/>
      <c r="CF56" s="243"/>
      <c r="CG56" s="243"/>
      <c r="CH56" s="243"/>
      <c r="CI56" s="243"/>
      <c r="CJ56" s="243"/>
      <c r="CK56" s="243"/>
      <c r="CL56" s="243"/>
    </row>
    <row r="57" spans="1:90" s="290" customFormat="1">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88"/>
      <c r="AE57" s="288"/>
      <c r="AF57" s="288"/>
      <c r="AG57" s="289"/>
      <c r="AH57" s="289"/>
      <c r="AI57" s="289"/>
      <c r="AJ57" s="289"/>
      <c r="AK57" s="289"/>
      <c r="AL57" s="289"/>
      <c r="AM57" s="289"/>
      <c r="AN57" s="243"/>
      <c r="AO57" s="243"/>
      <c r="AP57" s="243"/>
      <c r="AQ57" s="243"/>
      <c r="AR57" s="243"/>
      <c r="AS57" s="243"/>
      <c r="AT57" s="243"/>
      <c r="AU57" s="243"/>
      <c r="AV57" s="243"/>
      <c r="AW57" s="243"/>
      <c r="AX57" s="243"/>
      <c r="AY57" s="243"/>
      <c r="AZ57" s="243"/>
      <c r="BA57" s="243"/>
      <c r="BB57" s="246"/>
      <c r="BC57" s="246"/>
      <c r="BD57" s="243"/>
      <c r="BE57" s="243"/>
      <c r="BF57" s="243"/>
      <c r="BG57" s="243"/>
      <c r="BH57" s="243"/>
      <c r="BI57" s="243"/>
      <c r="BJ57" s="243"/>
      <c r="BK57" s="243"/>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row>
    <row r="58" spans="1:90" s="290" customFormat="1">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9"/>
      <c r="AH58" s="289"/>
      <c r="AI58" s="289"/>
      <c r="AJ58" s="289"/>
      <c r="AK58" s="289"/>
      <c r="AL58" s="289"/>
      <c r="AM58" s="289"/>
      <c r="AN58" s="243"/>
      <c r="AO58" s="243"/>
      <c r="AP58" s="243"/>
      <c r="AQ58" s="243"/>
      <c r="AR58" s="243"/>
      <c r="AS58" s="243"/>
      <c r="AT58" s="243"/>
      <c r="AU58" s="243"/>
      <c r="AV58" s="243"/>
      <c r="AW58" s="243"/>
      <c r="AX58" s="243"/>
      <c r="AY58" s="243"/>
      <c r="AZ58" s="243"/>
      <c r="BA58" s="243"/>
      <c r="BB58" s="246"/>
      <c r="BC58" s="246"/>
      <c r="BD58" s="243"/>
      <c r="BE58" s="243"/>
      <c r="BF58" s="243"/>
      <c r="BG58" s="243"/>
      <c r="BH58" s="243"/>
      <c r="BI58" s="243"/>
      <c r="BJ58" s="243"/>
      <c r="BK58" s="243"/>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row>
    <row r="59" spans="1:90" s="290" customFormat="1">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9"/>
      <c r="AH59" s="289"/>
      <c r="AI59" s="289"/>
      <c r="AJ59" s="289"/>
      <c r="AK59" s="289"/>
      <c r="AL59" s="289"/>
      <c r="AM59" s="289"/>
      <c r="AN59" s="243"/>
      <c r="AO59" s="243"/>
      <c r="AP59" s="243"/>
      <c r="AQ59" s="243"/>
      <c r="AR59" s="243"/>
      <c r="AS59" s="243"/>
      <c r="AT59" s="243"/>
      <c r="AU59" s="243"/>
      <c r="AV59" s="243"/>
      <c r="AW59" s="243"/>
      <c r="AX59" s="243"/>
      <c r="AY59" s="243"/>
      <c r="AZ59" s="243"/>
      <c r="BA59" s="243"/>
      <c r="BB59" s="246"/>
      <c r="BC59" s="246"/>
      <c r="BD59" s="243"/>
      <c r="BE59" s="243"/>
      <c r="BF59" s="243"/>
      <c r="BG59" s="243"/>
      <c r="BH59" s="243"/>
      <c r="BI59" s="243"/>
      <c r="BJ59" s="243"/>
      <c r="BK59" s="243"/>
      <c r="BL59" s="243"/>
      <c r="BM59" s="243"/>
      <c r="BN59" s="243"/>
      <c r="BO59" s="243"/>
      <c r="BP59" s="243"/>
      <c r="BQ59" s="243"/>
      <c r="BR59" s="243"/>
      <c r="BS59" s="243"/>
      <c r="BT59" s="243"/>
      <c r="BU59" s="243"/>
      <c r="BV59" s="243"/>
      <c r="BW59" s="243"/>
      <c r="BX59" s="243"/>
      <c r="BY59" s="243"/>
      <c r="BZ59" s="243"/>
      <c r="CA59" s="243"/>
      <c r="CB59" s="243"/>
      <c r="CC59" s="243"/>
      <c r="CD59" s="243"/>
      <c r="CE59" s="243"/>
      <c r="CF59" s="243"/>
      <c r="CG59" s="243"/>
      <c r="CH59" s="243"/>
      <c r="CI59" s="243"/>
      <c r="CJ59" s="243"/>
      <c r="CK59" s="243"/>
      <c r="CL59" s="243"/>
    </row>
    <row r="60" spans="1:90" s="290" customFormat="1">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9"/>
      <c r="AH60" s="289"/>
      <c r="AI60" s="289"/>
      <c r="AJ60" s="289"/>
      <c r="AK60" s="289"/>
      <c r="AL60" s="289"/>
      <c r="AM60" s="289"/>
      <c r="AN60" s="243"/>
      <c r="AO60" s="243"/>
      <c r="AP60" s="243"/>
      <c r="AQ60" s="243"/>
      <c r="AR60" s="243"/>
      <c r="AS60" s="243"/>
      <c r="AT60" s="243"/>
      <c r="AU60" s="243"/>
      <c r="AV60" s="243"/>
      <c r="AW60" s="243"/>
      <c r="AX60" s="243"/>
      <c r="AY60" s="243"/>
      <c r="AZ60" s="243"/>
      <c r="BA60" s="243"/>
      <c r="BB60" s="246"/>
      <c r="BC60" s="246"/>
      <c r="BD60" s="243"/>
      <c r="BE60" s="243"/>
      <c r="BF60" s="243"/>
      <c r="BG60" s="243"/>
      <c r="BH60" s="243"/>
      <c r="BI60" s="243"/>
      <c r="BJ60" s="243"/>
      <c r="BK60" s="243"/>
      <c r="BL60" s="243"/>
      <c r="BM60" s="243"/>
      <c r="BN60" s="243"/>
      <c r="BO60" s="243"/>
      <c r="BP60" s="243"/>
      <c r="BQ60" s="243"/>
      <c r="BR60" s="243"/>
      <c r="BS60" s="243"/>
      <c r="BT60" s="243"/>
      <c r="BU60" s="243"/>
      <c r="BV60" s="243"/>
      <c r="BW60" s="243"/>
      <c r="BX60" s="243"/>
      <c r="BY60" s="243"/>
      <c r="BZ60" s="243"/>
      <c r="CA60" s="243"/>
      <c r="CB60" s="243"/>
      <c r="CC60" s="243"/>
      <c r="CD60" s="243"/>
      <c r="CE60" s="243"/>
      <c r="CF60" s="243"/>
      <c r="CG60" s="243"/>
      <c r="CH60" s="243"/>
      <c r="CI60" s="243"/>
      <c r="CJ60" s="243"/>
      <c r="CK60" s="243"/>
      <c r="CL60" s="243"/>
    </row>
    <row r="61" spans="1:90" s="290" customFormat="1">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8"/>
      <c r="AG61" s="289"/>
      <c r="AH61" s="289"/>
      <c r="AI61" s="289"/>
      <c r="AJ61" s="289"/>
      <c r="AK61" s="289"/>
      <c r="AL61" s="289"/>
      <c r="AM61" s="289"/>
      <c r="AN61" s="243"/>
      <c r="AO61" s="243"/>
      <c r="AP61" s="243"/>
      <c r="AQ61" s="243"/>
      <c r="AR61" s="243"/>
      <c r="AS61" s="243"/>
      <c r="AT61" s="243"/>
      <c r="AU61" s="243"/>
      <c r="AV61" s="243"/>
      <c r="AW61" s="243"/>
      <c r="AX61" s="243"/>
      <c r="AY61" s="243"/>
      <c r="AZ61" s="243"/>
      <c r="BA61" s="243"/>
      <c r="BB61" s="246"/>
      <c r="BC61" s="246"/>
      <c r="BD61" s="243"/>
      <c r="BE61" s="243"/>
      <c r="BF61" s="243"/>
      <c r="BG61" s="243"/>
      <c r="BH61" s="243"/>
      <c r="BI61" s="243"/>
      <c r="BJ61" s="243"/>
      <c r="BK61" s="243"/>
      <c r="BL61" s="243"/>
      <c r="BM61" s="243"/>
      <c r="BN61" s="243"/>
      <c r="BO61" s="243"/>
      <c r="BP61" s="243"/>
      <c r="BQ61" s="243"/>
      <c r="BR61" s="243"/>
      <c r="BS61" s="243"/>
      <c r="BT61" s="243"/>
      <c r="BU61" s="243"/>
      <c r="BV61" s="243"/>
      <c r="BW61" s="243"/>
      <c r="BX61" s="243"/>
      <c r="BY61" s="243"/>
      <c r="BZ61" s="243"/>
      <c r="CA61" s="243"/>
      <c r="CB61" s="243"/>
      <c r="CC61" s="243"/>
      <c r="CD61" s="243"/>
      <c r="CE61" s="243"/>
      <c r="CF61" s="243"/>
      <c r="CG61" s="243"/>
      <c r="CH61" s="243"/>
      <c r="CI61" s="243"/>
      <c r="CJ61" s="243"/>
      <c r="CK61" s="243"/>
      <c r="CL61" s="243"/>
    </row>
    <row r="62" spans="1:90" s="290" customFormat="1">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8"/>
      <c r="AG62" s="289"/>
      <c r="AH62" s="289"/>
      <c r="AI62" s="289"/>
      <c r="AJ62" s="289"/>
      <c r="AK62" s="289"/>
      <c r="AL62" s="289"/>
      <c r="AM62" s="289"/>
      <c r="AN62" s="243"/>
      <c r="AO62" s="243"/>
      <c r="AP62" s="243"/>
      <c r="AQ62" s="243"/>
      <c r="AR62" s="243"/>
      <c r="AS62" s="243"/>
      <c r="AT62" s="243"/>
      <c r="AU62" s="243"/>
      <c r="AV62" s="243"/>
      <c r="AW62" s="243"/>
      <c r="AX62" s="243"/>
      <c r="AY62" s="243"/>
      <c r="AZ62" s="243"/>
      <c r="BA62" s="243"/>
      <c r="BB62" s="246"/>
      <c r="BC62" s="246"/>
      <c r="BD62" s="243"/>
      <c r="BE62" s="243"/>
      <c r="BF62" s="243"/>
      <c r="BG62" s="243"/>
      <c r="BH62" s="243"/>
      <c r="BI62" s="243"/>
      <c r="BJ62" s="243"/>
      <c r="BK62" s="243"/>
      <c r="BL62" s="243"/>
      <c r="BM62" s="243"/>
      <c r="BN62" s="243"/>
      <c r="BO62" s="243"/>
      <c r="BP62" s="243"/>
      <c r="BQ62" s="243"/>
      <c r="BR62" s="243"/>
      <c r="BS62" s="243"/>
      <c r="BT62" s="243"/>
      <c r="BU62" s="243"/>
      <c r="BV62" s="243"/>
      <c r="BW62" s="243"/>
      <c r="BX62" s="243"/>
      <c r="BY62" s="243"/>
      <c r="BZ62" s="243"/>
      <c r="CA62" s="243"/>
      <c r="CB62" s="243"/>
      <c r="CC62" s="243"/>
      <c r="CD62" s="243"/>
      <c r="CE62" s="243"/>
      <c r="CF62" s="243"/>
      <c r="CG62" s="243"/>
      <c r="CH62" s="243"/>
      <c r="CI62" s="243"/>
      <c r="CJ62" s="243"/>
      <c r="CK62" s="243"/>
      <c r="CL62" s="243"/>
    </row>
    <row r="63" spans="1:90" s="290" customFormat="1">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9"/>
      <c r="AH63" s="289"/>
      <c r="AI63" s="289"/>
      <c r="AJ63" s="289"/>
      <c r="AK63" s="289"/>
      <c r="AL63" s="289"/>
      <c r="AM63" s="289"/>
      <c r="AN63" s="243"/>
      <c r="AO63" s="243"/>
      <c r="AP63" s="243"/>
      <c r="AQ63" s="243"/>
      <c r="AR63" s="243"/>
      <c r="AS63" s="243"/>
      <c r="AT63" s="243"/>
      <c r="AU63" s="243"/>
      <c r="AV63" s="243"/>
      <c r="AW63" s="243"/>
      <c r="AX63" s="243"/>
      <c r="AY63" s="243"/>
      <c r="AZ63" s="243"/>
      <c r="BA63" s="243"/>
      <c r="BB63" s="246"/>
      <c r="BC63" s="246"/>
      <c r="BD63" s="243"/>
      <c r="BE63" s="243"/>
      <c r="BF63" s="243"/>
      <c r="BG63" s="243"/>
      <c r="BH63" s="243"/>
      <c r="BI63" s="243"/>
      <c r="BJ63" s="243"/>
      <c r="BK63" s="243"/>
      <c r="BL63" s="243"/>
      <c r="BM63" s="243"/>
      <c r="BN63" s="243"/>
      <c r="BO63" s="243"/>
      <c r="BP63" s="243"/>
      <c r="BQ63" s="243"/>
      <c r="BR63" s="243"/>
      <c r="BS63" s="243"/>
      <c r="BT63" s="243"/>
      <c r="BU63" s="243"/>
      <c r="BV63" s="243"/>
      <c r="BW63" s="243"/>
      <c r="BX63" s="243"/>
      <c r="BY63" s="243"/>
      <c r="BZ63" s="243"/>
      <c r="CA63" s="243"/>
      <c r="CB63" s="243"/>
      <c r="CC63" s="243"/>
      <c r="CD63" s="243"/>
      <c r="CE63" s="243"/>
      <c r="CF63" s="243"/>
      <c r="CG63" s="243"/>
      <c r="CH63" s="243"/>
      <c r="CI63" s="243"/>
      <c r="CJ63" s="243"/>
      <c r="CK63" s="243"/>
      <c r="CL63" s="243"/>
    </row>
    <row r="64" spans="1:90" s="290" customFormat="1">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8"/>
      <c r="AG64" s="289"/>
      <c r="AH64" s="289"/>
      <c r="AI64" s="289"/>
      <c r="AJ64" s="289"/>
      <c r="AK64" s="289"/>
      <c r="AL64" s="289"/>
      <c r="AM64" s="289"/>
      <c r="AN64" s="243"/>
      <c r="AO64" s="243"/>
      <c r="AP64" s="243"/>
      <c r="AQ64" s="243"/>
      <c r="AR64" s="243"/>
      <c r="AS64" s="243"/>
      <c r="AT64" s="243"/>
      <c r="AU64" s="243"/>
      <c r="AV64" s="243"/>
      <c r="AW64" s="243"/>
      <c r="AX64" s="243"/>
      <c r="AY64" s="243"/>
      <c r="AZ64" s="243"/>
      <c r="BA64" s="243"/>
      <c r="BB64" s="246"/>
      <c r="BC64" s="246"/>
      <c r="BD64" s="243"/>
      <c r="BE64" s="243"/>
      <c r="BF64" s="243"/>
      <c r="BG64" s="243"/>
      <c r="BH64" s="243"/>
      <c r="BI64" s="243"/>
      <c r="BJ64" s="243"/>
      <c r="BK64" s="243"/>
      <c r="BL64" s="243"/>
      <c r="BM64" s="243"/>
      <c r="BN64" s="243"/>
      <c r="BO64" s="243"/>
      <c r="BP64" s="243"/>
      <c r="BQ64" s="243"/>
      <c r="BR64" s="243"/>
      <c r="BS64" s="243"/>
      <c r="BT64" s="243"/>
      <c r="BU64" s="243"/>
      <c r="BV64" s="243"/>
      <c r="BW64" s="243"/>
      <c r="BX64" s="243"/>
      <c r="BY64" s="243"/>
      <c r="BZ64" s="243"/>
      <c r="CA64" s="243"/>
      <c r="CB64" s="243"/>
      <c r="CC64" s="243"/>
      <c r="CD64" s="243"/>
      <c r="CE64" s="243"/>
      <c r="CF64" s="243"/>
      <c r="CG64" s="243"/>
      <c r="CH64" s="243"/>
      <c r="CI64" s="243"/>
      <c r="CJ64" s="243"/>
      <c r="CK64" s="243"/>
      <c r="CL64" s="243"/>
    </row>
    <row r="65" spans="1:90" s="290" customFormat="1">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9"/>
      <c r="AH65" s="289"/>
      <c r="AI65" s="289"/>
      <c r="AJ65" s="289"/>
      <c r="AK65" s="289"/>
      <c r="AL65" s="289"/>
      <c r="AM65" s="289"/>
      <c r="AN65" s="243"/>
      <c r="AO65" s="243"/>
      <c r="AP65" s="243"/>
      <c r="AQ65" s="243"/>
      <c r="AR65" s="243"/>
      <c r="AS65" s="243"/>
      <c r="AT65" s="243"/>
      <c r="AU65" s="243"/>
      <c r="AV65" s="243"/>
      <c r="AW65" s="243"/>
      <c r="AX65" s="243"/>
      <c r="AY65" s="243"/>
      <c r="AZ65" s="243"/>
      <c r="BA65" s="243"/>
      <c r="BB65" s="246"/>
      <c r="BC65" s="246"/>
      <c r="BD65" s="243"/>
      <c r="BE65" s="243"/>
      <c r="BF65" s="243"/>
      <c r="BG65" s="243"/>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row>
    <row r="66" spans="1:90" s="290" customFormat="1">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9"/>
      <c r="AH66" s="289"/>
      <c r="AI66" s="289"/>
      <c r="AJ66" s="289"/>
      <c r="AK66" s="289"/>
      <c r="AL66" s="289"/>
      <c r="AM66" s="289"/>
      <c r="AN66" s="243"/>
      <c r="AO66" s="243"/>
      <c r="AP66" s="243"/>
      <c r="AQ66" s="243"/>
      <c r="AR66" s="243"/>
      <c r="AS66" s="243"/>
      <c r="AT66" s="243"/>
      <c r="AU66" s="243"/>
      <c r="AV66" s="243"/>
      <c r="AW66" s="243"/>
      <c r="AX66" s="243"/>
      <c r="AY66" s="243"/>
      <c r="AZ66" s="243"/>
      <c r="BA66" s="243"/>
      <c r="BB66" s="246"/>
      <c r="BC66" s="246"/>
      <c r="BD66" s="243"/>
      <c r="BE66" s="243"/>
      <c r="BF66" s="243"/>
      <c r="BG66" s="243"/>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row>
    <row r="67" spans="1:90" s="290" customFormat="1">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9"/>
      <c r="AH67" s="289"/>
      <c r="AI67" s="289"/>
      <c r="AJ67" s="289"/>
      <c r="AK67" s="289"/>
      <c r="AL67" s="289"/>
      <c r="AM67" s="289"/>
      <c r="AN67" s="243"/>
      <c r="AO67" s="243"/>
      <c r="AP67" s="243"/>
      <c r="AQ67" s="243"/>
      <c r="AR67" s="243"/>
      <c r="AS67" s="243"/>
      <c r="AT67" s="243"/>
      <c r="AU67" s="243"/>
      <c r="AV67" s="243"/>
      <c r="AW67" s="243"/>
      <c r="AX67" s="243"/>
      <c r="AY67" s="243"/>
      <c r="AZ67" s="243"/>
      <c r="BA67" s="243"/>
      <c r="BB67" s="246"/>
      <c r="BC67" s="246"/>
      <c r="BD67" s="243"/>
      <c r="BE67" s="243"/>
      <c r="BF67" s="243"/>
      <c r="BG67" s="243"/>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row>
    <row r="68" spans="1:90" s="290" customFormat="1">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9"/>
      <c r="AH68" s="289"/>
      <c r="AI68" s="289"/>
      <c r="AJ68" s="289"/>
      <c r="AK68" s="289"/>
      <c r="AL68" s="289"/>
      <c r="AM68" s="289"/>
      <c r="AN68" s="243"/>
      <c r="AO68" s="243"/>
      <c r="AP68" s="243"/>
      <c r="AQ68" s="243"/>
      <c r="AR68" s="243"/>
      <c r="AS68" s="243"/>
      <c r="AT68" s="243"/>
      <c r="AU68" s="243"/>
      <c r="AV68" s="243"/>
      <c r="AW68" s="243"/>
      <c r="AX68" s="243"/>
      <c r="AY68" s="243"/>
      <c r="AZ68" s="243"/>
      <c r="BA68" s="243"/>
      <c r="BB68" s="246"/>
      <c r="BC68" s="246"/>
      <c r="BD68" s="243"/>
      <c r="BE68" s="243"/>
      <c r="BF68" s="243"/>
      <c r="BG68" s="243"/>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row>
    <row r="69" spans="1:90">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9"/>
      <c r="AH69" s="289"/>
      <c r="AI69" s="289"/>
      <c r="AJ69" s="289"/>
      <c r="AK69" s="289"/>
      <c r="AL69" s="289"/>
      <c r="AM69" s="289"/>
      <c r="AN69" s="243"/>
      <c r="AO69" s="243"/>
      <c r="AP69" s="243"/>
      <c r="AQ69" s="243"/>
      <c r="AR69" s="243"/>
      <c r="AS69" s="243"/>
      <c r="AT69" s="243"/>
      <c r="AU69" s="243"/>
      <c r="AV69" s="243"/>
      <c r="AW69" s="243"/>
      <c r="AX69" s="243"/>
      <c r="AY69" s="243"/>
      <c r="AZ69" s="243"/>
      <c r="BA69" s="243"/>
      <c r="BB69" s="246"/>
      <c r="BC69" s="246"/>
      <c r="BD69" s="243"/>
      <c r="BE69" s="243"/>
      <c r="BF69" s="243"/>
      <c r="BG69" s="243"/>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row>
    <row r="70" spans="1:90">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9"/>
      <c r="AH70" s="289"/>
      <c r="AI70" s="289"/>
      <c r="AJ70" s="289"/>
      <c r="AK70" s="289"/>
      <c r="AL70" s="289"/>
      <c r="AM70" s="289"/>
      <c r="AN70" s="243"/>
      <c r="AO70" s="243"/>
      <c r="AP70" s="243"/>
      <c r="AQ70" s="243"/>
      <c r="AR70" s="243"/>
      <c r="AS70" s="243"/>
      <c r="AT70" s="243"/>
      <c r="AU70" s="243"/>
      <c r="AV70" s="243"/>
      <c r="AW70" s="243"/>
      <c r="AX70" s="243"/>
      <c r="AY70" s="243"/>
      <c r="AZ70" s="243"/>
      <c r="BA70" s="243"/>
      <c r="BB70" s="246"/>
      <c r="BC70" s="246"/>
      <c r="BD70" s="243"/>
      <c r="BE70" s="243"/>
      <c r="BF70" s="243"/>
      <c r="BG70" s="243"/>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row>
    <row r="71" spans="1:90">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9"/>
      <c r="AH71" s="289"/>
      <c r="AI71" s="289"/>
      <c r="AJ71" s="289"/>
      <c r="AK71" s="289"/>
      <c r="AL71" s="289"/>
      <c r="AM71" s="289"/>
      <c r="AN71" s="243"/>
      <c r="AO71" s="243"/>
      <c r="AP71" s="243"/>
      <c r="AQ71" s="243"/>
      <c r="AR71" s="243"/>
      <c r="AS71" s="243"/>
      <c r="AT71" s="243"/>
      <c r="AU71" s="243"/>
      <c r="AV71" s="243"/>
      <c r="AW71" s="243"/>
      <c r="AX71" s="243"/>
      <c r="AY71" s="243"/>
      <c r="AZ71" s="243"/>
      <c r="BA71" s="243"/>
      <c r="BB71" s="246"/>
      <c r="BC71" s="246"/>
      <c r="BD71" s="243"/>
      <c r="BE71" s="243"/>
      <c r="BF71" s="243"/>
      <c r="BG71" s="243"/>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row>
    <row r="72" spans="1:90">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9"/>
      <c r="AH72" s="289"/>
      <c r="AI72" s="289"/>
      <c r="AJ72" s="289"/>
      <c r="AK72" s="289"/>
      <c r="AL72" s="289"/>
      <c r="AM72" s="289"/>
      <c r="AN72" s="243"/>
      <c r="AO72" s="243"/>
      <c r="AP72" s="243"/>
      <c r="AQ72" s="243"/>
      <c r="AR72" s="243"/>
      <c r="AS72" s="243"/>
      <c r="AT72" s="243"/>
      <c r="AU72" s="243"/>
      <c r="AV72" s="243"/>
      <c r="AW72" s="243"/>
      <c r="AX72" s="243"/>
      <c r="AY72" s="243"/>
      <c r="AZ72" s="243"/>
      <c r="BA72" s="243"/>
      <c r="BB72" s="246"/>
      <c r="BC72" s="246"/>
      <c r="BD72" s="243"/>
      <c r="BE72" s="243"/>
      <c r="BF72" s="243"/>
      <c r="BG72" s="243"/>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row>
    <row r="73" spans="1:90">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9"/>
      <c r="AH73" s="289"/>
      <c r="AI73" s="289"/>
      <c r="AJ73" s="289"/>
      <c r="AK73" s="289"/>
      <c r="AL73" s="289"/>
      <c r="AM73" s="289"/>
      <c r="AN73" s="243"/>
      <c r="AO73" s="243"/>
      <c r="AP73" s="243"/>
      <c r="AQ73" s="243"/>
      <c r="AR73" s="243"/>
      <c r="AS73" s="243"/>
      <c r="AT73" s="243"/>
      <c r="AU73" s="243"/>
      <c r="AV73" s="243"/>
      <c r="AW73" s="243"/>
      <c r="AX73" s="243"/>
      <c r="AY73" s="243"/>
      <c r="AZ73" s="243"/>
      <c r="BA73" s="243"/>
      <c r="BB73" s="246"/>
      <c r="BC73" s="246"/>
      <c r="BD73" s="243"/>
      <c r="BE73" s="243"/>
      <c r="BF73" s="243"/>
      <c r="BG73" s="243"/>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row>
    <row r="74" spans="1:90">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9"/>
      <c r="AH74" s="289"/>
      <c r="AI74" s="289"/>
      <c r="AJ74" s="289"/>
      <c r="AK74" s="289"/>
      <c r="AL74" s="289"/>
      <c r="AM74" s="289"/>
      <c r="AN74" s="243"/>
      <c r="AO74" s="243"/>
      <c r="AP74" s="243"/>
      <c r="AQ74" s="243"/>
      <c r="AR74" s="243"/>
      <c r="AS74" s="243"/>
      <c r="AT74" s="243"/>
      <c r="AU74" s="243"/>
      <c r="AV74" s="243"/>
      <c r="AW74" s="243"/>
      <c r="AX74" s="243"/>
      <c r="AY74" s="243"/>
      <c r="AZ74" s="243"/>
      <c r="BA74" s="243"/>
      <c r="BB74" s="246"/>
      <c r="BC74" s="246"/>
      <c r="BD74" s="243"/>
      <c r="BE74" s="243"/>
      <c r="BF74" s="243"/>
      <c r="BG74" s="243"/>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row>
    <row r="75" spans="1:90">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9"/>
      <c r="AH75" s="289"/>
      <c r="AI75" s="289"/>
      <c r="AJ75" s="289"/>
      <c r="AK75" s="289"/>
      <c r="AL75" s="289"/>
      <c r="AM75" s="289"/>
      <c r="AN75" s="243"/>
      <c r="AO75" s="243"/>
      <c r="AP75" s="243"/>
      <c r="AQ75" s="243"/>
      <c r="AR75" s="243"/>
      <c r="AS75" s="243"/>
      <c r="AT75" s="243"/>
      <c r="AU75" s="243"/>
      <c r="AV75" s="243"/>
      <c r="AW75" s="243"/>
      <c r="AX75" s="243"/>
      <c r="AY75" s="243"/>
      <c r="AZ75" s="243"/>
      <c r="BA75" s="243"/>
      <c r="BB75" s="246"/>
      <c r="BC75" s="246"/>
      <c r="BD75" s="243"/>
      <c r="BE75" s="243"/>
      <c r="BF75" s="243"/>
      <c r="BG75" s="243"/>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row>
    <row r="76" spans="1:90">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9"/>
      <c r="AH76" s="289"/>
      <c r="AI76" s="289"/>
      <c r="AJ76" s="289"/>
      <c r="AK76" s="289"/>
      <c r="AL76" s="289"/>
      <c r="AM76" s="289"/>
      <c r="AN76" s="243"/>
      <c r="AO76" s="243"/>
      <c r="AP76" s="243"/>
      <c r="AQ76" s="243"/>
      <c r="AR76" s="243"/>
      <c r="AS76" s="243"/>
      <c r="AT76" s="243"/>
      <c r="AU76" s="243"/>
      <c r="AV76" s="243"/>
      <c r="AW76" s="243"/>
      <c r="AX76" s="243"/>
      <c r="AY76" s="243"/>
      <c r="AZ76" s="243"/>
      <c r="BA76" s="243"/>
      <c r="BB76" s="246"/>
      <c r="BC76" s="246"/>
      <c r="BD76" s="243"/>
      <c r="BE76" s="243"/>
      <c r="BF76" s="243"/>
      <c r="BG76" s="243"/>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row>
    <row r="77" spans="1:90">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9"/>
      <c r="AH77" s="289"/>
      <c r="AI77" s="289"/>
      <c r="AJ77" s="289"/>
      <c r="AK77" s="289"/>
      <c r="AL77" s="289"/>
      <c r="AM77" s="289"/>
      <c r="AN77" s="243"/>
      <c r="AO77" s="243"/>
      <c r="AP77" s="243"/>
      <c r="AQ77" s="243"/>
      <c r="AR77" s="243"/>
      <c r="AS77" s="243"/>
      <c r="AT77" s="243"/>
      <c r="AU77" s="243"/>
      <c r="AV77" s="243"/>
      <c r="AW77" s="243"/>
      <c r="AX77" s="243"/>
      <c r="AY77" s="243"/>
      <c r="AZ77" s="243"/>
      <c r="BA77" s="243"/>
      <c r="BB77" s="246"/>
      <c r="BC77" s="246"/>
      <c r="BD77" s="243"/>
      <c r="BE77" s="243"/>
      <c r="BF77" s="243"/>
      <c r="BG77" s="243"/>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row>
    <row r="78" spans="1:90">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9"/>
      <c r="AH78" s="289"/>
      <c r="AI78" s="289"/>
      <c r="AJ78" s="289"/>
      <c r="AK78" s="289"/>
      <c r="AL78" s="289"/>
      <c r="AM78" s="289"/>
      <c r="AN78" s="243"/>
      <c r="AO78" s="243"/>
      <c r="AP78" s="243"/>
      <c r="AQ78" s="243"/>
      <c r="AR78" s="243"/>
      <c r="AS78" s="243"/>
      <c r="AT78" s="243"/>
      <c r="AU78" s="243"/>
      <c r="AV78" s="243"/>
      <c r="AW78" s="243"/>
      <c r="AX78" s="243"/>
      <c r="AY78" s="243"/>
      <c r="AZ78" s="243"/>
      <c r="BA78" s="243"/>
      <c r="BB78" s="246"/>
      <c r="BC78" s="246"/>
      <c r="BD78" s="243"/>
      <c r="BE78" s="243"/>
      <c r="BF78" s="243"/>
      <c r="BG78" s="243"/>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row>
    <row r="79" spans="1:90">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9"/>
      <c r="AH79" s="289"/>
      <c r="AI79" s="289"/>
      <c r="AJ79" s="289"/>
      <c r="AK79" s="289"/>
      <c r="AL79" s="289"/>
      <c r="AM79" s="289"/>
      <c r="AN79" s="243"/>
      <c r="AO79" s="243"/>
      <c r="AP79" s="243"/>
      <c r="AQ79" s="243"/>
      <c r="AR79" s="243"/>
      <c r="AS79" s="243"/>
      <c r="AT79" s="243"/>
      <c r="AU79" s="243"/>
      <c r="AV79" s="243"/>
      <c r="AW79" s="243"/>
      <c r="AX79" s="243"/>
      <c r="AY79" s="243"/>
      <c r="AZ79" s="243"/>
      <c r="BA79" s="243"/>
      <c r="BB79" s="246"/>
      <c r="BC79" s="246"/>
      <c r="BD79" s="243"/>
      <c r="BE79" s="243"/>
      <c r="BF79" s="243"/>
      <c r="BG79" s="243"/>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row>
    <row r="80" spans="1:90">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9"/>
      <c r="AH80" s="289"/>
      <c r="AI80" s="289"/>
      <c r="AJ80" s="289"/>
      <c r="AK80" s="289"/>
      <c r="AL80" s="289"/>
      <c r="AM80" s="289"/>
      <c r="AN80" s="243"/>
      <c r="AO80" s="243"/>
      <c r="AP80" s="243"/>
      <c r="AQ80" s="243"/>
      <c r="AR80" s="243"/>
      <c r="AS80" s="243"/>
      <c r="AT80" s="243"/>
      <c r="AU80" s="243"/>
      <c r="AV80" s="243"/>
      <c r="AW80" s="243"/>
      <c r="AX80" s="243"/>
      <c r="AY80" s="243"/>
      <c r="AZ80" s="243"/>
      <c r="BA80" s="243"/>
      <c r="BB80" s="246"/>
      <c r="BC80" s="246"/>
      <c r="BD80" s="243"/>
      <c r="BE80" s="243"/>
      <c r="BF80" s="243"/>
      <c r="BG80" s="243"/>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row>
    <row r="81" spans="1:90">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9"/>
      <c r="AH81" s="289"/>
      <c r="AI81" s="289"/>
      <c r="AJ81" s="289"/>
      <c r="AK81" s="289"/>
      <c r="AL81" s="289"/>
      <c r="AM81" s="289"/>
      <c r="AN81" s="243"/>
      <c r="AO81" s="243"/>
      <c r="AP81" s="243"/>
      <c r="AQ81" s="243"/>
      <c r="AR81" s="243"/>
      <c r="AS81" s="243"/>
      <c r="AT81" s="243"/>
      <c r="AU81" s="243"/>
      <c r="AV81" s="243"/>
      <c r="AW81" s="243"/>
      <c r="AX81" s="243"/>
      <c r="AY81" s="243"/>
      <c r="AZ81" s="243"/>
      <c r="BA81" s="243"/>
      <c r="BB81" s="246"/>
      <c r="BC81" s="246"/>
      <c r="BD81" s="243"/>
      <c r="BE81" s="243"/>
      <c r="BF81" s="243"/>
      <c r="BG81" s="243"/>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row>
    <row r="82" spans="1:90">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9"/>
      <c r="AH82" s="289"/>
      <c r="AI82" s="289"/>
      <c r="AJ82" s="289"/>
      <c r="AK82" s="289"/>
      <c r="AL82" s="289"/>
      <c r="AM82" s="289"/>
      <c r="AN82" s="243"/>
      <c r="AO82" s="243"/>
      <c r="AP82" s="243"/>
      <c r="AQ82" s="243"/>
      <c r="AR82" s="243"/>
      <c r="AS82" s="243"/>
      <c r="AT82" s="243"/>
      <c r="AU82" s="243"/>
      <c r="AV82" s="243"/>
      <c r="AW82" s="243"/>
      <c r="AX82" s="243"/>
      <c r="AY82" s="243"/>
      <c r="AZ82" s="243"/>
      <c r="BA82" s="243"/>
      <c r="BB82" s="246"/>
      <c r="BC82" s="246"/>
      <c r="BD82" s="243"/>
      <c r="BE82" s="243"/>
      <c r="BF82" s="243"/>
      <c r="BG82" s="243"/>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row>
    <row r="83" spans="1:90">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9"/>
      <c r="AH83" s="289"/>
      <c r="AI83" s="289"/>
      <c r="AJ83" s="289"/>
      <c r="AK83" s="289"/>
      <c r="AL83" s="289"/>
      <c r="AM83" s="289"/>
      <c r="AN83" s="243"/>
      <c r="AO83" s="243"/>
      <c r="AP83" s="243"/>
      <c r="AQ83" s="243"/>
      <c r="AR83" s="243"/>
      <c r="AS83" s="243"/>
      <c r="AT83" s="243"/>
      <c r="AU83" s="243"/>
      <c r="AV83" s="243"/>
      <c r="AW83" s="243"/>
      <c r="AX83" s="243"/>
      <c r="AY83" s="243"/>
      <c r="AZ83" s="243"/>
      <c r="BA83" s="243"/>
      <c r="BB83" s="246"/>
      <c r="BC83" s="246"/>
      <c r="BD83" s="243"/>
      <c r="BE83" s="243"/>
      <c r="BF83" s="243"/>
      <c r="BG83" s="243"/>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row>
    <row r="84" spans="1:90">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9"/>
      <c r="AH84" s="289"/>
      <c r="AI84" s="289"/>
      <c r="AJ84" s="289"/>
      <c r="AK84" s="289"/>
      <c r="AL84" s="289"/>
      <c r="AM84" s="289"/>
      <c r="AN84" s="243"/>
      <c r="AO84" s="243"/>
      <c r="AP84" s="243"/>
      <c r="AQ84" s="243"/>
      <c r="AR84" s="243"/>
      <c r="AS84" s="243"/>
      <c r="AT84" s="243"/>
      <c r="AU84" s="243"/>
      <c r="AV84" s="243"/>
      <c r="AW84" s="243"/>
      <c r="AX84" s="243"/>
      <c r="AY84" s="243"/>
      <c r="AZ84" s="243"/>
      <c r="BA84" s="243"/>
      <c r="BB84" s="246"/>
      <c r="BC84" s="246"/>
      <c r="BD84" s="243"/>
      <c r="BE84" s="243"/>
      <c r="BF84" s="243"/>
      <c r="BG84" s="243"/>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row>
    <row r="85" spans="1:90">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9"/>
      <c r="AH85" s="289"/>
      <c r="AI85" s="289"/>
      <c r="AJ85" s="289"/>
      <c r="AK85" s="289"/>
      <c r="AL85" s="289"/>
      <c r="AM85" s="289"/>
      <c r="AN85" s="243"/>
      <c r="AO85" s="243"/>
      <c r="AP85" s="243"/>
      <c r="AQ85" s="243"/>
      <c r="AR85" s="243"/>
      <c r="AS85" s="243"/>
      <c r="AT85" s="243"/>
      <c r="AU85" s="243"/>
      <c r="AV85" s="243"/>
      <c r="AW85" s="243"/>
      <c r="AX85" s="243"/>
      <c r="AY85" s="243"/>
      <c r="AZ85" s="243"/>
      <c r="BA85" s="243"/>
      <c r="BB85" s="246"/>
      <c r="BC85" s="246"/>
      <c r="BD85" s="243"/>
      <c r="BE85" s="243"/>
      <c r="BF85" s="243"/>
      <c r="BG85" s="243"/>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row>
    <row r="86" spans="1:90">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9"/>
      <c r="AH86" s="289"/>
      <c r="AI86" s="289"/>
      <c r="AJ86" s="289"/>
      <c r="AK86" s="289"/>
      <c r="AL86" s="289"/>
      <c r="AM86" s="289"/>
      <c r="AN86" s="243"/>
      <c r="AO86" s="243"/>
      <c r="AP86" s="243"/>
      <c r="AQ86" s="243"/>
      <c r="AR86" s="243"/>
      <c r="AS86" s="243"/>
      <c r="AT86" s="243"/>
      <c r="AU86" s="243"/>
      <c r="AV86" s="243"/>
      <c r="AW86" s="243"/>
      <c r="AX86" s="243"/>
      <c r="AY86" s="243"/>
      <c r="AZ86" s="243"/>
      <c r="BA86" s="243"/>
      <c r="BB86" s="246"/>
      <c r="BC86" s="246"/>
      <c r="BD86" s="243"/>
      <c r="BE86" s="243"/>
      <c r="BF86" s="243"/>
      <c r="BG86" s="243"/>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row>
    <row r="87" spans="1:90">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9"/>
      <c r="AH87" s="289"/>
      <c r="AI87" s="289"/>
      <c r="AJ87" s="289"/>
      <c r="AK87" s="289"/>
      <c r="AL87" s="289"/>
      <c r="AM87" s="289"/>
      <c r="AN87" s="243"/>
      <c r="AO87" s="243"/>
      <c r="AP87" s="243"/>
      <c r="AQ87" s="243"/>
      <c r="AR87" s="243"/>
      <c r="AS87" s="243"/>
      <c r="AT87" s="243"/>
      <c r="AU87" s="243"/>
      <c r="AV87" s="243"/>
      <c r="AW87" s="243"/>
      <c r="AX87" s="243"/>
      <c r="AY87" s="243"/>
      <c r="AZ87" s="243"/>
      <c r="BA87" s="243"/>
      <c r="BB87" s="246"/>
      <c r="BC87" s="246"/>
      <c r="BD87" s="243"/>
      <c r="BE87" s="243"/>
      <c r="BF87" s="243"/>
      <c r="BG87" s="243"/>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row>
    <row r="88" spans="1:90">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9"/>
      <c r="AH88" s="289"/>
      <c r="AI88" s="289"/>
      <c r="AJ88" s="289"/>
      <c r="AK88" s="289"/>
      <c r="AL88" s="289"/>
      <c r="AM88" s="289"/>
      <c r="AN88" s="243"/>
      <c r="AO88" s="243"/>
      <c r="AP88" s="243"/>
      <c r="AQ88" s="243"/>
      <c r="AR88" s="243"/>
      <c r="AS88" s="243"/>
      <c r="AT88" s="243"/>
      <c r="AU88" s="243"/>
      <c r="AV88" s="243"/>
      <c r="AW88" s="243"/>
      <c r="AX88" s="243"/>
      <c r="AY88" s="243"/>
      <c r="AZ88" s="243"/>
      <c r="BA88" s="243"/>
      <c r="BB88" s="246"/>
      <c r="BC88" s="246"/>
      <c r="BD88" s="243"/>
      <c r="BE88" s="243"/>
      <c r="BF88" s="243"/>
      <c r="BG88" s="243"/>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row>
    <row r="89" spans="1:90">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9"/>
      <c r="AH89" s="289"/>
      <c r="AI89" s="289"/>
      <c r="AJ89" s="289"/>
      <c r="AK89" s="289"/>
      <c r="AL89" s="289"/>
      <c r="AM89" s="289"/>
      <c r="AN89" s="243"/>
      <c r="AO89" s="243"/>
      <c r="AP89" s="243"/>
      <c r="AQ89" s="243"/>
      <c r="AR89" s="243"/>
      <c r="AS89" s="243"/>
      <c r="AT89" s="243"/>
      <c r="AU89" s="243"/>
      <c r="AV89" s="243"/>
      <c r="AW89" s="243"/>
      <c r="AX89" s="243"/>
      <c r="AY89" s="243"/>
      <c r="AZ89" s="243"/>
      <c r="BA89" s="243"/>
      <c r="BB89" s="246"/>
      <c r="BC89" s="246"/>
      <c r="BD89" s="243"/>
      <c r="BE89" s="243"/>
      <c r="BF89" s="243"/>
      <c r="BG89" s="243"/>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row>
    <row r="90" spans="1:90">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9"/>
      <c r="AH90" s="289"/>
      <c r="AI90" s="289"/>
      <c r="AJ90" s="289"/>
      <c r="AK90" s="289"/>
      <c r="AL90" s="289"/>
      <c r="AM90" s="289"/>
      <c r="AN90" s="243"/>
      <c r="AO90" s="243"/>
      <c r="AP90" s="243"/>
      <c r="AQ90" s="243"/>
      <c r="AR90" s="243"/>
      <c r="AS90" s="243"/>
      <c r="AT90" s="243"/>
      <c r="AU90" s="243"/>
      <c r="AV90" s="243"/>
      <c r="AW90" s="243"/>
      <c r="AX90" s="243"/>
      <c r="AY90" s="243"/>
      <c r="AZ90" s="243"/>
      <c r="BA90" s="243"/>
      <c r="BB90" s="246"/>
      <c r="BC90" s="246"/>
      <c r="BD90" s="243"/>
      <c r="BE90" s="243"/>
      <c r="BF90" s="243"/>
      <c r="BG90" s="243"/>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row>
    <row r="91" spans="1:90">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9"/>
      <c r="AH91" s="289"/>
      <c r="AI91" s="289"/>
      <c r="AJ91" s="289"/>
      <c r="AK91" s="289"/>
      <c r="AL91" s="289"/>
      <c r="AM91" s="289"/>
      <c r="AN91" s="243"/>
      <c r="AO91" s="243"/>
      <c r="AP91" s="243"/>
      <c r="AQ91" s="243"/>
      <c r="AR91" s="243"/>
      <c r="AS91" s="243"/>
      <c r="AT91" s="243"/>
      <c r="AU91" s="243"/>
      <c r="AV91" s="243"/>
      <c r="AW91" s="243"/>
      <c r="AX91" s="243"/>
      <c r="AY91" s="243"/>
      <c r="AZ91" s="243"/>
      <c r="BA91" s="243"/>
      <c r="BB91" s="246"/>
      <c r="BC91" s="246"/>
      <c r="BD91" s="243"/>
      <c r="BE91" s="243"/>
      <c r="BF91" s="243"/>
      <c r="BG91" s="243"/>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row>
    <row r="92" spans="1:90">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9"/>
      <c r="AH92" s="289"/>
      <c r="AI92" s="289"/>
      <c r="AJ92" s="289"/>
      <c r="AK92" s="289"/>
      <c r="AL92" s="289"/>
      <c r="AM92" s="289"/>
      <c r="AN92" s="243"/>
      <c r="AO92" s="243"/>
      <c r="AP92" s="243"/>
      <c r="AQ92" s="243"/>
      <c r="AR92" s="243"/>
      <c r="AS92" s="243"/>
      <c r="AT92" s="243"/>
      <c r="AU92" s="243"/>
      <c r="AV92" s="243"/>
      <c r="AW92" s="243"/>
      <c r="AX92" s="243"/>
      <c r="AY92" s="243"/>
      <c r="AZ92" s="243"/>
      <c r="BA92" s="243"/>
      <c r="BB92" s="246"/>
      <c r="BC92" s="246"/>
      <c r="BD92" s="243"/>
      <c r="BE92" s="243"/>
      <c r="BF92" s="243"/>
      <c r="BG92" s="243"/>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row>
    <row r="93" spans="1:90">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9"/>
      <c r="AH93" s="289"/>
      <c r="AI93" s="289"/>
      <c r="AJ93" s="289"/>
      <c r="AK93" s="289"/>
      <c r="AL93" s="289"/>
      <c r="AM93" s="289"/>
      <c r="AN93" s="243"/>
      <c r="AO93" s="243"/>
      <c r="AP93" s="243"/>
      <c r="AQ93" s="243"/>
      <c r="AR93" s="243"/>
      <c r="AS93" s="243"/>
      <c r="AT93" s="243"/>
      <c r="AU93" s="243"/>
      <c r="AV93" s="243"/>
      <c r="AW93" s="243"/>
      <c r="AX93" s="243"/>
      <c r="AY93" s="243"/>
      <c r="AZ93" s="243"/>
      <c r="BA93" s="243"/>
      <c r="BB93" s="246"/>
      <c r="BC93" s="246"/>
      <c r="BD93" s="243"/>
      <c r="BE93" s="243"/>
      <c r="BF93" s="243"/>
      <c r="BG93" s="243"/>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row>
    <row r="94" spans="1:90">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9"/>
      <c r="AH94" s="289"/>
      <c r="AI94" s="289"/>
      <c r="AJ94" s="289"/>
      <c r="AK94" s="289"/>
      <c r="AL94" s="289"/>
      <c r="AM94" s="289"/>
      <c r="AN94" s="243"/>
      <c r="AO94" s="243"/>
      <c r="AP94" s="243"/>
      <c r="AQ94" s="243"/>
      <c r="AR94" s="243"/>
      <c r="AS94" s="243"/>
      <c r="AT94" s="243"/>
      <c r="AU94" s="243"/>
      <c r="AV94" s="243"/>
      <c r="AW94" s="243"/>
      <c r="AX94" s="243"/>
      <c r="AY94" s="243"/>
      <c r="AZ94" s="243"/>
      <c r="BA94" s="243"/>
      <c r="BB94" s="246"/>
      <c r="BC94" s="246"/>
      <c r="BD94" s="243"/>
      <c r="BE94" s="243"/>
      <c r="BF94" s="243"/>
      <c r="BG94" s="243"/>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row>
    <row r="95" spans="1:90">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9"/>
      <c r="AH95" s="289"/>
      <c r="AI95" s="289"/>
      <c r="AJ95" s="289"/>
      <c r="AK95" s="289"/>
      <c r="AL95" s="289"/>
      <c r="AM95" s="289"/>
      <c r="AN95" s="243"/>
      <c r="AO95" s="243"/>
      <c r="AP95" s="243"/>
      <c r="AQ95" s="243"/>
      <c r="AR95" s="243"/>
      <c r="AS95" s="243"/>
      <c r="AT95" s="243"/>
      <c r="AU95" s="243"/>
      <c r="AV95" s="243"/>
      <c r="AW95" s="243"/>
      <c r="AX95" s="243"/>
      <c r="AY95" s="243"/>
      <c r="AZ95" s="243"/>
      <c r="BA95" s="243"/>
      <c r="BB95" s="246"/>
      <c r="BC95" s="246"/>
      <c r="BD95" s="243"/>
      <c r="BE95" s="243"/>
      <c r="BF95" s="243"/>
      <c r="BG95" s="243"/>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row>
    <row r="96" spans="1:90">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9"/>
      <c r="AH96" s="289"/>
      <c r="AI96" s="289"/>
      <c r="AJ96" s="289"/>
      <c r="AK96" s="289"/>
      <c r="AL96" s="289"/>
      <c r="AM96" s="289"/>
      <c r="AN96" s="243"/>
      <c r="AO96" s="243"/>
      <c r="AP96" s="243"/>
      <c r="AQ96" s="243"/>
      <c r="AR96" s="243"/>
      <c r="AS96" s="243"/>
      <c r="AT96" s="243"/>
      <c r="AU96" s="243"/>
      <c r="AV96" s="243"/>
      <c r="AW96" s="243"/>
      <c r="AX96" s="243"/>
      <c r="AY96" s="243"/>
      <c r="AZ96" s="243"/>
      <c r="BA96" s="243"/>
      <c r="BB96" s="246"/>
      <c r="BC96" s="246"/>
      <c r="BD96" s="243"/>
      <c r="BE96" s="243"/>
      <c r="BF96" s="243"/>
      <c r="BG96" s="243"/>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row>
    <row r="97" spans="1:90">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9"/>
      <c r="AH97" s="289"/>
      <c r="AI97" s="289"/>
      <c r="AJ97" s="289"/>
      <c r="AK97" s="289"/>
      <c r="AL97" s="289"/>
      <c r="AM97" s="289"/>
      <c r="AN97" s="243"/>
      <c r="AO97" s="243"/>
      <c r="AP97" s="243"/>
      <c r="AQ97" s="243"/>
      <c r="AR97" s="243"/>
      <c r="AS97" s="243"/>
      <c r="AT97" s="243"/>
      <c r="AU97" s="243"/>
      <c r="AV97" s="243"/>
      <c r="AW97" s="243"/>
      <c r="AX97" s="243"/>
      <c r="AY97" s="243"/>
      <c r="AZ97" s="243"/>
      <c r="BA97" s="243"/>
      <c r="BB97" s="246"/>
      <c r="BC97" s="246"/>
      <c r="BD97" s="243"/>
      <c r="BE97" s="243"/>
      <c r="BF97" s="243"/>
      <c r="BG97" s="243"/>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row>
    <row r="98" spans="1:90">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9"/>
      <c r="AH98" s="289"/>
      <c r="AI98" s="289"/>
      <c r="AJ98" s="289"/>
      <c r="AK98" s="289"/>
      <c r="AL98" s="289"/>
      <c r="AM98" s="289"/>
      <c r="AN98" s="243"/>
      <c r="AO98" s="243"/>
      <c r="AP98" s="243"/>
      <c r="AQ98" s="243"/>
      <c r="AR98" s="243"/>
      <c r="AS98" s="243"/>
      <c r="AT98" s="243"/>
      <c r="AU98" s="243"/>
      <c r="AV98" s="243"/>
      <c r="AW98" s="243"/>
      <c r="AX98" s="243"/>
      <c r="AY98" s="243"/>
      <c r="AZ98" s="243"/>
      <c r="BA98" s="243"/>
      <c r="BB98" s="246"/>
      <c r="BC98" s="246"/>
      <c r="BD98" s="243"/>
      <c r="BE98" s="243"/>
      <c r="BF98" s="243"/>
      <c r="BG98" s="243"/>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row>
    <row r="99" spans="1:90">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9"/>
      <c r="AH99" s="289"/>
      <c r="AI99" s="289"/>
      <c r="AJ99" s="289"/>
      <c r="AK99" s="289"/>
      <c r="AL99" s="289"/>
      <c r="AM99" s="289"/>
      <c r="AN99" s="243"/>
      <c r="AO99" s="243"/>
      <c r="AP99" s="243"/>
      <c r="AQ99" s="243"/>
      <c r="AR99" s="243"/>
      <c r="AS99" s="243"/>
      <c r="AT99" s="243"/>
      <c r="AU99" s="243"/>
      <c r="AV99" s="243"/>
      <c r="AW99" s="243"/>
      <c r="AX99" s="243"/>
      <c r="AY99" s="243"/>
      <c r="AZ99" s="243"/>
      <c r="BA99" s="243"/>
      <c r="BB99" s="246"/>
      <c r="BC99" s="246"/>
      <c r="BD99" s="243"/>
      <c r="BE99" s="243"/>
      <c r="BF99" s="243"/>
      <c r="BG99" s="243"/>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row>
    <row r="100" spans="1:90">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9"/>
      <c r="AH100" s="289"/>
      <c r="AI100" s="289"/>
      <c r="AJ100" s="289"/>
      <c r="AK100" s="289"/>
      <c r="AL100" s="289"/>
      <c r="AM100" s="289"/>
      <c r="AN100" s="243"/>
      <c r="AO100" s="243"/>
      <c r="AP100" s="243"/>
      <c r="AQ100" s="243"/>
      <c r="AR100" s="243"/>
      <c r="AS100" s="243"/>
      <c r="AT100" s="243"/>
      <c r="AU100" s="243"/>
      <c r="AV100" s="243"/>
      <c r="AW100" s="243"/>
      <c r="AX100" s="243"/>
      <c r="AY100" s="243"/>
      <c r="AZ100" s="243"/>
      <c r="BA100" s="243"/>
      <c r="BB100" s="246"/>
      <c r="BC100" s="246"/>
      <c r="BD100" s="243"/>
      <c r="BE100" s="243"/>
      <c r="BF100" s="243"/>
      <c r="BG100" s="243"/>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row>
    <row r="101" spans="1:90">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9"/>
      <c r="AH101" s="289"/>
      <c r="AI101" s="289"/>
      <c r="AJ101" s="289"/>
      <c r="AK101" s="289"/>
      <c r="AL101" s="289"/>
      <c r="AM101" s="289"/>
      <c r="AN101" s="243"/>
      <c r="AO101" s="243"/>
      <c r="AP101" s="243"/>
      <c r="AQ101" s="243"/>
      <c r="AR101" s="243"/>
      <c r="AS101" s="243"/>
      <c r="AT101" s="243"/>
      <c r="AU101" s="243"/>
      <c r="AV101" s="243"/>
      <c r="AW101" s="243"/>
      <c r="AX101" s="243"/>
      <c r="AY101" s="243"/>
      <c r="AZ101" s="243"/>
      <c r="BA101" s="243"/>
      <c r="BB101" s="246"/>
      <c r="BC101" s="246"/>
      <c r="BD101" s="243"/>
      <c r="BE101" s="243"/>
      <c r="BF101" s="243"/>
      <c r="BG101" s="243"/>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row>
    <row r="102" spans="1:90">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9"/>
      <c r="AH102" s="289"/>
      <c r="AI102" s="289"/>
      <c r="AJ102" s="289"/>
      <c r="AK102" s="289"/>
      <c r="AL102" s="289"/>
      <c r="AM102" s="289"/>
      <c r="AN102" s="243"/>
      <c r="AO102" s="243"/>
      <c r="AP102" s="243"/>
      <c r="AQ102" s="243"/>
      <c r="AR102" s="243"/>
      <c r="AS102" s="243"/>
      <c r="AT102" s="243"/>
      <c r="AU102" s="243"/>
      <c r="AV102" s="243"/>
      <c r="AW102" s="243"/>
      <c r="AX102" s="243"/>
      <c r="AY102" s="243"/>
      <c r="AZ102" s="243"/>
      <c r="BA102" s="243"/>
      <c r="BB102" s="246"/>
      <c r="BC102" s="246"/>
      <c r="BD102" s="243"/>
      <c r="BE102" s="243"/>
      <c r="BF102" s="243"/>
      <c r="BG102" s="243"/>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row>
  </sheetData>
  <sheetProtection algorithmName="SHA-512" hashValue="JFbE77OWAPq8YjjEgbRZjv7dUNT3P7qpk7N+AueJ9s/8m8CrSAdCas3+WFDHRqI9dMBX/GI9w8SdSXnk6lrOKw==" saltValue="5PA4E9DEDgbNscFOwcV7FQ==" spinCount="100000" sheet="1" objects="1" scenarios="1" selectLockedCells="1" selectUnlockedCells="1"/>
  <mergeCells count="171">
    <mergeCell ref="A1:AG4"/>
    <mergeCell ref="A5:G5"/>
    <mergeCell ref="U5:X5"/>
    <mergeCell ref="Y5:AG5"/>
    <mergeCell ref="A6:G6"/>
    <mergeCell ref="U6:X6"/>
    <mergeCell ref="Y6:AG6"/>
    <mergeCell ref="A7:G7"/>
    <mergeCell ref="U7:X7"/>
    <mergeCell ref="A8:G9"/>
    <mergeCell ref="H8:AG9"/>
    <mergeCell ref="A10:H10"/>
    <mergeCell ref="I10:T10"/>
    <mergeCell ref="U10:X10"/>
    <mergeCell ref="Y10:AA10"/>
    <mergeCell ref="AB10:AD10"/>
    <mergeCell ref="AE10:AG10"/>
    <mergeCell ref="S14:AF18"/>
    <mergeCell ref="F15:I16"/>
    <mergeCell ref="J15:M16"/>
    <mergeCell ref="N15:Q16"/>
    <mergeCell ref="A17:E17"/>
    <mergeCell ref="F17:G17"/>
    <mergeCell ref="H17:I17"/>
    <mergeCell ref="J17:M17"/>
    <mergeCell ref="A11:AG12"/>
    <mergeCell ref="R13:S13"/>
    <mergeCell ref="T13:V13"/>
    <mergeCell ref="W13:X13"/>
    <mergeCell ref="Y13:Z13"/>
    <mergeCell ref="AA13:AC13"/>
    <mergeCell ref="AD13:AE13"/>
    <mergeCell ref="N17:O17"/>
    <mergeCell ref="P17:Q17"/>
    <mergeCell ref="F18:G18"/>
    <mergeCell ref="H18:I18"/>
    <mergeCell ref="J18:K18"/>
    <mergeCell ref="L18:M18"/>
    <mergeCell ref="N18:O18"/>
    <mergeCell ref="P18:Q18"/>
    <mergeCell ref="A14:E14"/>
    <mergeCell ref="F14:Q14"/>
    <mergeCell ref="F21:G21"/>
    <mergeCell ref="H21:I21"/>
    <mergeCell ref="J21:K21"/>
    <mergeCell ref="L21:M21"/>
    <mergeCell ref="N21:O21"/>
    <mergeCell ref="P21:Q21"/>
    <mergeCell ref="R19:S19"/>
    <mergeCell ref="F20:G20"/>
    <mergeCell ref="H20:I20"/>
    <mergeCell ref="J20:K20"/>
    <mergeCell ref="L20:M20"/>
    <mergeCell ref="N20:O20"/>
    <mergeCell ref="P20:Q20"/>
    <mergeCell ref="F19:G19"/>
    <mergeCell ref="H19:I19"/>
    <mergeCell ref="J19:K19"/>
    <mergeCell ref="L19:M19"/>
    <mergeCell ref="N19:O19"/>
    <mergeCell ref="P19:Q19"/>
    <mergeCell ref="F23:G23"/>
    <mergeCell ref="H23:I23"/>
    <mergeCell ref="J23:K23"/>
    <mergeCell ref="L23:M23"/>
    <mergeCell ref="N23:O23"/>
    <mergeCell ref="P23:Q23"/>
    <mergeCell ref="F22:G22"/>
    <mergeCell ref="H22:I22"/>
    <mergeCell ref="J22:K22"/>
    <mergeCell ref="L22:M22"/>
    <mergeCell ref="N22:O22"/>
    <mergeCell ref="P22:Q22"/>
    <mergeCell ref="F25:G25"/>
    <mergeCell ref="H25:I25"/>
    <mergeCell ref="J25:K25"/>
    <mergeCell ref="L25:M25"/>
    <mergeCell ref="N25:O25"/>
    <mergeCell ref="P25:Q25"/>
    <mergeCell ref="F24:G24"/>
    <mergeCell ref="H24:I24"/>
    <mergeCell ref="J24:K24"/>
    <mergeCell ref="L24:M24"/>
    <mergeCell ref="N24:O24"/>
    <mergeCell ref="P24:Q24"/>
    <mergeCell ref="F27:G27"/>
    <mergeCell ref="H27:I27"/>
    <mergeCell ref="J27:K27"/>
    <mergeCell ref="L27:M27"/>
    <mergeCell ref="N27:O27"/>
    <mergeCell ref="P27:Q27"/>
    <mergeCell ref="F26:G26"/>
    <mergeCell ref="H26:I26"/>
    <mergeCell ref="J26:K26"/>
    <mergeCell ref="L26:M26"/>
    <mergeCell ref="N26:O26"/>
    <mergeCell ref="P26:Q26"/>
    <mergeCell ref="T28:AE36"/>
    <mergeCell ref="F29:G29"/>
    <mergeCell ref="H29:I29"/>
    <mergeCell ref="J29:K29"/>
    <mergeCell ref="L29:M29"/>
    <mergeCell ref="N29:O29"/>
    <mergeCell ref="P29:Q29"/>
    <mergeCell ref="F30:G30"/>
    <mergeCell ref="H30:I30"/>
    <mergeCell ref="J30:K30"/>
    <mergeCell ref="F28:G28"/>
    <mergeCell ref="H28:I28"/>
    <mergeCell ref="J28:K28"/>
    <mergeCell ref="L28:M28"/>
    <mergeCell ref="N28:O28"/>
    <mergeCell ref="P28:Q28"/>
    <mergeCell ref="L30:M30"/>
    <mergeCell ref="N30:O30"/>
    <mergeCell ref="P30:Q30"/>
    <mergeCell ref="F31:G31"/>
    <mergeCell ref="H31:I31"/>
    <mergeCell ref="J31:K31"/>
    <mergeCell ref="L31:M31"/>
    <mergeCell ref="N31:O31"/>
    <mergeCell ref="P31:Q31"/>
    <mergeCell ref="F33:G33"/>
    <mergeCell ref="H33:I33"/>
    <mergeCell ref="J33:K33"/>
    <mergeCell ref="L33:M33"/>
    <mergeCell ref="N33:O33"/>
    <mergeCell ref="P33:Q33"/>
    <mergeCell ref="F32:G32"/>
    <mergeCell ref="H32:I32"/>
    <mergeCell ref="J32:K32"/>
    <mergeCell ref="L32:M32"/>
    <mergeCell ref="N32:O32"/>
    <mergeCell ref="P32:Q32"/>
    <mergeCell ref="F35:G35"/>
    <mergeCell ref="H35:I35"/>
    <mergeCell ref="J35:K35"/>
    <mergeCell ref="L35:M35"/>
    <mergeCell ref="N35:O35"/>
    <mergeCell ref="P35:Q35"/>
    <mergeCell ref="F34:G34"/>
    <mergeCell ref="H34:I34"/>
    <mergeCell ref="J34:K34"/>
    <mergeCell ref="L34:M34"/>
    <mergeCell ref="N34:O34"/>
    <mergeCell ref="P34:Q34"/>
    <mergeCell ref="F37:G37"/>
    <mergeCell ref="H37:I37"/>
    <mergeCell ref="J37:K37"/>
    <mergeCell ref="L37:M37"/>
    <mergeCell ref="N37:O37"/>
    <mergeCell ref="P37:Q37"/>
    <mergeCell ref="F36:G36"/>
    <mergeCell ref="H36:I36"/>
    <mergeCell ref="J36:K36"/>
    <mergeCell ref="L36:M36"/>
    <mergeCell ref="N36:O36"/>
    <mergeCell ref="P36:Q36"/>
    <mergeCell ref="P39:Q39"/>
    <mergeCell ref="A39:E39"/>
    <mergeCell ref="F39:G39"/>
    <mergeCell ref="H39:I39"/>
    <mergeCell ref="J39:K39"/>
    <mergeCell ref="L39:M39"/>
    <mergeCell ref="N39:O39"/>
    <mergeCell ref="F38:G38"/>
    <mergeCell ref="H38:I38"/>
    <mergeCell ref="J38:K38"/>
    <mergeCell ref="L38:M38"/>
    <mergeCell ref="N38:O38"/>
    <mergeCell ref="P38:Q38"/>
  </mergeCells>
  <conditionalFormatting sqref="F39:M39 P39:Y39">
    <cfRule type="expression" dxfId="38" priority="11" stopIfTrue="1">
      <formula>F39=0</formula>
    </cfRule>
  </conditionalFormatting>
  <conditionalFormatting sqref="O54">
    <cfRule type="expression" dxfId="37" priority="8">
      <formula>O54=0</formula>
    </cfRule>
  </conditionalFormatting>
  <conditionalFormatting sqref="R18:R19 H18:Q38">
    <cfRule type="expression" dxfId="36" priority="9">
      <formula>H18=0</formula>
    </cfRule>
  </conditionalFormatting>
  <conditionalFormatting sqref="R24:AG27 R28:T28 AF28:AG36 R29:S36 R37:AG38">
    <cfRule type="expression" dxfId="35" priority="5">
      <formula>R24=0</formula>
    </cfRule>
  </conditionalFormatting>
  <conditionalFormatting sqref="U22:U23">
    <cfRule type="expression" dxfId="34" priority="2">
      <formula>(U22&lt;&gt;0)</formula>
    </cfRule>
    <cfRule type="expression" dxfId="33" priority="3">
      <formula>(U22=0)</formula>
    </cfRule>
  </conditionalFormatting>
  <conditionalFormatting sqref="V20:V21">
    <cfRule type="expression" dxfId="32" priority="6">
      <formula>(V20&lt;&gt;0)</formula>
    </cfRule>
    <cfRule type="expression" dxfId="31" priority="7">
      <formula>(V20=0)</formula>
    </cfRule>
  </conditionalFormatting>
  <conditionalFormatting sqref="V22:AG23">
    <cfRule type="expression" dxfId="30" priority="1">
      <formula>V22=0</formula>
    </cfRule>
  </conditionalFormatting>
  <conditionalFormatting sqref="AB39:AE39">
    <cfRule type="expression" dxfId="29" priority="12" stopIfTrue="1">
      <formula>AB39=0</formula>
    </cfRule>
  </conditionalFormatting>
  <conditionalFormatting sqref="AG18 T19:AG19 W20:AG21 R20:S23">
    <cfRule type="expression" dxfId="28" priority="10">
      <formula>R18=0</formula>
    </cfRule>
  </conditionalFormatting>
  <pageMargins left="0.7" right="0.7" top="0.75" bottom="0.75" header="0.3" footer="0.3"/>
  <pageSetup paperSize="9" scale="65" orientation="portrait" r:id="rId1"/>
  <headerFooter>
    <oddFooter>&amp;C_x000D_&amp;1#&amp;"Calibri"&amp;10&amp;K000000 Internal</oddFooter>
  </headerFooter>
  <colBreaks count="1" manualBreakCount="1">
    <brk id="33" max="1048575"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15EFA-516C-403E-8ADE-4B016A38F3A0}">
  <sheetPr>
    <tabColor theme="3"/>
    <pageSetUpPr fitToPage="1"/>
  </sheetPr>
  <dimension ref="A1:CL102"/>
  <sheetViews>
    <sheetView showGridLines="0" view="pageBreakPreview" zoomScaleNormal="100" zoomScaleSheetLayoutView="100" workbookViewId="0">
      <selection activeCell="A6" sqref="A6:G6"/>
    </sheetView>
  </sheetViews>
  <sheetFormatPr defaultColWidth="9.28515625" defaultRowHeight="15"/>
  <cols>
    <col min="1" max="13" width="3.7109375" style="290" customWidth="1"/>
    <col min="14" max="14" width="4.7109375" style="290" customWidth="1"/>
    <col min="15" max="15" width="6.42578125" style="290" customWidth="1"/>
    <col min="16" max="19" width="3.7109375" style="290" customWidth="1"/>
    <col min="20" max="20" width="9" style="290" bestFit="1" customWidth="1"/>
    <col min="21" max="21" width="3.7109375" style="290" customWidth="1"/>
    <col min="22" max="23" width="5.28515625" style="290" customWidth="1"/>
    <col min="24" max="33" width="3.7109375" style="290" customWidth="1"/>
    <col min="34" max="34" width="9.28515625" style="247"/>
    <col min="35" max="46" width="8.7109375" style="247" customWidth="1"/>
    <col min="47" max="53" width="9.28515625" style="247"/>
    <col min="54" max="55" width="9.28515625" style="285"/>
    <col min="56" max="16384" width="9.28515625" style="247"/>
  </cols>
  <sheetData>
    <row r="1" spans="1:90"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8"/>
      <c r="AH1" s="238"/>
      <c r="AI1" s="238"/>
      <c r="AJ1" s="238"/>
      <c r="AK1" s="238"/>
      <c r="AL1" s="238"/>
      <c r="AM1" s="238"/>
      <c r="AN1" s="238"/>
      <c r="AO1" s="238"/>
      <c r="AP1" s="238"/>
      <c r="AQ1" s="238"/>
      <c r="AR1" s="238"/>
      <c r="AS1" s="238"/>
      <c r="AT1" s="238"/>
      <c r="AU1" s="238"/>
      <c r="AV1" s="238"/>
      <c r="AW1" s="238"/>
      <c r="AX1" s="238"/>
      <c r="AY1" s="238"/>
      <c r="AZ1" s="238"/>
      <c r="BA1" s="238"/>
      <c r="BB1" s="239"/>
      <c r="BC1" s="239"/>
      <c r="BD1" s="238"/>
      <c r="BE1" s="238"/>
      <c r="BF1" s="238"/>
      <c r="BG1" s="238"/>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row>
    <row r="2" spans="1:90"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1"/>
      <c r="AH2" s="238"/>
      <c r="AI2" s="238"/>
      <c r="AJ2" s="238"/>
      <c r="AK2" s="238"/>
      <c r="AL2" s="238"/>
      <c r="AM2" s="238"/>
      <c r="AN2" s="238"/>
      <c r="AO2" s="238"/>
      <c r="AP2" s="238"/>
      <c r="AQ2" s="238"/>
      <c r="AR2" s="238"/>
      <c r="AS2" s="238"/>
      <c r="AT2" s="238"/>
      <c r="AU2" s="238"/>
      <c r="AV2" s="238"/>
      <c r="AW2" s="238"/>
      <c r="AX2" s="238"/>
      <c r="AY2" s="238"/>
      <c r="AZ2" s="238"/>
      <c r="BA2" s="238"/>
      <c r="BB2" s="239"/>
      <c r="BC2" s="239"/>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row>
    <row r="3" spans="1:90"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1"/>
      <c r="AH3" s="238"/>
      <c r="AI3" s="238"/>
      <c r="AJ3" s="238"/>
      <c r="AK3" s="238"/>
      <c r="AL3" s="238"/>
      <c r="AM3" s="238"/>
      <c r="AN3" s="238"/>
      <c r="AO3" s="238"/>
      <c r="AP3" s="238"/>
      <c r="AQ3" s="238"/>
      <c r="AR3" s="238"/>
      <c r="AS3" s="238"/>
      <c r="AT3" s="238"/>
      <c r="AU3" s="238"/>
      <c r="AV3" s="238"/>
      <c r="AW3" s="238"/>
      <c r="AX3" s="238"/>
      <c r="AY3" s="238"/>
      <c r="AZ3" s="238"/>
      <c r="BA3" s="238"/>
      <c r="BB3" s="239"/>
      <c r="BC3" s="239"/>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row>
    <row r="4" spans="1:90"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4"/>
      <c r="AH4" s="238"/>
      <c r="AI4" s="241"/>
      <c r="AJ4" s="241"/>
      <c r="AK4" s="241"/>
      <c r="AL4" s="242" t="s">
        <v>576</v>
      </c>
      <c r="AM4" s="242" t="s">
        <v>577</v>
      </c>
      <c r="AN4" s="242" t="s">
        <v>578</v>
      </c>
      <c r="AO4" s="241"/>
      <c r="AP4" s="241"/>
      <c r="AQ4" s="241"/>
      <c r="AR4" s="241"/>
      <c r="AS4" s="241"/>
      <c r="AT4" s="238"/>
      <c r="AU4" s="238"/>
      <c r="AV4" s="238"/>
      <c r="AW4" s="238"/>
      <c r="AX4" s="238"/>
      <c r="AY4" s="238"/>
      <c r="AZ4" s="238"/>
      <c r="BA4" s="238"/>
      <c r="BB4" s="239"/>
      <c r="BC4" s="239"/>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row>
    <row r="5" spans="1:90" ht="15" customHeight="1">
      <c r="A5" s="875" t="s">
        <v>22</v>
      </c>
      <c r="B5" s="876"/>
      <c r="C5" s="876"/>
      <c r="D5" s="876"/>
      <c r="E5" s="876"/>
      <c r="F5" s="876"/>
      <c r="G5" s="876"/>
      <c r="H5" s="27" t="str">
        <f>'Emiss. Ops'!$C$2</f>
        <v>OMVP</v>
      </c>
      <c r="I5" s="27"/>
      <c r="J5" s="27"/>
      <c r="K5" s="27"/>
      <c r="L5" s="27"/>
      <c r="M5" s="27"/>
      <c r="N5" s="27"/>
      <c r="O5" s="27"/>
      <c r="P5" s="27"/>
      <c r="Q5" s="27"/>
      <c r="R5" s="27"/>
      <c r="S5" s="27"/>
      <c r="T5" s="27"/>
      <c r="U5" s="876" t="s">
        <v>23</v>
      </c>
      <c r="V5" s="876"/>
      <c r="W5" s="876"/>
      <c r="X5" s="876"/>
      <c r="Y5" s="877" t="str">
        <f>Effluents!$K$2</f>
        <v>PRJ-001030</v>
      </c>
      <c r="Z5" s="877"/>
      <c r="AA5" s="877"/>
      <c r="AB5" s="877"/>
      <c r="AC5" s="877"/>
      <c r="AD5" s="877"/>
      <c r="AE5" s="877"/>
      <c r="AF5" s="877"/>
      <c r="AG5" s="878"/>
      <c r="AH5" s="243"/>
      <c r="AI5" s="244"/>
      <c r="AJ5" s="244"/>
      <c r="AK5" s="244"/>
      <c r="AL5" s="245" t="s">
        <v>386</v>
      </c>
      <c r="AM5" s="245" t="s">
        <v>729</v>
      </c>
      <c r="AN5" s="242">
        <v>1020</v>
      </c>
      <c r="AO5" s="244"/>
      <c r="AP5" s="244"/>
      <c r="AQ5" s="244"/>
      <c r="AR5" s="244"/>
      <c r="AS5" s="244"/>
      <c r="AT5" s="238"/>
      <c r="AU5" s="238"/>
      <c r="AV5" s="238"/>
      <c r="AW5" s="243"/>
      <c r="AX5" s="243"/>
      <c r="AY5" s="243"/>
      <c r="AZ5" s="243"/>
      <c r="BA5" s="243"/>
      <c r="BB5" s="246"/>
      <c r="BC5" s="246"/>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row>
    <row r="6" spans="1:90" ht="15" customHeight="1">
      <c r="A6" s="862" t="s">
        <v>24</v>
      </c>
      <c r="B6" s="863"/>
      <c r="C6" s="863"/>
      <c r="D6" s="863"/>
      <c r="E6" s="863"/>
      <c r="F6" s="863"/>
      <c r="G6" s="863"/>
      <c r="H6" s="30" t="str">
        <f>'Emiss. Ops'!$C$3</f>
        <v>OMV Neptun BAT Study &amp; ESIA</v>
      </c>
      <c r="I6" s="30"/>
      <c r="J6" s="30"/>
      <c r="K6" s="30"/>
      <c r="L6" s="30"/>
      <c r="M6" s="30"/>
      <c r="N6" s="30"/>
      <c r="O6" s="30"/>
      <c r="P6" s="30"/>
      <c r="Q6" s="30"/>
      <c r="R6" s="30"/>
      <c r="S6" s="30"/>
      <c r="T6" s="30"/>
      <c r="U6" s="863" t="s">
        <v>25</v>
      </c>
      <c r="V6" s="863"/>
      <c r="W6" s="863"/>
      <c r="X6" s="863"/>
      <c r="Y6" s="860"/>
      <c r="Z6" s="860"/>
      <c r="AA6" s="860"/>
      <c r="AB6" s="860"/>
      <c r="AC6" s="860"/>
      <c r="AD6" s="860"/>
      <c r="AE6" s="860"/>
      <c r="AF6" s="860"/>
      <c r="AG6" s="861"/>
      <c r="AH6" s="243"/>
      <c r="AI6" s="244"/>
      <c r="AJ6" s="244"/>
      <c r="AK6" s="242"/>
      <c r="AL6" s="245" t="s">
        <v>406</v>
      </c>
      <c r="AM6" s="245" t="s">
        <v>339</v>
      </c>
      <c r="AN6" s="245">
        <v>0.45400000000000001</v>
      </c>
      <c r="AO6" s="242"/>
      <c r="AP6" s="244"/>
      <c r="AQ6" s="244"/>
      <c r="AR6" s="244"/>
      <c r="AS6" s="244"/>
      <c r="AT6" s="238"/>
      <c r="AU6" s="238"/>
      <c r="AV6" s="238"/>
      <c r="AW6" s="243"/>
      <c r="AX6" s="243"/>
      <c r="AY6" s="243"/>
      <c r="AZ6" s="243"/>
      <c r="BA6" s="243"/>
      <c r="BB6" s="246"/>
      <c r="BC6" s="246"/>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row>
    <row r="7" spans="1:90" ht="15" customHeight="1">
      <c r="A7" s="862" t="s">
        <v>26</v>
      </c>
      <c r="B7" s="863"/>
      <c r="C7" s="863"/>
      <c r="D7" s="863"/>
      <c r="E7" s="863"/>
      <c r="F7" s="863"/>
      <c r="G7" s="863"/>
      <c r="H7" s="30" t="str">
        <f>'Emiss. Ops'!$C$4</f>
        <v>Emissions Inventory</v>
      </c>
      <c r="I7" s="30"/>
      <c r="J7" s="30"/>
      <c r="K7" s="30"/>
      <c r="L7" s="30"/>
      <c r="M7" s="30"/>
      <c r="N7" s="30"/>
      <c r="O7" s="30"/>
      <c r="P7" s="30"/>
      <c r="Q7" s="30"/>
      <c r="R7" s="30"/>
      <c r="S7" s="30"/>
      <c r="T7" s="30"/>
      <c r="U7" s="863" t="s">
        <v>27</v>
      </c>
      <c r="V7" s="863"/>
      <c r="W7" s="863"/>
      <c r="X7" s="863"/>
      <c r="Y7" s="30" t="str">
        <f>'Emiss. Ops'!$I$4</f>
        <v>Normal Operations</v>
      </c>
      <c r="Z7" s="31"/>
      <c r="AA7" s="31"/>
      <c r="AB7" s="31"/>
      <c r="AC7" s="31"/>
      <c r="AD7" s="31"/>
      <c r="AE7" s="31"/>
      <c r="AF7" s="31"/>
      <c r="AG7" s="32"/>
      <c r="AH7" s="243"/>
      <c r="AI7" s="244"/>
      <c r="AJ7" s="244"/>
      <c r="AK7" s="242"/>
      <c r="AL7" s="245" t="s">
        <v>407</v>
      </c>
      <c r="AM7" s="245" t="s">
        <v>730</v>
      </c>
      <c r="AN7" s="248">
        <f>0.305^3</f>
        <v>2.8372624999999999E-2</v>
      </c>
      <c r="AO7" s="242"/>
      <c r="AP7" s="244"/>
      <c r="AQ7" s="244"/>
      <c r="AR7" s="244"/>
      <c r="AS7" s="244"/>
      <c r="AT7" s="238"/>
      <c r="AU7" s="238"/>
      <c r="AV7" s="238"/>
      <c r="AW7" s="243"/>
      <c r="AX7" s="243"/>
      <c r="AY7" s="243"/>
      <c r="AZ7" s="243"/>
      <c r="BA7" s="243"/>
      <c r="BB7" s="246"/>
      <c r="BC7" s="246"/>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row>
    <row r="8" spans="1:90"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9"/>
      <c r="AH8" s="243"/>
      <c r="AI8" s="244"/>
      <c r="AJ8" s="244"/>
      <c r="AK8" s="242"/>
      <c r="AL8" s="245" t="s">
        <v>729</v>
      </c>
      <c r="AM8" s="245" t="s">
        <v>731</v>
      </c>
      <c r="AN8" s="249" t="e">
        <f>AN6/AN7 * ((#REF!+273.15)/(#REF!+273.15))</f>
        <v>#REF!</v>
      </c>
      <c r="AO8" s="242"/>
      <c r="AP8" s="244"/>
      <c r="AQ8" s="244"/>
      <c r="AR8" s="244"/>
      <c r="AS8" s="244"/>
      <c r="AT8" s="238"/>
      <c r="AU8" s="238"/>
      <c r="AV8" s="238"/>
      <c r="AW8" s="243"/>
      <c r="AX8" s="243"/>
      <c r="AY8" s="243"/>
      <c r="AZ8" s="243"/>
      <c r="BA8" s="243"/>
      <c r="BB8" s="246"/>
      <c r="BC8" s="246"/>
      <c r="BD8" s="243"/>
      <c r="BE8" s="243"/>
      <c r="BF8" s="243"/>
      <c r="BG8" s="243"/>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row>
    <row r="9" spans="1:90"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9"/>
      <c r="AH9" s="243"/>
      <c r="AI9" s="244"/>
      <c r="AJ9" s="244"/>
      <c r="AK9" s="242"/>
      <c r="AL9" s="242" t="s">
        <v>409</v>
      </c>
      <c r="AM9" s="242" t="s">
        <v>410</v>
      </c>
      <c r="AN9" s="242">
        <v>947</v>
      </c>
      <c r="AO9" s="242"/>
      <c r="AP9" s="244"/>
      <c r="AQ9" s="244"/>
      <c r="AR9" s="244"/>
      <c r="AS9" s="244"/>
      <c r="AT9" s="238"/>
      <c r="AU9" s="238"/>
      <c r="AV9" s="238"/>
      <c r="AW9" s="243"/>
      <c r="AX9" s="243"/>
      <c r="AY9" s="243"/>
      <c r="AZ9" s="243"/>
      <c r="BA9" s="243"/>
      <c r="BB9" s="246"/>
      <c r="BC9" s="246"/>
      <c r="BD9" s="243"/>
      <c r="BE9" s="243"/>
      <c r="BF9" s="243"/>
      <c r="BG9" s="243"/>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row>
    <row r="10" spans="1:90"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859" t="s">
        <v>28</v>
      </c>
      <c r="V10" s="859"/>
      <c r="W10" s="859"/>
      <c r="X10" s="859"/>
      <c r="Y10" s="1284"/>
      <c r="Z10" s="1284"/>
      <c r="AA10" s="1284"/>
      <c r="AB10" s="1285"/>
      <c r="AC10" s="1285"/>
      <c r="AD10" s="1285"/>
      <c r="AE10" s="1286"/>
      <c r="AF10" s="1286"/>
      <c r="AG10" s="1287"/>
      <c r="AH10" s="238"/>
      <c r="AI10" s="241"/>
      <c r="AJ10" s="241"/>
      <c r="AK10" s="245"/>
      <c r="AL10" s="245" t="s">
        <v>710</v>
      </c>
      <c r="AM10" s="245" t="s">
        <v>709</v>
      </c>
      <c r="AN10" s="245">
        <v>1E-3</v>
      </c>
      <c r="AO10" s="245"/>
      <c r="AP10" s="241"/>
      <c r="AQ10" s="241"/>
      <c r="AR10" s="241"/>
      <c r="AS10" s="241"/>
      <c r="AT10" s="238"/>
      <c r="AU10" s="238"/>
      <c r="AV10" s="238"/>
      <c r="AW10" s="238"/>
      <c r="AX10" s="238"/>
      <c r="AY10" s="238"/>
      <c r="AZ10" s="238"/>
      <c r="BA10" s="238"/>
      <c r="BB10" s="239"/>
      <c r="BC10" s="239"/>
      <c r="BD10" s="238"/>
      <c r="BE10" s="238"/>
      <c r="BF10" s="238"/>
      <c r="BG10" s="238"/>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row>
    <row r="11" spans="1:90" s="240" customFormat="1" ht="14.25" customHeight="1">
      <c r="A11" s="1271" t="s">
        <v>214</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3"/>
      <c r="AH11" s="238"/>
      <c r="AI11" s="241"/>
      <c r="AJ11" s="241"/>
      <c r="AK11" s="245"/>
      <c r="AL11" s="245" t="s">
        <v>732</v>
      </c>
      <c r="AM11" s="245" t="s">
        <v>409</v>
      </c>
      <c r="AN11" s="245">
        <f>1/(AN9/1000000)</f>
        <v>1055.9662090813094</v>
      </c>
      <c r="AO11" s="245"/>
      <c r="AP11" s="241"/>
      <c r="AQ11" s="241"/>
      <c r="AR11" s="241"/>
      <c r="AS11" s="241"/>
      <c r="AT11" s="238"/>
      <c r="AU11" s="238"/>
      <c r="AV11" s="238"/>
      <c r="AW11" s="238"/>
      <c r="AX11" s="238"/>
      <c r="AY11" s="238"/>
      <c r="AZ11" s="238"/>
      <c r="BA11" s="238"/>
      <c r="BB11" s="239"/>
      <c r="BC11" s="239"/>
      <c r="BD11" s="238"/>
      <c r="BE11" s="238"/>
      <c r="BF11" s="238"/>
      <c r="BG11" s="238"/>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row>
    <row r="12" spans="1:90" s="240" customFormat="1" ht="14.25" customHeight="1">
      <c r="A12" s="1274"/>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6"/>
      <c r="AH12" s="238"/>
      <c r="AI12" s="241"/>
      <c r="AJ12" s="241"/>
      <c r="AK12" s="245"/>
      <c r="AL12" s="245"/>
      <c r="AM12" s="245"/>
      <c r="AN12" s="245"/>
      <c r="AO12" s="245"/>
      <c r="AP12" s="241"/>
      <c r="AQ12" s="241"/>
      <c r="AR12" s="241"/>
      <c r="AS12" s="241"/>
      <c r="AT12" s="238"/>
      <c r="AU12" s="238"/>
      <c r="AV12" s="238"/>
      <c r="AW12" s="238"/>
      <c r="AX12" s="238"/>
      <c r="AY12" s="238"/>
      <c r="AZ12" s="238"/>
      <c r="BA12" s="238"/>
      <c r="BB12" s="239"/>
      <c r="BC12" s="239"/>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row>
    <row r="13" spans="1:90" s="240" customFormat="1" ht="14.25" customHeight="1">
      <c r="A13" s="250"/>
      <c r="B13" s="251"/>
      <c r="C13" s="251"/>
      <c r="D13" s="251"/>
      <c r="E13" s="251"/>
      <c r="F13" s="251"/>
      <c r="G13" s="251"/>
      <c r="H13" s="252"/>
      <c r="I13" s="251"/>
      <c r="J13" s="251"/>
      <c r="K13" s="251"/>
      <c r="L13" s="251"/>
      <c r="M13" s="251"/>
      <c r="N13" s="251"/>
      <c r="O13" s="251"/>
      <c r="P13" s="251"/>
      <c r="Q13" s="251"/>
      <c r="R13" s="860"/>
      <c r="S13" s="860"/>
      <c r="T13" s="1293"/>
      <c r="U13" s="1293"/>
      <c r="V13" s="1293"/>
      <c r="W13" s="860"/>
      <c r="X13" s="860"/>
      <c r="Y13" s="1293"/>
      <c r="Z13" s="1293"/>
      <c r="AA13" s="860"/>
      <c r="AB13" s="860"/>
      <c r="AC13" s="860"/>
      <c r="AD13" s="1293"/>
      <c r="AE13" s="1293"/>
      <c r="AF13" s="30"/>
      <c r="AG13" s="253"/>
      <c r="AH13" s="238"/>
      <c r="AI13" s="254" t="e">
        <f>#REF!*SUM(N20:O29)</f>
        <v>#REF!</v>
      </c>
      <c r="AJ13" s="241"/>
      <c r="AK13" s="241"/>
      <c r="AL13" s="241"/>
      <c r="AM13" s="241"/>
      <c r="AN13" s="241"/>
      <c r="AO13" s="241"/>
      <c r="AP13" s="241"/>
      <c r="AQ13" s="241"/>
      <c r="AR13" s="241"/>
      <c r="AS13" s="241"/>
      <c r="AT13" s="238"/>
      <c r="AU13" s="238"/>
      <c r="AV13" s="238"/>
      <c r="AW13" s="238"/>
      <c r="AX13" s="238"/>
      <c r="AY13" s="238"/>
      <c r="AZ13" s="238"/>
      <c r="BA13" s="238"/>
      <c r="BB13" s="239"/>
      <c r="BC13" s="239"/>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row>
    <row r="14" spans="1:90" s="240" customFormat="1" ht="14.25" customHeight="1">
      <c r="A14" s="1370" t="s">
        <v>718</v>
      </c>
      <c r="B14" s="1370"/>
      <c r="C14" s="1370"/>
      <c r="D14" s="1370"/>
      <c r="E14" s="1370"/>
      <c r="F14" s="1371" t="s">
        <v>789</v>
      </c>
      <c r="G14" s="1372"/>
      <c r="H14" s="1372"/>
      <c r="I14" s="1372"/>
      <c r="J14" s="1372"/>
      <c r="K14" s="1372"/>
      <c r="L14" s="1372"/>
      <c r="M14" s="1372"/>
      <c r="N14" s="1372"/>
      <c r="O14" s="1372"/>
      <c r="P14" s="1372"/>
      <c r="Q14" s="1372"/>
      <c r="R14" s="30"/>
      <c r="S14" s="1402" t="s">
        <v>916</v>
      </c>
      <c r="T14" s="1184"/>
      <c r="U14" s="1184"/>
      <c r="V14" s="1184"/>
      <c r="W14" s="1184"/>
      <c r="X14" s="1184"/>
      <c r="Y14" s="1184"/>
      <c r="Z14" s="1184"/>
      <c r="AA14" s="1184"/>
      <c r="AB14" s="1184"/>
      <c r="AC14" s="1184"/>
      <c r="AD14" s="1184"/>
      <c r="AE14" s="1184"/>
      <c r="AF14" s="1184"/>
      <c r="AG14" s="253"/>
      <c r="AH14" s="255"/>
      <c r="AI14" s="241"/>
      <c r="AJ14" s="241"/>
      <c r="AK14" s="241"/>
      <c r="AL14" s="241"/>
      <c r="AM14" s="241"/>
      <c r="AN14" s="241"/>
      <c r="AO14" s="241"/>
      <c r="AP14" s="241"/>
      <c r="AQ14" s="241"/>
      <c r="AR14" s="241"/>
      <c r="AS14" s="241"/>
      <c r="AT14" s="241"/>
      <c r="AU14" s="241"/>
      <c r="AV14" s="238"/>
      <c r="AW14" s="238"/>
      <c r="AX14" s="238"/>
      <c r="AY14" s="238"/>
      <c r="AZ14" s="238"/>
      <c r="BA14" s="238"/>
      <c r="BB14" s="239"/>
      <c r="BC14" s="239"/>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row>
    <row r="15" spans="1:90" s="240" customFormat="1" ht="14.25" customHeight="1">
      <c r="A15" s="256" t="s">
        <v>620</v>
      </c>
      <c r="B15" s="30"/>
      <c r="C15" s="30"/>
      <c r="D15" s="30"/>
      <c r="E15" s="30"/>
      <c r="F15" s="1529" t="s">
        <v>791</v>
      </c>
      <c r="G15" s="1530"/>
      <c r="H15" s="1530"/>
      <c r="I15" s="1531"/>
      <c r="J15" s="1529" t="s">
        <v>792</v>
      </c>
      <c r="K15" s="1530"/>
      <c r="L15" s="1530"/>
      <c r="M15" s="1531"/>
      <c r="N15" s="1535" t="s">
        <v>793</v>
      </c>
      <c r="O15" s="1536"/>
      <c r="P15" s="1537"/>
      <c r="Q15" s="1538"/>
      <c r="R15" s="257"/>
      <c r="S15" s="1184"/>
      <c r="T15" s="1184"/>
      <c r="U15" s="1184"/>
      <c r="V15" s="1184"/>
      <c r="W15" s="1184"/>
      <c r="X15" s="1184"/>
      <c r="Y15" s="1184"/>
      <c r="Z15" s="1184"/>
      <c r="AA15" s="1184"/>
      <c r="AB15" s="1184"/>
      <c r="AC15" s="1184"/>
      <c r="AD15" s="1184"/>
      <c r="AE15" s="1184"/>
      <c r="AF15" s="1184"/>
      <c r="AG15" s="253"/>
      <c r="AH15" s="255"/>
      <c r="AI15" s="241"/>
      <c r="AJ15" s="241"/>
      <c r="AK15" s="241"/>
      <c r="AL15" s="241"/>
      <c r="AM15" s="241"/>
      <c r="AN15" s="241"/>
      <c r="AO15" s="241"/>
      <c r="AP15" s="241"/>
      <c r="AQ15" s="241"/>
      <c r="AR15" s="241"/>
      <c r="AS15" s="241"/>
      <c r="AT15" s="241"/>
      <c r="AU15" s="241"/>
      <c r="AV15" s="238"/>
      <c r="AW15" s="238"/>
      <c r="AX15" s="238"/>
      <c r="AY15" s="238"/>
      <c r="AZ15" s="238"/>
      <c r="BA15" s="238"/>
      <c r="BB15" s="239"/>
      <c r="BC15" s="239"/>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row>
    <row r="16" spans="1:90" s="240" customFormat="1" ht="14.25" customHeight="1">
      <c r="A16" s="133"/>
      <c r="B16" s="30"/>
      <c r="C16" s="30"/>
      <c r="D16" s="30"/>
      <c r="E16" s="30"/>
      <c r="F16" s="1532"/>
      <c r="G16" s="1533"/>
      <c r="H16" s="1533"/>
      <c r="I16" s="1534"/>
      <c r="J16" s="1532"/>
      <c r="K16" s="1533"/>
      <c r="L16" s="1533"/>
      <c r="M16" s="1534"/>
      <c r="N16" s="1539"/>
      <c r="O16" s="1540"/>
      <c r="P16" s="1533"/>
      <c r="Q16" s="1534"/>
      <c r="R16" s="257"/>
      <c r="S16" s="1184"/>
      <c r="T16" s="1184"/>
      <c r="U16" s="1184"/>
      <c r="V16" s="1184"/>
      <c r="W16" s="1184"/>
      <c r="X16" s="1184"/>
      <c r="Y16" s="1184"/>
      <c r="Z16" s="1184"/>
      <c r="AA16" s="1184"/>
      <c r="AB16" s="1184"/>
      <c r="AC16" s="1184"/>
      <c r="AD16" s="1184"/>
      <c r="AE16" s="1184"/>
      <c r="AF16" s="1184"/>
      <c r="AG16" s="253"/>
      <c r="AH16" s="258"/>
      <c r="AI16" s="259" t="s">
        <v>740</v>
      </c>
      <c r="AJ16" s="259"/>
      <c r="AK16" s="259"/>
      <c r="AL16" s="259"/>
      <c r="AM16" s="259"/>
      <c r="AN16" s="259"/>
      <c r="AO16" s="259" t="s">
        <v>741</v>
      </c>
      <c r="AP16" s="259"/>
      <c r="AQ16" s="259" t="s">
        <v>742</v>
      </c>
      <c r="AR16" s="259"/>
      <c r="AS16" s="259"/>
      <c r="AT16" s="259"/>
      <c r="AU16" s="258"/>
      <c r="AV16" s="238"/>
      <c r="AW16" s="238"/>
      <c r="AX16" s="238"/>
      <c r="AY16" s="238"/>
      <c r="AZ16" s="238"/>
      <c r="BA16" s="238"/>
      <c r="BB16" s="239"/>
      <c r="BC16" s="239"/>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row>
    <row r="17" spans="1:90" s="240" customFormat="1" ht="14.25" customHeight="1">
      <c r="A17" s="1376" t="s">
        <v>630</v>
      </c>
      <c r="B17" s="1376"/>
      <c r="C17" s="1376"/>
      <c r="D17" s="1376"/>
      <c r="E17" s="1376"/>
      <c r="F17" s="1375" t="s">
        <v>794</v>
      </c>
      <c r="G17" s="1375"/>
      <c r="H17" s="1375" t="s">
        <v>590</v>
      </c>
      <c r="I17" s="1375"/>
      <c r="J17" s="1371" t="s">
        <v>795</v>
      </c>
      <c r="K17" s="1372"/>
      <c r="L17" s="1541"/>
      <c r="M17" s="1542"/>
      <c r="N17" s="1375" t="s">
        <v>617</v>
      </c>
      <c r="O17" s="1375"/>
      <c r="P17" s="1375" t="s">
        <v>332</v>
      </c>
      <c r="Q17" s="1375"/>
      <c r="R17" s="30"/>
      <c r="S17" s="1184"/>
      <c r="T17" s="1184"/>
      <c r="U17" s="1184"/>
      <c r="V17" s="1184"/>
      <c r="W17" s="1184"/>
      <c r="X17" s="1184"/>
      <c r="Y17" s="1184"/>
      <c r="Z17" s="1184"/>
      <c r="AA17" s="1184"/>
      <c r="AB17" s="1184"/>
      <c r="AC17" s="1184"/>
      <c r="AD17" s="1184"/>
      <c r="AE17" s="1184"/>
      <c r="AF17" s="1184"/>
      <c r="AG17" s="253"/>
      <c r="AH17" s="258"/>
      <c r="AI17" s="259" t="s">
        <v>633</v>
      </c>
      <c r="AJ17" s="259" t="s">
        <v>634</v>
      </c>
      <c r="AK17" s="259" t="s">
        <v>635</v>
      </c>
      <c r="AL17" s="259" t="s">
        <v>636</v>
      </c>
      <c r="AM17" s="259" t="s">
        <v>637</v>
      </c>
      <c r="AN17" s="259" t="s">
        <v>590</v>
      </c>
      <c r="AO17" s="259" t="s">
        <v>428</v>
      </c>
      <c r="AP17" s="259" t="s">
        <v>429</v>
      </c>
      <c r="AQ17" s="259" t="s">
        <v>126</v>
      </c>
      <c r="AR17" s="259" t="s">
        <v>431</v>
      </c>
      <c r="AS17" s="259" t="s">
        <v>429</v>
      </c>
      <c r="AT17" s="259" t="s">
        <v>124</v>
      </c>
      <c r="AU17" s="258"/>
      <c r="AV17" s="238"/>
      <c r="AW17" s="238"/>
      <c r="AX17" s="238"/>
      <c r="AY17" s="238"/>
      <c r="AZ17" s="238"/>
      <c r="BA17" s="238"/>
      <c r="BB17" s="239" t="s">
        <v>128</v>
      </c>
      <c r="BC17" s="239" t="s">
        <v>743</v>
      </c>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row>
    <row r="18" spans="1:90" s="240" customFormat="1" ht="14.25" customHeight="1">
      <c r="A18" s="260" t="s">
        <v>638</v>
      </c>
      <c r="B18" s="261"/>
      <c r="C18" s="261"/>
      <c r="D18" s="261"/>
      <c r="E18" s="262"/>
      <c r="F18" s="1377">
        <v>0</v>
      </c>
      <c r="G18" s="1378"/>
      <c r="H18" s="1379"/>
      <c r="I18" s="1381"/>
      <c r="J18" s="1380"/>
      <c r="K18" s="1380"/>
      <c r="L18" s="1379"/>
      <c r="M18" s="1380"/>
      <c r="N18" s="1379">
        <f>SUM(H18,J18,L18)*AN18</f>
        <v>0</v>
      </c>
      <c r="O18" s="1380"/>
      <c r="P18" s="1379"/>
      <c r="Q18" s="1381"/>
      <c r="R18" s="263"/>
      <c r="S18" s="1184"/>
      <c r="T18" s="1184"/>
      <c r="U18" s="1184"/>
      <c r="V18" s="1184"/>
      <c r="W18" s="1184"/>
      <c r="X18" s="1184"/>
      <c r="Y18" s="1184"/>
      <c r="Z18" s="1184"/>
      <c r="AA18" s="1184"/>
      <c r="AB18" s="1184"/>
      <c r="AC18" s="1184"/>
      <c r="AD18" s="1184"/>
      <c r="AE18" s="1184"/>
      <c r="AF18" s="1184"/>
      <c r="AG18" s="264"/>
      <c r="AH18" s="258"/>
      <c r="AI18" s="259"/>
      <c r="AJ18" s="259">
        <v>2</v>
      </c>
      <c r="AK18" s="259"/>
      <c r="AL18" s="259"/>
      <c r="AM18" s="259"/>
      <c r="AN18" s="265">
        <f>AI18*12.01+AJ18*1.008+AK18*16+AL18*14+AM18*32</f>
        <v>2.016</v>
      </c>
      <c r="AO18" s="259">
        <f>AI18*1+AJ18*0.25+AM18*1</f>
        <v>0.5</v>
      </c>
      <c r="AP18" s="266">
        <f>0.79/0.21*AO18</f>
        <v>1.8809523809523812</v>
      </c>
      <c r="AQ18" s="259">
        <f>1*AI18</f>
        <v>0</v>
      </c>
      <c r="AR18" s="259">
        <f>AJ18/2</f>
        <v>1</v>
      </c>
      <c r="AS18" s="266">
        <f>AL18*0.5+AP18</f>
        <v>1.8809523809523812</v>
      </c>
      <c r="AT18" s="259">
        <f>AM18*1</f>
        <v>0</v>
      </c>
      <c r="AU18" s="258"/>
      <c r="AV18" s="238"/>
      <c r="AW18" s="238"/>
      <c r="AX18" s="238"/>
      <c r="AY18" s="238"/>
      <c r="AZ18" s="238"/>
      <c r="BA18" s="239" t="s">
        <v>639</v>
      </c>
      <c r="BB18" s="239">
        <v>1.4200000000000001E-2</v>
      </c>
      <c r="BC18" s="239">
        <v>2.9999999999999997E-4</v>
      </c>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row>
    <row r="19" spans="1:90" s="240" customFormat="1" ht="14.25" customHeight="1">
      <c r="A19" s="267" t="s">
        <v>122</v>
      </c>
      <c r="B19" s="268"/>
      <c r="C19" s="268"/>
      <c r="D19" s="268"/>
      <c r="E19" s="269"/>
      <c r="F19" s="1377">
        <f>CO2eEF!P26</f>
        <v>0.99629999999999996</v>
      </c>
      <c r="G19" s="1378"/>
      <c r="H19" s="1546">
        <v>16.042999999999999</v>
      </c>
      <c r="I19" s="1549"/>
      <c r="J19" s="1550">
        <f>F19*H19</f>
        <v>15.983640899999999</v>
      </c>
      <c r="K19" s="1550"/>
      <c r="L19" s="1546">
        <f>J19/$J$39</f>
        <v>0.99103593622983144</v>
      </c>
      <c r="M19" s="1545"/>
      <c r="N19" s="1547">
        <f>L19*$V$20</f>
        <v>0.90443617269434762</v>
      </c>
      <c r="O19" s="1548"/>
      <c r="P19" s="1547">
        <f>N19*365.25*24/1000</f>
        <v>7.9282874898386506</v>
      </c>
      <c r="Q19" s="1548"/>
      <c r="R19" s="1382"/>
      <c r="S19" s="1384"/>
      <c r="T19" s="263"/>
      <c r="U19" s="263"/>
      <c r="V19" s="263"/>
      <c r="W19" s="263"/>
      <c r="X19" s="263"/>
      <c r="Y19" s="263"/>
      <c r="Z19" s="263"/>
      <c r="AA19" s="263"/>
      <c r="AB19" s="263"/>
      <c r="AC19" s="263"/>
      <c r="AD19" s="263"/>
      <c r="AE19" s="263"/>
      <c r="AF19" s="263"/>
      <c r="AG19" s="264"/>
      <c r="AH19" s="258"/>
      <c r="AI19" s="259">
        <v>1</v>
      </c>
      <c r="AJ19" s="259">
        <v>4</v>
      </c>
      <c r="AK19" s="259"/>
      <c r="AL19" s="259"/>
      <c r="AM19" s="259"/>
      <c r="AN19" s="265">
        <f t="shared" ref="AN19:AN34" si="0">AI19*12.01+AJ19*1.008+AK19*16+AL19*14+AM19*32</f>
        <v>16.042000000000002</v>
      </c>
      <c r="AO19" s="259">
        <f t="shared" ref="AO19:AO33" si="1">AI19*1+AJ19*0.25+AM19*1</f>
        <v>2</v>
      </c>
      <c r="AP19" s="266">
        <f t="shared" ref="AP19:AP33" si="2">0.79/0.21*AO19</f>
        <v>7.5238095238095246</v>
      </c>
      <c r="AQ19" s="259">
        <f t="shared" ref="AQ19:AQ33" si="3">1*AI19</f>
        <v>1</v>
      </c>
      <c r="AR19" s="259">
        <f t="shared" ref="AR19:AR33" si="4">AJ19/2</f>
        <v>2</v>
      </c>
      <c r="AS19" s="266">
        <f t="shared" ref="AS19:AS33" si="5">AL19*0.5+AP19</f>
        <v>7.5238095238095246</v>
      </c>
      <c r="AT19" s="259">
        <f t="shared" ref="AT19:AT33" si="6">AM19*1</f>
        <v>0</v>
      </c>
      <c r="AU19" s="258"/>
      <c r="AV19" s="238"/>
      <c r="AW19" s="238"/>
      <c r="AX19" s="238"/>
      <c r="AY19" s="238"/>
      <c r="AZ19" s="238"/>
      <c r="BA19" s="239" t="s">
        <v>126</v>
      </c>
      <c r="BB19" s="239">
        <v>9.5999999999999992E-3</v>
      </c>
      <c r="BC19" s="239">
        <v>0.77539999999999998</v>
      </c>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row>
    <row r="20" spans="1:90" s="240" customFormat="1" ht="14.25" customHeight="1">
      <c r="A20" s="267" t="s">
        <v>641</v>
      </c>
      <c r="B20" s="268"/>
      <c r="C20" s="268"/>
      <c r="D20" s="268"/>
      <c r="E20" s="269"/>
      <c r="F20" s="1377">
        <v>0</v>
      </c>
      <c r="G20" s="1378"/>
      <c r="H20" s="1299"/>
      <c r="I20" s="1301"/>
      <c r="J20" s="1300"/>
      <c r="K20" s="1300"/>
      <c r="L20" s="1299"/>
      <c r="M20" s="1300"/>
      <c r="N20" s="1299">
        <f>SUM(H20,J20,L20)*AN20</f>
        <v>0</v>
      </c>
      <c r="O20" s="1301"/>
      <c r="P20" s="1299"/>
      <c r="Q20" s="1301"/>
      <c r="R20" s="263"/>
      <c r="S20" s="263"/>
      <c r="T20" s="270"/>
      <c r="U20" s="31"/>
      <c r="V20" s="271">
        <f>8*1000/365.25/24</f>
        <v>0.91261692904403369</v>
      </c>
      <c r="W20" s="263" t="s">
        <v>617</v>
      </c>
      <c r="X20" s="263"/>
      <c r="Y20" s="263"/>
      <c r="Z20" s="263"/>
      <c r="AA20" s="263"/>
      <c r="AB20" s="263"/>
      <c r="AC20" s="263"/>
      <c r="AD20" s="263"/>
      <c r="AE20" s="263"/>
      <c r="AF20" s="263"/>
      <c r="AG20" s="264"/>
      <c r="AH20" s="258"/>
      <c r="AI20" s="259">
        <v>2</v>
      </c>
      <c r="AJ20" s="259">
        <v>4</v>
      </c>
      <c r="AK20" s="259"/>
      <c r="AL20" s="259"/>
      <c r="AM20" s="259"/>
      <c r="AN20" s="265">
        <f t="shared" si="0"/>
        <v>28.052</v>
      </c>
      <c r="AO20" s="259">
        <f t="shared" si="1"/>
        <v>3</v>
      </c>
      <c r="AP20" s="266">
        <f t="shared" si="2"/>
        <v>11.285714285714286</v>
      </c>
      <c r="AQ20" s="259">
        <f t="shared" si="3"/>
        <v>2</v>
      </c>
      <c r="AR20" s="259">
        <f t="shared" si="4"/>
        <v>2</v>
      </c>
      <c r="AS20" s="266">
        <f t="shared" si="5"/>
        <v>11.285714285714286</v>
      </c>
      <c r="AT20" s="259">
        <f t="shared" si="6"/>
        <v>0</v>
      </c>
      <c r="AU20" s="258"/>
      <c r="AV20" s="238"/>
      <c r="AW20" s="238"/>
      <c r="AX20" s="238"/>
      <c r="AY20" s="238"/>
      <c r="AZ20" s="238"/>
      <c r="BA20" s="239" t="s">
        <v>642</v>
      </c>
      <c r="BB20" s="239">
        <v>0.60499999999999998</v>
      </c>
      <c r="BC20" s="239">
        <v>1.43E-2</v>
      </c>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row>
    <row r="21" spans="1:90" s="240" customFormat="1" ht="14.25" customHeight="1">
      <c r="A21" s="267" t="s">
        <v>643</v>
      </c>
      <c r="B21" s="268"/>
      <c r="C21" s="268"/>
      <c r="D21" s="268"/>
      <c r="E21" s="269"/>
      <c r="F21" s="1377">
        <f>CO2eEF!P27</f>
        <v>7.000000000000001E-4</v>
      </c>
      <c r="G21" s="1378"/>
      <c r="H21" s="1543">
        <v>30.07</v>
      </c>
      <c r="I21" s="1544"/>
      <c r="J21" s="1545">
        <f>F21*H21</f>
        <v>2.1049000000000002E-2</v>
      </c>
      <c r="K21" s="1545"/>
      <c r="L21" s="1546">
        <f>J21/$J$39</f>
        <v>1.3051041093961092E-3</v>
      </c>
      <c r="M21" s="1545"/>
      <c r="N21" s="1547">
        <f>L21*$V$20</f>
        <v>1.1910601043998259E-3</v>
      </c>
      <c r="O21" s="1548"/>
      <c r="P21" s="1547">
        <f>N21*365.25*24/1000</f>
        <v>1.0440832875168872E-2</v>
      </c>
      <c r="Q21" s="1548"/>
      <c r="R21" s="263"/>
      <c r="S21" s="263"/>
      <c r="T21" s="31"/>
      <c r="U21" s="31"/>
      <c r="V21" s="270"/>
      <c r="W21" s="263"/>
      <c r="X21" s="263"/>
      <c r="Y21" s="263"/>
      <c r="Z21" s="263"/>
      <c r="AA21" s="263"/>
      <c r="AB21" s="263"/>
      <c r="AC21" s="263"/>
      <c r="AD21" s="263"/>
      <c r="AE21" s="263"/>
      <c r="AF21" s="263"/>
      <c r="AG21" s="264"/>
      <c r="AH21" s="258"/>
      <c r="AI21" s="259">
        <v>2</v>
      </c>
      <c r="AJ21" s="259">
        <v>6</v>
      </c>
      <c r="AK21" s="259"/>
      <c r="AL21" s="259"/>
      <c r="AM21" s="259"/>
      <c r="AN21" s="265">
        <f t="shared" si="0"/>
        <v>30.067999999999998</v>
      </c>
      <c r="AO21" s="259">
        <f t="shared" si="1"/>
        <v>3.5</v>
      </c>
      <c r="AP21" s="266">
        <f t="shared" si="2"/>
        <v>13.166666666666668</v>
      </c>
      <c r="AQ21" s="259">
        <f t="shared" si="3"/>
        <v>2</v>
      </c>
      <c r="AR21" s="259">
        <f t="shared" si="4"/>
        <v>3</v>
      </c>
      <c r="AS21" s="266">
        <f t="shared" si="5"/>
        <v>13.166666666666668</v>
      </c>
      <c r="AT21" s="259">
        <f t="shared" si="6"/>
        <v>0</v>
      </c>
      <c r="AU21" s="258"/>
      <c r="AV21" s="238"/>
      <c r="AW21" s="238"/>
      <c r="AX21" s="238"/>
      <c r="AY21" s="238"/>
      <c r="AZ21" s="238"/>
      <c r="BA21" s="239" t="s">
        <v>644</v>
      </c>
      <c r="BB21" s="239">
        <v>0.17519999999999999</v>
      </c>
      <c r="BC21" s="239">
        <v>1.9E-3</v>
      </c>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row>
    <row r="22" spans="1:90" s="240" customFormat="1" ht="14.25" customHeight="1">
      <c r="A22" s="267" t="s">
        <v>418</v>
      </c>
      <c r="B22" s="268"/>
      <c r="C22" s="268"/>
      <c r="D22" s="268"/>
      <c r="E22" s="269"/>
      <c r="F22" s="1377">
        <v>0</v>
      </c>
      <c r="G22" s="1378"/>
      <c r="H22" s="1299"/>
      <c r="I22" s="1301"/>
      <c r="J22" s="1300"/>
      <c r="K22" s="1300"/>
      <c r="L22" s="1299"/>
      <c r="M22" s="1300"/>
      <c r="N22" s="1299">
        <f>SUM(H22,J22,L22)*AN22</f>
        <v>0</v>
      </c>
      <c r="O22" s="1301"/>
      <c r="P22" s="1299"/>
      <c r="Q22" s="1301"/>
      <c r="R22" s="263"/>
      <c r="S22" s="263"/>
      <c r="T22" s="270">
        <f>8*1000/W23</f>
        <v>12000</v>
      </c>
      <c r="U22" s="263" t="s">
        <v>617</v>
      </c>
      <c r="V22" s="263"/>
      <c r="W22" s="263">
        <v>40</v>
      </c>
      <c r="X22" s="263" t="s">
        <v>434</v>
      </c>
      <c r="Y22" s="263"/>
      <c r="Z22" s="263" t="s">
        <v>912</v>
      </c>
      <c r="AA22" s="263"/>
      <c r="AB22" s="263"/>
      <c r="AC22" s="263"/>
      <c r="AD22" s="263"/>
      <c r="AE22" s="264"/>
      <c r="AF22" s="263"/>
      <c r="AG22" s="264"/>
      <c r="AH22" s="258"/>
      <c r="AI22" s="259">
        <v>3</v>
      </c>
      <c r="AJ22" s="259">
        <v>6</v>
      </c>
      <c r="AK22" s="259"/>
      <c r="AL22" s="259"/>
      <c r="AM22" s="259"/>
      <c r="AN22" s="265">
        <f t="shared" si="0"/>
        <v>42.078000000000003</v>
      </c>
      <c r="AO22" s="259">
        <f t="shared" si="1"/>
        <v>4.5</v>
      </c>
      <c r="AP22" s="266">
        <f t="shared" si="2"/>
        <v>16.928571428571431</v>
      </c>
      <c r="AQ22" s="259">
        <f t="shared" si="3"/>
        <v>3</v>
      </c>
      <c r="AR22" s="259">
        <f t="shared" si="4"/>
        <v>3</v>
      </c>
      <c r="AS22" s="266">
        <f t="shared" si="5"/>
        <v>16.928571428571431</v>
      </c>
      <c r="AT22" s="259">
        <f t="shared" si="6"/>
        <v>0</v>
      </c>
      <c r="AU22" s="258"/>
      <c r="AV22" s="238"/>
      <c r="AW22" s="238"/>
      <c r="AX22" s="238"/>
      <c r="AY22" s="238"/>
      <c r="AZ22" s="238"/>
      <c r="BA22" s="239" t="s">
        <v>645</v>
      </c>
      <c r="BB22" s="239">
        <v>0.1139</v>
      </c>
      <c r="BC22" s="239">
        <v>3.5999999999999999E-3</v>
      </c>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row>
    <row r="23" spans="1:90" s="240" customFormat="1" ht="14.25" customHeight="1">
      <c r="A23" s="267" t="s">
        <v>419</v>
      </c>
      <c r="B23" s="268"/>
      <c r="C23" s="268"/>
      <c r="D23" s="268"/>
      <c r="E23" s="269"/>
      <c r="F23" s="1377">
        <f>CO2eEF!P28</f>
        <v>2.0000000000000001E-4</v>
      </c>
      <c r="G23" s="1378"/>
      <c r="H23" s="1546">
        <v>44.097000000000001</v>
      </c>
      <c r="I23" s="1549"/>
      <c r="J23" s="1545">
        <f>F23*H23</f>
        <v>8.8194000000000015E-3</v>
      </c>
      <c r="K23" s="1545"/>
      <c r="L23" s="1546">
        <f>J23/$J$39</f>
        <v>5.4683049942553315E-4</v>
      </c>
      <c r="M23" s="1545"/>
      <c r="N23" s="1547">
        <f>L23*$V$20</f>
        <v>4.9904677109334527E-4</v>
      </c>
      <c r="O23" s="1548"/>
      <c r="P23" s="1547">
        <f>N23*365.25*24/1000</f>
        <v>4.3746439954042643E-3</v>
      </c>
      <c r="Q23" s="1548"/>
      <c r="R23" s="263"/>
      <c r="S23" s="263"/>
      <c r="T23" s="270"/>
      <c r="U23" s="263"/>
      <c r="V23" s="263"/>
      <c r="W23" s="263">
        <f>W22/60</f>
        <v>0.66666666666666663</v>
      </c>
      <c r="X23" s="263" t="s">
        <v>763</v>
      </c>
      <c r="Y23" s="263"/>
      <c r="Z23" s="263" t="s">
        <v>803</v>
      </c>
      <c r="AA23" s="263"/>
      <c r="AB23" s="263"/>
      <c r="AC23" s="263"/>
      <c r="AD23" s="263"/>
      <c r="AE23" s="264"/>
      <c r="AF23" s="263"/>
      <c r="AG23" s="264"/>
      <c r="AH23" s="258"/>
      <c r="AI23" s="259">
        <v>3</v>
      </c>
      <c r="AJ23" s="259">
        <v>8</v>
      </c>
      <c r="AK23" s="259"/>
      <c r="AL23" s="259"/>
      <c r="AM23" s="259"/>
      <c r="AN23" s="265">
        <f t="shared" si="0"/>
        <v>44.094000000000001</v>
      </c>
      <c r="AO23" s="259">
        <f t="shared" si="1"/>
        <v>5</v>
      </c>
      <c r="AP23" s="266">
        <f t="shared" si="2"/>
        <v>18.80952380952381</v>
      </c>
      <c r="AQ23" s="259">
        <f t="shared" si="3"/>
        <v>3</v>
      </c>
      <c r="AR23" s="259">
        <f t="shared" si="4"/>
        <v>4</v>
      </c>
      <c r="AS23" s="266">
        <f t="shared" si="5"/>
        <v>18.80952380952381</v>
      </c>
      <c r="AT23" s="259">
        <f t="shared" si="6"/>
        <v>0</v>
      </c>
      <c r="AU23" s="258"/>
      <c r="AV23" s="238"/>
      <c r="AW23" s="238"/>
      <c r="AX23" s="238"/>
      <c r="AY23" s="238"/>
      <c r="AZ23" s="238"/>
      <c r="BA23" s="239" t="s">
        <v>646</v>
      </c>
      <c r="BB23" s="239">
        <v>1.7100000000000001E-2</v>
      </c>
      <c r="BC23" s="239">
        <v>1E-3</v>
      </c>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row>
    <row r="24" spans="1:90" s="240" customFormat="1" ht="14.25" customHeight="1">
      <c r="A24" s="267" t="s">
        <v>420</v>
      </c>
      <c r="B24" s="268"/>
      <c r="C24" s="268"/>
      <c r="D24" s="268"/>
      <c r="E24" s="269"/>
      <c r="F24" s="1377">
        <v>0</v>
      </c>
      <c r="G24" s="1378"/>
      <c r="H24" s="1299"/>
      <c r="I24" s="1301"/>
      <c r="J24" s="1300"/>
      <c r="K24" s="1300"/>
      <c r="L24" s="1299"/>
      <c r="M24" s="1300"/>
      <c r="N24" s="1299">
        <f>SUM(H24,J24,L24)*AN24</f>
        <v>0</v>
      </c>
      <c r="O24" s="1301"/>
      <c r="P24" s="1299"/>
      <c r="Q24" s="1301"/>
      <c r="R24" s="263"/>
      <c r="S24" s="263"/>
      <c r="T24" s="263"/>
      <c r="U24" s="263"/>
      <c r="V24" s="263"/>
      <c r="W24" s="263"/>
      <c r="X24" s="263"/>
      <c r="Y24" s="263"/>
      <c r="Z24" s="263"/>
      <c r="AA24" s="263"/>
      <c r="AB24" s="263"/>
      <c r="AC24" s="263"/>
      <c r="AD24" s="263"/>
      <c r="AE24" s="263"/>
      <c r="AF24" s="263"/>
      <c r="AG24" s="264"/>
      <c r="AH24" s="258"/>
      <c r="AI24" s="259">
        <v>4</v>
      </c>
      <c r="AJ24" s="259">
        <v>8</v>
      </c>
      <c r="AK24" s="259"/>
      <c r="AL24" s="259"/>
      <c r="AM24" s="259"/>
      <c r="AN24" s="265">
        <f t="shared" si="0"/>
        <v>56.103999999999999</v>
      </c>
      <c r="AO24" s="259">
        <f t="shared" si="1"/>
        <v>6</v>
      </c>
      <c r="AP24" s="266">
        <f t="shared" si="2"/>
        <v>22.571428571428573</v>
      </c>
      <c r="AQ24" s="259">
        <f t="shared" si="3"/>
        <v>4</v>
      </c>
      <c r="AR24" s="259">
        <f t="shared" si="4"/>
        <v>4</v>
      </c>
      <c r="AS24" s="266">
        <f t="shared" si="5"/>
        <v>22.571428571428573</v>
      </c>
      <c r="AT24" s="259">
        <f t="shared" si="6"/>
        <v>0</v>
      </c>
      <c r="AU24" s="258"/>
      <c r="AV24" s="238"/>
      <c r="AW24" s="238"/>
      <c r="AX24" s="238"/>
      <c r="AY24" s="238"/>
      <c r="AZ24" s="238"/>
      <c r="BA24" s="239" t="s">
        <v>647</v>
      </c>
      <c r="BB24" s="239">
        <v>4.5900000000000003E-2</v>
      </c>
      <c r="BC24" s="239">
        <v>2.3999999999999998E-3</v>
      </c>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row>
    <row r="25" spans="1:90" s="240" customFormat="1" ht="14.25" customHeight="1">
      <c r="A25" s="267" t="s">
        <v>421</v>
      </c>
      <c r="B25" s="268"/>
      <c r="C25" s="268"/>
      <c r="D25" s="268"/>
      <c r="E25" s="269"/>
      <c r="F25" s="1377">
        <f>CO2eEF!P29</f>
        <v>1E-4</v>
      </c>
      <c r="G25" s="1378"/>
      <c r="H25" s="1546">
        <v>58.122999999999998</v>
      </c>
      <c r="I25" s="1549"/>
      <c r="J25" s="1545">
        <f>F25*H25</f>
        <v>5.8123000000000003E-3</v>
      </c>
      <c r="K25" s="1545"/>
      <c r="L25" s="1546">
        <f>J25/$J$39</f>
        <v>3.6038085491201508E-4</v>
      </c>
      <c r="M25" s="1545"/>
      <c r="N25" s="1547">
        <f>L25*$V$20</f>
        <v>3.2888966909606665E-4</v>
      </c>
      <c r="O25" s="1548"/>
      <c r="P25" s="1547">
        <f>N25*365.25*24/1000</f>
        <v>2.8830468392961202E-3</v>
      </c>
      <c r="Q25" s="1548"/>
      <c r="R25" s="263"/>
      <c r="S25" s="263"/>
      <c r="T25" s="263"/>
      <c r="U25" s="263"/>
      <c r="V25" s="263"/>
      <c r="W25" s="263"/>
      <c r="X25" s="263"/>
      <c r="Y25" s="263"/>
      <c r="Z25" s="263"/>
      <c r="AA25" s="263"/>
      <c r="AB25" s="263"/>
      <c r="AC25" s="263"/>
      <c r="AD25" s="263"/>
      <c r="AE25" s="263"/>
      <c r="AF25" s="263"/>
      <c r="AG25" s="264"/>
      <c r="AH25" s="258"/>
      <c r="AI25" s="259">
        <v>4</v>
      </c>
      <c r="AJ25" s="259">
        <v>10</v>
      </c>
      <c r="AK25" s="259"/>
      <c r="AL25" s="259"/>
      <c r="AM25" s="259"/>
      <c r="AN25" s="265">
        <f>AI25*12.01+AJ25*1.008+AK25*16+AL25*14+AM25*32</f>
        <v>58.12</v>
      </c>
      <c r="AO25" s="259">
        <f t="shared" si="1"/>
        <v>6.5</v>
      </c>
      <c r="AP25" s="266">
        <f t="shared" si="2"/>
        <v>24.452380952380956</v>
      </c>
      <c r="AQ25" s="259">
        <f t="shared" si="3"/>
        <v>4</v>
      </c>
      <c r="AR25" s="259">
        <f t="shared" si="4"/>
        <v>5</v>
      </c>
      <c r="AS25" s="266">
        <f t="shared" si="5"/>
        <v>24.452380952380956</v>
      </c>
      <c r="AT25" s="259">
        <f t="shared" si="6"/>
        <v>0</v>
      </c>
      <c r="AU25" s="258"/>
      <c r="AV25" s="238"/>
      <c r="AW25" s="238"/>
      <c r="AX25" s="238"/>
      <c r="AY25" s="238"/>
      <c r="AZ25" s="238"/>
      <c r="BA25" s="239" t="s">
        <v>648</v>
      </c>
      <c r="BB25" s="239">
        <v>8.2000000000000007E-3</v>
      </c>
      <c r="BC25" s="239">
        <v>1.6000000000000001E-3</v>
      </c>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row>
    <row r="26" spans="1:90" s="240" customFormat="1" ht="14.25" customHeight="1">
      <c r="A26" s="267" t="s">
        <v>422</v>
      </c>
      <c r="B26" s="268"/>
      <c r="C26" s="268"/>
      <c r="D26" s="268"/>
      <c r="E26" s="269"/>
      <c r="F26" s="1377">
        <f>CO2eEF!P30</f>
        <v>0</v>
      </c>
      <c r="G26" s="1378"/>
      <c r="H26" s="1299"/>
      <c r="I26" s="1301"/>
      <c r="J26" s="1300"/>
      <c r="K26" s="1300"/>
      <c r="L26" s="1299"/>
      <c r="M26" s="1300"/>
      <c r="N26" s="1299">
        <f>SUM(H26,J26,L26)*AN26</f>
        <v>0</v>
      </c>
      <c r="O26" s="1301"/>
      <c r="P26" s="1299"/>
      <c r="Q26" s="1301"/>
      <c r="R26" s="263"/>
      <c r="S26" s="263"/>
      <c r="T26" s="263" t="s">
        <v>761</v>
      </c>
      <c r="U26" s="263"/>
      <c r="V26" s="263"/>
      <c r="W26" s="263"/>
      <c r="X26" s="263"/>
      <c r="Y26" s="263"/>
      <c r="Z26" s="263"/>
      <c r="AA26" s="263"/>
      <c r="AB26" s="263"/>
      <c r="AC26" s="263"/>
      <c r="AD26" s="263"/>
      <c r="AE26" s="263"/>
      <c r="AF26" s="263"/>
      <c r="AG26" s="264"/>
      <c r="AH26" s="258"/>
      <c r="AI26" s="259">
        <v>4</v>
      </c>
      <c r="AJ26" s="259">
        <v>10</v>
      </c>
      <c r="AK26" s="259"/>
      <c r="AL26" s="259"/>
      <c r="AM26" s="259"/>
      <c r="AN26" s="265">
        <f t="shared" si="0"/>
        <v>58.12</v>
      </c>
      <c r="AO26" s="259">
        <f t="shared" si="1"/>
        <v>6.5</v>
      </c>
      <c r="AP26" s="266">
        <f t="shared" si="2"/>
        <v>24.452380952380956</v>
      </c>
      <c r="AQ26" s="259">
        <f t="shared" si="3"/>
        <v>4</v>
      </c>
      <c r="AR26" s="259">
        <f t="shared" si="4"/>
        <v>5</v>
      </c>
      <c r="AS26" s="266">
        <f t="shared" si="5"/>
        <v>24.452380952380956</v>
      </c>
      <c r="AT26" s="259">
        <f t="shared" si="6"/>
        <v>0</v>
      </c>
      <c r="AU26" s="258"/>
      <c r="AV26" s="238"/>
      <c r="AW26" s="238"/>
      <c r="AX26" s="238"/>
      <c r="AY26" s="238"/>
      <c r="AZ26" s="238"/>
      <c r="BA26" s="239" t="s">
        <v>649</v>
      </c>
      <c r="BB26" s="239">
        <v>2.0000000000000001E-4</v>
      </c>
      <c r="BC26" s="239">
        <v>0</v>
      </c>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row>
    <row r="27" spans="1:90" s="240" customFormat="1" ht="14.25" customHeight="1">
      <c r="A27" s="267" t="s">
        <v>423</v>
      </c>
      <c r="B27" s="268"/>
      <c r="C27" s="268"/>
      <c r="D27" s="268"/>
      <c r="E27" s="269"/>
      <c r="F27" s="1377">
        <f>CO2eEF!P31</f>
        <v>1E-4</v>
      </c>
      <c r="G27" s="1378"/>
      <c r="H27" s="1543">
        <v>72.150000000000006</v>
      </c>
      <c r="I27" s="1544"/>
      <c r="J27" s="1545">
        <f t="shared" ref="J27:J29" si="7">F27*H27</f>
        <v>7.2150000000000009E-3</v>
      </c>
      <c r="K27" s="1545"/>
      <c r="L27" s="1546">
        <f t="shared" ref="L27:L29" si="8">J27/$J$39</f>
        <v>4.4735266042533745E-4</v>
      </c>
      <c r="M27" s="1545"/>
      <c r="N27" s="1547">
        <f t="shared" ref="N27:N29" si="9">L27*$V$20</f>
        <v>4.0826161115704987E-4</v>
      </c>
      <c r="O27" s="1548"/>
      <c r="P27" s="1547">
        <f t="shared" ref="P27:P29" si="10">N27*365.25*24/1000</f>
        <v>3.5788212834026991E-3</v>
      </c>
      <c r="Q27" s="1548"/>
      <c r="R27" s="263"/>
      <c r="S27" s="263"/>
      <c r="T27" s="263"/>
      <c r="U27" s="263"/>
      <c r="V27" s="263"/>
      <c r="W27" s="263"/>
      <c r="X27" s="263"/>
      <c r="Y27" s="263"/>
      <c r="Z27" s="263"/>
      <c r="AA27" s="263"/>
      <c r="AB27" s="263"/>
      <c r="AC27" s="263"/>
      <c r="AD27" s="263"/>
      <c r="AE27" s="263"/>
      <c r="AF27" s="263"/>
      <c r="AG27" s="264"/>
      <c r="AH27" s="258"/>
      <c r="AI27" s="259">
        <v>5</v>
      </c>
      <c r="AJ27" s="259">
        <v>12</v>
      </c>
      <c r="AK27" s="259"/>
      <c r="AL27" s="259"/>
      <c r="AM27" s="259"/>
      <c r="AN27" s="265">
        <f t="shared" si="0"/>
        <v>72.146000000000001</v>
      </c>
      <c r="AO27" s="259">
        <f t="shared" si="1"/>
        <v>8</v>
      </c>
      <c r="AP27" s="266">
        <f t="shared" si="2"/>
        <v>30.095238095238098</v>
      </c>
      <c r="AQ27" s="259">
        <f t="shared" si="3"/>
        <v>5</v>
      </c>
      <c r="AR27" s="259">
        <f t="shared" si="4"/>
        <v>6</v>
      </c>
      <c r="AS27" s="266">
        <f t="shared" si="5"/>
        <v>30.095238095238098</v>
      </c>
      <c r="AT27" s="259">
        <f t="shared" si="6"/>
        <v>0</v>
      </c>
      <c r="AU27" s="258"/>
      <c r="AV27" s="238"/>
      <c r="AW27" s="238"/>
      <c r="AX27" s="238"/>
      <c r="AY27" s="238"/>
      <c r="AZ27" s="238"/>
      <c r="BA27" s="239" t="s">
        <v>650</v>
      </c>
      <c r="BB27" s="239">
        <v>8.8999999999999999E-3</v>
      </c>
      <c r="BC27" s="239">
        <v>1.9E-3</v>
      </c>
      <c r="BD27" s="238"/>
      <c r="BE27" s="238"/>
      <c r="BF27" s="238"/>
      <c r="BG27" s="238"/>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row>
    <row r="28" spans="1:90" s="240" customFormat="1" ht="14.25" customHeight="1">
      <c r="A28" s="267" t="s">
        <v>424</v>
      </c>
      <c r="B28" s="268"/>
      <c r="C28" s="268"/>
      <c r="D28" s="268"/>
      <c r="E28" s="269"/>
      <c r="F28" s="1377">
        <f>CO2eEF!P33</f>
        <v>1E-4</v>
      </c>
      <c r="G28" s="1378"/>
      <c r="H28" s="1543">
        <v>72.150000000000006</v>
      </c>
      <c r="I28" s="1544"/>
      <c r="J28" s="1545">
        <f t="shared" si="7"/>
        <v>7.2150000000000009E-3</v>
      </c>
      <c r="K28" s="1545"/>
      <c r="L28" s="1546">
        <f t="shared" si="8"/>
        <v>4.4735266042533745E-4</v>
      </c>
      <c r="M28" s="1545"/>
      <c r="N28" s="1547">
        <f t="shared" si="9"/>
        <v>4.0826161115704987E-4</v>
      </c>
      <c r="O28" s="1548"/>
      <c r="P28" s="1547">
        <f t="shared" si="10"/>
        <v>3.5788212834026991E-3</v>
      </c>
      <c r="Q28" s="1548"/>
      <c r="R28" s="263"/>
      <c r="S28" s="263"/>
      <c r="T28" s="1528"/>
      <c r="U28" s="1184"/>
      <c r="V28" s="1184"/>
      <c r="W28" s="1184"/>
      <c r="X28" s="1184"/>
      <c r="Y28" s="1184"/>
      <c r="Z28" s="1184"/>
      <c r="AA28" s="1184"/>
      <c r="AB28" s="1184"/>
      <c r="AC28" s="1184"/>
      <c r="AD28" s="1184"/>
      <c r="AE28" s="1184"/>
      <c r="AF28" s="263"/>
      <c r="AG28" s="264"/>
      <c r="AH28" s="258"/>
      <c r="AI28" s="259">
        <v>5</v>
      </c>
      <c r="AJ28" s="259">
        <v>12</v>
      </c>
      <c r="AK28" s="259"/>
      <c r="AL28" s="259"/>
      <c r="AM28" s="259"/>
      <c r="AN28" s="265">
        <f t="shared" si="0"/>
        <v>72.146000000000001</v>
      </c>
      <c r="AO28" s="259">
        <f t="shared" si="1"/>
        <v>8</v>
      </c>
      <c r="AP28" s="266">
        <f t="shared" si="2"/>
        <v>30.095238095238098</v>
      </c>
      <c r="AQ28" s="259">
        <f t="shared" si="3"/>
        <v>5</v>
      </c>
      <c r="AR28" s="259">
        <f t="shared" si="4"/>
        <v>6</v>
      </c>
      <c r="AS28" s="266">
        <f t="shared" si="5"/>
        <v>30.095238095238098</v>
      </c>
      <c r="AT28" s="259">
        <f t="shared" si="6"/>
        <v>0</v>
      </c>
      <c r="AU28" s="258"/>
      <c r="AV28" s="238"/>
      <c r="AW28" s="238"/>
      <c r="AX28" s="238"/>
      <c r="AY28" s="238"/>
      <c r="AZ28" s="238"/>
      <c r="BA28" s="239" t="s">
        <v>651</v>
      </c>
      <c r="BB28" s="239">
        <v>2.0000000000000001E-4</v>
      </c>
      <c r="BC28" s="239">
        <v>2.9999999999999997E-4</v>
      </c>
      <c r="BD28" s="238"/>
      <c r="BE28" s="238"/>
      <c r="BF28" s="238"/>
      <c r="BG28" s="238"/>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row>
    <row r="29" spans="1:90" s="240" customFormat="1" ht="14.25" customHeight="1">
      <c r="A29" s="267" t="s">
        <v>721</v>
      </c>
      <c r="B29" s="268"/>
      <c r="C29" s="268"/>
      <c r="D29" s="268"/>
      <c r="E29" s="269"/>
      <c r="F29" s="1377">
        <f>1-(SUM(F18:F28)+SUM(F30:G38))</f>
        <v>2.00000000000089E-4</v>
      </c>
      <c r="G29" s="1378"/>
      <c r="H29" s="1546">
        <v>86.177000000000007</v>
      </c>
      <c r="I29" s="1549"/>
      <c r="J29" s="1545">
        <f t="shared" si="7"/>
        <v>1.7235400000007672E-2</v>
      </c>
      <c r="K29" s="1545"/>
      <c r="L29" s="1546">
        <f t="shared" si="8"/>
        <v>1.0686489318777951E-3</v>
      </c>
      <c r="M29" s="1545"/>
      <c r="N29" s="1547">
        <f t="shared" si="9"/>
        <v>9.7526710643650017E-4</v>
      </c>
      <c r="O29" s="1548"/>
      <c r="P29" s="1547">
        <f t="shared" si="10"/>
        <v>8.5491914550223595E-3</v>
      </c>
      <c r="Q29" s="1548"/>
      <c r="R29" s="263"/>
      <c r="S29" s="263"/>
      <c r="T29" s="1184"/>
      <c r="U29" s="1184"/>
      <c r="V29" s="1184"/>
      <c r="W29" s="1184"/>
      <c r="X29" s="1184"/>
      <c r="Y29" s="1184"/>
      <c r="Z29" s="1184"/>
      <c r="AA29" s="1184"/>
      <c r="AB29" s="1184"/>
      <c r="AC29" s="1184"/>
      <c r="AD29" s="1184"/>
      <c r="AE29" s="1184"/>
      <c r="AF29" s="263"/>
      <c r="AG29" s="264"/>
      <c r="AH29" s="258"/>
      <c r="AI29" s="259">
        <v>6</v>
      </c>
      <c r="AJ29" s="259">
        <v>14</v>
      </c>
      <c r="AK29" s="259"/>
      <c r="AL29" s="259"/>
      <c r="AM29" s="259"/>
      <c r="AN29" s="265">
        <f t="shared" si="0"/>
        <v>86.171999999999997</v>
      </c>
      <c r="AO29" s="259">
        <f t="shared" si="1"/>
        <v>9.5</v>
      </c>
      <c r="AP29" s="266">
        <f t="shared" si="2"/>
        <v>35.738095238095241</v>
      </c>
      <c r="AQ29" s="259">
        <f t="shared" si="3"/>
        <v>6</v>
      </c>
      <c r="AR29" s="259">
        <f t="shared" si="4"/>
        <v>7</v>
      </c>
      <c r="AS29" s="266">
        <f t="shared" si="5"/>
        <v>35.738095238095241</v>
      </c>
      <c r="AT29" s="259">
        <f t="shared" si="6"/>
        <v>0</v>
      </c>
      <c r="AU29" s="258"/>
      <c r="AV29" s="238"/>
      <c r="AW29" s="238"/>
      <c r="AX29" s="238"/>
      <c r="AY29" s="238"/>
      <c r="AZ29" s="238"/>
      <c r="BA29" s="239" t="s">
        <v>652</v>
      </c>
      <c r="BB29" s="239">
        <v>0</v>
      </c>
      <c r="BC29" s="239">
        <v>5.0000000000000001E-4</v>
      </c>
      <c r="BD29" s="238"/>
      <c r="BE29" s="238"/>
      <c r="BF29" s="238"/>
      <c r="BG29" s="238"/>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row>
    <row r="30" spans="1:90" s="240" customFormat="1" ht="14.25" customHeight="1">
      <c r="A30" s="267" t="s">
        <v>426</v>
      </c>
      <c r="B30" s="268"/>
      <c r="C30" s="268"/>
      <c r="D30" s="268"/>
      <c r="E30" s="269"/>
      <c r="F30" s="1377">
        <v>0</v>
      </c>
      <c r="G30" s="1378"/>
      <c r="H30" s="1299"/>
      <c r="I30" s="1301"/>
      <c r="J30" s="1300"/>
      <c r="K30" s="1300"/>
      <c r="L30" s="1299"/>
      <c r="M30" s="1300"/>
      <c r="N30" s="1299">
        <f>SUM(H30,J30,L30)*AN30</f>
        <v>0</v>
      </c>
      <c r="O30" s="1301"/>
      <c r="P30" s="1299"/>
      <c r="Q30" s="1301"/>
      <c r="R30" s="263"/>
      <c r="S30" s="263"/>
      <c r="T30" s="1184"/>
      <c r="U30" s="1184"/>
      <c r="V30" s="1184"/>
      <c r="W30" s="1184"/>
      <c r="X30" s="1184"/>
      <c r="Y30" s="1184"/>
      <c r="Z30" s="1184"/>
      <c r="AA30" s="1184"/>
      <c r="AB30" s="1184"/>
      <c r="AC30" s="1184"/>
      <c r="AD30" s="1184"/>
      <c r="AE30" s="1184"/>
      <c r="AF30" s="263"/>
      <c r="AG30" s="264"/>
      <c r="AH30" s="258"/>
      <c r="AI30" s="259"/>
      <c r="AJ30" s="259"/>
      <c r="AK30" s="259"/>
      <c r="AL30" s="259"/>
      <c r="AM30" s="259"/>
      <c r="AN30" s="265">
        <v>4.0030000000000001</v>
      </c>
      <c r="AO30" s="259"/>
      <c r="AP30" s="266"/>
      <c r="AQ30" s="259"/>
      <c r="AR30" s="259"/>
      <c r="AS30" s="266"/>
      <c r="AT30" s="259"/>
      <c r="AU30" s="258"/>
      <c r="AV30" s="238"/>
      <c r="AW30" s="238"/>
      <c r="AX30" s="238"/>
      <c r="AY30" s="238"/>
      <c r="AZ30" s="238"/>
      <c r="BA30" s="239" t="s">
        <v>653</v>
      </c>
      <c r="BB30" s="239">
        <v>0</v>
      </c>
      <c r="BC30" s="239">
        <v>1E-4</v>
      </c>
      <c r="BD30" s="238"/>
      <c r="BE30" s="238"/>
      <c r="BF30" s="238"/>
      <c r="BG30" s="238"/>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row>
    <row r="31" spans="1:90" s="240" customFormat="1" ht="14.25" customHeight="1">
      <c r="A31" s="267" t="s">
        <v>427</v>
      </c>
      <c r="B31" s="268"/>
      <c r="C31" s="268"/>
      <c r="D31" s="268"/>
      <c r="E31" s="269"/>
      <c r="F31" s="1377">
        <v>0</v>
      </c>
      <c r="G31" s="1378"/>
      <c r="H31" s="1299"/>
      <c r="I31" s="1301"/>
      <c r="J31" s="1300"/>
      <c r="K31" s="1300"/>
      <c r="L31" s="1299"/>
      <c r="M31" s="1300"/>
      <c r="N31" s="1299">
        <f>SUM(H31,J31,L31)*AN31</f>
        <v>0</v>
      </c>
      <c r="O31" s="1301"/>
      <c r="P31" s="1299"/>
      <c r="Q31" s="1301"/>
      <c r="R31" s="263"/>
      <c r="S31" s="263"/>
      <c r="T31" s="1184"/>
      <c r="U31" s="1184"/>
      <c r="V31" s="1184"/>
      <c r="W31" s="1184"/>
      <c r="X31" s="1184"/>
      <c r="Y31" s="1184"/>
      <c r="Z31" s="1184"/>
      <c r="AA31" s="1184"/>
      <c r="AB31" s="1184"/>
      <c r="AC31" s="1184"/>
      <c r="AD31" s="1184"/>
      <c r="AE31" s="1184"/>
      <c r="AF31" s="263"/>
      <c r="AG31" s="264"/>
      <c r="AH31" s="258"/>
      <c r="AI31" s="259"/>
      <c r="AJ31" s="259">
        <v>2</v>
      </c>
      <c r="AK31" s="259"/>
      <c r="AL31" s="259"/>
      <c r="AM31" s="259">
        <v>1</v>
      </c>
      <c r="AN31" s="265">
        <f t="shared" si="0"/>
        <v>34.015999999999998</v>
      </c>
      <c r="AO31" s="259">
        <f t="shared" si="1"/>
        <v>1.5</v>
      </c>
      <c r="AP31" s="266">
        <f t="shared" si="2"/>
        <v>5.6428571428571432</v>
      </c>
      <c r="AQ31" s="259">
        <f t="shared" si="3"/>
        <v>0</v>
      </c>
      <c r="AR31" s="259">
        <f t="shared" si="4"/>
        <v>1</v>
      </c>
      <c r="AS31" s="266">
        <f t="shared" si="5"/>
        <v>5.6428571428571432</v>
      </c>
      <c r="AT31" s="259">
        <f t="shared" si="6"/>
        <v>1</v>
      </c>
      <c r="AU31" s="258"/>
      <c r="AV31" s="238"/>
      <c r="AW31" s="238"/>
      <c r="AX31" s="238"/>
      <c r="AY31" s="238"/>
      <c r="AZ31" s="238"/>
      <c r="BA31" s="239" t="s">
        <v>654</v>
      </c>
      <c r="BB31" s="239">
        <v>0</v>
      </c>
      <c r="BC31" s="239">
        <v>4.0000000000000002E-4</v>
      </c>
      <c r="BD31" s="238"/>
      <c r="BE31" s="238"/>
      <c r="BF31" s="238"/>
      <c r="BG31" s="238"/>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row>
    <row r="32" spans="1:90" s="240" customFormat="1" ht="14.25" customHeight="1">
      <c r="A32" s="267" t="s">
        <v>428</v>
      </c>
      <c r="B32" s="268"/>
      <c r="C32" s="268"/>
      <c r="D32" s="268"/>
      <c r="E32" s="269"/>
      <c r="F32" s="1377">
        <v>0</v>
      </c>
      <c r="G32" s="1378"/>
      <c r="H32" s="1299"/>
      <c r="I32" s="1301"/>
      <c r="J32" s="1300"/>
      <c r="K32" s="1300"/>
      <c r="L32" s="1299">
        <v>0</v>
      </c>
      <c r="M32" s="1300"/>
      <c r="N32" s="1299">
        <f>SUM(H32,J32,L32)*AN32</f>
        <v>0</v>
      </c>
      <c r="O32" s="1301"/>
      <c r="P32" s="1299"/>
      <c r="Q32" s="1301"/>
      <c r="R32" s="263"/>
      <c r="S32" s="263"/>
      <c r="T32" s="1184"/>
      <c r="U32" s="1184"/>
      <c r="V32" s="1184"/>
      <c r="W32" s="1184"/>
      <c r="X32" s="1184"/>
      <c r="Y32" s="1184"/>
      <c r="Z32" s="1184"/>
      <c r="AA32" s="1184"/>
      <c r="AB32" s="1184"/>
      <c r="AC32" s="1184"/>
      <c r="AD32" s="1184"/>
      <c r="AE32" s="1184"/>
      <c r="AF32" s="263"/>
      <c r="AG32" s="264"/>
      <c r="AH32" s="258"/>
      <c r="AI32" s="259"/>
      <c r="AJ32" s="259"/>
      <c r="AK32" s="259">
        <v>2</v>
      </c>
      <c r="AL32" s="259"/>
      <c r="AM32" s="259"/>
      <c r="AN32" s="265">
        <f t="shared" si="0"/>
        <v>32</v>
      </c>
      <c r="AO32" s="259">
        <f t="shared" si="1"/>
        <v>0</v>
      </c>
      <c r="AP32" s="266">
        <f t="shared" si="2"/>
        <v>0</v>
      </c>
      <c r="AQ32" s="259">
        <f t="shared" si="3"/>
        <v>0</v>
      </c>
      <c r="AR32" s="259">
        <f t="shared" si="4"/>
        <v>0</v>
      </c>
      <c r="AS32" s="266">
        <f t="shared" si="5"/>
        <v>0</v>
      </c>
      <c r="AT32" s="259">
        <f t="shared" si="6"/>
        <v>0</v>
      </c>
      <c r="AU32" s="258"/>
      <c r="AV32" s="238"/>
      <c r="AW32" s="238"/>
      <c r="AX32" s="238"/>
      <c r="AY32" s="238"/>
      <c r="AZ32" s="238"/>
      <c r="BA32" s="239" t="s">
        <v>655</v>
      </c>
      <c r="BB32" s="239">
        <v>0</v>
      </c>
      <c r="BC32" s="239">
        <v>2.0000000000000001E-4</v>
      </c>
      <c r="BD32" s="238"/>
      <c r="BE32" s="238"/>
      <c r="BF32" s="238"/>
      <c r="BG32" s="238"/>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row>
    <row r="33" spans="1:90" s="240" customFormat="1" ht="14.25" customHeight="1">
      <c r="A33" s="267" t="s">
        <v>429</v>
      </c>
      <c r="B33" s="268"/>
      <c r="C33" s="268"/>
      <c r="D33" s="268"/>
      <c r="E33" s="269"/>
      <c r="F33" s="1377">
        <f>CO2eEF!P24</f>
        <v>1.5E-3</v>
      </c>
      <c r="G33" s="1378"/>
      <c r="H33" s="1547">
        <v>28.013500000000001</v>
      </c>
      <c r="I33" s="1548"/>
      <c r="J33" s="1545">
        <f t="shared" ref="J33" si="11">F33*H33</f>
        <v>4.2020250000000002E-2</v>
      </c>
      <c r="K33" s="1545"/>
      <c r="L33" s="1546">
        <f t="shared" ref="L33" si="12">J33/$J$39</f>
        <v>2.6053874745998315E-3</v>
      </c>
      <c r="M33" s="1545"/>
      <c r="N33" s="1547">
        <f t="shared" ref="N33" si="13">L33*$V$20</f>
        <v>2.3777207160390885E-3</v>
      </c>
      <c r="O33" s="1548"/>
      <c r="P33" s="1547">
        <f t="shared" ref="P33" si="14">N33*365.25*24/1000</f>
        <v>2.0843099796798648E-2</v>
      </c>
      <c r="Q33" s="1548"/>
      <c r="R33" s="263"/>
      <c r="S33" s="263"/>
      <c r="T33" s="1184"/>
      <c r="U33" s="1184"/>
      <c r="V33" s="1184"/>
      <c r="W33" s="1184"/>
      <c r="X33" s="1184"/>
      <c r="Y33" s="1184"/>
      <c r="Z33" s="1184"/>
      <c r="AA33" s="1184"/>
      <c r="AB33" s="1184"/>
      <c r="AC33" s="1184"/>
      <c r="AD33" s="1184"/>
      <c r="AE33" s="1184"/>
      <c r="AF33" s="263"/>
      <c r="AG33" s="264"/>
      <c r="AH33" s="258"/>
      <c r="AI33" s="259"/>
      <c r="AJ33" s="259"/>
      <c r="AK33" s="259"/>
      <c r="AL33" s="259">
        <v>2</v>
      </c>
      <c r="AM33" s="259"/>
      <c r="AN33" s="265">
        <f t="shared" si="0"/>
        <v>28</v>
      </c>
      <c r="AO33" s="259">
        <f t="shared" si="1"/>
        <v>0</v>
      </c>
      <c r="AP33" s="266">
        <f t="shared" si="2"/>
        <v>0</v>
      </c>
      <c r="AQ33" s="259">
        <f t="shared" si="3"/>
        <v>0</v>
      </c>
      <c r="AR33" s="259">
        <f t="shared" si="4"/>
        <v>0</v>
      </c>
      <c r="AS33" s="266">
        <f t="shared" si="5"/>
        <v>1</v>
      </c>
      <c r="AT33" s="259">
        <f t="shared" si="6"/>
        <v>0</v>
      </c>
      <c r="AU33" s="258"/>
      <c r="AV33" s="238"/>
      <c r="AW33" s="238"/>
      <c r="AX33" s="238"/>
      <c r="AY33" s="238"/>
      <c r="AZ33" s="238"/>
      <c r="BA33" s="239" t="s">
        <v>656</v>
      </c>
      <c r="BB33" s="239">
        <v>1.5E-3</v>
      </c>
      <c r="BC33" s="239">
        <v>0</v>
      </c>
      <c r="BD33" s="238"/>
      <c r="BE33" s="238"/>
      <c r="BF33" s="238"/>
      <c r="BG33" s="238"/>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row>
    <row r="34" spans="1:90" s="240" customFormat="1" ht="14.25" customHeight="1">
      <c r="A34" s="267" t="s">
        <v>115</v>
      </c>
      <c r="B34" s="268"/>
      <c r="C34" s="268"/>
      <c r="D34" s="268"/>
      <c r="E34" s="269"/>
      <c r="F34" s="1377">
        <v>0</v>
      </c>
      <c r="G34" s="1378"/>
      <c r="H34" s="1299"/>
      <c r="I34" s="1301"/>
      <c r="J34" s="1300"/>
      <c r="K34" s="1300"/>
      <c r="L34" s="1299"/>
      <c r="M34" s="1300"/>
      <c r="N34" s="1299">
        <f>SUM(H34,J34,L34)*AN34</f>
        <v>0</v>
      </c>
      <c r="O34" s="1301"/>
      <c r="P34" s="1299"/>
      <c r="Q34" s="1301"/>
      <c r="R34" s="263"/>
      <c r="S34" s="263"/>
      <c r="T34" s="1184"/>
      <c r="U34" s="1184"/>
      <c r="V34" s="1184"/>
      <c r="W34" s="1184"/>
      <c r="X34" s="1184"/>
      <c r="Y34" s="1184"/>
      <c r="Z34" s="1184"/>
      <c r="AA34" s="1184"/>
      <c r="AB34" s="1184"/>
      <c r="AC34" s="1184"/>
      <c r="AD34" s="1184"/>
      <c r="AE34" s="1184"/>
      <c r="AF34" s="263"/>
      <c r="AG34" s="264"/>
      <c r="AH34" s="258"/>
      <c r="AI34" s="258">
        <v>1</v>
      </c>
      <c r="AJ34" s="258"/>
      <c r="AK34" s="258">
        <v>1</v>
      </c>
      <c r="AL34" s="258"/>
      <c r="AM34" s="258"/>
      <c r="AN34" s="265">
        <f t="shared" si="0"/>
        <v>28.009999999999998</v>
      </c>
      <c r="AO34" s="259"/>
      <c r="AP34" s="258"/>
      <c r="AQ34" s="258"/>
      <c r="AR34" s="258"/>
      <c r="AS34" s="258"/>
      <c r="AT34" s="258"/>
      <c r="AU34" s="258"/>
      <c r="AV34" s="238"/>
      <c r="AW34" s="238"/>
      <c r="AX34" s="238"/>
      <c r="AY34" s="238"/>
      <c r="AZ34" s="238"/>
      <c r="BA34" s="239" t="s">
        <v>657</v>
      </c>
      <c r="BB34" s="239">
        <v>1E-4</v>
      </c>
      <c r="BC34" s="239">
        <v>0</v>
      </c>
      <c r="BD34" s="238"/>
      <c r="BE34" s="238"/>
      <c r="BF34" s="238"/>
      <c r="BG34" s="238"/>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row>
    <row r="35" spans="1:90" s="240" customFormat="1" ht="14.25" customHeight="1">
      <c r="A35" s="267" t="s">
        <v>126</v>
      </c>
      <c r="B35" s="268"/>
      <c r="C35" s="268"/>
      <c r="D35" s="268"/>
      <c r="E35" s="269"/>
      <c r="F35" s="1377">
        <f>CO2eEF!P25</f>
        <v>8.0000000000000004E-4</v>
      </c>
      <c r="G35" s="1378"/>
      <c r="H35" s="1543">
        <v>44.01</v>
      </c>
      <c r="I35" s="1544"/>
      <c r="J35" s="1545">
        <f t="shared" ref="J35" si="15">F35*H35</f>
        <v>3.5208000000000003E-2</v>
      </c>
      <c r="K35" s="1545"/>
      <c r="L35" s="1546">
        <f t="shared" ref="L35" si="16">J35/$J$39</f>
        <v>2.1830065791067612E-3</v>
      </c>
      <c r="M35" s="1545"/>
      <c r="N35" s="1547">
        <f t="shared" ref="N35" si="17">L35*$V$20</f>
        <v>1.9922487603073339E-3</v>
      </c>
      <c r="O35" s="1548"/>
      <c r="P35" s="1547">
        <f t="shared" ref="P35" si="18">N35*365.25*24/1000</f>
        <v>1.7464052632854089E-2</v>
      </c>
      <c r="Q35" s="1548"/>
      <c r="R35" s="263"/>
      <c r="S35" s="263"/>
      <c r="T35" s="1184"/>
      <c r="U35" s="1184"/>
      <c r="V35" s="1184"/>
      <c r="W35" s="1184"/>
      <c r="X35" s="1184"/>
      <c r="Y35" s="1184"/>
      <c r="Z35" s="1184"/>
      <c r="AA35" s="1184"/>
      <c r="AB35" s="1184"/>
      <c r="AC35" s="1184"/>
      <c r="AD35" s="1184"/>
      <c r="AE35" s="1184"/>
      <c r="AF35" s="263"/>
      <c r="AG35" s="264"/>
      <c r="AH35" s="258"/>
      <c r="AI35" s="259">
        <v>1</v>
      </c>
      <c r="AJ35" s="259"/>
      <c r="AK35" s="259">
        <v>2</v>
      </c>
      <c r="AL35" s="259"/>
      <c r="AM35" s="259"/>
      <c r="AN35" s="265">
        <f>AI35*12.01+AJ35*1.008+AK35*16+AL35*14+AM35*32</f>
        <v>44.01</v>
      </c>
      <c r="AO35" s="259"/>
      <c r="AP35" s="259"/>
      <c r="AQ35" s="259"/>
      <c r="AR35" s="259"/>
      <c r="AS35" s="259"/>
      <c r="AT35" s="259"/>
      <c r="AU35" s="258"/>
      <c r="AV35" s="238"/>
      <c r="AW35" s="238"/>
      <c r="AX35" s="238"/>
      <c r="AY35" s="238"/>
      <c r="AZ35" s="238"/>
      <c r="BA35" s="239" t="s">
        <v>658</v>
      </c>
      <c r="BB35" s="239">
        <v>0</v>
      </c>
      <c r="BC35" s="239">
        <v>0</v>
      </c>
      <c r="BD35" s="238"/>
      <c r="BE35" s="238"/>
      <c r="BF35" s="238"/>
      <c r="BG35" s="238"/>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row>
    <row r="36" spans="1:90" s="240" customFormat="1" ht="14.25" customHeight="1">
      <c r="A36" s="267" t="s">
        <v>430</v>
      </c>
      <c r="B36" s="268"/>
      <c r="C36" s="268"/>
      <c r="D36" s="268"/>
      <c r="E36" s="269"/>
      <c r="F36" s="1377">
        <v>0</v>
      </c>
      <c r="G36" s="1378"/>
      <c r="H36" s="1299"/>
      <c r="I36" s="1301"/>
      <c r="J36" s="1300"/>
      <c r="K36" s="1300"/>
      <c r="L36" s="1299"/>
      <c r="M36" s="1300"/>
      <c r="N36" s="1299">
        <f>SUM(H36,J36,L36)*AN36</f>
        <v>0</v>
      </c>
      <c r="O36" s="1301"/>
      <c r="P36" s="1299"/>
      <c r="Q36" s="1301"/>
      <c r="R36" s="263"/>
      <c r="S36" s="263"/>
      <c r="T36" s="1184"/>
      <c r="U36" s="1184"/>
      <c r="V36" s="1184"/>
      <c r="W36" s="1184"/>
      <c r="X36" s="1184"/>
      <c r="Y36" s="1184"/>
      <c r="Z36" s="1184"/>
      <c r="AA36" s="1184"/>
      <c r="AB36" s="1184"/>
      <c r="AC36" s="1184"/>
      <c r="AD36" s="1184"/>
      <c r="AE36" s="1184"/>
      <c r="AF36" s="263"/>
      <c r="AG36" s="264"/>
      <c r="AH36" s="258"/>
      <c r="AI36" s="258"/>
      <c r="AJ36" s="258"/>
      <c r="AK36" s="258">
        <v>2</v>
      </c>
      <c r="AL36" s="258">
        <v>1</v>
      </c>
      <c r="AM36" s="258"/>
      <c r="AN36" s="265">
        <f>AI36*12.01+AJ36*1.008+AK36*16+AL36*14+AM36*32</f>
        <v>46</v>
      </c>
      <c r="AO36" s="259"/>
      <c r="AP36" s="258"/>
      <c r="AQ36" s="258"/>
      <c r="AR36" s="258"/>
      <c r="AS36" s="258"/>
      <c r="AT36" s="258"/>
      <c r="AU36" s="258"/>
      <c r="AV36" s="238"/>
      <c r="AW36" s="238"/>
      <c r="AX36" s="238"/>
      <c r="AY36" s="238"/>
      <c r="AZ36" s="238"/>
      <c r="BA36" s="239" t="s">
        <v>659</v>
      </c>
      <c r="BB36" s="239">
        <v>0</v>
      </c>
      <c r="BC36" s="239">
        <v>0</v>
      </c>
      <c r="BD36" s="238"/>
      <c r="BE36" s="238"/>
      <c r="BF36" s="238"/>
      <c r="BG36" s="238"/>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row>
    <row r="37" spans="1:90" s="240" customFormat="1" ht="14.25" customHeight="1">
      <c r="A37" s="267" t="s">
        <v>124</v>
      </c>
      <c r="B37" s="268"/>
      <c r="C37" s="268"/>
      <c r="D37" s="268"/>
      <c r="E37" s="269"/>
      <c r="F37" s="1377">
        <v>0</v>
      </c>
      <c r="G37" s="1378"/>
      <c r="H37" s="1299"/>
      <c r="I37" s="1301"/>
      <c r="J37" s="1300"/>
      <c r="K37" s="1300"/>
      <c r="L37" s="1299"/>
      <c r="M37" s="1300"/>
      <c r="N37" s="1299">
        <f>SUM(H37,J37,L37)*AN37</f>
        <v>0</v>
      </c>
      <c r="O37" s="1301"/>
      <c r="P37" s="1299"/>
      <c r="Q37" s="1301"/>
      <c r="R37" s="263"/>
      <c r="S37" s="263"/>
      <c r="T37" s="263"/>
      <c r="U37" s="263"/>
      <c r="V37" s="263"/>
      <c r="W37" s="263"/>
      <c r="X37" s="263"/>
      <c r="Y37" s="263"/>
      <c r="Z37" s="263"/>
      <c r="AA37" s="263"/>
      <c r="AB37" s="263"/>
      <c r="AC37" s="263"/>
      <c r="AD37" s="263"/>
      <c r="AE37" s="263"/>
      <c r="AF37" s="263"/>
      <c r="AG37" s="264"/>
      <c r="AH37" s="258"/>
      <c r="AI37" s="258"/>
      <c r="AJ37" s="258"/>
      <c r="AK37" s="258">
        <v>2</v>
      </c>
      <c r="AL37" s="258"/>
      <c r="AM37" s="258">
        <v>1</v>
      </c>
      <c r="AN37" s="265">
        <f>AI37*12.01+AJ37*1.008+AK37*16+AL37*14+AM37*32</f>
        <v>64</v>
      </c>
      <c r="AO37" s="259"/>
      <c r="AP37" s="258"/>
      <c r="AQ37" s="258"/>
      <c r="AR37" s="258"/>
      <c r="AS37" s="258"/>
      <c r="AT37" s="258"/>
      <c r="AU37" s="258"/>
      <c r="AV37" s="238"/>
      <c r="AW37" s="238"/>
      <c r="AX37" s="238"/>
      <c r="AY37" s="238"/>
      <c r="AZ37" s="238"/>
      <c r="BA37" s="239" t="s">
        <v>660</v>
      </c>
      <c r="BB37" s="239">
        <v>0</v>
      </c>
      <c r="BC37" s="239">
        <v>0</v>
      </c>
      <c r="BD37" s="238"/>
      <c r="BE37" s="238"/>
      <c r="BF37" s="238"/>
      <c r="BG37" s="238"/>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row>
    <row r="38" spans="1:90" s="240" customFormat="1" ht="14.25" customHeight="1">
      <c r="A38" s="273" t="s">
        <v>431</v>
      </c>
      <c r="B38" s="274"/>
      <c r="C38" s="274"/>
      <c r="D38" s="274"/>
      <c r="E38" s="274"/>
      <c r="F38" s="1377">
        <f>CO2eEF!P47</f>
        <v>0</v>
      </c>
      <c r="G38" s="1378"/>
      <c r="H38" s="1299"/>
      <c r="I38" s="1301"/>
      <c r="J38" s="1384"/>
      <c r="K38" s="1384"/>
      <c r="L38" s="1382"/>
      <c r="M38" s="1384"/>
      <c r="N38" s="1299">
        <f>SUM(H38,J38,L38)*AN38</f>
        <v>0</v>
      </c>
      <c r="O38" s="1301"/>
      <c r="P38" s="1299"/>
      <c r="Q38" s="1301"/>
      <c r="R38" s="263"/>
      <c r="S38" s="263"/>
      <c r="T38" s="263"/>
      <c r="U38" s="263"/>
      <c r="V38" s="263"/>
      <c r="W38" s="263"/>
      <c r="X38" s="263"/>
      <c r="Y38" s="263"/>
      <c r="Z38" s="263"/>
      <c r="AA38" s="263"/>
      <c r="AB38" s="263"/>
      <c r="AC38" s="263"/>
      <c r="AD38" s="263"/>
      <c r="AE38" s="263"/>
      <c r="AF38" s="263"/>
      <c r="AG38" s="264"/>
      <c r="AH38" s="258"/>
      <c r="AI38" s="258"/>
      <c r="AJ38" s="258">
        <v>2</v>
      </c>
      <c r="AK38" s="258">
        <v>1</v>
      </c>
      <c r="AL38" s="258"/>
      <c r="AM38" s="258"/>
      <c r="AN38" s="265">
        <f>AI38*12.01+AJ38*1.008+AK38*16+AL38*14+AM38*32</f>
        <v>18.015999999999998</v>
      </c>
      <c r="AO38" s="259"/>
      <c r="AP38" s="258"/>
      <c r="AQ38" s="258"/>
      <c r="AR38" s="258"/>
      <c r="AS38" s="258"/>
      <c r="AT38" s="258"/>
      <c r="AU38" s="258"/>
      <c r="AV38" s="238"/>
      <c r="AW38" s="238"/>
      <c r="AX38" s="238"/>
      <c r="AY38" s="238"/>
      <c r="AZ38" s="238"/>
      <c r="BA38" s="239" t="s">
        <v>661</v>
      </c>
      <c r="BB38" s="239">
        <v>0</v>
      </c>
      <c r="BC38" s="239">
        <v>0</v>
      </c>
      <c r="BD38" s="238"/>
      <c r="BE38" s="238"/>
      <c r="BF38" s="238"/>
      <c r="BG38" s="238"/>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row>
    <row r="39" spans="1:90" s="240" customFormat="1" ht="14.25" customHeight="1">
      <c r="A39" s="1391" t="s">
        <v>663</v>
      </c>
      <c r="B39" s="1392"/>
      <c r="C39" s="1392"/>
      <c r="D39" s="1392"/>
      <c r="E39" s="1393"/>
      <c r="F39" s="1394">
        <f>SUM(F18:F38)</f>
        <v>1</v>
      </c>
      <c r="G39" s="1395"/>
      <c r="H39" s="1371">
        <v>6106.1389961389959</v>
      </c>
      <c r="I39" s="1373"/>
      <c r="J39" s="1395">
        <f>SUM(J18:K38)</f>
        <v>16.128215250000004</v>
      </c>
      <c r="K39" s="1395"/>
      <c r="L39" s="1371">
        <v>0</v>
      </c>
      <c r="M39" s="1372"/>
      <c r="N39" s="1394">
        <f>SUM(N18:O38)</f>
        <v>0.9126169290440338</v>
      </c>
      <c r="O39" s="1551"/>
      <c r="P39" s="1552">
        <f>SUM(P19:Q38)</f>
        <v>7.9999999999999982</v>
      </c>
      <c r="Q39" s="1553"/>
      <c r="R39" s="275"/>
      <c r="S39" s="275"/>
      <c r="T39" s="30"/>
      <c r="U39" s="30"/>
      <c r="V39" s="276"/>
      <c r="W39" s="276"/>
      <c r="X39" s="30"/>
      <c r="Y39" s="30"/>
      <c r="Z39" s="277"/>
      <c r="AA39" s="277"/>
      <c r="AB39" s="263"/>
      <c r="AC39" s="263"/>
      <c r="AD39" s="30"/>
      <c r="AE39" s="30"/>
      <c r="AF39" s="277"/>
      <c r="AG39" s="278"/>
      <c r="AH39" s="238"/>
      <c r="AI39" s="238"/>
      <c r="AJ39" s="238"/>
      <c r="AK39" s="238"/>
      <c r="AL39" s="238"/>
      <c r="AM39" s="238"/>
      <c r="AN39" s="238"/>
      <c r="AO39" s="238"/>
      <c r="AP39" s="238"/>
      <c r="AQ39" s="238"/>
      <c r="AR39" s="238"/>
      <c r="AS39" s="238"/>
      <c r="AT39" s="238"/>
      <c r="AU39" s="238"/>
      <c r="AV39" s="238"/>
      <c r="AW39" s="238"/>
      <c r="AX39" s="238"/>
      <c r="AY39" s="238"/>
      <c r="AZ39" s="238"/>
      <c r="BA39" s="239" t="s">
        <v>662</v>
      </c>
      <c r="BB39" s="239">
        <v>0</v>
      </c>
      <c r="BC39" s="239">
        <v>0</v>
      </c>
      <c r="BD39" s="238"/>
      <c r="BE39" s="238"/>
      <c r="BF39" s="238"/>
      <c r="BG39" s="238"/>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row>
    <row r="40" spans="1:90" s="240" customFormat="1" ht="14.25" customHeight="1">
      <c r="A40" s="279" t="s">
        <v>749</v>
      </c>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280"/>
      <c r="AH40" s="238"/>
      <c r="AI40" s="238"/>
      <c r="AJ40" s="238"/>
      <c r="AK40" s="281"/>
      <c r="AL40" s="238"/>
      <c r="AM40" s="238"/>
      <c r="AN40" s="238"/>
      <c r="AO40" s="238"/>
      <c r="AP40" s="238"/>
      <c r="AQ40" s="238"/>
      <c r="AR40" s="238"/>
      <c r="AS40" s="238"/>
      <c r="AT40" s="238"/>
      <c r="AU40" s="238"/>
      <c r="AV40" s="238"/>
      <c r="AW40" s="238"/>
      <c r="AX40" s="238"/>
      <c r="AY40" s="238"/>
      <c r="AZ40" s="238"/>
      <c r="BA40" s="239"/>
      <c r="BB40" s="239"/>
      <c r="BC40" s="239"/>
      <c r="BD40" s="238"/>
      <c r="BE40" s="238"/>
      <c r="BF40" s="238"/>
      <c r="BG40" s="238"/>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row>
    <row r="41" spans="1:90" s="240" customFormat="1" ht="14.25" customHeight="1">
      <c r="A41" s="282" t="s">
        <v>31</v>
      </c>
      <c r="B41" s="31" t="s">
        <v>751</v>
      </c>
      <c r="C41" s="30"/>
      <c r="D41" s="30"/>
      <c r="E41" s="30"/>
      <c r="F41" s="30"/>
      <c r="G41" s="30"/>
      <c r="H41" s="30"/>
      <c r="I41" s="30"/>
      <c r="J41" s="30"/>
      <c r="K41" s="30"/>
      <c r="L41" s="30"/>
      <c r="M41" s="30"/>
      <c r="N41" s="283"/>
      <c r="O41" s="283"/>
      <c r="P41" s="283"/>
      <c r="Q41" s="30"/>
      <c r="R41" s="30"/>
      <c r="S41" s="30"/>
      <c r="T41" s="30"/>
      <c r="U41" s="30"/>
      <c r="V41" s="30"/>
      <c r="W41" s="30"/>
      <c r="X41" s="30"/>
      <c r="Y41" s="30"/>
      <c r="Z41" s="30"/>
      <c r="AA41" s="30"/>
      <c r="AB41" s="30"/>
      <c r="AC41" s="30"/>
      <c r="AD41" s="30"/>
      <c r="AE41" s="30"/>
      <c r="AF41" s="30"/>
      <c r="AG41" s="253"/>
      <c r="AH41" s="238"/>
      <c r="AI41" s="238"/>
      <c r="AJ41" s="238"/>
      <c r="AK41" s="238"/>
      <c r="AL41" s="238"/>
      <c r="AM41" s="238"/>
      <c r="AN41" s="238"/>
      <c r="AO41" s="238"/>
      <c r="AP41" s="238"/>
      <c r="AQ41" s="238"/>
      <c r="AR41" s="238"/>
      <c r="AS41" s="238"/>
      <c r="AT41" s="238"/>
      <c r="AU41" s="238"/>
      <c r="AV41" s="238"/>
      <c r="AW41" s="238"/>
      <c r="AX41" s="238"/>
      <c r="AY41" s="238"/>
      <c r="AZ41" s="238"/>
      <c r="BA41" s="239" t="s">
        <v>679</v>
      </c>
      <c r="BB41" s="239">
        <v>0</v>
      </c>
      <c r="BC41" s="239">
        <v>0</v>
      </c>
      <c r="BD41" s="238"/>
      <c r="BE41" s="238"/>
      <c r="BF41" s="238"/>
      <c r="BG41" s="238"/>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row>
    <row r="42" spans="1:90" ht="14.25" customHeight="1">
      <c r="A42" s="282" t="s">
        <v>33</v>
      </c>
      <c r="B42" s="284" t="s">
        <v>726</v>
      </c>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6"/>
      <c r="AH42" s="243"/>
      <c r="AI42" s="243"/>
      <c r="AJ42" s="243"/>
      <c r="AK42" s="243"/>
      <c r="AL42" s="243"/>
      <c r="AM42" s="243"/>
      <c r="AN42" s="243"/>
      <c r="AO42" s="243"/>
      <c r="AP42" s="243"/>
      <c r="AQ42" s="243"/>
      <c r="AR42" s="243"/>
      <c r="AS42" s="243"/>
      <c r="AT42" s="243"/>
      <c r="AU42" s="243"/>
      <c r="AV42" s="243"/>
      <c r="AW42" s="243"/>
      <c r="AX42" s="243"/>
      <c r="AY42" s="243"/>
      <c r="AZ42" s="243"/>
      <c r="BA42" s="246" t="s">
        <v>681</v>
      </c>
      <c r="BB42" s="246">
        <v>0</v>
      </c>
      <c r="BC42" s="246">
        <v>0</v>
      </c>
      <c r="BD42" s="243"/>
      <c r="BE42" s="243"/>
      <c r="BF42" s="243"/>
      <c r="BG42" s="243"/>
      <c r="BH42" s="243"/>
      <c r="BI42" s="243"/>
      <c r="BJ42" s="243"/>
      <c r="BK42" s="243"/>
      <c r="BL42" s="243"/>
      <c r="BM42" s="243"/>
      <c r="BN42" s="243"/>
      <c r="BO42" s="243"/>
      <c r="BP42" s="243"/>
      <c r="BQ42" s="243"/>
      <c r="BR42" s="243"/>
      <c r="BS42" s="243"/>
      <c r="BT42" s="243"/>
      <c r="BU42" s="243"/>
      <c r="BV42" s="243"/>
      <c r="BW42" s="243"/>
      <c r="BX42" s="243"/>
      <c r="BY42" s="243"/>
      <c r="BZ42" s="243"/>
      <c r="CA42" s="243"/>
      <c r="CB42" s="243"/>
      <c r="CC42" s="243"/>
      <c r="CD42" s="243"/>
      <c r="CE42" s="243"/>
      <c r="CF42" s="243"/>
      <c r="CG42" s="243"/>
      <c r="CH42" s="243"/>
      <c r="CI42" s="243"/>
      <c r="CJ42" s="243"/>
      <c r="CK42" s="243"/>
      <c r="CL42" s="243"/>
    </row>
    <row r="43" spans="1:90" ht="14.25" customHeight="1">
      <c r="A43" s="282" t="s">
        <v>752</v>
      </c>
      <c r="B43" s="284"/>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5"/>
      <c r="AA43" s="285"/>
      <c r="AB43" s="285"/>
      <c r="AC43" s="285"/>
      <c r="AD43" s="285"/>
      <c r="AE43" s="285"/>
      <c r="AF43" s="285"/>
      <c r="AG43" s="286"/>
      <c r="AH43" s="243"/>
      <c r="AI43" s="243"/>
      <c r="AJ43" s="243"/>
      <c r="AK43" s="243"/>
      <c r="AL43" s="243"/>
      <c r="AM43" s="243"/>
      <c r="AN43" s="243"/>
      <c r="AO43" s="243"/>
      <c r="AP43" s="243"/>
      <c r="AQ43" s="243"/>
      <c r="AR43" s="243"/>
      <c r="AS43" s="243"/>
      <c r="AT43" s="243"/>
      <c r="AU43" s="243"/>
      <c r="AV43" s="243"/>
      <c r="AW43" s="243"/>
      <c r="AX43" s="243"/>
      <c r="AY43" s="243"/>
      <c r="AZ43" s="243"/>
      <c r="BA43" s="246" t="s">
        <v>684</v>
      </c>
      <c r="BB43" s="246">
        <v>0</v>
      </c>
      <c r="BC43" s="246">
        <v>0</v>
      </c>
      <c r="BD43" s="243"/>
      <c r="BE43" s="243"/>
      <c r="BF43" s="243"/>
      <c r="BG43" s="243"/>
      <c r="BH43" s="243"/>
      <c r="BI43" s="243"/>
      <c r="BJ43" s="243"/>
      <c r="BK43" s="243"/>
      <c r="BL43" s="243"/>
      <c r="BM43" s="243"/>
      <c r="BN43" s="243"/>
      <c r="BO43" s="243"/>
      <c r="BP43" s="243"/>
      <c r="BQ43" s="243"/>
      <c r="BR43" s="243"/>
      <c r="BS43" s="243"/>
      <c r="BT43" s="243"/>
      <c r="BU43" s="243"/>
      <c r="BV43" s="243"/>
      <c r="BW43" s="243"/>
      <c r="BX43" s="243"/>
      <c r="BY43" s="243"/>
      <c r="BZ43" s="243"/>
      <c r="CA43" s="243"/>
      <c r="CB43" s="243"/>
      <c r="CC43" s="243"/>
      <c r="CD43" s="243"/>
      <c r="CE43" s="243"/>
      <c r="CF43" s="243"/>
      <c r="CG43" s="243"/>
      <c r="CH43" s="243"/>
      <c r="CI43" s="243"/>
      <c r="CJ43" s="243"/>
      <c r="CK43" s="243"/>
      <c r="CL43" s="243"/>
    </row>
    <row r="44" spans="1:90" ht="14.25">
      <c r="A44" s="282" t="s">
        <v>38</v>
      </c>
      <c r="B44" s="284"/>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6"/>
      <c r="AH44" s="243"/>
      <c r="AI44" s="243"/>
      <c r="AJ44" s="243"/>
      <c r="AK44" s="243"/>
      <c r="AL44" s="243"/>
      <c r="AM44" s="243"/>
      <c r="AN44" s="243"/>
      <c r="AO44" s="243"/>
      <c r="AP44" s="243"/>
      <c r="AQ44" s="243"/>
      <c r="AR44" s="243"/>
      <c r="AS44" s="243"/>
      <c r="AT44" s="243"/>
      <c r="AU44" s="243"/>
      <c r="AV44" s="243"/>
      <c r="AW44" s="243"/>
      <c r="AX44" s="243"/>
      <c r="AY44" s="243"/>
      <c r="AZ44" s="243"/>
      <c r="BA44" s="246"/>
      <c r="BB44" s="246"/>
      <c r="BC44" s="246"/>
      <c r="BD44" s="243"/>
      <c r="BE44" s="243"/>
      <c r="BF44" s="243"/>
      <c r="BG44" s="243"/>
      <c r="BH44" s="243"/>
      <c r="BI44" s="243"/>
      <c r="BJ44" s="243"/>
      <c r="BK44" s="243"/>
      <c r="BL44" s="243"/>
      <c r="BM44" s="243"/>
      <c r="BN44" s="243"/>
      <c r="BO44" s="243"/>
      <c r="BP44" s="243"/>
      <c r="BQ44" s="243"/>
      <c r="BR44" s="243"/>
      <c r="BS44" s="243"/>
      <c r="BT44" s="243"/>
      <c r="BU44" s="243"/>
      <c r="BV44" s="243"/>
      <c r="BW44" s="243"/>
      <c r="BX44" s="243"/>
      <c r="BY44" s="243"/>
      <c r="BZ44" s="243"/>
      <c r="CA44" s="243"/>
      <c r="CB44" s="243"/>
      <c r="CC44" s="243"/>
      <c r="CD44" s="243"/>
      <c r="CE44" s="243"/>
      <c r="CF44" s="243"/>
      <c r="CG44" s="243"/>
      <c r="CH44" s="243"/>
      <c r="CI44" s="243"/>
      <c r="CJ44" s="243"/>
      <c r="CK44" s="243"/>
      <c r="CL44" s="243"/>
    </row>
    <row r="45" spans="1:90" ht="14.25">
      <c r="A45" s="282" t="s">
        <v>41</v>
      </c>
      <c r="B45" s="284"/>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43"/>
      <c r="AI45" s="243"/>
      <c r="AJ45" s="243"/>
      <c r="AK45" s="243"/>
      <c r="AL45" s="243"/>
      <c r="AM45" s="243"/>
      <c r="AN45" s="243"/>
      <c r="AO45" s="243"/>
      <c r="AP45" s="243"/>
      <c r="AQ45" s="243"/>
      <c r="AR45" s="243"/>
      <c r="AS45" s="243"/>
      <c r="AT45" s="243"/>
      <c r="AU45" s="243"/>
      <c r="AV45" s="243"/>
      <c r="AW45" s="243"/>
      <c r="AX45" s="243"/>
      <c r="AY45" s="243"/>
      <c r="AZ45" s="243"/>
      <c r="BA45" s="246" t="s">
        <v>688</v>
      </c>
      <c r="BB45" s="246">
        <v>0</v>
      </c>
      <c r="BC45" s="246">
        <v>0</v>
      </c>
      <c r="BD45" s="243"/>
      <c r="BE45" s="243"/>
      <c r="BF45" s="243"/>
      <c r="BG45" s="243"/>
      <c r="BH45" s="243"/>
      <c r="BI45" s="243"/>
      <c r="BJ45" s="243"/>
      <c r="BK45" s="243"/>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row>
    <row r="46" spans="1:90">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288"/>
      <c r="AF46" s="288"/>
      <c r="AG46" s="289"/>
      <c r="AH46" s="289"/>
      <c r="AI46" s="289"/>
      <c r="AJ46" s="289"/>
      <c r="AK46" s="289"/>
      <c r="AL46" s="289"/>
      <c r="AM46" s="289"/>
      <c r="AN46" s="243"/>
      <c r="AO46" s="243"/>
      <c r="AP46" s="243"/>
      <c r="AQ46" s="243"/>
      <c r="AR46" s="243"/>
      <c r="AS46" s="243"/>
      <c r="AT46" s="243"/>
      <c r="AU46" s="243"/>
      <c r="AV46" s="243"/>
      <c r="AW46" s="243"/>
      <c r="AX46" s="243"/>
      <c r="AY46" s="243"/>
      <c r="AZ46" s="243"/>
      <c r="BA46" s="246" t="s">
        <v>690</v>
      </c>
      <c r="BB46" s="246">
        <v>2.9999999999999997E-4</v>
      </c>
      <c r="BC46" s="246">
        <v>0</v>
      </c>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row>
    <row r="47" spans="1:90">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9"/>
      <c r="AH47" s="289"/>
      <c r="AI47" s="289"/>
      <c r="AJ47" s="289"/>
      <c r="AK47" s="289"/>
      <c r="AL47" s="289"/>
      <c r="AM47" s="289"/>
      <c r="AN47" s="243"/>
      <c r="AO47" s="243"/>
      <c r="AP47" s="243"/>
      <c r="AQ47" s="243"/>
      <c r="AR47" s="243"/>
      <c r="AS47" s="243"/>
      <c r="AT47" s="243"/>
      <c r="AU47" s="243"/>
      <c r="AV47" s="243"/>
      <c r="AW47" s="243"/>
      <c r="AX47" s="243"/>
      <c r="AY47" s="243"/>
      <c r="AZ47" s="243"/>
      <c r="BA47" s="246" t="s">
        <v>691</v>
      </c>
      <c r="BB47" s="246">
        <v>0</v>
      </c>
      <c r="BC47" s="246">
        <v>0</v>
      </c>
      <c r="BD47" s="243"/>
      <c r="BE47" s="243"/>
      <c r="BF47" s="243"/>
      <c r="BG47" s="243"/>
      <c r="BH47" s="243"/>
      <c r="BI47" s="243"/>
      <c r="BJ47" s="243"/>
      <c r="BK47" s="243"/>
      <c r="BL47" s="243"/>
      <c r="BM47" s="243"/>
      <c r="BN47" s="243"/>
      <c r="BO47" s="243"/>
      <c r="BP47" s="243"/>
      <c r="BQ47" s="243"/>
      <c r="BR47" s="243"/>
      <c r="BS47" s="243"/>
      <c r="BT47" s="243"/>
      <c r="BU47" s="243"/>
      <c r="BV47" s="243"/>
      <c r="BW47" s="243"/>
      <c r="BX47" s="243"/>
      <c r="BY47" s="243"/>
      <c r="BZ47" s="243"/>
      <c r="CA47" s="243"/>
      <c r="CB47" s="243"/>
      <c r="CC47" s="243"/>
      <c r="CD47" s="243"/>
      <c r="CE47" s="243"/>
      <c r="CF47" s="243"/>
      <c r="CG47" s="243"/>
      <c r="CH47" s="243"/>
      <c r="CI47" s="243"/>
      <c r="CJ47" s="243"/>
      <c r="CK47" s="243"/>
      <c r="CL47" s="243"/>
    </row>
    <row r="48" spans="1:90">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9"/>
      <c r="AH48" s="289"/>
      <c r="AI48" s="289"/>
      <c r="AJ48" s="289"/>
      <c r="AK48" s="289"/>
      <c r="AL48" s="289"/>
      <c r="AM48" s="289"/>
      <c r="AN48" s="243"/>
      <c r="AO48" s="243"/>
      <c r="AP48" s="243"/>
      <c r="AQ48" s="243"/>
      <c r="AR48" s="243"/>
      <c r="AS48" s="243"/>
      <c r="AT48" s="243"/>
      <c r="AU48" s="243"/>
      <c r="AV48" s="243"/>
      <c r="AW48" s="243"/>
      <c r="AX48" s="243"/>
      <c r="AY48" s="243"/>
      <c r="AZ48" s="243"/>
      <c r="BA48" s="246" t="s">
        <v>692</v>
      </c>
      <c r="BB48" s="246">
        <v>0</v>
      </c>
      <c r="BC48" s="246">
        <v>0</v>
      </c>
      <c r="BD48" s="243"/>
      <c r="BE48" s="243"/>
      <c r="BF48" s="243"/>
      <c r="BG48" s="243"/>
      <c r="BH48" s="243"/>
      <c r="BI48" s="243"/>
      <c r="BJ48" s="243"/>
      <c r="BK48" s="243"/>
      <c r="BL48" s="243"/>
      <c r="BM48" s="243"/>
      <c r="BN48" s="243"/>
      <c r="BO48" s="243"/>
      <c r="BP48" s="243"/>
      <c r="BQ48" s="243"/>
      <c r="BR48" s="243"/>
      <c r="BS48" s="243"/>
      <c r="BT48" s="243"/>
      <c r="BU48" s="243"/>
      <c r="BV48" s="243"/>
      <c r="BW48" s="243"/>
      <c r="BX48" s="243"/>
      <c r="BY48" s="243"/>
      <c r="BZ48" s="243"/>
      <c r="CA48" s="243"/>
      <c r="CB48" s="243"/>
      <c r="CC48" s="243"/>
      <c r="CD48" s="243"/>
      <c r="CE48" s="243"/>
      <c r="CF48" s="243"/>
      <c r="CG48" s="243"/>
      <c r="CH48" s="243"/>
      <c r="CI48" s="243"/>
      <c r="CJ48" s="243"/>
      <c r="CK48" s="243"/>
      <c r="CL48" s="243"/>
    </row>
    <row r="49" spans="1:90">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9"/>
      <c r="AH49" s="289"/>
      <c r="AI49" s="289"/>
      <c r="AJ49" s="289"/>
      <c r="AK49" s="289"/>
      <c r="AL49" s="289"/>
      <c r="AM49" s="289"/>
      <c r="AN49" s="243"/>
      <c r="AO49" s="243"/>
      <c r="AP49" s="243"/>
      <c r="AQ49" s="243"/>
      <c r="AR49" s="243"/>
      <c r="AS49" s="243"/>
      <c r="AT49" s="243"/>
      <c r="AU49" s="243"/>
      <c r="AV49" s="243"/>
      <c r="AW49" s="243"/>
      <c r="AX49" s="243"/>
      <c r="AY49" s="243"/>
      <c r="AZ49" s="243"/>
      <c r="BA49" s="246" t="s">
        <v>693</v>
      </c>
      <c r="BB49" s="246">
        <v>0</v>
      </c>
      <c r="BC49" s="246">
        <v>0</v>
      </c>
      <c r="BD49" s="243"/>
      <c r="BE49" s="243"/>
      <c r="BF49" s="243"/>
      <c r="BG49" s="243"/>
      <c r="BH49" s="243"/>
      <c r="BI49" s="243"/>
      <c r="BJ49" s="243"/>
      <c r="BK49" s="243"/>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row>
    <row r="50" spans="1:90">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9"/>
      <c r="AH50" s="289"/>
      <c r="AI50" s="289"/>
      <c r="AJ50" s="289"/>
      <c r="AK50" s="289"/>
      <c r="AL50" s="289"/>
      <c r="AM50" s="289"/>
      <c r="AN50" s="243"/>
      <c r="AO50" s="243"/>
      <c r="AP50" s="243"/>
      <c r="AQ50" s="243"/>
      <c r="AR50" s="243"/>
      <c r="AS50" s="243"/>
      <c r="AT50" s="243"/>
      <c r="AU50" s="243"/>
      <c r="AV50" s="243"/>
      <c r="AW50" s="243"/>
      <c r="AX50" s="243"/>
      <c r="AY50" s="243"/>
      <c r="AZ50" s="243"/>
      <c r="BA50" s="246" t="s">
        <v>694</v>
      </c>
      <c r="BB50" s="246">
        <v>0</v>
      </c>
      <c r="BC50" s="246">
        <v>0</v>
      </c>
      <c r="BD50" s="243"/>
      <c r="BE50" s="243"/>
      <c r="BF50" s="243"/>
      <c r="BG50" s="243"/>
      <c r="BH50" s="243"/>
      <c r="BI50" s="243"/>
      <c r="BJ50" s="243"/>
      <c r="BK50" s="243"/>
      <c r="BL50" s="243"/>
      <c r="BM50" s="243"/>
      <c r="BN50" s="243"/>
      <c r="BO50" s="243"/>
      <c r="BP50" s="243"/>
      <c r="BQ50" s="243"/>
      <c r="BR50" s="243"/>
      <c r="BS50" s="243"/>
      <c r="BT50" s="243"/>
      <c r="BU50" s="243"/>
      <c r="BV50" s="243"/>
      <c r="BW50" s="243"/>
      <c r="BX50" s="243"/>
      <c r="BY50" s="243"/>
      <c r="BZ50" s="243"/>
      <c r="CA50" s="243"/>
      <c r="CB50" s="243"/>
      <c r="CC50" s="243"/>
      <c r="CD50" s="243"/>
      <c r="CE50" s="243"/>
      <c r="CF50" s="243"/>
      <c r="CG50" s="243"/>
      <c r="CH50" s="243"/>
      <c r="CI50" s="243"/>
      <c r="CJ50" s="243"/>
      <c r="CK50" s="243"/>
      <c r="CL50" s="243"/>
    </row>
    <row r="51" spans="1:90">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9"/>
      <c r="AH51" s="289"/>
      <c r="AI51" s="289"/>
      <c r="AJ51" s="289"/>
      <c r="AK51" s="289"/>
      <c r="AL51" s="289"/>
      <c r="AM51" s="289"/>
      <c r="AN51" s="243"/>
      <c r="AO51" s="243"/>
      <c r="AP51" s="243"/>
      <c r="AQ51" s="243"/>
      <c r="AR51" s="243"/>
      <c r="AS51" s="243"/>
      <c r="AT51" s="243"/>
      <c r="AU51" s="243"/>
      <c r="AV51" s="243"/>
      <c r="AW51" s="243"/>
      <c r="AX51" s="243"/>
      <c r="AY51" s="243"/>
      <c r="AZ51" s="243"/>
      <c r="BA51" s="246" t="s">
        <v>695</v>
      </c>
      <c r="BB51" s="246">
        <v>0</v>
      </c>
      <c r="BC51" s="246">
        <v>0</v>
      </c>
      <c r="BD51" s="243"/>
      <c r="BE51" s="243"/>
      <c r="BF51" s="243"/>
      <c r="BG51" s="243"/>
      <c r="BH51" s="243"/>
      <c r="BI51" s="243"/>
      <c r="BJ51" s="243"/>
      <c r="BK51" s="243"/>
      <c r="BL51" s="243"/>
      <c r="BM51" s="243"/>
      <c r="BN51" s="243"/>
      <c r="BO51" s="243"/>
      <c r="BP51" s="243"/>
      <c r="BQ51" s="243"/>
      <c r="BR51" s="243"/>
      <c r="BS51" s="243"/>
      <c r="BT51" s="243"/>
      <c r="BU51" s="243"/>
      <c r="BV51" s="243"/>
      <c r="BW51" s="243"/>
      <c r="BX51" s="243"/>
      <c r="BY51" s="243"/>
      <c r="BZ51" s="243"/>
      <c r="CA51" s="243"/>
      <c r="CB51" s="243"/>
      <c r="CC51" s="243"/>
      <c r="CD51" s="243"/>
      <c r="CE51" s="243"/>
      <c r="CF51" s="243"/>
      <c r="CG51" s="243"/>
      <c r="CH51" s="243"/>
      <c r="CI51" s="243"/>
      <c r="CJ51" s="243"/>
      <c r="CK51" s="243"/>
      <c r="CL51" s="243"/>
    </row>
    <row r="52" spans="1:90">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9"/>
      <c r="AH52" s="289"/>
      <c r="AI52" s="289"/>
      <c r="AJ52" s="289"/>
      <c r="AK52" s="289"/>
      <c r="AL52" s="289"/>
      <c r="AM52" s="289"/>
      <c r="AN52" s="243"/>
      <c r="AO52" s="243"/>
      <c r="AP52" s="243"/>
      <c r="AQ52" s="243"/>
      <c r="AR52" s="243"/>
      <c r="AS52" s="243"/>
      <c r="AT52" s="243"/>
      <c r="AU52" s="243"/>
      <c r="AV52" s="243"/>
      <c r="AW52" s="243"/>
      <c r="AX52" s="243"/>
      <c r="AY52" s="243"/>
      <c r="AZ52" s="243"/>
      <c r="BA52" s="246" t="s">
        <v>696</v>
      </c>
      <c r="BB52" s="246">
        <v>0</v>
      </c>
      <c r="BC52" s="246">
        <v>0</v>
      </c>
      <c r="BD52" s="243"/>
      <c r="BE52" s="243"/>
      <c r="BF52" s="243"/>
      <c r="BG52" s="243"/>
      <c r="BH52" s="243"/>
      <c r="BI52" s="243"/>
      <c r="BJ52" s="243"/>
      <c r="BK52" s="243"/>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row>
    <row r="53" spans="1:90" s="290" customFormat="1">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9"/>
      <c r="AH53" s="289"/>
      <c r="AI53" s="289"/>
      <c r="AJ53" s="289"/>
      <c r="AK53" s="289"/>
      <c r="AL53" s="289"/>
      <c r="AM53" s="289"/>
      <c r="AN53" s="243"/>
      <c r="AO53" s="243"/>
      <c r="AP53" s="243"/>
      <c r="AQ53" s="243"/>
      <c r="AR53" s="243"/>
      <c r="AS53" s="243"/>
      <c r="AT53" s="243"/>
      <c r="AU53" s="243"/>
      <c r="AV53" s="243"/>
      <c r="AW53" s="243"/>
      <c r="AX53" s="243"/>
      <c r="AY53" s="243"/>
      <c r="AZ53" s="243"/>
      <c r="BA53" s="246" t="s">
        <v>697</v>
      </c>
      <c r="BB53" s="246">
        <v>0</v>
      </c>
      <c r="BC53" s="246">
        <v>0</v>
      </c>
      <c r="BD53" s="243"/>
      <c r="BE53" s="243"/>
      <c r="BF53" s="243"/>
      <c r="BG53" s="243"/>
      <c r="BH53" s="243"/>
      <c r="BI53" s="243"/>
      <c r="BJ53" s="243"/>
      <c r="BK53" s="243"/>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row>
    <row r="54" spans="1:90" s="290" customFormat="1">
      <c r="A54" s="288"/>
      <c r="B54" s="288"/>
      <c r="C54" s="288"/>
      <c r="D54" s="288"/>
      <c r="E54" s="288"/>
      <c r="F54" s="288"/>
      <c r="G54" s="288"/>
      <c r="H54" s="288"/>
      <c r="I54" s="288"/>
      <c r="J54" s="288"/>
      <c r="K54" s="288"/>
      <c r="L54" s="288"/>
      <c r="M54" s="288"/>
      <c r="N54" s="288"/>
      <c r="O54" s="263"/>
      <c r="P54" s="288"/>
      <c r="Q54" s="288"/>
      <c r="R54" s="288"/>
      <c r="S54" s="288"/>
      <c r="T54" s="288"/>
      <c r="U54" s="288"/>
      <c r="V54" s="288"/>
      <c r="W54" s="288"/>
      <c r="X54" s="288"/>
      <c r="Y54" s="288"/>
      <c r="Z54" s="288"/>
      <c r="AA54" s="288"/>
      <c r="AB54" s="288"/>
      <c r="AC54" s="288"/>
      <c r="AD54" s="288"/>
      <c r="AE54" s="288"/>
      <c r="AF54" s="288"/>
      <c r="AG54" s="289"/>
      <c r="AH54" s="289"/>
      <c r="AI54" s="289"/>
      <c r="AJ54" s="289"/>
      <c r="AK54" s="289"/>
      <c r="AL54" s="289"/>
      <c r="AM54" s="289"/>
      <c r="AN54" s="243"/>
      <c r="AO54" s="243"/>
      <c r="AP54" s="243"/>
      <c r="AQ54" s="243"/>
      <c r="AR54" s="243"/>
      <c r="AS54" s="243"/>
      <c r="AT54" s="243"/>
      <c r="AU54" s="243"/>
      <c r="AV54" s="243"/>
      <c r="AW54" s="243"/>
      <c r="AX54" s="243"/>
      <c r="AY54" s="243"/>
      <c r="AZ54" s="243"/>
      <c r="BA54" s="246" t="s">
        <v>431</v>
      </c>
      <c r="BB54" s="246">
        <v>1E-4</v>
      </c>
      <c r="BC54" s="246">
        <v>0.17530000000000001</v>
      </c>
      <c r="BD54" s="243"/>
      <c r="BE54" s="243"/>
      <c r="BF54" s="243"/>
      <c r="BG54" s="243"/>
      <c r="BH54" s="243"/>
      <c r="BI54" s="243"/>
      <c r="BJ54" s="243"/>
      <c r="BK54" s="243"/>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row>
    <row r="55" spans="1:90" s="290" customFormat="1">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9"/>
      <c r="AH55" s="289"/>
      <c r="AI55" s="289"/>
      <c r="AJ55" s="289"/>
      <c r="AK55" s="289"/>
      <c r="AL55" s="289"/>
      <c r="AM55" s="289"/>
      <c r="AN55" s="243"/>
      <c r="AO55" s="243"/>
      <c r="AP55" s="243"/>
      <c r="AQ55" s="243"/>
      <c r="AR55" s="243"/>
      <c r="AS55" s="243"/>
      <c r="AT55" s="243"/>
      <c r="AU55" s="243"/>
      <c r="AV55" s="243"/>
      <c r="AW55" s="243"/>
      <c r="AX55" s="243"/>
      <c r="AY55" s="243"/>
      <c r="AZ55" s="243"/>
      <c r="BA55" s="243"/>
      <c r="BB55" s="246"/>
      <c r="BC55" s="246"/>
      <c r="BD55" s="243"/>
      <c r="BE55" s="243"/>
      <c r="BF55" s="243"/>
      <c r="BG55" s="243"/>
      <c r="BH55" s="243"/>
      <c r="BI55" s="243"/>
      <c r="BJ55" s="243"/>
      <c r="BK55" s="243"/>
      <c r="BL55" s="243"/>
      <c r="BM55" s="243"/>
      <c r="BN55" s="243"/>
      <c r="BO55" s="243"/>
      <c r="BP55" s="243"/>
      <c r="BQ55" s="243"/>
      <c r="BR55" s="243"/>
      <c r="BS55" s="243"/>
      <c r="BT55" s="243"/>
      <c r="BU55" s="243"/>
      <c r="BV55" s="243"/>
      <c r="BW55" s="243"/>
      <c r="BX55" s="243"/>
      <c r="BY55" s="243"/>
      <c r="BZ55" s="243"/>
      <c r="CA55" s="243"/>
      <c r="CB55" s="243"/>
      <c r="CC55" s="243"/>
      <c r="CD55" s="243"/>
      <c r="CE55" s="243"/>
      <c r="CF55" s="243"/>
      <c r="CG55" s="243"/>
      <c r="CH55" s="243"/>
      <c r="CI55" s="243"/>
      <c r="CJ55" s="243"/>
      <c r="CK55" s="243"/>
      <c r="CL55" s="243"/>
    </row>
    <row r="56" spans="1:90" s="290" customFormat="1">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9"/>
      <c r="AH56" s="289"/>
      <c r="AI56" s="289"/>
      <c r="AJ56" s="289"/>
      <c r="AK56" s="289"/>
      <c r="AL56" s="289"/>
      <c r="AM56" s="289"/>
      <c r="AN56" s="243"/>
      <c r="AO56" s="243"/>
      <c r="AP56" s="243"/>
      <c r="AQ56" s="243"/>
      <c r="AR56" s="243"/>
      <c r="AS56" s="243"/>
      <c r="AT56" s="243"/>
      <c r="AU56" s="243"/>
      <c r="AV56" s="243"/>
      <c r="AW56" s="243"/>
      <c r="AX56" s="243"/>
      <c r="AY56" s="243"/>
      <c r="AZ56" s="243"/>
      <c r="BA56" s="243"/>
      <c r="BB56" s="246"/>
      <c r="BC56" s="246"/>
      <c r="BD56" s="243"/>
      <c r="BE56" s="243"/>
      <c r="BF56" s="243"/>
      <c r="BG56" s="243"/>
      <c r="BH56" s="243"/>
      <c r="BI56" s="243"/>
      <c r="BJ56" s="243"/>
      <c r="BK56" s="243"/>
      <c r="BL56" s="243"/>
      <c r="BM56" s="243"/>
      <c r="BN56" s="243"/>
      <c r="BO56" s="243"/>
      <c r="BP56" s="243"/>
      <c r="BQ56" s="243"/>
      <c r="BR56" s="243"/>
      <c r="BS56" s="243"/>
      <c r="BT56" s="243"/>
      <c r="BU56" s="243"/>
      <c r="BV56" s="243"/>
      <c r="BW56" s="243"/>
      <c r="BX56" s="243"/>
      <c r="BY56" s="243"/>
      <c r="BZ56" s="243"/>
      <c r="CA56" s="243"/>
      <c r="CB56" s="243"/>
      <c r="CC56" s="243"/>
      <c r="CD56" s="243"/>
      <c r="CE56" s="243"/>
      <c r="CF56" s="243"/>
      <c r="CG56" s="243"/>
      <c r="CH56" s="243"/>
      <c r="CI56" s="243"/>
      <c r="CJ56" s="243"/>
      <c r="CK56" s="243"/>
      <c r="CL56" s="243"/>
    </row>
    <row r="57" spans="1:90" s="290" customFormat="1">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88"/>
      <c r="AE57" s="288"/>
      <c r="AF57" s="288"/>
      <c r="AG57" s="289"/>
      <c r="AH57" s="289"/>
      <c r="AI57" s="289"/>
      <c r="AJ57" s="289"/>
      <c r="AK57" s="289"/>
      <c r="AL57" s="289"/>
      <c r="AM57" s="289"/>
      <c r="AN57" s="243"/>
      <c r="AO57" s="243"/>
      <c r="AP57" s="243"/>
      <c r="AQ57" s="243"/>
      <c r="AR57" s="243"/>
      <c r="AS57" s="243"/>
      <c r="AT57" s="243"/>
      <c r="AU57" s="243"/>
      <c r="AV57" s="243"/>
      <c r="AW57" s="243"/>
      <c r="AX57" s="243"/>
      <c r="AY57" s="243"/>
      <c r="AZ57" s="243"/>
      <c r="BA57" s="243"/>
      <c r="BB57" s="246"/>
      <c r="BC57" s="246"/>
      <c r="BD57" s="243"/>
      <c r="BE57" s="243"/>
      <c r="BF57" s="243"/>
      <c r="BG57" s="243"/>
      <c r="BH57" s="243"/>
      <c r="BI57" s="243"/>
      <c r="BJ57" s="243"/>
      <c r="BK57" s="243"/>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row>
    <row r="58" spans="1:90" s="290" customFormat="1">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9"/>
      <c r="AH58" s="289"/>
      <c r="AI58" s="289"/>
      <c r="AJ58" s="289"/>
      <c r="AK58" s="289"/>
      <c r="AL58" s="289"/>
      <c r="AM58" s="289"/>
      <c r="AN58" s="243"/>
      <c r="AO58" s="243"/>
      <c r="AP58" s="243"/>
      <c r="AQ58" s="243"/>
      <c r="AR58" s="243"/>
      <c r="AS58" s="243"/>
      <c r="AT58" s="243"/>
      <c r="AU58" s="243"/>
      <c r="AV58" s="243"/>
      <c r="AW58" s="243"/>
      <c r="AX58" s="243"/>
      <c r="AY58" s="243"/>
      <c r="AZ58" s="243"/>
      <c r="BA58" s="243"/>
      <c r="BB58" s="246"/>
      <c r="BC58" s="246"/>
      <c r="BD58" s="243"/>
      <c r="BE58" s="243"/>
      <c r="BF58" s="243"/>
      <c r="BG58" s="243"/>
      <c r="BH58" s="243"/>
      <c r="BI58" s="243"/>
      <c r="BJ58" s="243"/>
      <c r="BK58" s="243"/>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row>
    <row r="59" spans="1:90" s="290" customFormat="1">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9"/>
      <c r="AH59" s="289"/>
      <c r="AI59" s="289"/>
      <c r="AJ59" s="289"/>
      <c r="AK59" s="289"/>
      <c r="AL59" s="289"/>
      <c r="AM59" s="289"/>
      <c r="AN59" s="243"/>
      <c r="AO59" s="243"/>
      <c r="AP59" s="243"/>
      <c r="AQ59" s="243"/>
      <c r="AR59" s="243"/>
      <c r="AS59" s="243"/>
      <c r="AT59" s="243"/>
      <c r="AU59" s="243"/>
      <c r="AV59" s="243"/>
      <c r="AW59" s="243"/>
      <c r="AX59" s="243"/>
      <c r="AY59" s="243"/>
      <c r="AZ59" s="243"/>
      <c r="BA59" s="243"/>
      <c r="BB59" s="246"/>
      <c r="BC59" s="246"/>
      <c r="BD59" s="243"/>
      <c r="BE59" s="243"/>
      <c r="BF59" s="243"/>
      <c r="BG59" s="243"/>
      <c r="BH59" s="243"/>
      <c r="BI59" s="243"/>
      <c r="BJ59" s="243"/>
      <c r="BK59" s="243"/>
      <c r="BL59" s="243"/>
      <c r="BM59" s="243"/>
      <c r="BN59" s="243"/>
      <c r="BO59" s="243"/>
      <c r="BP59" s="243"/>
      <c r="BQ59" s="243"/>
      <c r="BR59" s="243"/>
      <c r="BS59" s="243"/>
      <c r="BT59" s="243"/>
      <c r="BU59" s="243"/>
      <c r="BV59" s="243"/>
      <c r="BW59" s="243"/>
      <c r="BX59" s="243"/>
      <c r="BY59" s="243"/>
      <c r="BZ59" s="243"/>
      <c r="CA59" s="243"/>
      <c r="CB59" s="243"/>
      <c r="CC59" s="243"/>
      <c r="CD59" s="243"/>
      <c r="CE59" s="243"/>
      <c r="CF59" s="243"/>
      <c r="CG59" s="243"/>
      <c r="CH59" s="243"/>
      <c r="CI59" s="243"/>
      <c r="CJ59" s="243"/>
      <c r="CK59" s="243"/>
      <c r="CL59" s="243"/>
    </row>
    <row r="60" spans="1:90" s="290" customFormat="1">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9"/>
      <c r="AH60" s="289"/>
      <c r="AI60" s="289"/>
      <c r="AJ60" s="289"/>
      <c r="AK60" s="289"/>
      <c r="AL60" s="289"/>
      <c r="AM60" s="289"/>
      <c r="AN60" s="243"/>
      <c r="AO60" s="243"/>
      <c r="AP60" s="243"/>
      <c r="AQ60" s="243"/>
      <c r="AR60" s="243"/>
      <c r="AS60" s="243"/>
      <c r="AT60" s="243"/>
      <c r="AU60" s="243"/>
      <c r="AV60" s="243"/>
      <c r="AW60" s="243"/>
      <c r="AX60" s="243"/>
      <c r="AY60" s="243"/>
      <c r="AZ60" s="243"/>
      <c r="BA60" s="243"/>
      <c r="BB60" s="246"/>
      <c r="BC60" s="246"/>
      <c r="BD60" s="243"/>
      <c r="BE60" s="243"/>
      <c r="BF60" s="243"/>
      <c r="BG60" s="243"/>
      <c r="BH60" s="243"/>
      <c r="BI60" s="243"/>
      <c r="BJ60" s="243"/>
      <c r="BK60" s="243"/>
      <c r="BL60" s="243"/>
      <c r="BM60" s="243"/>
      <c r="BN60" s="243"/>
      <c r="BO60" s="243"/>
      <c r="BP60" s="243"/>
      <c r="BQ60" s="243"/>
      <c r="BR60" s="243"/>
      <c r="BS60" s="243"/>
      <c r="BT60" s="243"/>
      <c r="BU60" s="243"/>
      <c r="BV60" s="243"/>
      <c r="BW60" s="243"/>
      <c r="BX60" s="243"/>
      <c r="BY60" s="243"/>
      <c r="BZ60" s="243"/>
      <c r="CA60" s="243"/>
      <c r="CB60" s="243"/>
      <c r="CC60" s="243"/>
      <c r="CD60" s="243"/>
      <c r="CE60" s="243"/>
      <c r="CF60" s="243"/>
      <c r="CG60" s="243"/>
      <c r="CH60" s="243"/>
      <c r="CI60" s="243"/>
      <c r="CJ60" s="243"/>
      <c r="CK60" s="243"/>
      <c r="CL60" s="243"/>
    </row>
    <row r="61" spans="1:90" s="290" customFormat="1">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8"/>
      <c r="AG61" s="289"/>
      <c r="AH61" s="289"/>
      <c r="AI61" s="289"/>
      <c r="AJ61" s="289"/>
      <c r="AK61" s="289"/>
      <c r="AL61" s="289"/>
      <c r="AM61" s="289"/>
      <c r="AN61" s="243"/>
      <c r="AO61" s="243"/>
      <c r="AP61" s="243"/>
      <c r="AQ61" s="243"/>
      <c r="AR61" s="243"/>
      <c r="AS61" s="243"/>
      <c r="AT61" s="243"/>
      <c r="AU61" s="243"/>
      <c r="AV61" s="243"/>
      <c r="AW61" s="243"/>
      <c r="AX61" s="243"/>
      <c r="AY61" s="243"/>
      <c r="AZ61" s="243"/>
      <c r="BA61" s="243"/>
      <c r="BB61" s="246"/>
      <c r="BC61" s="246"/>
      <c r="BD61" s="243"/>
      <c r="BE61" s="243"/>
      <c r="BF61" s="243"/>
      <c r="BG61" s="243"/>
      <c r="BH61" s="243"/>
      <c r="BI61" s="243"/>
      <c r="BJ61" s="243"/>
      <c r="BK61" s="243"/>
      <c r="BL61" s="243"/>
      <c r="BM61" s="243"/>
      <c r="BN61" s="243"/>
      <c r="BO61" s="243"/>
      <c r="BP61" s="243"/>
      <c r="BQ61" s="243"/>
      <c r="BR61" s="243"/>
      <c r="BS61" s="243"/>
      <c r="BT61" s="243"/>
      <c r="BU61" s="243"/>
      <c r="BV61" s="243"/>
      <c r="BW61" s="243"/>
      <c r="BX61" s="243"/>
      <c r="BY61" s="243"/>
      <c r="BZ61" s="243"/>
      <c r="CA61" s="243"/>
      <c r="CB61" s="243"/>
      <c r="CC61" s="243"/>
      <c r="CD61" s="243"/>
      <c r="CE61" s="243"/>
      <c r="CF61" s="243"/>
      <c r="CG61" s="243"/>
      <c r="CH61" s="243"/>
      <c r="CI61" s="243"/>
      <c r="CJ61" s="243"/>
      <c r="CK61" s="243"/>
      <c r="CL61" s="243"/>
    </row>
    <row r="62" spans="1:90" s="290" customFormat="1">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8"/>
      <c r="AG62" s="289"/>
      <c r="AH62" s="289"/>
      <c r="AI62" s="289"/>
      <c r="AJ62" s="289"/>
      <c r="AK62" s="289"/>
      <c r="AL62" s="289"/>
      <c r="AM62" s="289"/>
      <c r="AN62" s="243"/>
      <c r="AO62" s="243"/>
      <c r="AP62" s="243"/>
      <c r="AQ62" s="243"/>
      <c r="AR62" s="243"/>
      <c r="AS62" s="243"/>
      <c r="AT62" s="243"/>
      <c r="AU62" s="243"/>
      <c r="AV62" s="243"/>
      <c r="AW62" s="243"/>
      <c r="AX62" s="243"/>
      <c r="AY62" s="243"/>
      <c r="AZ62" s="243"/>
      <c r="BA62" s="243"/>
      <c r="BB62" s="246"/>
      <c r="BC62" s="246"/>
      <c r="BD62" s="243"/>
      <c r="BE62" s="243"/>
      <c r="BF62" s="243"/>
      <c r="BG62" s="243"/>
      <c r="BH62" s="243"/>
      <c r="BI62" s="243"/>
      <c r="BJ62" s="243"/>
      <c r="BK62" s="243"/>
      <c r="BL62" s="243"/>
      <c r="BM62" s="243"/>
      <c r="BN62" s="243"/>
      <c r="BO62" s="243"/>
      <c r="BP62" s="243"/>
      <c r="BQ62" s="243"/>
      <c r="BR62" s="243"/>
      <c r="BS62" s="243"/>
      <c r="BT62" s="243"/>
      <c r="BU62" s="243"/>
      <c r="BV62" s="243"/>
      <c r="BW62" s="243"/>
      <c r="BX62" s="243"/>
      <c r="BY62" s="243"/>
      <c r="BZ62" s="243"/>
      <c r="CA62" s="243"/>
      <c r="CB62" s="243"/>
      <c r="CC62" s="243"/>
      <c r="CD62" s="243"/>
      <c r="CE62" s="243"/>
      <c r="CF62" s="243"/>
      <c r="CG62" s="243"/>
      <c r="CH62" s="243"/>
      <c r="CI62" s="243"/>
      <c r="CJ62" s="243"/>
      <c r="CK62" s="243"/>
      <c r="CL62" s="243"/>
    </row>
    <row r="63" spans="1:90" s="290" customFormat="1">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9"/>
      <c r="AH63" s="289"/>
      <c r="AI63" s="289"/>
      <c r="AJ63" s="289"/>
      <c r="AK63" s="289"/>
      <c r="AL63" s="289"/>
      <c r="AM63" s="289"/>
      <c r="AN63" s="243"/>
      <c r="AO63" s="243"/>
      <c r="AP63" s="243"/>
      <c r="AQ63" s="243"/>
      <c r="AR63" s="243"/>
      <c r="AS63" s="243"/>
      <c r="AT63" s="243"/>
      <c r="AU63" s="243"/>
      <c r="AV63" s="243"/>
      <c r="AW63" s="243"/>
      <c r="AX63" s="243"/>
      <c r="AY63" s="243"/>
      <c r="AZ63" s="243"/>
      <c r="BA63" s="243"/>
      <c r="BB63" s="246"/>
      <c r="BC63" s="246"/>
      <c r="BD63" s="243"/>
      <c r="BE63" s="243"/>
      <c r="BF63" s="243"/>
      <c r="BG63" s="243"/>
      <c r="BH63" s="243"/>
      <c r="BI63" s="243"/>
      <c r="BJ63" s="243"/>
      <c r="BK63" s="243"/>
      <c r="BL63" s="243"/>
      <c r="BM63" s="243"/>
      <c r="BN63" s="243"/>
      <c r="BO63" s="243"/>
      <c r="BP63" s="243"/>
      <c r="BQ63" s="243"/>
      <c r="BR63" s="243"/>
      <c r="BS63" s="243"/>
      <c r="BT63" s="243"/>
      <c r="BU63" s="243"/>
      <c r="BV63" s="243"/>
      <c r="BW63" s="243"/>
      <c r="BX63" s="243"/>
      <c r="BY63" s="243"/>
      <c r="BZ63" s="243"/>
      <c r="CA63" s="243"/>
      <c r="CB63" s="243"/>
      <c r="CC63" s="243"/>
      <c r="CD63" s="243"/>
      <c r="CE63" s="243"/>
      <c r="CF63" s="243"/>
      <c r="CG63" s="243"/>
      <c r="CH63" s="243"/>
      <c r="CI63" s="243"/>
      <c r="CJ63" s="243"/>
      <c r="CK63" s="243"/>
      <c r="CL63" s="243"/>
    </row>
    <row r="64" spans="1:90" s="290" customFormat="1">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8"/>
      <c r="AG64" s="289"/>
      <c r="AH64" s="289"/>
      <c r="AI64" s="289"/>
      <c r="AJ64" s="289"/>
      <c r="AK64" s="289"/>
      <c r="AL64" s="289"/>
      <c r="AM64" s="289"/>
      <c r="AN64" s="243"/>
      <c r="AO64" s="243"/>
      <c r="AP64" s="243"/>
      <c r="AQ64" s="243"/>
      <c r="AR64" s="243"/>
      <c r="AS64" s="243"/>
      <c r="AT64" s="243"/>
      <c r="AU64" s="243"/>
      <c r="AV64" s="243"/>
      <c r="AW64" s="243"/>
      <c r="AX64" s="243"/>
      <c r="AY64" s="243"/>
      <c r="AZ64" s="243"/>
      <c r="BA64" s="243"/>
      <c r="BB64" s="246"/>
      <c r="BC64" s="246"/>
      <c r="BD64" s="243"/>
      <c r="BE64" s="243"/>
      <c r="BF64" s="243"/>
      <c r="BG64" s="243"/>
      <c r="BH64" s="243"/>
      <c r="BI64" s="243"/>
      <c r="BJ64" s="243"/>
      <c r="BK64" s="243"/>
      <c r="BL64" s="243"/>
      <c r="BM64" s="243"/>
      <c r="BN64" s="243"/>
      <c r="BO64" s="243"/>
      <c r="BP64" s="243"/>
      <c r="BQ64" s="243"/>
      <c r="BR64" s="243"/>
      <c r="BS64" s="243"/>
      <c r="BT64" s="243"/>
      <c r="BU64" s="243"/>
      <c r="BV64" s="243"/>
      <c r="BW64" s="243"/>
      <c r="BX64" s="243"/>
      <c r="BY64" s="243"/>
      <c r="BZ64" s="243"/>
      <c r="CA64" s="243"/>
      <c r="CB64" s="243"/>
      <c r="CC64" s="243"/>
      <c r="CD64" s="243"/>
      <c r="CE64" s="243"/>
      <c r="CF64" s="243"/>
      <c r="CG64" s="243"/>
      <c r="CH64" s="243"/>
      <c r="CI64" s="243"/>
      <c r="CJ64" s="243"/>
      <c r="CK64" s="243"/>
      <c r="CL64" s="243"/>
    </row>
    <row r="65" spans="1:90" s="290" customFormat="1">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9"/>
      <c r="AH65" s="289"/>
      <c r="AI65" s="289"/>
      <c r="AJ65" s="289"/>
      <c r="AK65" s="289"/>
      <c r="AL65" s="289"/>
      <c r="AM65" s="289"/>
      <c r="AN65" s="243"/>
      <c r="AO65" s="243"/>
      <c r="AP65" s="243"/>
      <c r="AQ65" s="243"/>
      <c r="AR65" s="243"/>
      <c r="AS65" s="243"/>
      <c r="AT65" s="243"/>
      <c r="AU65" s="243"/>
      <c r="AV65" s="243"/>
      <c r="AW65" s="243"/>
      <c r="AX65" s="243"/>
      <c r="AY65" s="243"/>
      <c r="AZ65" s="243"/>
      <c r="BA65" s="243"/>
      <c r="BB65" s="246"/>
      <c r="BC65" s="246"/>
      <c r="BD65" s="243"/>
      <c r="BE65" s="243"/>
      <c r="BF65" s="243"/>
      <c r="BG65" s="243"/>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row>
    <row r="66" spans="1:90" s="290" customFormat="1">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9"/>
      <c r="AH66" s="289"/>
      <c r="AI66" s="289"/>
      <c r="AJ66" s="289"/>
      <c r="AK66" s="289"/>
      <c r="AL66" s="289"/>
      <c r="AM66" s="289"/>
      <c r="AN66" s="243"/>
      <c r="AO66" s="243"/>
      <c r="AP66" s="243"/>
      <c r="AQ66" s="243"/>
      <c r="AR66" s="243"/>
      <c r="AS66" s="243"/>
      <c r="AT66" s="243"/>
      <c r="AU66" s="243"/>
      <c r="AV66" s="243"/>
      <c r="AW66" s="243"/>
      <c r="AX66" s="243"/>
      <c r="AY66" s="243"/>
      <c r="AZ66" s="243"/>
      <c r="BA66" s="243"/>
      <c r="BB66" s="246"/>
      <c r="BC66" s="246"/>
      <c r="BD66" s="243"/>
      <c r="BE66" s="243"/>
      <c r="BF66" s="243"/>
      <c r="BG66" s="243"/>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row>
    <row r="67" spans="1:90" s="290" customFormat="1">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9"/>
      <c r="AH67" s="289"/>
      <c r="AI67" s="289"/>
      <c r="AJ67" s="289"/>
      <c r="AK67" s="289"/>
      <c r="AL67" s="289"/>
      <c r="AM67" s="289"/>
      <c r="AN67" s="243"/>
      <c r="AO67" s="243"/>
      <c r="AP67" s="243"/>
      <c r="AQ67" s="243"/>
      <c r="AR67" s="243"/>
      <c r="AS67" s="243"/>
      <c r="AT67" s="243"/>
      <c r="AU67" s="243"/>
      <c r="AV67" s="243"/>
      <c r="AW67" s="243"/>
      <c r="AX67" s="243"/>
      <c r="AY67" s="243"/>
      <c r="AZ67" s="243"/>
      <c r="BA67" s="243"/>
      <c r="BB67" s="246"/>
      <c r="BC67" s="246"/>
      <c r="BD67" s="243"/>
      <c r="BE67" s="243"/>
      <c r="BF67" s="243"/>
      <c r="BG67" s="243"/>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row>
    <row r="68" spans="1:90" s="290" customFormat="1">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9"/>
      <c r="AH68" s="289"/>
      <c r="AI68" s="289"/>
      <c r="AJ68" s="289"/>
      <c r="AK68" s="289"/>
      <c r="AL68" s="289"/>
      <c r="AM68" s="289"/>
      <c r="AN68" s="243"/>
      <c r="AO68" s="243"/>
      <c r="AP68" s="243"/>
      <c r="AQ68" s="243"/>
      <c r="AR68" s="243"/>
      <c r="AS68" s="243"/>
      <c r="AT68" s="243"/>
      <c r="AU68" s="243"/>
      <c r="AV68" s="243"/>
      <c r="AW68" s="243"/>
      <c r="AX68" s="243"/>
      <c r="AY68" s="243"/>
      <c r="AZ68" s="243"/>
      <c r="BA68" s="243"/>
      <c r="BB68" s="246"/>
      <c r="BC68" s="246"/>
      <c r="BD68" s="243"/>
      <c r="BE68" s="243"/>
      <c r="BF68" s="243"/>
      <c r="BG68" s="243"/>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row>
    <row r="69" spans="1:90">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9"/>
      <c r="AH69" s="289"/>
      <c r="AI69" s="289"/>
      <c r="AJ69" s="289"/>
      <c r="AK69" s="289"/>
      <c r="AL69" s="289"/>
      <c r="AM69" s="289"/>
      <c r="AN69" s="243"/>
      <c r="AO69" s="243"/>
      <c r="AP69" s="243"/>
      <c r="AQ69" s="243"/>
      <c r="AR69" s="243"/>
      <c r="AS69" s="243"/>
      <c r="AT69" s="243"/>
      <c r="AU69" s="243"/>
      <c r="AV69" s="243"/>
      <c r="AW69" s="243"/>
      <c r="AX69" s="243"/>
      <c r="AY69" s="243"/>
      <c r="AZ69" s="243"/>
      <c r="BA69" s="243"/>
      <c r="BB69" s="246"/>
      <c r="BC69" s="246"/>
      <c r="BD69" s="243"/>
      <c r="BE69" s="243"/>
      <c r="BF69" s="243"/>
      <c r="BG69" s="243"/>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row>
    <row r="70" spans="1:90">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9"/>
      <c r="AH70" s="289"/>
      <c r="AI70" s="289"/>
      <c r="AJ70" s="289"/>
      <c r="AK70" s="289"/>
      <c r="AL70" s="289"/>
      <c r="AM70" s="289"/>
      <c r="AN70" s="243"/>
      <c r="AO70" s="243"/>
      <c r="AP70" s="243"/>
      <c r="AQ70" s="243"/>
      <c r="AR70" s="243"/>
      <c r="AS70" s="243"/>
      <c r="AT70" s="243"/>
      <c r="AU70" s="243"/>
      <c r="AV70" s="243"/>
      <c r="AW70" s="243"/>
      <c r="AX70" s="243"/>
      <c r="AY70" s="243"/>
      <c r="AZ70" s="243"/>
      <c r="BA70" s="243"/>
      <c r="BB70" s="246"/>
      <c r="BC70" s="246"/>
      <c r="BD70" s="243"/>
      <c r="BE70" s="243"/>
      <c r="BF70" s="243"/>
      <c r="BG70" s="243"/>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row>
    <row r="71" spans="1:90">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9"/>
      <c r="AH71" s="289"/>
      <c r="AI71" s="289"/>
      <c r="AJ71" s="289"/>
      <c r="AK71" s="289"/>
      <c r="AL71" s="289"/>
      <c r="AM71" s="289"/>
      <c r="AN71" s="243"/>
      <c r="AO71" s="243"/>
      <c r="AP71" s="243"/>
      <c r="AQ71" s="243"/>
      <c r="AR71" s="243"/>
      <c r="AS71" s="243"/>
      <c r="AT71" s="243"/>
      <c r="AU71" s="243"/>
      <c r="AV71" s="243"/>
      <c r="AW71" s="243"/>
      <c r="AX71" s="243"/>
      <c r="AY71" s="243"/>
      <c r="AZ71" s="243"/>
      <c r="BA71" s="243"/>
      <c r="BB71" s="246"/>
      <c r="BC71" s="246"/>
      <c r="BD71" s="243"/>
      <c r="BE71" s="243"/>
      <c r="BF71" s="243"/>
      <c r="BG71" s="243"/>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row>
    <row r="72" spans="1:90">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9"/>
      <c r="AH72" s="289"/>
      <c r="AI72" s="289"/>
      <c r="AJ72" s="289"/>
      <c r="AK72" s="289"/>
      <c r="AL72" s="289"/>
      <c r="AM72" s="289"/>
      <c r="AN72" s="243"/>
      <c r="AO72" s="243"/>
      <c r="AP72" s="243"/>
      <c r="AQ72" s="243"/>
      <c r="AR72" s="243"/>
      <c r="AS72" s="243"/>
      <c r="AT72" s="243"/>
      <c r="AU72" s="243"/>
      <c r="AV72" s="243"/>
      <c r="AW72" s="243"/>
      <c r="AX72" s="243"/>
      <c r="AY72" s="243"/>
      <c r="AZ72" s="243"/>
      <c r="BA72" s="243"/>
      <c r="BB72" s="246"/>
      <c r="BC72" s="246"/>
      <c r="BD72" s="243"/>
      <c r="BE72" s="243"/>
      <c r="BF72" s="243"/>
      <c r="BG72" s="243"/>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row>
    <row r="73" spans="1:90">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9"/>
      <c r="AH73" s="289"/>
      <c r="AI73" s="289"/>
      <c r="AJ73" s="289"/>
      <c r="AK73" s="289"/>
      <c r="AL73" s="289"/>
      <c r="AM73" s="289"/>
      <c r="AN73" s="243"/>
      <c r="AO73" s="243"/>
      <c r="AP73" s="243"/>
      <c r="AQ73" s="243"/>
      <c r="AR73" s="243"/>
      <c r="AS73" s="243"/>
      <c r="AT73" s="243"/>
      <c r="AU73" s="243"/>
      <c r="AV73" s="243"/>
      <c r="AW73" s="243"/>
      <c r="AX73" s="243"/>
      <c r="AY73" s="243"/>
      <c r="AZ73" s="243"/>
      <c r="BA73" s="243"/>
      <c r="BB73" s="246"/>
      <c r="BC73" s="246"/>
      <c r="BD73" s="243"/>
      <c r="BE73" s="243"/>
      <c r="BF73" s="243"/>
      <c r="BG73" s="243"/>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row>
    <row r="74" spans="1:90">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9"/>
      <c r="AH74" s="289"/>
      <c r="AI74" s="289"/>
      <c r="AJ74" s="289"/>
      <c r="AK74" s="289"/>
      <c r="AL74" s="289"/>
      <c r="AM74" s="289"/>
      <c r="AN74" s="243"/>
      <c r="AO74" s="243"/>
      <c r="AP74" s="243"/>
      <c r="AQ74" s="243"/>
      <c r="AR74" s="243"/>
      <c r="AS74" s="243"/>
      <c r="AT74" s="243"/>
      <c r="AU74" s="243"/>
      <c r="AV74" s="243"/>
      <c r="AW74" s="243"/>
      <c r="AX74" s="243"/>
      <c r="AY74" s="243"/>
      <c r="AZ74" s="243"/>
      <c r="BA74" s="243"/>
      <c r="BB74" s="246"/>
      <c r="BC74" s="246"/>
      <c r="BD74" s="243"/>
      <c r="BE74" s="243"/>
      <c r="BF74" s="243"/>
      <c r="BG74" s="243"/>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row>
    <row r="75" spans="1:90">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9"/>
      <c r="AH75" s="289"/>
      <c r="AI75" s="289"/>
      <c r="AJ75" s="289"/>
      <c r="AK75" s="289"/>
      <c r="AL75" s="289"/>
      <c r="AM75" s="289"/>
      <c r="AN75" s="243"/>
      <c r="AO75" s="243"/>
      <c r="AP75" s="243"/>
      <c r="AQ75" s="243"/>
      <c r="AR75" s="243"/>
      <c r="AS75" s="243"/>
      <c r="AT75" s="243"/>
      <c r="AU75" s="243"/>
      <c r="AV75" s="243"/>
      <c r="AW75" s="243"/>
      <c r="AX75" s="243"/>
      <c r="AY75" s="243"/>
      <c r="AZ75" s="243"/>
      <c r="BA75" s="243"/>
      <c r="BB75" s="246"/>
      <c r="BC75" s="246"/>
      <c r="BD75" s="243"/>
      <c r="BE75" s="243"/>
      <c r="BF75" s="243"/>
      <c r="BG75" s="243"/>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row>
    <row r="76" spans="1:90">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9"/>
      <c r="AH76" s="289"/>
      <c r="AI76" s="289"/>
      <c r="AJ76" s="289"/>
      <c r="AK76" s="289"/>
      <c r="AL76" s="289"/>
      <c r="AM76" s="289"/>
      <c r="AN76" s="243"/>
      <c r="AO76" s="243"/>
      <c r="AP76" s="243"/>
      <c r="AQ76" s="243"/>
      <c r="AR76" s="243"/>
      <c r="AS76" s="243"/>
      <c r="AT76" s="243"/>
      <c r="AU76" s="243"/>
      <c r="AV76" s="243"/>
      <c r="AW76" s="243"/>
      <c r="AX76" s="243"/>
      <c r="AY76" s="243"/>
      <c r="AZ76" s="243"/>
      <c r="BA76" s="243"/>
      <c r="BB76" s="246"/>
      <c r="BC76" s="246"/>
      <c r="BD76" s="243"/>
      <c r="BE76" s="243"/>
      <c r="BF76" s="243"/>
      <c r="BG76" s="243"/>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row>
    <row r="77" spans="1:90">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9"/>
      <c r="AH77" s="289"/>
      <c r="AI77" s="289"/>
      <c r="AJ77" s="289"/>
      <c r="AK77" s="289"/>
      <c r="AL77" s="289"/>
      <c r="AM77" s="289"/>
      <c r="AN77" s="243"/>
      <c r="AO77" s="243"/>
      <c r="AP77" s="243"/>
      <c r="AQ77" s="243"/>
      <c r="AR77" s="243"/>
      <c r="AS77" s="243"/>
      <c r="AT77" s="243"/>
      <c r="AU77" s="243"/>
      <c r="AV77" s="243"/>
      <c r="AW77" s="243"/>
      <c r="AX77" s="243"/>
      <c r="AY77" s="243"/>
      <c r="AZ77" s="243"/>
      <c r="BA77" s="243"/>
      <c r="BB77" s="246"/>
      <c r="BC77" s="246"/>
      <c r="BD77" s="243"/>
      <c r="BE77" s="243"/>
      <c r="BF77" s="243"/>
      <c r="BG77" s="243"/>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row>
    <row r="78" spans="1:90">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9"/>
      <c r="AH78" s="289"/>
      <c r="AI78" s="289"/>
      <c r="AJ78" s="289"/>
      <c r="AK78" s="289"/>
      <c r="AL78" s="289"/>
      <c r="AM78" s="289"/>
      <c r="AN78" s="243"/>
      <c r="AO78" s="243"/>
      <c r="AP78" s="243"/>
      <c r="AQ78" s="243"/>
      <c r="AR78" s="243"/>
      <c r="AS78" s="243"/>
      <c r="AT78" s="243"/>
      <c r="AU78" s="243"/>
      <c r="AV78" s="243"/>
      <c r="AW78" s="243"/>
      <c r="AX78" s="243"/>
      <c r="AY78" s="243"/>
      <c r="AZ78" s="243"/>
      <c r="BA78" s="243"/>
      <c r="BB78" s="246"/>
      <c r="BC78" s="246"/>
      <c r="BD78" s="243"/>
      <c r="BE78" s="243"/>
      <c r="BF78" s="243"/>
      <c r="BG78" s="243"/>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row>
    <row r="79" spans="1:90">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9"/>
      <c r="AH79" s="289"/>
      <c r="AI79" s="289"/>
      <c r="AJ79" s="289"/>
      <c r="AK79" s="289"/>
      <c r="AL79" s="289"/>
      <c r="AM79" s="289"/>
      <c r="AN79" s="243"/>
      <c r="AO79" s="243"/>
      <c r="AP79" s="243"/>
      <c r="AQ79" s="243"/>
      <c r="AR79" s="243"/>
      <c r="AS79" s="243"/>
      <c r="AT79" s="243"/>
      <c r="AU79" s="243"/>
      <c r="AV79" s="243"/>
      <c r="AW79" s="243"/>
      <c r="AX79" s="243"/>
      <c r="AY79" s="243"/>
      <c r="AZ79" s="243"/>
      <c r="BA79" s="243"/>
      <c r="BB79" s="246"/>
      <c r="BC79" s="246"/>
      <c r="BD79" s="243"/>
      <c r="BE79" s="243"/>
      <c r="BF79" s="243"/>
      <c r="BG79" s="243"/>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row>
    <row r="80" spans="1:90">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9"/>
      <c r="AH80" s="289"/>
      <c r="AI80" s="289"/>
      <c r="AJ80" s="289"/>
      <c r="AK80" s="289"/>
      <c r="AL80" s="289"/>
      <c r="AM80" s="289"/>
      <c r="AN80" s="243"/>
      <c r="AO80" s="243"/>
      <c r="AP80" s="243"/>
      <c r="AQ80" s="243"/>
      <c r="AR80" s="243"/>
      <c r="AS80" s="243"/>
      <c r="AT80" s="243"/>
      <c r="AU80" s="243"/>
      <c r="AV80" s="243"/>
      <c r="AW80" s="243"/>
      <c r="AX80" s="243"/>
      <c r="AY80" s="243"/>
      <c r="AZ80" s="243"/>
      <c r="BA80" s="243"/>
      <c r="BB80" s="246"/>
      <c r="BC80" s="246"/>
      <c r="BD80" s="243"/>
      <c r="BE80" s="243"/>
      <c r="BF80" s="243"/>
      <c r="BG80" s="243"/>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row>
    <row r="81" spans="1:90">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9"/>
      <c r="AH81" s="289"/>
      <c r="AI81" s="289"/>
      <c r="AJ81" s="289"/>
      <c r="AK81" s="289"/>
      <c r="AL81" s="289"/>
      <c r="AM81" s="289"/>
      <c r="AN81" s="243"/>
      <c r="AO81" s="243"/>
      <c r="AP81" s="243"/>
      <c r="AQ81" s="243"/>
      <c r="AR81" s="243"/>
      <c r="AS81" s="243"/>
      <c r="AT81" s="243"/>
      <c r="AU81" s="243"/>
      <c r="AV81" s="243"/>
      <c r="AW81" s="243"/>
      <c r="AX81" s="243"/>
      <c r="AY81" s="243"/>
      <c r="AZ81" s="243"/>
      <c r="BA81" s="243"/>
      <c r="BB81" s="246"/>
      <c r="BC81" s="246"/>
      <c r="BD81" s="243"/>
      <c r="BE81" s="243"/>
      <c r="BF81" s="243"/>
      <c r="BG81" s="243"/>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row>
    <row r="82" spans="1:90">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9"/>
      <c r="AH82" s="289"/>
      <c r="AI82" s="289"/>
      <c r="AJ82" s="289"/>
      <c r="AK82" s="289"/>
      <c r="AL82" s="289"/>
      <c r="AM82" s="289"/>
      <c r="AN82" s="243"/>
      <c r="AO82" s="243"/>
      <c r="AP82" s="243"/>
      <c r="AQ82" s="243"/>
      <c r="AR82" s="243"/>
      <c r="AS82" s="243"/>
      <c r="AT82" s="243"/>
      <c r="AU82" s="243"/>
      <c r="AV82" s="243"/>
      <c r="AW82" s="243"/>
      <c r="AX82" s="243"/>
      <c r="AY82" s="243"/>
      <c r="AZ82" s="243"/>
      <c r="BA82" s="243"/>
      <c r="BB82" s="246"/>
      <c r="BC82" s="246"/>
      <c r="BD82" s="243"/>
      <c r="BE82" s="243"/>
      <c r="BF82" s="243"/>
      <c r="BG82" s="243"/>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row>
    <row r="83" spans="1:90">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9"/>
      <c r="AH83" s="289"/>
      <c r="AI83" s="289"/>
      <c r="AJ83" s="289"/>
      <c r="AK83" s="289"/>
      <c r="AL83" s="289"/>
      <c r="AM83" s="289"/>
      <c r="AN83" s="243"/>
      <c r="AO83" s="243"/>
      <c r="AP83" s="243"/>
      <c r="AQ83" s="243"/>
      <c r="AR83" s="243"/>
      <c r="AS83" s="243"/>
      <c r="AT83" s="243"/>
      <c r="AU83" s="243"/>
      <c r="AV83" s="243"/>
      <c r="AW83" s="243"/>
      <c r="AX83" s="243"/>
      <c r="AY83" s="243"/>
      <c r="AZ83" s="243"/>
      <c r="BA83" s="243"/>
      <c r="BB83" s="246"/>
      <c r="BC83" s="246"/>
      <c r="BD83" s="243"/>
      <c r="BE83" s="243"/>
      <c r="BF83" s="243"/>
      <c r="BG83" s="243"/>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row>
    <row r="84" spans="1:90">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9"/>
      <c r="AH84" s="289"/>
      <c r="AI84" s="289"/>
      <c r="AJ84" s="289"/>
      <c r="AK84" s="289"/>
      <c r="AL84" s="289"/>
      <c r="AM84" s="289"/>
      <c r="AN84" s="243"/>
      <c r="AO84" s="243"/>
      <c r="AP84" s="243"/>
      <c r="AQ84" s="243"/>
      <c r="AR84" s="243"/>
      <c r="AS84" s="243"/>
      <c r="AT84" s="243"/>
      <c r="AU84" s="243"/>
      <c r="AV84" s="243"/>
      <c r="AW84" s="243"/>
      <c r="AX84" s="243"/>
      <c r="AY84" s="243"/>
      <c r="AZ84" s="243"/>
      <c r="BA84" s="243"/>
      <c r="BB84" s="246"/>
      <c r="BC84" s="246"/>
      <c r="BD84" s="243"/>
      <c r="BE84" s="243"/>
      <c r="BF84" s="243"/>
      <c r="BG84" s="243"/>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row>
    <row r="85" spans="1:90">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9"/>
      <c r="AH85" s="289"/>
      <c r="AI85" s="289"/>
      <c r="AJ85" s="289"/>
      <c r="AK85" s="289"/>
      <c r="AL85" s="289"/>
      <c r="AM85" s="289"/>
      <c r="AN85" s="243"/>
      <c r="AO85" s="243"/>
      <c r="AP85" s="243"/>
      <c r="AQ85" s="243"/>
      <c r="AR85" s="243"/>
      <c r="AS85" s="243"/>
      <c r="AT85" s="243"/>
      <c r="AU85" s="243"/>
      <c r="AV85" s="243"/>
      <c r="AW85" s="243"/>
      <c r="AX85" s="243"/>
      <c r="AY85" s="243"/>
      <c r="AZ85" s="243"/>
      <c r="BA85" s="243"/>
      <c r="BB85" s="246"/>
      <c r="BC85" s="246"/>
      <c r="BD85" s="243"/>
      <c r="BE85" s="243"/>
      <c r="BF85" s="243"/>
      <c r="BG85" s="243"/>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row>
    <row r="86" spans="1:90">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9"/>
      <c r="AH86" s="289"/>
      <c r="AI86" s="289"/>
      <c r="AJ86" s="289"/>
      <c r="AK86" s="289"/>
      <c r="AL86" s="289"/>
      <c r="AM86" s="289"/>
      <c r="AN86" s="243"/>
      <c r="AO86" s="243"/>
      <c r="AP86" s="243"/>
      <c r="AQ86" s="243"/>
      <c r="AR86" s="243"/>
      <c r="AS86" s="243"/>
      <c r="AT86" s="243"/>
      <c r="AU86" s="243"/>
      <c r="AV86" s="243"/>
      <c r="AW86" s="243"/>
      <c r="AX86" s="243"/>
      <c r="AY86" s="243"/>
      <c r="AZ86" s="243"/>
      <c r="BA86" s="243"/>
      <c r="BB86" s="246"/>
      <c r="BC86" s="246"/>
      <c r="BD86" s="243"/>
      <c r="BE86" s="243"/>
      <c r="BF86" s="243"/>
      <c r="BG86" s="243"/>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row>
    <row r="87" spans="1:90">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9"/>
      <c r="AH87" s="289"/>
      <c r="AI87" s="289"/>
      <c r="AJ87" s="289"/>
      <c r="AK87" s="289"/>
      <c r="AL87" s="289"/>
      <c r="AM87" s="289"/>
      <c r="AN87" s="243"/>
      <c r="AO87" s="243"/>
      <c r="AP87" s="243"/>
      <c r="AQ87" s="243"/>
      <c r="AR87" s="243"/>
      <c r="AS87" s="243"/>
      <c r="AT87" s="243"/>
      <c r="AU87" s="243"/>
      <c r="AV87" s="243"/>
      <c r="AW87" s="243"/>
      <c r="AX87" s="243"/>
      <c r="AY87" s="243"/>
      <c r="AZ87" s="243"/>
      <c r="BA87" s="243"/>
      <c r="BB87" s="246"/>
      <c r="BC87" s="246"/>
      <c r="BD87" s="243"/>
      <c r="BE87" s="243"/>
      <c r="BF87" s="243"/>
      <c r="BG87" s="243"/>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row>
    <row r="88" spans="1:90">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9"/>
      <c r="AH88" s="289"/>
      <c r="AI88" s="289"/>
      <c r="AJ88" s="289"/>
      <c r="AK88" s="289"/>
      <c r="AL88" s="289"/>
      <c r="AM88" s="289"/>
      <c r="AN88" s="243"/>
      <c r="AO88" s="243"/>
      <c r="AP88" s="243"/>
      <c r="AQ88" s="243"/>
      <c r="AR88" s="243"/>
      <c r="AS88" s="243"/>
      <c r="AT88" s="243"/>
      <c r="AU88" s="243"/>
      <c r="AV88" s="243"/>
      <c r="AW88" s="243"/>
      <c r="AX88" s="243"/>
      <c r="AY88" s="243"/>
      <c r="AZ88" s="243"/>
      <c r="BA88" s="243"/>
      <c r="BB88" s="246"/>
      <c r="BC88" s="246"/>
      <c r="BD88" s="243"/>
      <c r="BE88" s="243"/>
      <c r="BF88" s="243"/>
      <c r="BG88" s="243"/>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row>
    <row r="89" spans="1:90">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9"/>
      <c r="AH89" s="289"/>
      <c r="AI89" s="289"/>
      <c r="AJ89" s="289"/>
      <c r="AK89" s="289"/>
      <c r="AL89" s="289"/>
      <c r="AM89" s="289"/>
      <c r="AN89" s="243"/>
      <c r="AO89" s="243"/>
      <c r="AP89" s="243"/>
      <c r="AQ89" s="243"/>
      <c r="AR89" s="243"/>
      <c r="AS89" s="243"/>
      <c r="AT89" s="243"/>
      <c r="AU89" s="243"/>
      <c r="AV89" s="243"/>
      <c r="AW89" s="243"/>
      <c r="AX89" s="243"/>
      <c r="AY89" s="243"/>
      <c r="AZ89" s="243"/>
      <c r="BA89" s="243"/>
      <c r="BB89" s="246"/>
      <c r="BC89" s="246"/>
      <c r="BD89" s="243"/>
      <c r="BE89" s="243"/>
      <c r="BF89" s="243"/>
      <c r="BG89" s="243"/>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row>
    <row r="90" spans="1:90">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9"/>
      <c r="AH90" s="289"/>
      <c r="AI90" s="289"/>
      <c r="AJ90" s="289"/>
      <c r="AK90" s="289"/>
      <c r="AL90" s="289"/>
      <c r="AM90" s="289"/>
      <c r="AN90" s="243"/>
      <c r="AO90" s="243"/>
      <c r="AP90" s="243"/>
      <c r="AQ90" s="243"/>
      <c r="AR90" s="243"/>
      <c r="AS90" s="243"/>
      <c r="AT90" s="243"/>
      <c r="AU90" s="243"/>
      <c r="AV90" s="243"/>
      <c r="AW90" s="243"/>
      <c r="AX90" s="243"/>
      <c r="AY90" s="243"/>
      <c r="AZ90" s="243"/>
      <c r="BA90" s="243"/>
      <c r="BB90" s="246"/>
      <c r="BC90" s="246"/>
      <c r="BD90" s="243"/>
      <c r="BE90" s="243"/>
      <c r="BF90" s="243"/>
      <c r="BG90" s="243"/>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row>
    <row r="91" spans="1:90">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9"/>
      <c r="AH91" s="289"/>
      <c r="AI91" s="289"/>
      <c r="AJ91" s="289"/>
      <c r="AK91" s="289"/>
      <c r="AL91" s="289"/>
      <c r="AM91" s="289"/>
      <c r="AN91" s="243"/>
      <c r="AO91" s="243"/>
      <c r="AP91" s="243"/>
      <c r="AQ91" s="243"/>
      <c r="AR91" s="243"/>
      <c r="AS91" s="243"/>
      <c r="AT91" s="243"/>
      <c r="AU91" s="243"/>
      <c r="AV91" s="243"/>
      <c r="AW91" s="243"/>
      <c r="AX91" s="243"/>
      <c r="AY91" s="243"/>
      <c r="AZ91" s="243"/>
      <c r="BA91" s="243"/>
      <c r="BB91" s="246"/>
      <c r="BC91" s="246"/>
      <c r="BD91" s="243"/>
      <c r="BE91" s="243"/>
      <c r="BF91" s="243"/>
      <c r="BG91" s="243"/>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row>
    <row r="92" spans="1:90">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9"/>
      <c r="AH92" s="289"/>
      <c r="AI92" s="289"/>
      <c r="AJ92" s="289"/>
      <c r="AK92" s="289"/>
      <c r="AL92" s="289"/>
      <c r="AM92" s="289"/>
      <c r="AN92" s="243"/>
      <c r="AO92" s="243"/>
      <c r="AP92" s="243"/>
      <c r="AQ92" s="243"/>
      <c r="AR92" s="243"/>
      <c r="AS92" s="243"/>
      <c r="AT92" s="243"/>
      <c r="AU92" s="243"/>
      <c r="AV92" s="243"/>
      <c r="AW92" s="243"/>
      <c r="AX92" s="243"/>
      <c r="AY92" s="243"/>
      <c r="AZ92" s="243"/>
      <c r="BA92" s="243"/>
      <c r="BB92" s="246"/>
      <c r="BC92" s="246"/>
      <c r="BD92" s="243"/>
      <c r="BE92" s="243"/>
      <c r="BF92" s="243"/>
      <c r="BG92" s="243"/>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row>
    <row r="93" spans="1:90">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9"/>
      <c r="AH93" s="289"/>
      <c r="AI93" s="289"/>
      <c r="AJ93" s="289"/>
      <c r="AK93" s="289"/>
      <c r="AL93" s="289"/>
      <c r="AM93" s="289"/>
      <c r="AN93" s="243"/>
      <c r="AO93" s="243"/>
      <c r="AP93" s="243"/>
      <c r="AQ93" s="243"/>
      <c r="AR93" s="243"/>
      <c r="AS93" s="243"/>
      <c r="AT93" s="243"/>
      <c r="AU93" s="243"/>
      <c r="AV93" s="243"/>
      <c r="AW93" s="243"/>
      <c r="AX93" s="243"/>
      <c r="AY93" s="243"/>
      <c r="AZ93" s="243"/>
      <c r="BA93" s="243"/>
      <c r="BB93" s="246"/>
      <c r="BC93" s="246"/>
      <c r="BD93" s="243"/>
      <c r="BE93" s="243"/>
      <c r="BF93" s="243"/>
      <c r="BG93" s="243"/>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row>
    <row r="94" spans="1:90">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9"/>
      <c r="AH94" s="289"/>
      <c r="AI94" s="289"/>
      <c r="AJ94" s="289"/>
      <c r="AK94" s="289"/>
      <c r="AL94" s="289"/>
      <c r="AM94" s="289"/>
      <c r="AN94" s="243"/>
      <c r="AO94" s="243"/>
      <c r="AP94" s="243"/>
      <c r="AQ94" s="243"/>
      <c r="AR94" s="243"/>
      <c r="AS94" s="243"/>
      <c r="AT94" s="243"/>
      <c r="AU94" s="243"/>
      <c r="AV94" s="243"/>
      <c r="AW94" s="243"/>
      <c r="AX94" s="243"/>
      <c r="AY94" s="243"/>
      <c r="AZ94" s="243"/>
      <c r="BA94" s="243"/>
      <c r="BB94" s="246"/>
      <c r="BC94" s="246"/>
      <c r="BD94" s="243"/>
      <c r="BE94" s="243"/>
      <c r="BF94" s="243"/>
      <c r="BG94" s="243"/>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row>
    <row r="95" spans="1:90">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9"/>
      <c r="AH95" s="289"/>
      <c r="AI95" s="289"/>
      <c r="AJ95" s="289"/>
      <c r="AK95" s="289"/>
      <c r="AL95" s="289"/>
      <c r="AM95" s="289"/>
      <c r="AN95" s="243"/>
      <c r="AO95" s="243"/>
      <c r="AP95" s="243"/>
      <c r="AQ95" s="243"/>
      <c r="AR95" s="243"/>
      <c r="AS95" s="243"/>
      <c r="AT95" s="243"/>
      <c r="AU95" s="243"/>
      <c r="AV95" s="243"/>
      <c r="AW95" s="243"/>
      <c r="AX95" s="243"/>
      <c r="AY95" s="243"/>
      <c r="AZ95" s="243"/>
      <c r="BA95" s="243"/>
      <c r="BB95" s="246"/>
      <c r="BC95" s="246"/>
      <c r="BD95" s="243"/>
      <c r="BE95" s="243"/>
      <c r="BF95" s="243"/>
      <c r="BG95" s="243"/>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row>
    <row r="96" spans="1:90">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9"/>
      <c r="AH96" s="289"/>
      <c r="AI96" s="289"/>
      <c r="AJ96" s="289"/>
      <c r="AK96" s="289"/>
      <c r="AL96" s="289"/>
      <c r="AM96" s="289"/>
      <c r="AN96" s="243"/>
      <c r="AO96" s="243"/>
      <c r="AP96" s="243"/>
      <c r="AQ96" s="243"/>
      <c r="AR96" s="243"/>
      <c r="AS96" s="243"/>
      <c r="AT96" s="243"/>
      <c r="AU96" s="243"/>
      <c r="AV96" s="243"/>
      <c r="AW96" s="243"/>
      <c r="AX96" s="243"/>
      <c r="AY96" s="243"/>
      <c r="AZ96" s="243"/>
      <c r="BA96" s="243"/>
      <c r="BB96" s="246"/>
      <c r="BC96" s="246"/>
      <c r="BD96" s="243"/>
      <c r="BE96" s="243"/>
      <c r="BF96" s="243"/>
      <c r="BG96" s="243"/>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row>
    <row r="97" spans="1:90">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9"/>
      <c r="AH97" s="289"/>
      <c r="AI97" s="289"/>
      <c r="AJ97" s="289"/>
      <c r="AK97" s="289"/>
      <c r="AL97" s="289"/>
      <c r="AM97" s="289"/>
      <c r="AN97" s="243"/>
      <c r="AO97" s="243"/>
      <c r="AP97" s="243"/>
      <c r="AQ97" s="243"/>
      <c r="AR97" s="243"/>
      <c r="AS97" s="243"/>
      <c r="AT97" s="243"/>
      <c r="AU97" s="243"/>
      <c r="AV97" s="243"/>
      <c r="AW97" s="243"/>
      <c r="AX97" s="243"/>
      <c r="AY97" s="243"/>
      <c r="AZ97" s="243"/>
      <c r="BA97" s="243"/>
      <c r="BB97" s="246"/>
      <c r="BC97" s="246"/>
      <c r="BD97" s="243"/>
      <c r="BE97" s="243"/>
      <c r="BF97" s="243"/>
      <c r="BG97" s="243"/>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row>
    <row r="98" spans="1:90">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9"/>
      <c r="AH98" s="289"/>
      <c r="AI98" s="289"/>
      <c r="AJ98" s="289"/>
      <c r="AK98" s="289"/>
      <c r="AL98" s="289"/>
      <c r="AM98" s="289"/>
      <c r="AN98" s="243"/>
      <c r="AO98" s="243"/>
      <c r="AP98" s="243"/>
      <c r="AQ98" s="243"/>
      <c r="AR98" s="243"/>
      <c r="AS98" s="243"/>
      <c r="AT98" s="243"/>
      <c r="AU98" s="243"/>
      <c r="AV98" s="243"/>
      <c r="AW98" s="243"/>
      <c r="AX98" s="243"/>
      <c r="AY98" s="243"/>
      <c r="AZ98" s="243"/>
      <c r="BA98" s="243"/>
      <c r="BB98" s="246"/>
      <c r="BC98" s="246"/>
      <c r="BD98" s="243"/>
      <c r="BE98" s="243"/>
      <c r="BF98" s="243"/>
      <c r="BG98" s="243"/>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row>
    <row r="99" spans="1:90">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9"/>
      <c r="AH99" s="289"/>
      <c r="AI99" s="289"/>
      <c r="AJ99" s="289"/>
      <c r="AK99" s="289"/>
      <c r="AL99" s="289"/>
      <c r="AM99" s="289"/>
      <c r="AN99" s="243"/>
      <c r="AO99" s="243"/>
      <c r="AP99" s="243"/>
      <c r="AQ99" s="243"/>
      <c r="AR99" s="243"/>
      <c r="AS99" s="243"/>
      <c r="AT99" s="243"/>
      <c r="AU99" s="243"/>
      <c r="AV99" s="243"/>
      <c r="AW99" s="243"/>
      <c r="AX99" s="243"/>
      <c r="AY99" s="243"/>
      <c r="AZ99" s="243"/>
      <c r="BA99" s="243"/>
      <c r="BB99" s="246"/>
      <c r="BC99" s="246"/>
      <c r="BD99" s="243"/>
      <c r="BE99" s="243"/>
      <c r="BF99" s="243"/>
      <c r="BG99" s="243"/>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row>
    <row r="100" spans="1:90">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9"/>
      <c r="AH100" s="289"/>
      <c r="AI100" s="289"/>
      <c r="AJ100" s="289"/>
      <c r="AK100" s="289"/>
      <c r="AL100" s="289"/>
      <c r="AM100" s="289"/>
      <c r="AN100" s="243"/>
      <c r="AO100" s="243"/>
      <c r="AP100" s="243"/>
      <c r="AQ100" s="243"/>
      <c r="AR100" s="243"/>
      <c r="AS100" s="243"/>
      <c r="AT100" s="243"/>
      <c r="AU100" s="243"/>
      <c r="AV100" s="243"/>
      <c r="AW100" s="243"/>
      <c r="AX100" s="243"/>
      <c r="AY100" s="243"/>
      <c r="AZ100" s="243"/>
      <c r="BA100" s="243"/>
      <c r="BB100" s="246"/>
      <c r="BC100" s="246"/>
      <c r="BD100" s="243"/>
      <c r="BE100" s="243"/>
      <c r="BF100" s="243"/>
      <c r="BG100" s="243"/>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row>
    <row r="101" spans="1:90">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9"/>
      <c r="AH101" s="289"/>
      <c r="AI101" s="289"/>
      <c r="AJ101" s="289"/>
      <c r="AK101" s="289"/>
      <c r="AL101" s="289"/>
      <c r="AM101" s="289"/>
      <c r="AN101" s="243"/>
      <c r="AO101" s="243"/>
      <c r="AP101" s="243"/>
      <c r="AQ101" s="243"/>
      <c r="AR101" s="243"/>
      <c r="AS101" s="243"/>
      <c r="AT101" s="243"/>
      <c r="AU101" s="243"/>
      <c r="AV101" s="243"/>
      <c r="AW101" s="243"/>
      <c r="AX101" s="243"/>
      <c r="AY101" s="243"/>
      <c r="AZ101" s="243"/>
      <c r="BA101" s="243"/>
      <c r="BB101" s="246"/>
      <c r="BC101" s="246"/>
      <c r="BD101" s="243"/>
      <c r="BE101" s="243"/>
      <c r="BF101" s="243"/>
      <c r="BG101" s="243"/>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row>
    <row r="102" spans="1:90">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9"/>
      <c r="AH102" s="289"/>
      <c r="AI102" s="289"/>
      <c r="AJ102" s="289"/>
      <c r="AK102" s="289"/>
      <c r="AL102" s="289"/>
      <c r="AM102" s="289"/>
      <c r="AN102" s="243"/>
      <c r="AO102" s="243"/>
      <c r="AP102" s="243"/>
      <c r="AQ102" s="243"/>
      <c r="AR102" s="243"/>
      <c r="AS102" s="243"/>
      <c r="AT102" s="243"/>
      <c r="AU102" s="243"/>
      <c r="AV102" s="243"/>
      <c r="AW102" s="243"/>
      <c r="AX102" s="243"/>
      <c r="AY102" s="243"/>
      <c r="AZ102" s="243"/>
      <c r="BA102" s="243"/>
      <c r="BB102" s="246"/>
      <c r="BC102" s="246"/>
      <c r="BD102" s="243"/>
      <c r="BE102" s="243"/>
      <c r="BF102" s="243"/>
      <c r="BG102" s="243"/>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row>
  </sheetData>
  <sheetProtection algorithmName="SHA-512" hashValue="j7TjFzx2GwC64HyO8+Eyp2kwrQa+dE0FGI7sgQHe6fz+ZzDYIFw/qhj6i2PIsSTPq2KSs10kra34YMnr70Jb2g==" saltValue="DLMTyaNnkA2pYOmoUBonww==" spinCount="100000" sheet="1" objects="1" scenarios="1" selectLockedCells="1" selectUnlockedCells="1"/>
  <mergeCells count="171">
    <mergeCell ref="A1:AG4"/>
    <mergeCell ref="A5:G5"/>
    <mergeCell ref="U5:X5"/>
    <mergeCell ref="Y5:AG5"/>
    <mergeCell ref="A6:G6"/>
    <mergeCell ref="U6:X6"/>
    <mergeCell ref="Y6:AG6"/>
    <mergeCell ref="A7:G7"/>
    <mergeCell ref="U7:X7"/>
    <mergeCell ref="A8:G9"/>
    <mergeCell ref="H8:AG9"/>
    <mergeCell ref="A10:H10"/>
    <mergeCell ref="I10:T10"/>
    <mergeCell ref="U10:X10"/>
    <mergeCell ref="Y10:AA10"/>
    <mergeCell ref="AB10:AD10"/>
    <mergeCell ref="AE10:AG10"/>
    <mergeCell ref="S14:AF18"/>
    <mergeCell ref="F15:I16"/>
    <mergeCell ref="J15:M16"/>
    <mergeCell ref="N15:Q16"/>
    <mergeCell ref="A17:E17"/>
    <mergeCell ref="F17:G17"/>
    <mergeCell ref="H17:I17"/>
    <mergeCell ref="J17:M17"/>
    <mergeCell ref="A11:AG12"/>
    <mergeCell ref="R13:S13"/>
    <mergeCell ref="T13:V13"/>
    <mergeCell ref="W13:X13"/>
    <mergeCell ref="Y13:Z13"/>
    <mergeCell ref="AA13:AC13"/>
    <mergeCell ref="AD13:AE13"/>
    <mergeCell ref="N17:O17"/>
    <mergeCell ref="P17:Q17"/>
    <mergeCell ref="F18:G18"/>
    <mergeCell ref="H18:I18"/>
    <mergeCell ref="J18:K18"/>
    <mergeCell ref="L18:M18"/>
    <mergeCell ref="N18:O18"/>
    <mergeCell ref="P18:Q18"/>
    <mergeCell ref="A14:E14"/>
    <mergeCell ref="F14:Q14"/>
    <mergeCell ref="F21:G21"/>
    <mergeCell ref="H21:I21"/>
    <mergeCell ref="J21:K21"/>
    <mergeCell ref="L21:M21"/>
    <mergeCell ref="N21:O21"/>
    <mergeCell ref="P21:Q21"/>
    <mergeCell ref="R19:S19"/>
    <mergeCell ref="F20:G20"/>
    <mergeCell ref="H20:I20"/>
    <mergeCell ref="J20:K20"/>
    <mergeCell ref="L20:M20"/>
    <mergeCell ref="N20:O20"/>
    <mergeCell ref="P20:Q20"/>
    <mergeCell ref="F19:G19"/>
    <mergeCell ref="H19:I19"/>
    <mergeCell ref="J19:K19"/>
    <mergeCell ref="L19:M19"/>
    <mergeCell ref="N19:O19"/>
    <mergeCell ref="P19:Q19"/>
    <mergeCell ref="F23:G23"/>
    <mergeCell ref="H23:I23"/>
    <mergeCell ref="J23:K23"/>
    <mergeCell ref="L23:M23"/>
    <mergeCell ref="N23:O23"/>
    <mergeCell ref="P23:Q23"/>
    <mergeCell ref="F22:G22"/>
    <mergeCell ref="H22:I22"/>
    <mergeCell ref="J22:K22"/>
    <mergeCell ref="L22:M22"/>
    <mergeCell ref="N22:O22"/>
    <mergeCell ref="P22:Q22"/>
    <mergeCell ref="F25:G25"/>
    <mergeCell ref="H25:I25"/>
    <mergeCell ref="J25:K25"/>
    <mergeCell ref="L25:M25"/>
    <mergeCell ref="N25:O25"/>
    <mergeCell ref="P25:Q25"/>
    <mergeCell ref="F24:G24"/>
    <mergeCell ref="H24:I24"/>
    <mergeCell ref="J24:K24"/>
    <mergeCell ref="L24:M24"/>
    <mergeCell ref="N24:O24"/>
    <mergeCell ref="P24:Q24"/>
    <mergeCell ref="F27:G27"/>
    <mergeCell ref="H27:I27"/>
    <mergeCell ref="J27:K27"/>
    <mergeCell ref="L27:M27"/>
    <mergeCell ref="N27:O27"/>
    <mergeCell ref="P27:Q27"/>
    <mergeCell ref="F26:G26"/>
    <mergeCell ref="H26:I26"/>
    <mergeCell ref="J26:K26"/>
    <mergeCell ref="L26:M26"/>
    <mergeCell ref="N26:O26"/>
    <mergeCell ref="P26:Q26"/>
    <mergeCell ref="T28:AE36"/>
    <mergeCell ref="F29:G29"/>
    <mergeCell ref="H29:I29"/>
    <mergeCell ref="J29:K29"/>
    <mergeCell ref="L29:M29"/>
    <mergeCell ref="N29:O29"/>
    <mergeCell ref="P29:Q29"/>
    <mergeCell ref="F30:G30"/>
    <mergeCell ref="H30:I30"/>
    <mergeCell ref="J30:K30"/>
    <mergeCell ref="F28:G28"/>
    <mergeCell ref="H28:I28"/>
    <mergeCell ref="J28:K28"/>
    <mergeCell ref="L28:M28"/>
    <mergeCell ref="N28:O28"/>
    <mergeCell ref="P28:Q28"/>
    <mergeCell ref="L30:M30"/>
    <mergeCell ref="N30:O30"/>
    <mergeCell ref="P30:Q30"/>
    <mergeCell ref="F31:G31"/>
    <mergeCell ref="H31:I31"/>
    <mergeCell ref="J31:K31"/>
    <mergeCell ref="L31:M31"/>
    <mergeCell ref="N31:O31"/>
    <mergeCell ref="P31:Q31"/>
    <mergeCell ref="F33:G33"/>
    <mergeCell ref="H33:I33"/>
    <mergeCell ref="J33:K33"/>
    <mergeCell ref="L33:M33"/>
    <mergeCell ref="N33:O33"/>
    <mergeCell ref="P33:Q33"/>
    <mergeCell ref="F32:G32"/>
    <mergeCell ref="H32:I32"/>
    <mergeCell ref="J32:K32"/>
    <mergeCell ref="L32:M32"/>
    <mergeCell ref="N32:O32"/>
    <mergeCell ref="P32:Q32"/>
    <mergeCell ref="F35:G35"/>
    <mergeCell ref="H35:I35"/>
    <mergeCell ref="J35:K35"/>
    <mergeCell ref="L35:M35"/>
    <mergeCell ref="N35:O35"/>
    <mergeCell ref="P35:Q35"/>
    <mergeCell ref="F34:G34"/>
    <mergeCell ref="H34:I34"/>
    <mergeCell ref="J34:K34"/>
    <mergeCell ref="L34:M34"/>
    <mergeCell ref="N34:O34"/>
    <mergeCell ref="P34:Q34"/>
    <mergeCell ref="F37:G37"/>
    <mergeCell ref="H37:I37"/>
    <mergeCell ref="J37:K37"/>
    <mergeCell ref="L37:M37"/>
    <mergeCell ref="N37:O37"/>
    <mergeCell ref="P37:Q37"/>
    <mergeCell ref="F36:G36"/>
    <mergeCell ref="H36:I36"/>
    <mergeCell ref="J36:K36"/>
    <mergeCell ref="L36:M36"/>
    <mergeCell ref="N36:O36"/>
    <mergeCell ref="P36:Q36"/>
    <mergeCell ref="P39:Q39"/>
    <mergeCell ref="A39:E39"/>
    <mergeCell ref="F39:G39"/>
    <mergeCell ref="H39:I39"/>
    <mergeCell ref="J39:K39"/>
    <mergeCell ref="L39:M39"/>
    <mergeCell ref="N39:O39"/>
    <mergeCell ref="F38:G38"/>
    <mergeCell ref="H38:I38"/>
    <mergeCell ref="J38:K38"/>
    <mergeCell ref="L38:M38"/>
    <mergeCell ref="N38:O38"/>
    <mergeCell ref="P38:Q38"/>
  </mergeCells>
  <conditionalFormatting sqref="F39:M39 P39:Y39">
    <cfRule type="expression" dxfId="27" priority="12" stopIfTrue="1">
      <formula>F39=0</formula>
    </cfRule>
  </conditionalFormatting>
  <conditionalFormatting sqref="O54">
    <cfRule type="expression" dxfId="26" priority="9">
      <formula>O54=0</formula>
    </cfRule>
  </conditionalFormatting>
  <conditionalFormatting sqref="R18:R19 H18:Q38">
    <cfRule type="expression" dxfId="25" priority="10">
      <formula>H18=0</formula>
    </cfRule>
  </conditionalFormatting>
  <conditionalFormatting sqref="R24:AG27 R28:T28 AF28:AG36 R29:S36 R37:AG38">
    <cfRule type="expression" dxfId="24" priority="6">
      <formula>R24=0</formula>
    </cfRule>
  </conditionalFormatting>
  <conditionalFormatting sqref="T22:T23">
    <cfRule type="expression" dxfId="23" priority="3">
      <formula>(T22&lt;&gt;0)</formula>
    </cfRule>
    <cfRule type="expression" dxfId="22" priority="4">
      <formula>(T22=0)</formula>
    </cfRule>
  </conditionalFormatting>
  <conditionalFormatting sqref="U22:AG23">
    <cfRule type="expression" dxfId="21" priority="1">
      <formula>U22=0</formula>
    </cfRule>
  </conditionalFormatting>
  <conditionalFormatting sqref="V20:V21">
    <cfRule type="expression" dxfId="20" priority="7">
      <formula>(V20&lt;&gt;0)</formula>
    </cfRule>
    <cfRule type="expression" dxfId="19" priority="8">
      <formula>(V20=0)</formula>
    </cfRule>
  </conditionalFormatting>
  <conditionalFormatting sqref="AB39:AE39">
    <cfRule type="expression" dxfId="18" priority="13" stopIfTrue="1">
      <formula>AB39=0</formula>
    </cfRule>
  </conditionalFormatting>
  <conditionalFormatting sqref="AG18 T19:AG19 W20:AG21 R20:S23">
    <cfRule type="expression" dxfId="17" priority="11">
      <formula>R18=0</formula>
    </cfRule>
  </conditionalFormatting>
  <pageMargins left="0.7" right="0.7" top="0.75" bottom="0.75" header="0.3" footer="0.3"/>
  <pageSetup paperSize="9" scale="65" orientation="portrait" r:id="rId1"/>
  <headerFooter>
    <oddFooter>&amp;C_x000D_&amp;1#&amp;"Calibri"&amp;10&amp;K000000 Internal</oddFooter>
  </headerFooter>
  <colBreaks count="1" manualBreakCount="1">
    <brk id="33" max="1048575" man="1"/>
  </col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C3098-6794-4220-A8C8-517A9263DC1C}">
  <sheetPr>
    <tabColor theme="3"/>
    <pageSetUpPr fitToPage="1"/>
  </sheetPr>
  <dimension ref="A1:CL102"/>
  <sheetViews>
    <sheetView showGridLines="0" view="pageBreakPreview" zoomScaleNormal="100" zoomScaleSheetLayoutView="100" workbookViewId="0">
      <selection activeCell="A6" sqref="A6:G6"/>
    </sheetView>
  </sheetViews>
  <sheetFormatPr defaultColWidth="9.28515625" defaultRowHeight="15"/>
  <cols>
    <col min="1" max="13" width="3.7109375" style="290" customWidth="1"/>
    <col min="14" max="14" width="4.7109375" style="290" customWidth="1"/>
    <col min="15" max="15" width="6.42578125" style="290" customWidth="1"/>
    <col min="16" max="19" width="3.7109375" style="290" customWidth="1"/>
    <col min="20" max="20" width="9" style="290" bestFit="1" customWidth="1"/>
    <col min="21" max="21" width="3.7109375" style="290" customWidth="1"/>
    <col min="22" max="22" width="5.28515625" style="290" customWidth="1"/>
    <col min="23" max="33" width="3.7109375" style="290" customWidth="1"/>
    <col min="34" max="34" width="9.28515625" style="247"/>
    <col min="35" max="46" width="8.7109375" style="247" customWidth="1"/>
    <col min="47" max="53" width="9.28515625" style="247"/>
    <col min="54" max="55" width="9.28515625" style="285"/>
    <col min="56" max="16384" width="9.28515625" style="247"/>
  </cols>
  <sheetData>
    <row r="1" spans="1:90"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8"/>
      <c r="AH1" s="238"/>
      <c r="AI1" s="238"/>
      <c r="AJ1" s="238"/>
      <c r="AK1" s="238"/>
      <c r="AL1" s="238"/>
      <c r="AM1" s="238"/>
      <c r="AN1" s="238"/>
      <c r="AO1" s="238"/>
      <c r="AP1" s="238"/>
      <c r="AQ1" s="238"/>
      <c r="AR1" s="238"/>
      <c r="AS1" s="238"/>
      <c r="AT1" s="238"/>
      <c r="AU1" s="238"/>
      <c r="AV1" s="238"/>
      <c r="AW1" s="238"/>
      <c r="AX1" s="238"/>
      <c r="AY1" s="238"/>
      <c r="AZ1" s="238"/>
      <c r="BA1" s="238"/>
      <c r="BB1" s="239"/>
      <c r="BC1" s="239"/>
      <c r="BD1" s="238"/>
      <c r="BE1" s="238"/>
      <c r="BF1" s="238"/>
      <c r="BG1" s="238"/>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row>
    <row r="2" spans="1:90"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1"/>
      <c r="AH2" s="238"/>
      <c r="AI2" s="238"/>
      <c r="AJ2" s="238"/>
      <c r="AK2" s="238"/>
      <c r="AL2" s="238"/>
      <c r="AM2" s="238"/>
      <c r="AN2" s="238"/>
      <c r="AO2" s="238"/>
      <c r="AP2" s="238"/>
      <c r="AQ2" s="238"/>
      <c r="AR2" s="238"/>
      <c r="AS2" s="238"/>
      <c r="AT2" s="238"/>
      <c r="AU2" s="238"/>
      <c r="AV2" s="238"/>
      <c r="AW2" s="238"/>
      <c r="AX2" s="238"/>
      <c r="AY2" s="238"/>
      <c r="AZ2" s="238"/>
      <c r="BA2" s="238"/>
      <c r="BB2" s="239"/>
      <c r="BC2" s="239"/>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row>
    <row r="3" spans="1:90"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1"/>
      <c r="AH3" s="238"/>
      <c r="AI3" s="238"/>
      <c r="AJ3" s="238"/>
      <c r="AK3" s="238"/>
      <c r="AL3" s="238"/>
      <c r="AM3" s="238"/>
      <c r="AN3" s="238"/>
      <c r="AO3" s="238"/>
      <c r="AP3" s="238"/>
      <c r="AQ3" s="238"/>
      <c r="AR3" s="238"/>
      <c r="AS3" s="238"/>
      <c r="AT3" s="238"/>
      <c r="AU3" s="238"/>
      <c r="AV3" s="238"/>
      <c r="AW3" s="238"/>
      <c r="AX3" s="238"/>
      <c r="AY3" s="238"/>
      <c r="AZ3" s="238"/>
      <c r="BA3" s="238"/>
      <c r="BB3" s="239"/>
      <c r="BC3" s="239"/>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row>
    <row r="4" spans="1:90"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4"/>
      <c r="AH4" s="238"/>
      <c r="AI4" s="241"/>
      <c r="AJ4" s="241"/>
      <c r="AK4" s="241"/>
      <c r="AL4" s="242" t="s">
        <v>576</v>
      </c>
      <c r="AM4" s="242" t="s">
        <v>577</v>
      </c>
      <c r="AN4" s="242" t="s">
        <v>578</v>
      </c>
      <c r="AO4" s="241"/>
      <c r="AP4" s="241"/>
      <c r="AQ4" s="241"/>
      <c r="AR4" s="241"/>
      <c r="AS4" s="241"/>
      <c r="AT4" s="238"/>
      <c r="AU4" s="238"/>
      <c r="AV4" s="238"/>
      <c r="AW4" s="238"/>
      <c r="AX4" s="238"/>
      <c r="AY4" s="238"/>
      <c r="AZ4" s="238"/>
      <c r="BA4" s="238"/>
      <c r="BB4" s="239"/>
      <c r="BC4" s="239"/>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row>
    <row r="5" spans="1:90" ht="15" customHeight="1">
      <c r="A5" s="875" t="s">
        <v>22</v>
      </c>
      <c r="B5" s="876"/>
      <c r="C5" s="876"/>
      <c r="D5" s="876"/>
      <c r="E5" s="876"/>
      <c r="F5" s="876"/>
      <c r="G5" s="876"/>
      <c r="H5" s="27" t="str">
        <f>'Emiss. Ops'!$C$2</f>
        <v>OMVP</v>
      </c>
      <c r="I5" s="27"/>
      <c r="J5" s="27"/>
      <c r="K5" s="27"/>
      <c r="L5" s="27"/>
      <c r="M5" s="27"/>
      <c r="N5" s="27"/>
      <c r="O5" s="27"/>
      <c r="P5" s="27"/>
      <c r="Q5" s="27"/>
      <c r="R5" s="27"/>
      <c r="S5" s="27"/>
      <c r="T5" s="27"/>
      <c r="U5" s="876" t="s">
        <v>23</v>
      </c>
      <c r="V5" s="876"/>
      <c r="W5" s="876"/>
      <c r="X5" s="876"/>
      <c r="Y5" s="877" t="str">
        <f>Effluents!$K$2</f>
        <v>PRJ-001030</v>
      </c>
      <c r="Z5" s="877"/>
      <c r="AA5" s="877"/>
      <c r="AB5" s="877"/>
      <c r="AC5" s="877"/>
      <c r="AD5" s="877"/>
      <c r="AE5" s="877"/>
      <c r="AF5" s="877"/>
      <c r="AG5" s="878"/>
      <c r="AH5" s="243"/>
      <c r="AI5" s="244"/>
      <c r="AJ5" s="244"/>
      <c r="AK5" s="244"/>
      <c r="AL5" s="245" t="s">
        <v>386</v>
      </c>
      <c r="AM5" s="245" t="s">
        <v>729</v>
      </c>
      <c r="AN5" s="242">
        <v>1020</v>
      </c>
      <c r="AO5" s="244"/>
      <c r="AP5" s="244"/>
      <c r="AQ5" s="244"/>
      <c r="AR5" s="244"/>
      <c r="AS5" s="244"/>
      <c r="AT5" s="238"/>
      <c r="AU5" s="238"/>
      <c r="AV5" s="238"/>
      <c r="AW5" s="243"/>
      <c r="AX5" s="243"/>
      <c r="AY5" s="243"/>
      <c r="AZ5" s="243"/>
      <c r="BA5" s="243"/>
      <c r="BB5" s="246"/>
      <c r="BC5" s="246"/>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row>
    <row r="6" spans="1:90" ht="15" customHeight="1">
      <c r="A6" s="862" t="s">
        <v>24</v>
      </c>
      <c r="B6" s="863"/>
      <c r="C6" s="863"/>
      <c r="D6" s="863"/>
      <c r="E6" s="863"/>
      <c r="F6" s="863"/>
      <c r="G6" s="863"/>
      <c r="H6" s="30" t="str">
        <f>'Emiss. Ops'!$C$3</f>
        <v>OMV Neptun BAT Study &amp; ESIA</v>
      </c>
      <c r="I6" s="30"/>
      <c r="J6" s="30"/>
      <c r="K6" s="30"/>
      <c r="L6" s="30"/>
      <c r="M6" s="30"/>
      <c r="N6" s="30"/>
      <c r="O6" s="30"/>
      <c r="P6" s="30"/>
      <c r="Q6" s="30"/>
      <c r="R6" s="30"/>
      <c r="S6" s="30"/>
      <c r="T6" s="30"/>
      <c r="U6" s="863" t="s">
        <v>25</v>
      </c>
      <c r="V6" s="863"/>
      <c r="W6" s="863"/>
      <c r="X6" s="863"/>
      <c r="Y6" s="860"/>
      <c r="Z6" s="860"/>
      <c r="AA6" s="860"/>
      <c r="AB6" s="860"/>
      <c r="AC6" s="860"/>
      <c r="AD6" s="860"/>
      <c r="AE6" s="860"/>
      <c r="AF6" s="860"/>
      <c r="AG6" s="861"/>
      <c r="AH6" s="243"/>
      <c r="AI6" s="244"/>
      <c r="AJ6" s="244"/>
      <c r="AK6" s="242"/>
      <c r="AL6" s="245" t="s">
        <v>406</v>
      </c>
      <c r="AM6" s="245" t="s">
        <v>339</v>
      </c>
      <c r="AN6" s="245">
        <v>0.45400000000000001</v>
      </c>
      <c r="AO6" s="242"/>
      <c r="AP6" s="244"/>
      <c r="AQ6" s="244"/>
      <c r="AR6" s="244"/>
      <c r="AS6" s="244"/>
      <c r="AT6" s="238"/>
      <c r="AU6" s="238"/>
      <c r="AV6" s="238"/>
      <c r="AW6" s="243"/>
      <c r="AX6" s="243"/>
      <c r="AY6" s="243"/>
      <c r="AZ6" s="243"/>
      <c r="BA6" s="243"/>
      <c r="BB6" s="246"/>
      <c r="BC6" s="246"/>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row>
    <row r="7" spans="1:90" ht="15" customHeight="1">
      <c r="A7" s="862" t="s">
        <v>26</v>
      </c>
      <c r="B7" s="863"/>
      <c r="C7" s="863"/>
      <c r="D7" s="863"/>
      <c r="E7" s="863"/>
      <c r="F7" s="863"/>
      <c r="G7" s="863"/>
      <c r="H7" s="30" t="str">
        <f>'Emiss. Ops'!$C$4</f>
        <v>Emissions Inventory</v>
      </c>
      <c r="I7" s="30"/>
      <c r="J7" s="30"/>
      <c r="K7" s="30"/>
      <c r="L7" s="30"/>
      <c r="M7" s="30"/>
      <c r="N7" s="30"/>
      <c r="O7" s="30"/>
      <c r="P7" s="30"/>
      <c r="Q7" s="30"/>
      <c r="R7" s="30"/>
      <c r="S7" s="30"/>
      <c r="T7" s="30"/>
      <c r="U7" s="863" t="s">
        <v>27</v>
      </c>
      <c r="V7" s="863"/>
      <c r="W7" s="863"/>
      <c r="X7" s="863"/>
      <c r="Y7" s="30" t="str">
        <f>'Emiss. Ops'!$I$4</f>
        <v>Normal Operations</v>
      </c>
      <c r="Z7" s="31"/>
      <c r="AA7" s="31"/>
      <c r="AB7" s="31"/>
      <c r="AC7" s="31"/>
      <c r="AD7" s="31"/>
      <c r="AE7" s="31"/>
      <c r="AF7" s="31"/>
      <c r="AG7" s="32"/>
      <c r="AH7" s="243"/>
      <c r="AI7" s="244"/>
      <c r="AJ7" s="244"/>
      <c r="AK7" s="242"/>
      <c r="AL7" s="245" t="s">
        <v>407</v>
      </c>
      <c r="AM7" s="245" t="s">
        <v>730</v>
      </c>
      <c r="AN7" s="248">
        <f>0.305^3</f>
        <v>2.8372624999999999E-2</v>
      </c>
      <c r="AO7" s="242"/>
      <c r="AP7" s="244"/>
      <c r="AQ7" s="244"/>
      <c r="AR7" s="244"/>
      <c r="AS7" s="244"/>
      <c r="AT7" s="238"/>
      <c r="AU7" s="238"/>
      <c r="AV7" s="238"/>
      <c r="AW7" s="243"/>
      <c r="AX7" s="243"/>
      <c r="AY7" s="243"/>
      <c r="AZ7" s="243"/>
      <c r="BA7" s="243"/>
      <c r="BB7" s="246"/>
      <c r="BC7" s="246"/>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row>
    <row r="8" spans="1:90"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9"/>
      <c r="AH8" s="243"/>
      <c r="AI8" s="244"/>
      <c r="AJ8" s="244"/>
      <c r="AK8" s="242"/>
      <c r="AL8" s="245" t="s">
        <v>729</v>
      </c>
      <c r="AM8" s="245" t="s">
        <v>731</v>
      </c>
      <c r="AN8" s="249" t="e">
        <f>AN6/AN7 * ((#REF!+273.15)/(#REF!+273.15))</f>
        <v>#REF!</v>
      </c>
      <c r="AO8" s="242"/>
      <c r="AP8" s="244"/>
      <c r="AQ8" s="244"/>
      <c r="AR8" s="244"/>
      <c r="AS8" s="244"/>
      <c r="AT8" s="238"/>
      <c r="AU8" s="238"/>
      <c r="AV8" s="238"/>
      <c r="AW8" s="243"/>
      <c r="AX8" s="243"/>
      <c r="AY8" s="243"/>
      <c r="AZ8" s="243"/>
      <c r="BA8" s="243"/>
      <c r="BB8" s="246"/>
      <c r="BC8" s="246"/>
      <c r="BD8" s="243"/>
      <c r="BE8" s="243"/>
      <c r="BF8" s="243"/>
      <c r="BG8" s="243"/>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row>
    <row r="9" spans="1:90"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9"/>
      <c r="AH9" s="243"/>
      <c r="AI9" s="244"/>
      <c r="AJ9" s="244"/>
      <c r="AK9" s="242"/>
      <c r="AL9" s="242" t="s">
        <v>409</v>
      </c>
      <c r="AM9" s="242" t="s">
        <v>410</v>
      </c>
      <c r="AN9" s="242">
        <v>947</v>
      </c>
      <c r="AO9" s="242"/>
      <c r="AP9" s="244"/>
      <c r="AQ9" s="244"/>
      <c r="AR9" s="244"/>
      <c r="AS9" s="244"/>
      <c r="AT9" s="238"/>
      <c r="AU9" s="238"/>
      <c r="AV9" s="238"/>
      <c r="AW9" s="243"/>
      <c r="AX9" s="243"/>
      <c r="AY9" s="243"/>
      <c r="AZ9" s="243"/>
      <c r="BA9" s="243"/>
      <c r="BB9" s="246"/>
      <c r="BC9" s="246"/>
      <c r="BD9" s="243"/>
      <c r="BE9" s="243"/>
      <c r="BF9" s="243"/>
      <c r="BG9" s="243"/>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row>
    <row r="10" spans="1:90"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859" t="s">
        <v>28</v>
      </c>
      <c r="V10" s="859"/>
      <c r="W10" s="859"/>
      <c r="X10" s="859"/>
      <c r="Y10" s="1284"/>
      <c r="Z10" s="1284"/>
      <c r="AA10" s="1284"/>
      <c r="AB10" s="1285"/>
      <c r="AC10" s="1285"/>
      <c r="AD10" s="1285"/>
      <c r="AE10" s="1286"/>
      <c r="AF10" s="1286"/>
      <c r="AG10" s="1287"/>
      <c r="AH10" s="238"/>
      <c r="AI10" s="241"/>
      <c r="AJ10" s="241"/>
      <c r="AK10" s="245"/>
      <c r="AL10" s="245" t="s">
        <v>710</v>
      </c>
      <c r="AM10" s="245" t="s">
        <v>709</v>
      </c>
      <c r="AN10" s="245">
        <v>1E-3</v>
      </c>
      <c r="AO10" s="245"/>
      <c r="AP10" s="241"/>
      <c r="AQ10" s="241"/>
      <c r="AR10" s="241"/>
      <c r="AS10" s="241"/>
      <c r="AT10" s="238"/>
      <c r="AU10" s="238"/>
      <c r="AV10" s="238"/>
      <c r="AW10" s="238"/>
      <c r="AX10" s="238"/>
      <c r="AY10" s="238"/>
      <c r="AZ10" s="238"/>
      <c r="BA10" s="238"/>
      <c r="BB10" s="239"/>
      <c r="BC10" s="239"/>
      <c r="BD10" s="238"/>
      <c r="BE10" s="238"/>
      <c r="BF10" s="238"/>
      <c r="BG10" s="238"/>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row>
    <row r="11" spans="1:90" s="240" customFormat="1" ht="14.25" customHeight="1">
      <c r="A11" s="1271" t="s">
        <v>216</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3"/>
      <c r="AH11" s="238"/>
      <c r="AI11" s="241"/>
      <c r="AJ11" s="241"/>
      <c r="AK11" s="245"/>
      <c r="AL11" s="245" t="s">
        <v>732</v>
      </c>
      <c r="AM11" s="245" t="s">
        <v>409</v>
      </c>
      <c r="AN11" s="245">
        <f>1/(AN9/1000000)</f>
        <v>1055.9662090813094</v>
      </c>
      <c r="AO11" s="245"/>
      <c r="AP11" s="241"/>
      <c r="AQ11" s="241"/>
      <c r="AR11" s="241"/>
      <c r="AS11" s="241"/>
      <c r="AT11" s="238"/>
      <c r="AU11" s="238"/>
      <c r="AV11" s="238"/>
      <c r="AW11" s="238"/>
      <c r="AX11" s="238"/>
      <c r="AY11" s="238"/>
      <c r="AZ11" s="238"/>
      <c r="BA11" s="238"/>
      <c r="BB11" s="239"/>
      <c r="BC11" s="239"/>
      <c r="BD11" s="238"/>
      <c r="BE11" s="238"/>
      <c r="BF11" s="238"/>
      <c r="BG11" s="238"/>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row>
    <row r="12" spans="1:90" s="240" customFormat="1" ht="14.25" customHeight="1">
      <c r="A12" s="1274"/>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6"/>
      <c r="AH12" s="238"/>
      <c r="AI12" s="241"/>
      <c r="AJ12" s="241"/>
      <c r="AK12" s="245"/>
      <c r="AL12" s="245"/>
      <c r="AM12" s="245"/>
      <c r="AN12" s="245"/>
      <c r="AO12" s="245"/>
      <c r="AP12" s="241"/>
      <c r="AQ12" s="241"/>
      <c r="AR12" s="241"/>
      <c r="AS12" s="241"/>
      <c r="AT12" s="238"/>
      <c r="AU12" s="238"/>
      <c r="AV12" s="238"/>
      <c r="AW12" s="238"/>
      <c r="AX12" s="238"/>
      <c r="AY12" s="238"/>
      <c r="AZ12" s="238"/>
      <c r="BA12" s="238"/>
      <c r="BB12" s="239"/>
      <c r="BC12" s="239"/>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row>
    <row r="13" spans="1:90" s="240" customFormat="1" ht="14.25" customHeight="1">
      <c r="A13" s="250"/>
      <c r="B13" s="251"/>
      <c r="C13" s="251"/>
      <c r="D13" s="251"/>
      <c r="E13" s="251"/>
      <c r="F13" s="251"/>
      <c r="G13" s="251"/>
      <c r="H13" s="252"/>
      <c r="I13" s="251"/>
      <c r="J13" s="251"/>
      <c r="K13" s="251"/>
      <c r="L13" s="251"/>
      <c r="M13" s="251"/>
      <c r="N13" s="251"/>
      <c r="O13" s="251"/>
      <c r="P13" s="251"/>
      <c r="Q13" s="251"/>
      <c r="R13" s="860"/>
      <c r="S13" s="860"/>
      <c r="T13" s="1293"/>
      <c r="U13" s="1293"/>
      <c r="V13" s="1293"/>
      <c r="W13" s="860"/>
      <c r="X13" s="860"/>
      <c r="Y13" s="1293"/>
      <c r="Z13" s="1293"/>
      <c r="AA13" s="860"/>
      <c r="AB13" s="860"/>
      <c r="AC13" s="860"/>
      <c r="AD13" s="1293"/>
      <c r="AE13" s="1293"/>
      <c r="AF13" s="30"/>
      <c r="AG13" s="253"/>
      <c r="AH13" s="238"/>
      <c r="AI13" s="254" t="e">
        <f>#REF!*SUM(N20:O29)</f>
        <v>#REF!</v>
      </c>
      <c r="AJ13" s="241"/>
      <c r="AK13" s="241"/>
      <c r="AL13" s="241"/>
      <c r="AM13" s="241"/>
      <c r="AN13" s="241"/>
      <c r="AO13" s="241"/>
      <c r="AP13" s="241"/>
      <c r="AQ13" s="241"/>
      <c r="AR13" s="241"/>
      <c r="AS13" s="241"/>
      <c r="AT13" s="238"/>
      <c r="AU13" s="238"/>
      <c r="AV13" s="238"/>
      <c r="AW13" s="238"/>
      <c r="AX13" s="238"/>
      <c r="AY13" s="238"/>
      <c r="AZ13" s="238"/>
      <c r="BA13" s="238"/>
      <c r="BB13" s="239"/>
      <c r="BC13" s="239"/>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row>
    <row r="14" spans="1:90" s="240" customFormat="1" ht="14.25" customHeight="1">
      <c r="A14" s="1370" t="s">
        <v>718</v>
      </c>
      <c r="B14" s="1370"/>
      <c r="C14" s="1370"/>
      <c r="D14" s="1370"/>
      <c r="E14" s="1370"/>
      <c r="F14" s="1371" t="s">
        <v>789</v>
      </c>
      <c r="G14" s="1372"/>
      <c r="H14" s="1372"/>
      <c r="I14" s="1372"/>
      <c r="J14" s="1372"/>
      <c r="K14" s="1372"/>
      <c r="L14" s="1372"/>
      <c r="M14" s="1372"/>
      <c r="N14" s="1372"/>
      <c r="O14" s="1372"/>
      <c r="P14" s="1372"/>
      <c r="Q14" s="1372"/>
      <c r="R14" s="30"/>
      <c r="S14" s="1402"/>
      <c r="T14" s="1184"/>
      <c r="U14" s="1184"/>
      <c r="V14" s="1184"/>
      <c r="W14" s="1184"/>
      <c r="X14" s="1184"/>
      <c r="Y14" s="1184"/>
      <c r="Z14" s="1184"/>
      <c r="AA14" s="1184"/>
      <c r="AB14" s="1184"/>
      <c r="AC14" s="1184"/>
      <c r="AD14" s="1184"/>
      <c r="AE14" s="1184"/>
      <c r="AF14" s="1184"/>
      <c r="AG14" s="253"/>
      <c r="AH14" s="255"/>
      <c r="AI14" s="241"/>
      <c r="AJ14" s="241"/>
      <c r="AK14" s="241"/>
      <c r="AL14" s="241"/>
      <c r="AM14" s="241"/>
      <c r="AN14" s="241"/>
      <c r="AO14" s="241"/>
      <c r="AP14" s="241"/>
      <c r="AQ14" s="241"/>
      <c r="AR14" s="241"/>
      <c r="AS14" s="241"/>
      <c r="AT14" s="241"/>
      <c r="AU14" s="241"/>
      <c r="AV14" s="238"/>
      <c r="AW14" s="238"/>
      <c r="AX14" s="238"/>
      <c r="AY14" s="238"/>
      <c r="AZ14" s="238"/>
      <c r="BA14" s="238"/>
      <c r="BB14" s="239"/>
      <c r="BC14" s="239"/>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row>
    <row r="15" spans="1:90" s="240" customFormat="1" ht="14.25" customHeight="1">
      <c r="A15" s="256" t="s">
        <v>620</v>
      </c>
      <c r="B15" s="30"/>
      <c r="C15" s="30"/>
      <c r="D15" s="30"/>
      <c r="E15" s="30"/>
      <c r="F15" s="1529" t="s">
        <v>791</v>
      </c>
      <c r="G15" s="1530"/>
      <c r="H15" s="1530"/>
      <c r="I15" s="1531"/>
      <c r="J15" s="1529" t="s">
        <v>792</v>
      </c>
      <c r="K15" s="1530"/>
      <c r="L15" s="1530"/>
      <c r="M15" s="1531"/>
      <c r="N15" s="1535" t="s">
        <v>793</v>
      </c>
      <c r="O15" s="1536"/>
      <c r="P15" s="1537"/>
      <c r="Q15" s="1538"/>
      <c r="R15" s="257"/>
      <c r="S15" s="1184"/>
      <c r="T15" s="1184"/>
      <c r="U15" s="1184"/>
      <c r="V15" s="1184"/>
      <c r="W15" s="1184"/>
      <c r="X15" s="1184"/>
      <c r="Y15" s="1184"/>
      <c r="Z15" s="1184"/>
      <c r="AA15" s="1184"/>
      <c r="AB15" s="1184"/>
      <c r="AC15" s="1184"/>
      <c r="AD15" s="1184"/>
      <c r="AE15" s="1184"/>
      <c r="AF15" s="1184"/>
      <c r="AG15" s="253"/>
      <c r="AH15" s="255"/>
      <c r="AI15" s="241"/>
      <c r="AJ15" s="241"/>
      <c r="AK15" s="241"/>
      <c r="AL15" s="241"/>
      <c r="AM15" s="241"/>
      <c r="AN15" s="241"/>
      <c r="AO15" s="241"/>
      <c r="AP15" s="241"/>
      <c r="AQ15" s="241"/>
      <c r="AR15" s="241"/>
      <c r="AS15" s="241"/>
      <c r="AT15" s="241"/>
      <c r="AU15" s="241"/>
      <c r="AV15" s="238"/>
      <c r="AW15" s="238"/>
      <c r="AX15" s="238"/>
      <c r="AY15" s="238"/>
      <c r="AZ15" s="238"/>
      <c r="BA15" s="238"/>
      <c r="BB15" s="239"/>
      <c r="BC15" s="239"/>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row>
    <row r="16" spans="1:90" s="240" customFormat="1" ht="14.25" customHeight="1">
      <c r="A16" s="133"/>
      <c r="B16" s="30"/>
      <c r="C16" s="30"/>
      <c r="D16" s="30"/>
      <c r="E16" s="30"/>
      <c r="F16" s="1532"/>
      <c r="G16" s="1533"/>
      <c r="H16" s="1533"/>
      <c r="I16" s="1534"/>
      <c r="J16" s="1532"/>
      <c r="K16" s="1533"/>
      <c r="L16" s="1533"/>
      <c r="M16" s="1534"/>
      <c r="N16" s="1539"/>
      <c r="O16" s="1540"/>
      <c r="P16" s="1533"/>
      <c r="Q16" s="1534"/>
      <c r="R16" s="257"/>
      <c r="S16" s="1184"/>
      <c r="T16" s="1184"/>
      <c r="U16" s="1184"/>
      <c r="V16" s="1184"/>
      <c r="W16" s="1184"/>
      <c r="X16" s="1184"/>
      <c r="Y16" s="1184"/>
      <c r="Z16" s="1184"/>
      <c r="AA16" s="1184"/>
      <c r="AB16" s="1184"/>
      <c r="AC16" s="1184"/>
      <c r="AD16" s="1184"/>
      <c r="AE16" s="1184"/>
      <c r="AF16" s="1184"/>
      <c r="AG16" s="253"/>
      <c r="AH16" s="258"/>
      <c r="AI16" s="259" t="s">
        <v>740</v>
      </c>
      <c r="AJ16" s="259"/>
      <c r="AK16" s="259"/>
      <c r="AL16" s="259"/>
      <c r="AM16" s="259"/>
      <c r="AN16" s="259"/>
      <c r="AO16" s="259" t="s">
        <v>741</v>
      </c>
      <c r="AP16" s="259"/>
      <c r="AQ16" s="259" t="s">
        <v>742</v>
      </c>
      <c r="AR16" s="259"/>
      <c r="AS16" s="259"/>
      <c r="AT16" s="259"/>
      <c r="AU16" s="258"/>
      <c r="AV16" s="238"/>
      <c r="AW16" s="238"/>
      <c r="AX16" s="238"/>
      <c r="AY16" s="238"/>
      <c r="AZ16" s="238"/>
      <c r="BA16" s="238"/>
      <c r="BB16" s="239"/>
      <c r="BC16" s="239"/>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row>
    <row r="17" spans="1:90" s="240" customFormat="1" ht="14.25" customHeight="1">
      <c r="A17" s="1376" t="s">
        <v>630</v>
      </c>
      <c r="B17" s="1376"/>
      <c r="C17" s="1376"/>
      <c r="D17" s="1376"/>
      <c r="E17" s="1376"/>
      <c r="F17" s="1375" t="s">
        <v>794</v>
      </c>
      <c r="G17" s="1375"/>
      <c r="H17" s="1375" t="s">
        <v>590</v>
      </c>
      <c r="I17" s="1375"/>
      <c r="J17" s="1371" t="s">
        <v>795</v>
      </c>
      <c r="K17" s="1372"/>
      <c r="L17" s="1541"/>
      <c r="M17" s="1542"/>
      <c r="N17" s="1375" t="s">
        <v>617</v>
      </c>
      <c r="O17" s="1375"/>
      <c r="P17" s="1375" t="s">
        <v>332</v>
      </c>
      <c r="Q17" s="1375"/>
      <c r="R17" s="30"/>
      <c r="S17" s="1184"/>
      <c r="T17" s="1184"/>
      <c r="U17" s="1184"/>
      <c r="V17" s="1184"/>
      <c r="W17" s="1184"/>
      <c r="X17" s="1184"/>
      <c r="Y17" s="1184"/>
      <c r="Z17" s="1184"/>
      <c r="AA17" s="1184"/>
      <c r="AB17" s="1184"/>
      <c r="AC17" s="1184"/>
      <c r="AD17" s="1184"/>
      <c r="AE17" s="1184"/>
      <c r="AF17" s="1184"/>
      <c r="AG17" s="253"/>
      <c r="AH17" s="258"/>
      <c r="AI17" s="259" t="s">
        <v>633</v>
      </c>
      <c r="AJ17" s="259" t="s">
        <v>634</v>
      </c>
      <c r="AK17" s="259" t="s">
        <v>635</v>
      </c>
      <c r="AL17" s="259" t="s">
        <v>636</v>
      </c>
      <c r="AM17" s="259" t="s">
        <v>637</v>
      </c>
      <c r="AN17" s="259" t="s">
        <v>590</v>
      </c>
      <c r="AO17" s="259" t="s">
        <v>428</v>
      </c>
      <c r="AP17" s="259" t="s">
        <v>429</v>
      </c>
      <c r="AQ17" s="259" t="s">
        <v>126</v>
      </c>
      <c r="AR17" s="259" t="s">
        <v>431</v>
      </c>
      <c r="AS17" s="259" t="s">
        <v>429</v>
      </c>
      <c r="AT17" s="259" t="s">
        <v>124</v>
      </c>
      <c r="AU17" s="258"/>
      <c r="AV17" s="238"/>
      <c r="AW17" s="238"/>
      <c r="AX17" s="238"/>
      <c r="AY17" s="238"/>
      <c r="AZ17" s="238"/>
      <c r="BA17" s="238"/>
      <c r="BB17" s="239" t="s">
        <v>128</v>
      </c>
      <c r="BC17" s="239" t="s">
        <v>743</v>
      </c>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row>
    <row r="18" spans="1:90" s="240" customFormat="1" ht="14.25" customHeight="1">
      <c r="A18" s="260" t="s">
        <v>638</v>
      </c>
      <c r="B18" s="261"/>
      <c r="C18" s="261"/>
      <c r="D18" s="261"/>
      <c r="E18" s="262"/>
      <c r="F18" s="1377">
        <v>0</v>
      </c>
      <c r="G18" s="1378"/>
      <c r="H18" s="1379"/>
      <c r="I18" s="1381"/>
      <c r="J18" s="1380"/>
      <c r="K18" s="1380"/>
      <c r="L18" s="1379"/>
      <c r="M18" s="1380"/>
      <c r="N18" s="1379">
        <f>SUM(H18,J18,L18)*AN18</f>
        <v>0</v>
      </c>
      <c r="O18" s="1380"/>
      <c r="P18" s="1379"/>
      <c r="Q18" s="1381"/>
      <c r="R18" s="263"/>
      <c r="S18" s="1184"/>
      <c r="T18" s="1184"/>
      <c r="U18" s="1184"/>
      <c r="V18" s="1184"/>
      <c r="W18" s="1184"/>
      <c r="X18" s="1184"/>
      <c r="Y18" s="1184"/>
      <c r="Z18" s="1184"/>
      <c r="AA18" s="1184"/>
      <c r="AB18" s="1184"/>
      <c r="AC18" s="1184"/>
      <c r="AD18" s="1184"/>
      <c r="AE18" s="1184"/>
      <c r="AF18" s="1184"/>
      <c r="AG18" s="264"/>
      <c r="AH18" s="258"/>
      <c r="AI18" s="259"/>
      <c r="AJ18" s="259">
        <v>2</v>
      </c>
      <c r="AK18" s="259"/>
      <c r="AL18" s="259"/>
      <c r="AM18" s="259"/>
      <c r="AN18" s="265">
        <f>AI18*12.01+AJ18*1.008+AK18*16+AL18*14+AM18*32</f>
        <v>2.016</v>
      </c>
      <c r="AO18" s="259">
        <f>AI18*1+AJ18*0.25+AM18*1</f>
        <v>0.5</v>
      </c>
      <c r="AP18" s="266">
        <f>0.79/0.21*AO18</f>
        <v>1.8809523809523812</v>
      </c>
      <c r="AQ18" s="259">
        <f>1*AI18</f>
        <v>0</v>
      </c>
      <c r="AR18" s="259">
        <f>AJ18/2</f>
        <v>1</v>
      </c>
      <c r="AS18" s="266">
        <f>AL18*0.5+AP18</f>
        <v>1.8809523809523812</v>
      </c>
      <c r="AT18" s="259">
        <f>AM18*1</f>
        <v>0</v>
      </c>
      <c r="AU18" s="258"/>
      <c r="AV18" s="238"/>
      <c r="AW18" s="238"/>
      <c r="AX18" s="238"/>
      <c r="AY18" s="238"/>
      <c r="AZ18" s="238"/>
      <c r="BA18" s="239" t="s">
        <v>639</v>
      </c>
      <c r="BB18" s="239">
        <v>1.4200000000000001E-2</v>
      </c>
      <c r="BC18" s="239">
        <v>2.9999999999999997E-4</v>
      </c>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row>
    <row r="19" spans="1:90" s="240" customFormat="1" ht="14.25" customHeight="1">
      <c r="A19" s="267" t="s">
        <v>122</v>
      </c>
      <c r="B19" s="268"/>
      <c r="C19" s="268"/>
      <c r="D19" s="268"/>
      <c r="E19" s="269"/>
      <c r="F19" s="1377">
        <f>CO2eEF!P26</f>
        <v>0.99629999999999996</v>
      </c>
      <c r="G19" s="1378"/>
      <c r="H19" s="1546">
        <v>16.042999999999999</v>
      </c>
      <c r="I19" s="1549"/>
      <c r="J19" s="1550">
        <f>F19*H19</f>
        <v>15.983640899999999</v>
      </c>
      <c r="K19" s="1550"/>
      <c r="L19" s="1546">
        <f>J19/$J$39</f>
        <v>0.99103593622983144</v>
      </c>
      <c r="M19" s="1545"/>
      <c r="N19" s="1547">
        <f>L19*$V$20</f>
        <v>1.2435997374547279E-2</v>
      </c>
      <c r="O19" s="1548"/>
      <c r="P19" s="1547">
        <f>N19*365.25*24/1000</f>
        <v>0.10901395298528144</v>
      </c>
      <c r="Q19" s="1548"/>
      <c r="R19" s="1382"/>
      <c r="S19" s="1384"/>
      <c r="T19" s="263"/>
      <c r="U19" s="263"/>
      <c r="V19" s="263"/>
      <c r="W19" s="263"/>
      <c r="X19" s="263"/>
      <c r="Y19" s="263"/>
      <c r="Z19" s="263"/>
      <c r="AA19" s="263"/>
      <c r="AB19" s="263"/>
      <c r="AC19" s="263"/>
      <c r="AD19" s="263"/>
      <c r="AE19" s="263"/>
      <c r="AF19" s="263"/>
      <c r="AG19" s="264"/>
      <c r="AH19" s="258"/>
      <c r="AI19" s="259">
        <v>1</v>
      </c>
      <c r="AJ19" s="259">
        <v>4</v>
      </c>
      <c r="AK19" s="259"/>
      <c r="AL19" s="259"/>
      <c r="AM19" s="259"/>
      <c r="AN19" s="265">
        <f t="shared" ref="AN19:AN34" si="0">AI19*12.01+AJ19*1.008+AK19*16+AL19*14+AM19*32</f>
        <v>16.042000000000002</v>
      </c>
      <c r="AO19" s="259">
        <f t="shared" ref="AO19:AO33" si="1">AI19*1+AJ19*0.25+AM19*1</f>
        <v>2</v>
      </c>
      <c r="AP19" s="266">
        <f t="shared" ref="AP19:AP33" si="2">0.79/0.21*AO19</f>
        <v>7.5238095238095246</v>
      </c>
      <c r="AQ19" s="259">
        <f t="shared" ref="AQ19:AQ33" si="3">1*AI19</f>
        <v>1</v>
      </c>
      <c r="AR19" s="259">
        <f t="shared" ref="AR19:AR33" si="4">AJ19/2</f>
        <v>2</v>
      </c>
      <c r="AS19" s="266">
        <f t="shared" ref="AS19:AS33" si="5">AL19*0.5+AP19</f>
        <v>7.5238095238095246</v>
      </c>
      <c r="AT19" s="259">
        <f t="shared" ref="AT19:AT33" si="6">AM19*1</f>
        <v>0</v>
      </c>
      <c r="AU19" s="258"/>
      <c r="AV19" s="238"/>
      <c r="AW19" s="238"/>
      <c r="AX19" s="238"/>
      <c r="AY19" s="238"/>
      <c r="AZ19" s="238"/>
      <c r="BA19" s="239" t="s">
        <v>126</v>
      </c>
      <c r="BB19" s="239">
        <v>9.5999999999999992E-3</v>
      </c>
      <c r="BC19" s="239">
        <v>0.77539999999999998</v>
      </c>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row>
    <row r="20" spans="1:90" s="240" customFormat="1" ht="14.25" customHeight="1">
      <c r="A20" s="267" t="s">
        <v>641</v>
      </c>
      <c r="B20" s="268"/>
      <c r="C20" s="268"/>
      <c r="D20" s="268"/>
      <c r="E20" s="269"/>
      <c r="F20" s="1377">
        <v>0</v>
      </c>
      <c r="G20" s="1378"/>
      <c r="H20" s="1299"/>
      <c r="I20" s="1301"/>
      <c r="J20" s="1300"/>
      <c r="K20" s="1300"/>
      <c r="L20" s="1299"/>
      <c r="M20" s="1300"/>
      <c r="N20" s="1299">
        <f>SUM(H20,J20,L20)*AN20</f>
        <v>0</v>
      </c>
      <c r="O20" s="1301"/>
      <c r="P20" s="1299"/>
      <c r="Q20" s="1301"/>
      <c r="R20" s="263"/>
      <c r="S20" s="263"/>
      <c r="T20" s="270"/>
      <c r="U20" s="31"/>
      <c r="V20" s="271">
        <f>0.11*1000/365.25/24</f>
        <v>1.2548482774355463E-2</v>
      </c>
      <c r="W20" s="263" t="s">
        <v>617</v>
      </c>
      <c r="X20" s="263"/>
      <c r="Y20" s="263"/>
      <c r="Z20" s="263"/>
      <c r="AA20" s="263"/>
      <c r="AB20" s="263"/>
      <c r="AC20" s="263"/>
      <c r="AD20" s="263"/>
      <c r="AE20" s="263"/>
      <c r="AF20" s="263"/>
      <c r="AG20" s="264"/>
      <c r="AH20" s="258"/>
      <c r="AI20" s="259">
        <v>2</v>
      </c>
      <c r="AJ20" s="259">
        <v>4</v>
      </c>
      <c r="AK20" s="259"/>
      <c r="AL20" s="259"/>
      <c r="AM20" s="259"/>
      <c r="AN20" s="265">
        <f t="shared" si="0"/>
        <v>28.052</v>
      </c>
      <c r="AO20" s="259">
        <f t="shared" si="1"/>
        <v>3</v>
      </c>
      <c r="AP20" s="266">
        <f t="shared" si="2"/>
        <v>11.285714285714286</v>
      </c>
      <c r="AQ20" s="259">
        <f t="shared" si="3"/>
        <v>2</v>
      </c>
      <c r="AR20" s="259">
        <f t="shared" si="4"/>
        <v>2</v>
      </c>
      <c r="AS20" s="266">
        <f t="shared" si="5"/>
        <v>11.285714285714286</v>
      </c>
      <c r="AT20" s="259">
        <f t="shared" si="6"/>
        <v>0</v>
      </c>
      <c r="AU20" s="258"/>
      <c r="AV20" s="238"/>
      <c r="AW20" s="238"/>
      <c r="AX20" s="238"/>
      <c r="AY20" s="238"/>
      <c r="AZ20" s="238"/>
      <c r="BA20" s="239" t="s">
        <v>642</v>
      </c>
      <c r="BB20" s="239">
        <v>0.60499999999999998</v>
      </c>
      <c r="BC20" s="239">
        <v>1.43E-2</v>
      </c>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row>
    <row r="21" spans="1:90" s="240" customFormat="1" ht="14.25" customHeight="1">
      <c r="A21" s="267" t="s">
        <v>643</v>
      </c>
      <c r="B21" s="268"/>
      <c r="C21" s="268"/>
      <c r="D21" s="268"/>
      <c r="E21" s="269"/>
      <c r="F21" s="1377">
        <f>CO2eEF!P27</f>
        <v>7.000000000000001E-4</v>
      </c>
      <c r="G21" s="1378"/>
      <c r="H21" s="1543">
        <v>30.07</v>
      </c>
      <c r="I21" s="1544"/>
      <c r="J21" s="1545">
        <f>F21*H21</f>
        <v>2.1049000000000002E-2</v>
      </c>
      <c r="K21" s="1545"/>
      <c r="L21" s="1546">
        <f>J21/$J$39</f>
        <v>1.3051041093961092E-3</v>
      </c>
      <c r="M21" s="1545"/>
      <c r="N21" s="1547">
        <f>L21*$V$20</f>
        <v>1.6377076435497606E-5</v>
      </c>
      <c r="O21" s="1548"/>
      <c r="P21" s="1547">
        <f>N21*365.25*24/1000</f>
        <v>1.4356145203357201E-4</v>
      </c>
      <c r="Q21" s="1548"/>
      <c r="R21" s="263"/>
      <c r="S21" s="263"/>
      <c r="T21" s="31"/>
      <c r="U21" s="31"/>
      <c r="V21" s="270"/>
      <c r="W21" s="263"/>
      <c r="X21" s="263"/>
      <c r="Y21" s="263"/>
      <c r="Z21" s="263"/>
      <c r="AA21" s="263"/>
      <c r="AB21" s="263"/>
      <c r="AC21" s="263"/>
      <c r="AD21" s="263"/>
      <c r="AE21" s="263"/>
      <c r="AF21" s="263"/>
      <c r="AG21" s="264"/>
      <c r="AH21" s="258"/>
      <c r="AI21" s="259">
        <v>2</v>
      </c>
      <c r="AJ21" s="259">
        <v>6</v>
      </c>
      <c r="AK21" s="259"/>
      <c r="AL21" s="259"/>
      <c r="AM21" s="259"/>
      <c r="AN21" s="265">
        <f t="shared" si="0"/>
        <v>30.067999999999998</v>
      </c>
      <c r="AO21" s="259">
        <f t="shared" si="1"/>
        <v>3.5</v>
      </c>
      <c r="AP21" s="266">
        <f t="shared" si="2"/>
        <v>13.166666666666668</v>
      </c>
      <c r="AQ21" s="259">
        <f t="shared" si="3"/>
        <v>2</v>
      </c>
      <c r="AR21" s="259">
        <f t="shared" si="4"/>
        <v>3</v>
      </c>
      <c r="AS21" s="266">
        <f t="shared" si="5"/>
        <v>13.166666666666668</v>
      </c>
      <c r="AT21" s="259">
        <f t="shared" si="6"/>
        <v>0</v>
      </c>
      <c r="AU21" s="258"/>
      <c r="AV21" s="238"/>
      <c r="AW21" s="238"/>
      <c r="AX21" s="238"/>
      <c r="AY21" s="238"/>
      <c r="AZ21" s="238"/>
      <c r="BA21" s="239" t="s">
        <v>644</v>
      </c>
      <c r="BB21" s="239">
        <v>0.17519999999999999</v>
      </c>
      <c r="BC21" s="239">
        <v>1.9E-3</v>
      </c>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row>
    <row r="22" spans="1:90" s="240" customFormat="1" ht="14.25" customHeight="1">
      <c r="A22" s="267" t="s">
        <v>418</v>
      </c>
      <c r="B22" s="268"/>
      <c r="C22" s="268"/>
      <c r="D22" s="268"/>
      <c r="E22" s="269"/>
      <c r="F22" s="1377">
        <v>0</v>
      </c>
      <c r="G22" s="1378"/>
      <c r="H22" s="1299"/>
      <c r="I22" s="1301"/>
      <c r="J22" s="1300"/>
      <c r="K22" s="1300"/>
      <c r="L22" s="1299"/>
      <c r="M22" s="1300"/>
      <c r="N22" s="1299">
        <f>SUM(H22,J22,L22)*AN22</f>
        <v>0</v>
      </c>
      <c r="O22" s="1301"/>
      <c r="P22" s="1299"/>
      <c r="Q22" s="1301"/>
      <c r="R22" s="263"/>
      <c r="S22" s="263"/>
      <c r="T22" s="272"/>
      <c r="U22" s="31"/>
      <c r="V22" s="270"/>
      <c r="W22" s="263"/>
      <c r="X22" s="263"/>
      <c r="Y22" s="263"/>
      <c r="Z22" s="263"/>
      <c r="AA22" s="263"/>
      <c r="AB22" s="263"/>
      <c r="AC22" s="263"/>
      <c r="AD22" s="263"/>
      <c r="AE22" s="263"/>
      <c r="AF22" s="263"/>
      <c r="AG22" s="264"/>
      <c r="AH22" s="258"/>
      <c r="AI22" s="259">
        <v>3</v>
      </c>
      <c r="AJ22" s="259">
        <v>6</v>
      </c>
      <c r="AK22" s="259"/>
      <c r="AL22" s="259"/>
      <c r="AM22" s="259"/>
      <c r="AN22" s="265">
        <f t="shared" si="0"/>
        <v>42.078000000000003</v>
      </c>
      <c r="AO22" s="259">
        <f t="shared" si="1"/>
        <v>4.5</v>
      </c>
      <c r="AP22" s="266">
        <f t="shared" si="2"/>
        <v>16.928571428571431</v>
      </c>
      <c r="AQ22" s="259">
        <f t="shared" si="3"/>
        <v>3</v>
      </c>
      <c r="AR22" s="259">
        <f t="shared" si="4"/>
        <v>3</v>
      </c>
      <c r="AS22" s="266">
        <f t="shared" si="5"/>
        <v>16.928571428571431</v>
      </c>
      <c r="AT22" s="259">
        <f t="shared" si="6"/>
        <v>0</v>
      </c>
      <c r="AU22" s="258"/>
      <c r="AV22" s="238"/>
      <c r="AW22" s="238"/>
      <c r="AX22" s="238"/>
      <c r="AY22" s="238"/>
      <c r="AZ22" s="238"/>
      <c r="BA22" s="239" t="s">
        <v>645</v>
      </c>
      <c r="BB22" s="239">
        <v>0.1139</v>
      </c>
      <c r="BC22" s="239">
        <v>3.5999999999999999E-3</v>
      </c>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row>
    <row r="23" spans="1:90" s="240" customFormat="1" ht="14.25" customHeight="1">
      <c r="A23" s="267" t="s">
        <v>419</v>
      </c>
      <c r="B23" s="268"/>
      <c r="C23" s="268"/>
      <c r="D23" s="268"/>
      <c r="E23" s="269"/>
      <c r="F23" s="1377">
        <f>CO2eEF!P28</f>
        <v>2.0000000000000001E-4</v>
      </c>
      <c r="G23" s="1378"/>
      <c r="H23" s="1546">
        <v>44.097000000000001</v>
      </c>
      <c r="I23" s="1549"/>
      <c r="J23" s="1545">
        <f>F23*H23</f>
        <v>8.8194000000000015E-3</v>
      </c>
      <c r="K23" s="1545"/>
      <c r="L23" s="1546">
        <f>J23/$J$39</f>
        <v>5.4683049942553315E-4</v>
      </c>
      <c r="M23" s="1545"/>
      <c r="N23" s="1547">
        <f>L23*$V$20</f>
        <v>6.8618931025334978E-6</v>
      </c>
      <c r="O23" s="1548"/>
      <c r="P23" s="1547">
        <f>N23*365.25*24/1000</f>
        <v>6.0151354936808643E-5</v>
      </c>
      <c r="Q23" s="1548"/>
      <c r="R23" s="263"/>
      <c r="S23" s="263"/>
      <c r="T23" s="272"/>
      <c r="U23" s="31"/>
      <c r="V23" s="270"/>
      <c r="W23" s="263"/>
      <c r="X23" s="263"/>
      <c r="Y23" s="263"/>
      <c r="Z23" s="263"/>
      <c r="AA23" s="263"/>
      <c r="AB23" s="263"/>
      <c r="AC23" s="263"/>
      <c r="AD23" s="263"/>
      <c r="AE23" s="263"/>
      <c r="AF23" s="263"/>
      <c r="AG23" s="264"/>
      <c r="AH23" s="258"/>
      <c r="AI23" s="259">
        <v>3</v>
      </c>
      <c r="AJ23" s="259">
        <v>8</v>
      </c>
      <c r="AK23" s="259"/>
      <c r="AL23" s="259"/>
      <c r="AM23" s="259"/>
      <c r="AN23" s="265">
        <f t="shared" si="0"/>
        <v>44.094000000000001</v>
      </c>
      <c r="AO23" s="259">
        <f t="shared" si="1"/>
        <v>5</v>
      </c>
      <c r="AP23" s="266">
        <f t="shared" si="2"/>
        <v>18.80952380952381</v>
      </c>
      <c r="AQ23" s="259">
        <f t="shared" si="3"/>
        <v>3</v>
      </c>
      <c r="AR23" s="259">
        <f t="shared" si="4"/>
        <v>4</v>
      </c>
      <c r="AS23" s="266">
        <f t="shared" si="5"/>
        <v>18.80952380952381</v>
      </c>
      <c r="AT23" s="259">
        <f t="shared" si="6"/>
        <v>0</v>
      </c>
      <c r="AU23" s="258"/>
      <c r="AV23" s="238"/>
      <c r="AW23" s="238"/>
      <c r="AX23" s="238"/>
      <c r="AY23" s="238"/>
      <c r="AZ23" s="238"/>
      <c r="BA23" s="239" t="s">
        <v>646</v>
      </c>
      <c r="BB23" s="239">
        <v>1.7100000000000001E-2</v>
      </c>
      <c r="BC23" s="239">
        <v>1E-3</v>
      </c>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row>
    <row r="24" spans="1:90" s="240" customFormat="1" ht="14.25" customHeight="1">
      <c r="A24" s="267" t="s">
        <v>420</v>
      </c>
      <c r="B24" s="268"/>
      <c r="C24" s="268"/>
      <c r="D24" s="268"/>
      <c r="E24" s="269"/>
      <c r="F24" s="1377">
        <v>0</v>
      </c>
      <c r="G24" s="1378"/>
      <c r="H24" s="1299"/>
      <c r="I24" s="1301"/>
      <c r="J24" s="1300"/>
      <c r="K24" s="1300"/>
      <c r="L24" s="1299"/>
      <c r="M24" s="1300"/>
      <c r="N24" s="1299">
        <f>SUM(H24,J24,L24)*AN24</f>
        <v>0</v>
      </c>
      <c r="O24" s="1301"/>
      <c r="P24" s="1299"/>
      <c r="Q24" s="1301"/>
      <c r="R24" s="263"/>
      <c r="S24" s="263"/>
      <c r="T24" s="263"/>
      <c r="U24" s="263"/>
      <c r="V24" s="263"/>
      <c r="W24" s="263"/>
      <c r="X24" s="263"/>
      <c r="Y24" s="263"/>
      <c r="Z24" s="263"/>
      <c r="AA24" s="263"/>
      <c r="AB24" s="263"/>
      <c r="AC24" s="263"/>
      <c r="AD24" s="263"/>
      <c r="AE24" s="263"/>
      <c r="AF24" s="263"/>
      <c r="AG24" s="264"/>
      <c r="AH24" s="258"/>
      <c r="AI24" s="259">
        <v>4</v>
      </c>
      <c r="AJ24" s="259">
        <v>8</v>
      </c>
      <c r="AK24" s="259"/>
      <c r="AL24" s="259"/>
      <c r="AM24" s="259"/>
      <c r="AN24" s="265">
        <f t="shared" si="0"/>
        <v>56.103999999999999</v>
      </c>
      <c r="AO24" s="259">
        <f t="shared" si="1"/>
        <v>6</v>
      </c>
      <c r="AP24" s="266">
        <f t="shared" si="2"/>
        <v>22.571428571428573</v>
      </c>
      <c r="AQ24" s="259">
        <f t="shared" si="3"/>
        <v>4</v>
      </c>
      <c r="AR24" s="259">
        <f t="shared" si="4"/>
        <v>4</v>
      </c>
      <c r="AS24" s="266">
        <f t="shared" si="5"/>
        <v>22.571428571428573</v>
      </c>
      <c r="AT24" s="259">
        <f t="shared" si="6"/>
        <v>0</v>
      </c>
      <c r="AU24" s="258"/>
      <c r="AV24" s="238"/>
      <c r="AW24" s="238"/>
      <c r="AX24" s="238"/>
      <c r="AY24" s="238"/>
      <c r="AZ24" s="238"/>
      <c r="BA24" s="239" t="s">
        <v>647</v>
      </c>
      <c r="BB24" s="239">
        <v>4.5900000000000003E-2</v>
      </c>
      <c r="BC24" s="239">
        <v>2.3999999999999998E-3</v>
      </c>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row>
    <row r="25" spans="1:90" s="240" customFormat="1" ht="14.25" customHeight="1">
      <c r="A25" s="267" t="s">
        <v>421</v>
      </c>
      <c r="B25" s="268"/>
      <c r="C25" s="268"/>
      <c r="D25" s="268"/>
      <c r="E25" s="269"/>
      <c r="F25" s="1377">
        <f>CO2eEF!P29</f>
        <v>1E-4</v>
      </c>
      <c r="G25" s="1378"/>
      <c r="H25" s="1546">
        <v>58.122999999999998</v>
      </c>
      <c r="I25" s="1549"/>
      <c r="J25" s="1545">
        <f>F25*H25</f>
        <v>5.8123000000000003E-3</v>
      </c>
      <c r="K25" s="1545"/>
      <c r="L25" s="1546">
        <f>J25/$J$39</f>
        <v>3.6038085491201508E-4</v>
      </c>
      <c r="M25" s="1545"/>
      <c r="N25" s="1547">
        <f>L25*$V$20</f>
        <v>4.522232950070917E-6</v>
      </c>
      <c r="O25" s="1548"/>
      <c r="P25" s="1547">
        <f>N25*365.25*24/1000</f>
        <v>3.9641894040321663E-5</v>
      </c>
      <c r="Q25" s="1548"/>
      <c r="R25" s="263"/>
      <c r="S25" s="263"/>
      <c r="T25" s="263"/>
      <c r="U25" s="263"/>
      <c r="V25" s="263"/>
      <c r="W25" s="263"/>
      <c r="X25" s="263"/>
      <c r="Y25" s="263"/>
      <c r="Z25" s="263"/>
      <c r="AA25" s="263"/>
      <c r="AB25" s="263"/>
      <c r="AC25" s="263"/>
      <c r="AD25" s="263"/>
      <c r="AE25" s="263"/>
      <c r="AF25" s="263"/>
      <c r="AG25" s="264"/>
      <c r="AH25" s="258"/>
      <c r="AI25" s="259">
        <v>4</v>
      </c>
      <c r="AJ25" s="259">
        <v>10</v>
      </c>
      <c r="AK25" s="259"/>
      <c r="AL25" s="259"/>
      <c r="AM25" s="259"/>
      <c r="AN25" s="265">
        <f>AI25*12.01+AJ25*1.008+AK25*16+AL25*14+AM25*32</f>
        <v>58.12</v>
      </c>
      <c r="AO25" s="259">
        <f t="shared" si="1"/>
        <v>6.5</v>
      </c>
      <c r="AP25" s="266">
        <f t="shared" si="2"/>
        <v>24.452380952380956</v>
      </c>
      <c r="AQ25" s="259">
        <f t="shared" si="3"/>
        <v>4</v>
      </c>
      <c r="AR25" s="259">
        <f t="shared" si="4"/>
        <v>5</v>
      </c>
      <c r="AS25" s="266">
        <f t="shared" si="5"/>
        <v>24.452380952380956</v>
      </c>
      <c r="AT25" s="259">
        <f t="shared" si="6"/>
        <v>0</v>
      </c>
      <c r="AU25" s="258"/>
      <c r="AV25" s="238"/>
      <c r="AW25" s="238"/>
      <c r="AX25" s="238"/>
      <c r="AY25" s="238"/>
      <c r="AZ25" s="238"/>
      <c r="BA25" s="239" t="s">
        <v>648</v>
      </c>
      <c r="BB25" s="239">
        <v>8.2000000000000007E-3</v>
      </c>
      <c r="BC25" s="239">
        <v>1.6000000000000001E-3</v>
      </c>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row>
    <row r="26" spans="1:90" s="240" customFormat="1" ht="14.25" customHeight="1">
      <c r="A26" s="267" t="s">
        <v>422</v>
      </c>
      <c r="B26" s="268"/>
      <c r="C26" s="268"/>
      <c r="D26" s="268"/>
      <c r="E26" s="269"/>
      <c r="F26" s="1377">
        <f>CO2eEF!P30</f>
        <v>0</v>
      </c>
      <c r="G26" s="1378"/>
      <c r="H26" s="1299"/>
      <c r="I26" s="1301"/>
      <c r="J26" s="1300"/>
      <c r="K26" s="1300"/>
      <c r="L26" s="1299"/>
      <c r="M26" s="1300"/>
      <c r="N26" s="1299">
        <f>SUM(H26,J26,L26)*AN26</f>
        <v>0</v>
      </c>
      <c r="O26" s="1301"/>
      <c r="P26" s="1299"/>
      <c r="Q26" s="1301"/>
      <c r="R26" s="263"/>
      <c r="S26" s="263"/>
      <c r="T26" s="263" t="s">
        <v>761</v>
      </c>
      <c r="U26" s="263"/>
      <c r="V26" s="263"/>
      <c r="W26" s="263"/>
      <c r="X26" s="263"/>
      <c r="Y26" s="263"/>
      <c r="Z26" s="263"/>
      <c r="AA26" s="263"/>
      <c r="AB26" s="263"/>
      <c r="AC26" s="263"/>
      <c r="AD26" s="263"/>
      <c r="AE26" s="263"/>
      <c r="AF26" s="263"/>
      <c r="AG26" s="264"/>
      <c r="AH26" s="258"/>
      <c r="AI26" s="259">
        <v>4</v>
      </c>
      <c r="AJ26" s="259">
        <v>10</v>
      </c>
      <c r="AK26" s="259"/>
      <c r="AL26" s="259"/>
      <c r="AM26" s="259"/>
      <c r="AN26" s="265">
        <f t="shared" si="0"/>
        <v>58.12</v>
      </c>
      <c r="AO26" s="259">
        <f t="shared" si="1"/>
        <v>6.5</v>
      </c>
      <c r="AP26" s="266">
        <f t="shared" si="2"/>
        <v>24.452380952380956</v>
      </c>
      <c r="AQ26" s="259">
        <f t="shared" si="3"/>
        <v>4</v>
      </c>
      <c r="AR26" s="259">
        <f t="shared" si="4"/>
        <v>5</v>
      </c>
      <c r="AS26" s="266">
        <f t="shared" si="5"/>
        <v>24.452380952380956</v>
      </c>
      <c r="AT26" s="259">
        <f t="shared" si="6"/>
        <v>0</v>
      </c>
      <c r="AU26" s="258"/>
      <c r="AV26" s="238"/>
      <c r="AW26" s="238"/>
      <c r="AX26" s="238"/>
      <c r="AY26" s="238"/>
      <c r="AZ26" s="238"/>
      <c r="BA26" s="239" t="s">
        <v>649</v>
      </c>
      <c r="BB26" s="239">
        <v>2.0000000000000001E-4</v>
      </c>
      <c r="BC26" s="239">
        <v>0</v>
      </c>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row>
    <row r="27" spans="1:90" s="240" customFormat="1" ht="14.25" customHeight="1">
      <c r="A27" s="267" t="s">
        <v>423</v>
      </c>
      <c r="B27" s="268"/>
      <c r="C27" s="268"/>
      <c r="D27" s="268"/>
      <c r="E27" s="269"/>
      <c r="F27" s="1377">
        <f>CO2eEF!P31</f>
        <v>1E-4</v>
      </c>
      <c r="G27" s="1378"/>
      <c r="H27" s="1543">
        <v>72.150000000000006</v>
      </c>
      <c r="I27" s="1544"/>
      <c r="J27" s="1545">
        <f t="shared" ref="J27:J29" si="7">F27*H27</f>
        <v>7.2150000000000009E-3</v>
      </c>
      <c r="K27" s="1545"/>
      <c r="L27" s="1546">
        <f t="shared" ref="L27:L29" si="8">J27/$J$39</f>
        <v>4.4735266042533745E-4</v>
      </c>
      <c r="M27" s="1545"/>
      <c r="N27" s="1547">
        <f t="shared" ref="N27:N29" si="9">L27*$V$20</f>
        <v>5.6135971534094355E-6</v>
      </c>
      <c r="O27" s="1548"/>
      <c r="P27" s="1547">
        <f t="shared" ref="P27:P29" si="10">N27*365.25*24/1000</f>
        <v>4.9208792646787108E-5</v>
      </c>
      <c r="Q27" s="1548"/>
      <c r="R27" s="263"/>
      <c r="S27" s="263"/>
      <c r="T27" s="263"/>
      <c r="U27" s="263"/>
      <c r="V27" s="263"/>
      <c r="W27" s="263"/>
      <c r="X27" s="263"/>
      <c r="Y27" s="263"/>
      <c r="Z27" s="263"/>
      <c r="AA27" s="263"/>
      <c r="AB27" s="263"/>
      <c r="AC27" s="263"/>
      <c r="AD27" s="263"/>
      <c r="AE27" s="263"/>
      <c r="AF27" s="263"/>
      <c r="AG27" s="264"/>
      <c r="AH27" s="258"/>
      <c r="AI27" s="259">
        <v>5</v>
      </c>
      <c r="AJ27" s="259">
        <v>12</v>
      </c>
      <c r="AK27" s="259"/>
      <c r="AL27" s="259"/>
      <c r="AM27" s="259"/>
      <c r="AN27" s="265">
        <f t="shared" si="0"/>
        <v>72.146000000000001</v>
      </c>
      <c r="AO27" s="259">
        <f t="shared" si="1"/>
        <v>8</v>
      </c>
      <c r="AP27" s="266">
        <f t="shared" si="2"/>
        <v>30.095238095238098</v>
      </c>
      <c r="AQ27" s="259">
        <f t="shared" si="3"/>
        <v>5</v>
      </c>
      <c r="AR27" s="259">
        <f t="shared" si="4"/>
        <v>6</v>
      </c>
      <c r="AS27" s="266">
        <f t="shared" si="5"/>
        <v>30.095238095238098</v>
      </c>
      <c r="AT27" s="259">
        <f t="shared" si="6"/>
        <v>0</v>
      </c>
      <c r="AU27" s="258"/>
      <c r="AV27" s="238"/>
      <c r="AW27" s="238"/>
      <c r="AX27" s="238"/>
      <c r="AY27" s="238"/>
      <c r="AZ27" s="238"/>
      <c r="BA27" s="239" t="s">
        <v>650</v>
      </c>
      <c r="BB27" s="239">
        <v>8.8999999999999999E-3</v>
      </c>
      <c r="BC27" s="239">
        <v>1.9E-3</v>
      </c>
      <c r="BD27" s="238"/>
      <c r="BE27" s="238"/>
      <c r="BF27" s="238"/>
      <c r="BG27" s="238"/>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row>
    <row r="28" spans="1:90" s="240" customFormat="1" ht="14.25" customHeight="1">
      <c r="A28" s="267" t="s">
        <v>424</v>
      </c>
      <c r="B28" s="268"/>
      <c r="C28" s="268"/>
      <c r="D28" s="268"/>
      <c r="E28" s="269"/>
      <c r="F28" s="1377">
        <f>CO2eEF!P33</f>
        <v>1E-4</v>
      </c>
      <c r="G28" s="1378"/>
      <c r="H28" s="1543">
        <v>72.150000000000006</v>
      </c>
      <c r="I28" s="1544"/>
      <c r="J28" s="1545">
        <f t="shared" si="7"/>
        <v>7.2150000000000009E-3</v>
      </c>
      <c r="K28" s="1545"/>
      <c r="L28" s="1546">
        <f t="shared" si="8"/>
        <v>4.4735266042533745E-4</v>
      </c>
      <c r="M28" s="1545"/>
      <c r="N28" s="1547">
        <f t="shared" si="9"/>
        <v>5.6135971534094355E-6</v>
      </c>
      <c r="O28" s="1548"/>
      <c r="P28" s="1547">
        <f t="shared" si="10"/>
        <v>4.9208792646787108E-5</v>
      </c>
      <c r="Q28" s="1548"/>
      <c r="R28" s="263"/>
      <c r="S28" s="263"/>
      <c r="T28" s="1528" t="s">
        <v>917</v>
      </c>
      <c r="U28" s="1184"/>
      <c r="V28" s="1184"/>
      <c r="W28" s="1184"/>
      <c r="X28" s="1184"/>
      <c r="Y28" s="1184"/>
      <c r="Z28" s="1184"/>
      <c r="AA28" s="1184"/>
      <c r="AB28" s="1184"/>
      <c r="AC28" s="1184"/>
      <c r="AD28" s="1184"/>
      <c r="AE28" s="1184"/>
      <c r="AF28" s="263"/>
      <c r="AG28" s="264"/>
      <c r="AH28" s="258"/>
      <c r="AI28" s="259">
        <v>5</v>
      </c>
      <c r="AJ28" s="259">
        <v>12</v>
      </c>
      <c r="AK28" s="259"/>
      <c r="AL28" s="259"/>
      <c r="AM28" s="259"/>
      <c r="AN28" s="265">
        <f t="shared" si="0"/>
        <v>72.146000000000001</v>
      </c>
      <c r="AO28" s="259">
        <f t="shared" si="1"/>
        <v>8</v>
      </c>
      <c r="AP28" s="266">
        <f t="shared" si="2"/>
        <v>30.095238095238098</v>
      </c>
      <c r="AQ28" s="259">
        <f t="shared" si="3"/>
        <v>5</v>
      </c>
      <c r="AR28" s="259">
        <f t="shared" si="4"/>
        <v>6</v>
      </c>
      <c r="AS28" s="266">
        <f t="shared" si="5"/>
        <v>30.095238095238098</v>
      </c>
      <c r="AT28" s="259">
        <f t="shared" si="6"/>
        <v>0</v>
      </c>
      <c r="AU28" s="258"/>
      <c r="AV28" s="238"/>
      <c r="AW28" s="238"/>
      <c r="AX28" s="238"/>
      <c r="AY28" s="238"/>
      <c r="AZ28" s="238"/>
      <c r="BA28" s="239" t="s">
        <v>651</v>
      </c>
      <c r="BB28" s="239">
        <v>2.0000000000000001E-4</v>
      </c>
      <c r="BC28" s="239">
        <v>2.9999999999999997E-4</v>
      </c>
      <c r="BD28" s="238"/>
      <c r="BE28" s="238"/>
      <c r="BF28" s="238"/>
      <c r="BG28" s="238"/>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row>
    <row r="29" spans="1:90" s="240" customFormat="1" ht="14.25" customHeight="1">
      <c r="A29" s="267" t="s">
        <v>721</v>
      </c>
      <c r="B29" s="268"/>
      <c r="C29" s="268"/>
      <c r="D29" s="268"/>
      <c r="E29" s="269"/>
      <c r="F29" s="1377">
        <f>1-(SUM(F18:F28)+SUM(F30:G38))</f>
        <v>2.00000000000089E-4</v>
      </c>
      <c r="G29" s="1378"/>
      <c r="H29" s="1546">
        <v>86.177000000000007</v>
      </c>
      <c r="I29" s="1549"/>
      <c r="J29" s="1545">
        <f t="shared" si="7"/>
        <v>1.7235400000007672E-2</v>
      </c>
      <c r="K29" s="1545"/>
      <c r="L29" s="1546">
        <f t="shared" si="8"/>
        <v>1.0686489318777951E-3</v>
      </c>
      <c r="M29" s="1545"/>
      <c r="N29" s="1547">
        <f t="shared" si="9"/>
        <v>1.3409922713501878E-5</v>
      </c>
      <c r="O29" s="1548"/>
      <c r="P29" s="1547">
        <f t="shared" si="10"/>
        <v>1.1755138250655747E-4</v>
      </c>
      <c r="Q29" s="1548"/>
      <c r="R29" s="263"/>
      <c r="S29" s="263"/>
      <c r="T29" s="1184"/>
      <c r="U29" s="1184"/>
      <c r="V29" s="1184"/>
      <c r="W29" s="1184"/>
      <c r="X29" s="1184"/>
      <c r="Y29" s="1184"/>
      <c r="Z29" s="1184"/>
      <c r="AA29" s="1184"/>
      <c r="AB29" s="1184"/>
      <c r="AC29" s="1184"/>
      <c r="AD29" s="1184"/>
      <c r="AE29" s="1184"/>
      <c r="AF29" s="263"/>
      <c r="AG29" s="264"/>
      <c r="AH29" s="258"/>
      <c r="AI29" s="259">
        <v>6</v>
      </c>
      <c r="AJ29" s="259">
        <v>14</v>
      </c>
      <c r="AK29" s="259"/>
      <c r="AL29" s="259"/>
      <c r="AM29" s="259"/>
      <c r="AN29" s="265">
        <f t="shared" si="0"/>
        <v>86.171999999999997</v>
      </c>
      <c r="AO29" s="259">
        <f t="shared" si="1"/>
        <v>9.5</v>
      </c>
      <c r="AP29" s="266">
        <f t="shared" si="2"/>
        <v>35.738095238095241</v>
      </c>
      <c r="AQ29" s="259">
        <f t="shared" si="3"/>
        <v>6</v>
      </c>
      <c r="AR29" s="259">
        <f t="shared" si="4"/>
        <v>7</v>
      </c>
      <c r="AS29" s="266">
        <f t="shared" si="5"/>
        <v>35.738095238095241</v>
      </c>
      <c r="AT29" s="259">
        <f t="shared" si="6"/>
        <v>0</v>
      </c>
      <c r="AU29" s="258"/>
      <c r="AV29" s="238"/>
      <c r="AW29" s="238"/>
      <c r="AX29" s="238"/>
      <c r="AY29" s="238"/>
      <c r="AZ29" s="238"/>
      <c r="BA29" s="239" t="s">
        <v>652</v>
      </c>
      <c r="BB29" s="239">
        <v>0</v>
      </c>
      <c r="BC29" s="239">
        <v>5.0000000000000001E-4</v>
      </c>
      <c r="BD29" s="238"/>
      <c r="BE29" s="238"/>
      <c r="BF29" s="238"/>
      <c r="BG29" s="238"/>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row>
    <row r="30" spans="1:90" s="240" customFormat="1" ht="14.25" customHeight="1">
      <c r="A30" s="267" t="s">
        <v>426</v>
      </c>
      <c r="B30" s="268"/>
      <c r="C30" s="268"/>
      <c r="D30" s="268"/>
      <c r="E30" s="269"/>
      <c r="F30" s="1377">
        <v>0</v>
      </c>
      <c r="G30" s="1378"/>
      <c r="H30" s="1299"/>
      <c r="I30" s="1301"/>
      <c r="J30" s="1300"/>
      <c r="K30" s="1300"/>
      <c r="L30" s="1299"/>
      <c r="M30" s="1300"/>
      <c r="N30" s="1299">
        <f>SUM(H30,J30,L30)*AN30</f>
        <v>0</v>
      </c>
      <c r="O30" s="1301"/>
      <c r="P30" s="1299"/>
      <c r="Q30" s="1301"/>
      <c r="R30" s="263"/>
      <c r="S30" s="263"/>
      <c r="T30" s="1184"/>
      <c r="U30" s="1184"/>
      <c r="V30" s="1184"/>
      <c r="W30" s="1184"/>
      <c r="X30" s="1184"/>
      <c r="Y30" s="1184"/>
      <c r="Z30" s="1184"/>
      <c r="AA30" s="1184"/>
      <c r="AB30" s="1184"/>
      <c r="AC30" s="1184"/>
      <c r="AD30" s="1184"/>
      <c r="AE30" s="1184"/>
      <c r="AF30" s="263"/>
      <c r="AG30" s="264"/>
      <c r="AH30" s="258"/>
      <c r="AI30" s="259"/>
      <c r="AJ30" s="259"/>
      <c r="AK30" s="259"/>
      <c r="AL30" s="259"/>
      <c r="AM30" s="259"/>
      <c r="AN30" s="265">
        <v>4.0030000000000001</v>
      </c>
      <c r="AO30" s="259"/>
      <c r="AP30" s="266"/>
      <c r="AQ30" s="259"/>
      <c r="AR30" s="259"/>
      <c r="AS30" s="266"/>
      <c r="AT30" s="259"/>
      <c r="AU30" s="258"/>
      <c r="AV30" s="238"/>
      <c r="AW30" s="238"/>
      <c r="AX30" s="238"/>
      <c r="AY30" s="238"/>
      <c r="AZ30" s="238"/>
      <c r="BA30" s="239" t="s">
        <v>653</v>
      </c>
      <c r="BB30" s="239">
        <v>0</v>
      </c>
      <c r="BC30" s="239">
        <v>1E-4</v>
      </c>
      <c r="BD30" s="238"/>
      <c r="BE30" s="238"/>
      <c r="BF30" s="238"/>
      <c r="BG30" s="238"/>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row>
    <row r="31" spans="1:90" s="240" customFormat="1" ht="14.25" customHeight="1">
      <c r="A31" s="267" t="s">
        <v>427</v>
      </c>
      <c r="B31" s="268"/>
      <c r="C31" s="268"/>
      <c r="D31" s="268"/>
      <c r="E31" s="269"/>
      <c r="F31" s="1377">
        <v>0</v>
      </c>
      <c r="G31" s="1378"/>
      <c r="H31" s="1299"/>
      <c r="I31" s="1301"/>
      <c r="J31" s="1300"/>
      <c r="K31" s="1300"/>
      <c r="L31" s="1299"/>
      <c r="M31" s="1300"/>
      <c r="N31" s="1299">
        <f>SUM(H31,J31,L31)*AN31</f>
        <v>0</v>
      </c>
      <c r="O31" s="1301"/>
      <c r="P31" s="1299"/>
      <c r="Q31" s="1301"/>
      <c r="R31" s="263"/>
      <c r="S31" s="263"/>
      <c r="T31" s="1184"/>
      <c r="U31" s="1184"/>
      <c r="V31" s="1184"/>
      <c r="W31" s="1184"/>
      <c r="X31" s="1184"/>
      <c r="Y31" s="1184"/>
      <c r="Z31" s="1184"/>
      <c r="AA31" s="1184"/>
      <c r="AB31" s="1184"/>
      <c r="AC31" s="1184"/>
      <c r="AD31" s="1184"/>
      <c r="AE31" s="1184"/>
      <c r="AF31" s="263"/>
      <c r="AG31" s="264"/>
      <c r="AH31" s="258"/>
      <c r="AI31" s="259"/>
      <c r="AJ31" s="259">
        <v>2</v>
      </c>
      <c r="AK31" s="259"/>
      <c r="AL31" s="259"/>
      <c r="AM31" s="259">
        <v>1</v>
      </c>
      <c r="AN31" s="265">
        <f t="shared" si="0"/>
        <v>34.015999999999998</v>
      </c>
      <c r="AO31" s="259">
        <f t="shared" si="1"/>
        <v>1.5</v>
      </c>
      <c r="AP31" s="266">
        <f t="shared" si="2"/>
        <v>5.6428571428571432</v>
      </c>
      <c r="AQ31" s="259">
        <f t="shared" si="3"/>
        <v>0</v>
      </c>
      <c r="AR31" s="259">
        <f t="shared" si="4"/>
        <v>1</v>
      </c>
      <c r="AS31" s="266">
        <f t="shared" si="5"/>
        <v>5.6428571428571432</v>
      </c>
      <c r="AT31" s="259">
        <f t="shared" si="6"/>
        <v>1</v>
      </c>
      <c r="AU31" s="258"/>
      <c r="AV31" s="238"/>
      <c r="AW31" s="238"/>
      <c r="AX31" s="238"/>
      <c r="AY31" s="238"/>
      <c r="AZ31" s="238"/>
      <c r="BA31" s="239" t="s">
        <v>654</v>
      </c>
      <c r="BB31" s="239">
        <v>0</v>
      </c>
      <c r="BC31" s="239">
        <v>4.0000000000000002E-4</v>
      </c>
      <c r="BD31" s="238"/>
      <c r="BE31" s="238"/>
      <c r="BF31" s="238"/>
      <c r="BG31" s="238"/>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row>
    <row r="32" spans="1:90" s="240" customFormat="1" ht="14.25" customHeight="1">
      <c r="A32" s="267" t="s">
        <v>428</v>
      </c>
      <c r="B32" s="268"/>
      <c r="C32" s="268"/>
      <c r="D32" s="268"/>
      <c r="E32" s="269"/>
      <c r="F32" s="1377">
        <v>0</v>
      </c>
      <c r="G32" s="1378"/>
      <c r="H32" s="1299"/>
      <c r="I32" s="1301"/>
      <c r="J32" s="1300"/>
      <c r="K32" s="1300"/>
      <c r="L32" s="1299">
        <v>0</v>
      </c>
      <c r="M32" s="1300"/>
      <c r="N32" s="1299">
        <f>SUM(H32,J32,L32)*AN32</f>
        <v>0</v>
      </c>
      <c r="O32" s="1301"/>
      <c r="P32" s="1299"/>
      <c r="Q32" s="1301"/>
      <c r="R32" s="263"/>
      <c r="S32" s="263"/>
      <c r="T32" s="1184"/>
      <c r="U32" s="1184"/>
      <c r="V32" s="1184"/>
      <c r="W32" s="1184"/>
      <c r="X32" s="1184"/>
      <c r="Y32" s="1184"/>
      <c r="Z32" s="1184"/>
      <c r="AA32" s="1184"/>
      <c r="AB32" s="1184"/>
      <c r="AC32" s="1184"/>
      <c r="AD32" s="1184"/>
      <c r="AE32" s="1184"/>
      <c r="AF32" s="263"/>
      <c r="AG32" s="264"/>
      <c r="AH32" s="258"/>
      <c r="AI32" s="259"/>
      <c r="AJ32" s="259"/>
      <c r="AK32" s="259">
        <v>2</v>
      </c>
      <c r="AL32" s="259"/>
      <c r="AM32" s="259"/>
      <c r="AN32" s="265">
        <f t="shared" si="0"/>
        <v>32</v>
      </c>
      <c r="AO32" s="259">
        <f t="shared" si="1"/>
        <v>0</v>
      </c>
      <c r="AP32" s="266">
        <f t="shared" si="2"/>
        <v>0</v>
      </c>
      <c r="AQ32" s="259">
        <f t="shared" si="3"/>
        <v>0</v>
      </c>
      <c r="AR32" s="259">
        <f t="shared" si="4"/>
        <v>0</v>
      </c>
      <c r="AS32" s="266">
        <f t="shared" si="5"/>
        <v>0</v>
      </c>
      <c r="AT32" s="259">
        <f t="shared" si="6"/>
        <v>0</v>
      </c>
      <c r="AU32" s="258"/>
      <c r="AV32" s="238"/>
      <c r="AW32" s="238"/>
      <c r="AX32" s="238"/>
      <c r="AY32" s="238"/>
      <c r="AZ32" s="238"/>
      <c r="BA32" s="239" t="s">
        <v>655</v>
      </c>
      <c r="BB32" s="239">
        <v>0</v>
      </c>
      <c r="BC32" s="239">
        <v>2.0000000000000001E-4</v>
      </c>
      <c r="BD32" s="238"/>
      <c r="BE32" s="238"/>
      <c r="BF32" s="238"/>
      <c r="BG32" s="238"/>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row>
    <row r="33" spans="1:90" s="240" customFormat="1" ht="14.25" customHeight="1">
      <c r="A33" s="267" t="s">
        <v>429</v>
      </c>
      <c r="B33" s="268"/>
      <c r="C33" s="268"/>
      <c r="D33" s="268"/>
      <c r="E33" s="269"/>
      <c r="F33" s="1377">
        <f>CO2eEF!P24</f>
        <v>1.5E-3</v>
      </c>
      <c r="G33" s="1378"/>
      <c r="H33" s="1547">
        <v>28.013500000000001</v>
      </c>
      <c r="I33" s="1548"/>
      <c r="J33" s="1545">
        <f t="shared" ref="J33" si="11">F33*H33</f>
        <v>4.2020250000000002E-2</v>
      </c>
      <c r="K33" s="1545"/>
      <c r="L33" s="1546">
        <f t="shared" ref="L33" si="12">J33/$J$39</f>
        <v>2.6053874745998315E-3</v>
      </c>
      <c r="M33" s="1545"/>
      <c r="N33" s="1547">
        <f t="shared" ref="N33" si="13">L33*$V$20</f>
        <v>3.2693659845537469E-5</v>
      </c>
      <c r="O33" s="1548"/>
      <c r="P33" s="1547">
        <f t="shared" ref="P33" si="14">N33*365.25*24/1000</f>
        <v>2.8659262220598146E-4</v>
      </c>
      <c r="Q33" s="1548"/>
      <c r="R33" s="263"/>
      <c r="S33" s="263"/>
      <c r="T33" s="1184"/>
      <c r="U33" s="1184"/>
      <c r="V33" s="1184"/>
      <c r="W33" s="1184"/>
      <c r="X33" s="1184"/>
      <c r="Y33" s="1184"/>
      <c r="Z33" s="1184"/>
      <c r="AA33" s="1184"/>
      <c r="AB33" s="1184"/>
      <c r="AC33" s="1184"/>
      <c r="AD33" s="1184"/>
      <c r="AE33" s="1184"/>
      <c r="AF33" s="263"/>
      <c r="AG33" s="264"/>
      <c r="AH33" s="258"/>
      <c r="AI33" s="259"/>
      <c r="AJ33" s="259"/>
      <c r="AK33" s="259"/>
      <c r="AL33" s="259">
        <v>2</v>
      </c>
      <c r="AM33" s="259"/>
      <c r="AN33" s="265">
        <f t="shared" si="0"/>
        <v>28</v>
      </c>
      <c r="AO33" s="259">
        <f t="shared" si="1"/>
        <v>0</v>
      </c>
      <c r="AP33" s="266">
        <f t="shared" si="2"/>
        <v>0</v>
      </c>
      <c r="AQ33" s="259">
        <f t="shared" si="3"/>
        <v>0</v>
      </c>
      <c r="AR33" s="259">
        <f t="shared" si="4"/>
        <v>0</v>
      </c>
      <c r="AS33" s="266">
        <f t="shared" si="5"/>
        <v>1</v>
      </c>
      <c r="AT33" s="259">
        <f t="shared" si="6"/>
        <v>0</v>
      </c>
      <c r="AU33" s="258"/>
      <c r="AV33" s="238"/>
      <c r="AW33" s="238"/>
      <c r="AX33" s="238"/>
      <c r="AY33" s="238"/>
      <c r="AZ33" s="238"/>
      <c r="BA33" s="239" t="s">
        <v>656</v>
      </c>
      <c r="BB33" s="239">
        <v>1.5E-3</v>
      </c>
      <c r="BC33" s="239">
        <v>0</v>
      </c>
      <c r="BD33" s="238"/>
      <c r="BE33" s="238"/>
      <c r="BF33" s="238"/>
      <c r="BG33" s="238"/>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row>
    <row r="34" spans="1:90" s="240" customFormat="1" ht="14.25" customHeight="1">
      <c r="A34" s="267" t="s">
        <v>115</v>
      </c>
      <c r="B34" s="268"/>
      <c r="C34" s="268"/>
      <c r="D34" s="268"/>
      <c r="E34" s="269"/>
      <c r="F34" s="1377">
        <v>0</v>
      </c>
      <c r="G34" s="1378"/>
      <c r="H34" s="1299"/>
      <c r="I34" s="1301"/>
      <c r="J34" s="1300"/>
      <c r="K34" s="1300"/>
      <c r="L34" s="1299"/>
      <c r="M34" s="1300"/>
      <c r="N34" s="1299">
        <f>SUM(H34,J34,L34)*AN34</f>
        <v>0</v>
      </c>
      <c r="O34" s="1301"/>
      <c r="P34" s="1299"/>
      <c r="Q34" s="1301"/>
      <c r="R34" s="263"/>
      <c r="S34" s="263"/>
      <c r="T34" s="1184"/>
      <c r="U34" s="1184"/>
      <c r="V34" s="1184"/>
      <c r="W34" s="1184"/>
      <c r="X34" s="1184"/>
      <c r="Y34" s="1184"/>
      <c r="Z34" s="1184"/>
      <c r="AA34" s="1184"/>
      <c r="AB34" s="1184"/>
      <c r="AC34" s="1184"/>
      <c r="AD34" s="1184"/>
      <c r="AE34" s="1184"/>
      <c r="AF34" s="263"/>
      <c r="AG34" s="264"/>
      <c r="AH34" s="258"/>
      <c r="AI34" s="258">
        <v>1</v>
      </c>
      <c r="AJ34" s="258"/>
      <c r="AK34" s="258">
        <v>1</v>
      </c>
      <c r="AL34" s="258"/>
      <c r="AM34" s="258"/>
      <c r="AN34" s="265">
        <f t="shared" si="0"/>
        <v>28.009999999999998</v>
      </c>
      <c r="AO34" s="259"/>
      <c r="AP34" s="258"/>
      <c r="AQ34" s="258"/>
      <c r="AR34" s="258"/>
      <c r="AS34" s="258"/>
      <c r="AT34" s="258"/>
      <c r="AU34" s="258"/>
      <c r="AV34" s="238"/>
      <c r="AW34" s="238"/>
      <c r="AX34" s="238"/>
      <c r="AY34" s="238"/>
      <c r="AZ34" s="238"/>
      <c r="BA34" s="239" t="s">
        <v>657</v>
      </c>
      <c r="BB34" s="239">
        <v>1E-4</v>
      </c>
      <c r="BC34" s="239">
        <v>0</v>
      </c>
      <c r="BD34" s="238"/>
      <c r="BE34" s="238"/>
      <c r="BF34" s="238"/>
      <c r="BG34" s="238"/>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row>
    <row r="35" spans="1:90" s="240" customFormat="1" ht="14.25" customHeight="1">
      <c r="A35" s="267" t="s">
        <v>126</v>
      </c>
      <c r="B35" s="268"/>
      <c r="C35" s="268"/>
      <c r="D35" s="268"/>
      <c r="E35" s="269"/>
      <c r="F35" s="1377">
        <f>CO2eEF!P25</f>
        <v>8.0000000000000004E-4</v>
      </c>
      <c r="G35" s="1378"/>
      <c r="H35" s="1543">
        <v>44.01</v>
      </c>
      <c r="I35" s="1544"/>
      <c r="J35" s="1545">
        <f t="shared" ref="J35" si="15">F35*H35</f>
        <v>3.5208000000000003E-2</v>
      </c>
      <c r="K35" s="1545"/>
      <c r="L35" s="1546">
        <f t="shared" ref="L35" si="16">J35/$J$39</f>
        <v>2.1830065791067612E-3</v>
      </c>
      <c r="M35" s="1545"/>
      <c r="N35" s="1547">
        <f t="shared" ref="N35" si="17">L35*$V$20</f>
        <v>2.7393420454225839E-5</v>
      </c>
      <c r="O35" s="1548"/>
      <c r="P35" s="1547">
        <f t="shared" ref="P35" si="18">N35*365.25*24/1000</f>
        <v>2.4013072370174368E-4</v>
      </c>
      <c r="Q35" s="1548"/>
      <c r="R35" s="263"/>
      <c r="S35" s="263"/>
      <c r="T35" s="1184"/>
      <c r="U35" s="1184"/>
      <c r="V35" s="1184"/>
      <c r="W35" s="1184"/>
      <c r="X35" s="1184"/>
      <c r="Y35" s="1184"/>
      <c r="Z35" s="1184"/>
      <c r="AA35" s="1184"/>
      <c r="AB35" s="1184"/>
      <c r="AC35" s="1184"/>
      <c r="AD35" s="1184"/>
      <c r="AE35" s="1184"/>
      <c r="AF35" s="263"/>
      <c r="AG35" s="264"/>
      <c r="AH35" s="258"/>
      <c r="AI35" s="259">
        <v>1</v>
      </c>
      <c r="AJ35" s="259"/>
      <c r="AK35" s="259">
        <v>2</v>
      </c>
      <c r="AL35" s="259"/>
      <c r="AM35" s="259"/>
      <c r="AN35" s="265">
        <f>AI35*12.01+AJ35*1.008+AK35*16+AL35*14+AM35*32</f>
        <v>44.01</v>
      </c>
      <c r="AO35" s="259"/>
      <c r="AP35" s="259"/>
      <c r="AQ35" s="259"/>
      <c r="AR35" s="259"/>
      <c r="AS35" s="259"/>
      <c r="AT35" s="259"/>
      <c r="AU35" s="258"/>
      <c r="AV35" s="238"/>
      <c r="AW35" s="238"/>
      <c r="AX35" s="238"/>
      <c r="AY35" s="238"/>
      <c r="AZ35" s="238"/>
      <c r="BA35" s="239" t="s">
        <v>658</v>
      </c>
      <c r="BB35" s="239">
        <v>0</v>
      </c>
      <c r="BC35" s="239">
        <v>0</v>
      </c>
      <c r="BD35" s="238"/>
      <c r="BE35" s="238"/>
      <c r="BF35" s="238"/>
      <c r="BG35" s="238"/>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row>
    <row r="36" spans="1:90" s="240" customFormat="1" ht="14.25" customHeight="1">
      <c r="A36" s="267" t="s">
        <v>430</v>
      </c>
      <c r="B36" s="268"/>
      <c r="C36" s="268"/>
      <c r="D36" s="268"/>
      <c r="E36" s="269"/>
      <c r="F36" s="1377">
        <v>0</v>
      </c>
      <c r="G36" s="1378"/>
      <c r="H36" s="1299"/>
      <c r="I36" s="1301"/>
      <c r="J36" s="1300"/>
      <c r="K36" s="1300"/>
      <c r="L36" s="1299"/>
      <c r="M36" s="1300"/>
      <c r="N36" s="1299">
        <f>SUM(H36,J36,L36)*AN36</f>
        <v>0</v>
      </c>
      <c r="O36" s="1301"/>
      <c r="P36" s="1299"/>
      <c r="Q36" s="1301"/>
      <c r="R36" s="263"/>
      <c r="S36" s="263"/>
      <c r="T36" s="1184"/>
      <c r="U36" s="1184"/>
      <c r="V36" s="1184"/>
      <c r="W36" s="1184"/>
      <c r="X36" s="1184"/>
      <c r="Y36" s="1184"/>
      <c r="Z36" s="1184"/>
      <c r="AA36" s="1184"/>
      <c r="AB36" s="1184"/>
      <c r="AC36" s="1184"/>
      <c r="AD36" s="1184"/>
      <c r="AE36" s="1184"/>
      <c r="AF36" s="263"/>
      <c r="AG36" s="264"/>
      <c r="AH36" s="258"/>
      <c r="AI36" s="258"/>
      <c r="AJ36" s="258"/>
      <c r="AK36" s="258">
        <v>2</v>
      </c>
      <c r="AL36" s="258">
        <v>1</v>
      </c>
      <c r="AM36" s="258"/>
      <c r="AN36" s="265">
        <f>AI36*12.01+AJ36*1.008+AK36*16+AL36*14+AM36*32</f>
        <v>46</v>
      </c>
      <c r="AO36" s="259"/>
      <c r="AP36" s="258"/>
      <c r="AQ36" s="258"/>
      <c r="AR36" s="258"/>
      <c r="AS36" s="258"/>
      <c r="AT36" s="258"/>
      <c r="AU36" s="258"/>
      <c r="AV36" s="238"/>
      <c r="AW36" s="238"/>
      <c r="AX36" s="238"/>
      <c r="AY36" s="238"/>
      <c r="AZ36" s="238"/>
      <c r="BA36" s="239" t="s">
        <v>659</v>
      </c>
      <c r="BB36" s="239">
        <v>0</v>
      </c>
      <c r="BC36" s="239">
        <v>0</v>
      </c>
      <c r="BD36" s="238"/>
      <c r="BE36" s="238"/>
      <c r="BF36" s="238"/>
      <c r="BG36" s="238"/>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row>
    <row r="37" spans="1:90" s="240" customFormat="1" ht="14.25" customHeight="1">
      <c r="A37" s="267" t="s">
        <v>124</v>
      </c>
      <c r="B37" s="268"/>
      <c r="C37" s="268"/>
      <c r="D37" s="268"/>
      <c r="E37" s="269"/>
      <c r="F37" s="1377">
        <v>0</v>
      </c>
      <c r="G37" s="1378"/>
      <c r="H37" s="1299"/>
      <c r="I37" s="1301"/>
      <c r="J37" s="1300"/>
      <c r="K37" s="1300"/>
      <c r="L37" s="1299"/>
      <c r="M37" s="1300"/>
      <c r="N37" s="1299">
        <f>SUM(H37,J37,L37)*AN37</f>
        <v>0</v>
      </c>
      <c r="O37" s="1301"/>
      <c r="P37" s="1299"/>
      <c r="Q37" s="1301"/>
      <c r="R37" s="263"/>
      <c r="S37" s="263"/>
      <c r="T37" s="263"/>
      <c r="U37" s="263"/>
      <c r="V37" s="263"/>
      <c r="W37" s="263"/>
      <c r="X37" s="263"/>
      <c r="Y37" s="263"/>
      <c r="Z37" s="263"/>
      <c r="AA37" s="263"/>
      <c r="AB37" s="263"/>
      <c r="AC37" s="263"/>
      <c r="AD37" s="263"/>
      <c r="AE37" s="263"/>
      <c r="AF37" s="263"/>
      <c r="AG37" s="264"/>
      <c r="AH37" s="258"/>
      <c r="AI37" s="258"/>
      <c r="AJ37" s="258"/>
      <c r="AK37" s="258">
        <v>2</v>
      </c>
      <c r="AL37" s="258"/>
      <c r="AM37" s="258">
        <v>1</v>
      </c>
      <c r="AN37" s="265">
        <f>AI37*12.01+AJ37*1.008+AK37*16+AL37*14+AM37*32</f>
        <v>64</v>
      </c>
      <c r="AO37" s="259"/>
      <c r="AP37" s="258"/>
      <c r="AQ37" s="258"/>
      <c r="AR37" s="258"/>
      <c r="AS37" s="258"/>
      <c r="AT37" s="258"/>
      <c r="AU37" s="258"/>
      <c r="AV37" s="238"/>
      <c r="AW37" s="238"/>
      <c r="AX37" s="238"/>
      <c r="AY37" s="238"/>
      <c r="AZ37" s="238"/>
      <c r="BA37" s="239" t="s">
        <v>660</v>
      </c>
      <c r="BB37" s="239">
        <v>0</v>
      </c>
      <c r="BC37" s="239">
        <v>0</v>
      </c>
      <c r="BD37" s="238"/>
      <c r="BE37" s="238"/>
      <c r="BF37" s="238"/>
      <c r="BG37" s="238"/>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row>
    <row r="38" spans="1:90" s="240" customFormat="1" ht="14.25" customHeight="1">
      <c r="A38" s="273" t="s">
        <v>431</v>
      </c>
      <c r="B38" s="274"/>
      <c r="C38" s="274"/>
      <c r="D38" s="274"/>
      <c r="E38" s="274"/>
      <c r="F38" s="1377">
        <f>CO2eEF!P47</f>
        <v>0</v>
      </c>
      <c r="G38" s="1378"/>
      <c r="H38" s="1299"/>
      <c r="I38" s="1301"/>
      <c r="J38" s="1384"/>
      <c r="K38" s="1384"/>
      <c r="L38" s="1382"/>
      <c r="M38" s="1384"/>
      <c r="N38" s="1299">
        <f>SUM(H38,J38,L38)*AN38</f>
        <v>0</v>
      </c>
      <c r="O38" s="1301"/>
      <c r="P38" s="1299"/>
      <c r="Q38" s="1301"/>
      <c r="R38" s="263"/>
      <c r="S38" s="263"/>
      <c r="T38" s="263"/>
      <c r="U38" s="263"/>
      <c r="V38" s="263"/>
      <c r="W38" s="263"/>
      <c r="X38" s="263"/>
      <c r="Y38" s="263"/>
      <c r="Z38" s="263"/>
      <c r="AA38" s="263"/>
      <c r="AB38" s="263"/>
      <c r="AC38" s="263"/>
      <c r="AD38" s="263"/>
      <c r="AE38" s="263"/>
      <c r="AF38" s="263"/>
      <c r="AG38" s="264"/>
      <c r="AH38" s="258"/>
      <c r="AI38" s="258"/>
      <c r="AJ38" s="258">
        <v>2</v>
      </c>
      <c r="AK38" s="258">
        <v>1</v>
      </c>
      <c r="AL38" s="258"/>
      <c r="AM38" s="258"/>
      <c r="AN38" s="265">
        <f>AI38*12.01+AJ38*1.008+AK38*16+AL38*14+AM38*32</f>
        <v>18.015999999999998</v>
      </c>
      <c r="AO38" s="259"/>
      <c r="AP38" s="258"/>
      <c r="AQ38" s="258"/>
      <c r="AR38" s="258"/>
      <c r="AS38" s="258"/>
      <c r="AT38" s="258"/>
      <c r="AU38" s="258"/>
      <c r="AV38" s="238"/>
      <c r="AW38" s="238"/>
      <c r="AX38" s="238"/>
      <c r="AY38" s="238"/>
      <c r="AZ38" s="238"/>
      <c r="BA38" s="239" t="s">
        <v>661</v>
      </c>
      <c r="BB38" s="239">
        <v>0</v>
      </c>
      <c r="BC38" s="239">
        <v>0</v>
      </c>
      <c r="BD38" s="238"/>
      <c r="BE38" s="238"/>
      <c r="BF38" s="238"/>
      <c r="BG38" s="238"/>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row>
    <row r="39" spans="1:90" s="240" customFormat="1" ht="14.25" customHeight="1">
      <c r="A39" s="1391" t="s">
        <v>663</v>
      </c>
      <c r="B39" s="1392"/>
      <c r="C39" s="1392"/>
      <c r="D39" s="1392"/>
      <c r="E39" s="1393"/>
      <c r="F39" s="1394">
        <f>SUM(F18:F38)</f>
        <v>1</v>
      </c>
      <c r="G39" s="1395"/>
      <c r="H39" s="1371">
        <v>6106.1389961389959</v>
      </c>
      <c r="I39" s="1373"/>
      <c r="J39" s="1395">
        <f>SUM(J18:K38)</f>
        <v>16.128215250000004</v>
      </c>
      <c r="K39" s="1395"/>
      <c r="L39" s="1371">
        <v>0</v>
      </c>
      <c r="M39" s="1372"/>
      <c r="N39" s="1394">
        <f>SUM(N18:O38)</f>
        <v>1.2548482774355467E-2</v>
      </c>
      <c r="O39" s="1551"/>
      <c r="P39" s="1552">
        <f>SUM(P19:Q38)</f>
        <v>0.11000000000000001</v>
      </c>
      <c r="Q39" s="1553"/>
      <c r="R39" s="275"/>
      <c r="S39" s="275"/>
      <c r="T39" s="30"/>
      <c r="U39" s="30"/>
      <c r="V39" s="276"/>
      <c r="W39" s="276"/>
      <c r="X39" s="30"/>
      <c r="Y39" s="30"/>
      <c r="Z39" s="277"/>
      <c r="AA39" s="277"/>
      <c r="AB39" s="263"/>
      <c r="AC39" s="263"/>
      <c r="AD39" s="30"/>
      <c r="AE39" s="30"/>
      <c r="AF39" s="277"/>
      <c r="AG39" s="278"/>
      <c r="AH39" s="238"/>
      <c r="AI39" s="238"/>
      <c r="AJ39" s="238"/>
      <c r="AK39" s="238"/>
      <c r="AL39" s="238"/>
      <c r="AM39" s="238"/>
      <c r="AN39" s="238"/>
      <c r="AO39" s="238"/>
      <c r="AP39" s="238"/>
      <c r="AQ39" s="238"/>
      <c r="AR39" s="238"/>
      <c r="AS39" s="238"/>
      <c r="AT39" s="238"/>
      <c r="AU39" s="238"/>
      <c r="AV39" s="238"/>
      <c r="AW39" s="238"/>
      <c r="AX39" s="238"/>
      <c r="AY39" s="238"/>
      <c r="AZ39" s="238"/>
      <c r="BA39" s="239" t="s">
        <v>662</v>
      </c>
      <c r="BB39" s="239">
        <v>0</v>
      </c>
      <c r="BC39" s="239">
        <v>0</v>
      </c>
      <c r="BD39" s="238"/>
      <c r="BE39" s="238"/>
      <c r="BF39" s="238"/>
      <c r="BG39" s="238"/>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row>
    <row r="40" spans="1:90" s="240" customFormat="1" ht="14.25" customHeight="1">
      <c r="A40" s="279" t="s">
        <v>749</v>
      </c>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280"/>
      <c r="AH40" s="238"/>
      <c r="AI40" s="238"/>
      <c r="AJ40" s="238"/>
      <c r="AK40" s="281"/>
      <c r="AL40" s="238"/>
      <c r="AM40" s="238"/>
      <c r="AN40" s="238"/>
      <c r="AO40" s="238"/>
      <c r="AP40" s="238"/>
      <c r="AQ40" s="238"/>
      <c r="AR40" s="238"/>
      <c r="AS40" s="238"/>
      <c r="AT40" s="238"/>
      <c r="AU40" s="238"/>
      <c r="AV40" s="238"/>
      <c r="AW40" s="238"/>
      <c r="AX40" s="238"/>
      <c r="AY40" s="238"/>
      <c r="AZ40" s="238"/>
      <c r="BA40" s="239"/>
      <c r="BB40" s="239"/>
      <c r="BC40" s="239"/>
      <c r="BD40" s="238"/>
      <c r="BE40" s="238"/>
      <c r="BF40" s="238"/>
      <c r="BG40" s="238"/>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row>
    <row r="41" spans="1:90" s="240" customFormat="1" ht="14.25" customHeight="1">
      <c r="A41" s="282" t="s">
        <v>31</v>
      </c>
      <c r="B41" s="31" t="s">
        <v>751</v>
      </c>
      <c r="C41" s="30"/>
      <c r="D41" s="30"/>
      <c r="E41" s="30"/>
      <c r="F41" s="30"/>
      <c r="G41" s="30"/>
      <c r="H41" s="30"/>
      <c r="I41" s="30"/>
      <c r="J41" s="30"/>
      <c r="K41" s="30"/>
      <c r="L41" s="30"/>
      <c r="M41" s="30"/>
      <c r="N41" s="283"/>
      <c r="O41" s="283"/>
      <c r="P41" s="283"/>
      <c r="Q41" s="30"/>
      <c r="R41" s="30"/>
      <c r="S41" s="30"/>
      <c r="T41" s="30"/>
      <c r="U41" s="30"/>
      <c r="V41" s="30"/>
      <c r="W41" s="30"/>
      <c r="X41" s="30"/>
      <c r="Y41" s="30"/>
      <c r="Z41" s="30"/>
      <c r="AA41" s="30"/>
      <c r="AB41" s="30"/>
      <c r="AC41" s="30"/>
      <c r="AD41" s="30"/>
      <c r="AE41" s="30"/>
      <c r="AF41" s="30"/>
      <c r="AG41" s="253"/>
      <c r="AH41" s="238"/>
      <c r="AI41" s="238"/>
      <c r="AJ41" s="238"/>
      <c r="AK41" s="238"/>
      <c r="AL41" s="238"/>
      <c r="AM41" s="238"/>
      <c r="AN41" s="238"/>
      <c r="AO41" s="238"/>
      <c r="AP41" s="238"/>
      <c r="AQ41" s="238"/>
      <c r="AR41" s="238"/>
      <c r="AS41" s="238"/>
      <c r="AT41" s="238"/>
      <c r="AU41" s="238"/>
      <c r="AV41" s="238"/>
      <c r="AW41" s="238"/>
      <c r="AX41" s="238"/>
      <c r="AY41" s="238"/>
      <c r="AZ41" s="238"/>
      <c r="BA41" s="239" t="s">
        <v>679</v>
      </c>
      <c r="BB41" s="239">
        <v>0</v>
      </c>
      <c r="BC41" s="239">
        <v>0</v>
      </c>
      <c r="BD41" s="238"/>
      <c r="BE41" s="238"/>
      <c r="BF41" s="238"/>
      <c r="BG41" s="238"/>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row>
    <row r="42" spans="1:90" ht="14.25" customHeight="1">
      <c r="A42" s="282" t="s">
        <v>33</v>
      </c>
      <c r="B42" s="284" t="s">
        <v>726</v>
      </c>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6"/>
      <c r="AH42" s="243"/>
      <c r="AI42" s="243"/>
      <c r="AJ42" s="243"/>
      <c r="AK42" s="243"/>
      <c r="AL42" s="243"/>
      <c r="AM42" s="243"/>
      <c r="AN42" s="243"/>
      <c r="AO42" s="243"/>
      <c r="AP42" s="243"/>
      <c r="AQ42" s="243"/>
      <c r="AR42" s="243"/>
      <c r="AS42" s="243"/>
      <c r="AT42" s="243"/>
      <c r="AU42" s="243"/>
      <c r="AV42" s="243"/>
      <c r="AW42" s="243"/>
      <c r="AX42" s="243"/>
      <c r="AY42" s="243"/>
      <c r="AZ42" s="243"/>
      <c r="BA42" s="246" t="s">
        <v>681</v>
      </c>
      <c r="BB42" s="246">
        <v>0</v>
      </c>
      <c r="BC42" s="246">
        <v>0</v>
      </c>
      <c r="BD42" s="243"/>
      <c r="BE42" s="243"/>
      <c r="BF42" s="243"/>
      <c r="BG42" s="243"/>
      <c r="BH42" s="243"/>
      <c r="BI42" s="243"/>
      <c r="BJ42" s="243"/>
      <c r="BK42" s="243"/>
      <c r="BL42" s="243"/>
      <c r="BM42" s="243"/>
      <c r="BN42" s="243"/>
      <c r="BO42" s="243"/>
      <c r="BP42" s="243"/>
      <c r="BQ42" s="243"/>
      <c r="BR42" s="243"/>
      <c r="BS42" s="243"/>
      <c r="BT42" s="243"/>
      <c r="BU42" s="243"/>
      <c r="BV42" s="243"/>
      <c r="BW42" s="243"/>
      <c r="BX42" s="243"/>
      <c r="BY42" s="243"/>
      <c r="BZ42" s="243"/>
      <c r="CA42" s="243"/>
      <c r="CB42" s="243"/>
      <c r="CC42" s="243"/>
      <c r="CD42" s="243"/>
      <c r="CE42" s="243"/>
      <c r="CF42" s="243"/>
      <c r="CG42" s="243"/>
      <c r="CH42" s="243"/>
      <c r="CI42" s="243"/>
      <c r="CJ42" s="243"/>
      <c r="CK42" s="243"/>
      <c r="CL42" s="243"/>
    </row>
    <row r="43" spans="1:90" ht="14.25" customHeight="1">
      <c r="A43" s="282" t="s">
        <v>752</v>
      </c>
      <c r="B43" s="284"/>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5"/>
      <c r="AA43" s="285"/>
      <c r="AB43" s="285"/>
      <c r="AC43" s="285"/>
      <c r="AD43" s="285"/>
      <c r="AE43" s="285"/>
      <c r="AF43" s="285"/>
      <c r="AG43" s="286"/>
      <c r="AH43" s="243"/>
      <c r="AI43" s="243"/>
      <c r="AJ43" s="243"/>
      <c r="AK43" s="243"/>
      <c r="AL43" s="243"/>
      <c r="AM43" s="243"/>
      <c r="AN43" s="243"/>
      <c r="AO43" s="243"/>
      <c r="AP43" s="243"/>
      <c r="AQ43" s="243"/>
      <c r="AR43" s="243"/>
      <c r="AS43" s="243"/>
      <c r="AT43" s="243"/>
      <c r="AU43" s="243"/>
      <c r="AV43" s="243"/>
      <c r="AW43" s="243"/>
      <c r="AX43" s="243"/>
      <c r="AY43" s="243"/>
      <c r="AZ43" s="243"/>
      <c r="BA43" s="246" t="s">
        <v>684</v>
      </c>
      <c r="BB43" s="246">
        <v>0</v>
      </c>
      <c r="BC43" s="246">
        <v>0</v>
      </c>
      <c r="BD43" s="243"/>
      <c r="BE43" s="243"/>
      <c r="BF43" s="243"/>
      <c r="BG43" s="243"/>
      <c r="BH43" s="243"/>
      <c r="BI43" s="243"/>
      <c r="BJ43" s="243"/>
      <c r="BK43" s="243"/>
      <c r="BL43" s="243"/>
      <c r="BM43" s="243"/>
      <c r="BN43" s="243"/>
      <c r="BO43" s="243"/>
      <c r="BP43" s="243"/>
      <c r="BQ43" s="243"/>
      <c r="BR43" s="243"/>
      <c r="BS43" s="243"/>
      <c r="BT43" s="243"/>
      <c r="BU43" s="243"/>
      <c r="BV43" s="243"/>
      <c r="BW43" s="243"/>
      <c r="BX43" s="243"/>
      <c r="BY43" s="243"/>
      <c r="BZ43" s="243"/>
      <c r="CA43" s="243"/>
      <c r="CB43" s="243"/>
      <c r="CC43" s="243"/>
      <c r="CD43" s="243"/>
      <c r="CE43" s="243"/>
      <c r="CF43" s="243"/>
      <c r="CG43" s="243"/>
      <c r="CH43" s="243"/>
      <c r="CI43" s="243"/>
      <c r="CJ43" s="243"/>
      <c r="CK43" s="243"/>
      <c r="CL43" s="243"/>
    </row>
    <row r="44" spans="1:90" ht="14.25">
      <c r="A44" s="282" t="s">
        <v>38</v>
      </c>
      <c r="B44" s="284"/>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6"/>
      <c r="AH44" s="243"/>
      <c r="AI44" s="243"/>
      <c r="AJ44" s="243"/>
      <c r="AK44" s="243"/>
      <c r="AL44" s="243"/>
      <c r="AM44" s="243"/>
      <c r="AN44" s="243"/>
      <c r="AO44" s="243"/>
      <c r="AP44" s="243"/>
      <c r="AQ44" s="243"/>
      <c r="AR44" s="243"/>
      <c r="AS44" s="243"/>
      <c r="AT44" s="243"/>
      <c r="AU44" s="243"/>
      <c r="AV44" s="243"/>
      <c r="AW44" s="243"/>
      <c r="AX44" s="243"/>
      <c r="AY44" s="243"/>
      <c r="AZ44" s="243"/>
      <c r="BA44" s="246"/>
      <c r="BB44" s="246"/>
      <c r="BC44" s="246"/>
      <c r="BD44" s="243"/>
      <c r="BE44" s="243"/>
      <c r="BF44" s="243"/>
      <c r="BG44" s="243"/>
      <c r="BH44" s="243"/>
      <c r="BI44" s="243"/>
      <c r="BJ44" s="243"/>
      <c r="BK44" s="243"/>
      <c r="BL44" s="243"/>
      <c r="BM44" s="243"/>
      <c r="BN44" s="243"/>
      <c r="BO44" s="243"/>
      <c r="BP44" s="243"/>
      <c r="BQ44" s="243"/>
      <c r="BR44" s="243"/>
      <c r="BS44" s="243"/>
      <c r="BT44" s="243"/>
      <c r="BU44" s="243"/>
      <c r="BV44" s="243"/>
      <c r="BW44" s="243"/>
      <c r="BX44" s="243"/>
      <c r="BY44" s="243"/>
      <c r="BZ44" s="243"/>
      <c r="CA44" s="243"/>
      <c r="CB44" s="243"/>
      <c r="CC44" s="243"/>
      <c r="CD44" s="243"/>
      <c r="CE44" s="243"/>
      <c r="CF44" s="243"/>
      <c r="CG44" s="243"/>
      <c r="CH44" s="243"/>
      <c r="CI44" s="243"/>
      <c r="CJ44" s="243"/>
      <c r="CK44" s="243"/>
      <c r="CL44" s="243"/>
    </row>
    <row r="45" spans="1:90" ht="14.25">
      <c r="A45" s="282" t="s">
        <v>41</v>
      </c>
      <c r="B45" s="284"/>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43"/>
      <c r="AI45" s="243"/>
      <c r="AJ45" s="243"/>
      <c r="AK45" s="243"/>
      <c r="AL45" s="243"/>
      <c r="AM45" s="243"/>
      <c r="AN45" s="243"/>
      <c r="AO45" s="243"/>
      <c r="AP45" s="243"/>
      <c r="AQ45" s="243"/>
      <c r="AR45" s="243"/>
      <c r="AS45" s="243"/>
      <c r="AT45" s="243"/>
      <c r="AU45" s="243"/>
      <c r="AV45" s="243"/>
      <c r="AW45" s="243"/>
      <c r="AX45" s="243"/>
      <c r="AY45" s="243"/>
      <c r="AZ45" s="243"/>
      <c r="BA45" s="246" t="s">
        <v>688</v>
      </c>
      <c r="BB45" s="246">
        <v>0</v>
      </c>
      <c r="BC45" s="246">
        <v>0</v>
      </c>
      <c r="BD45" s="243"/>
      <c r="BE45" s="243"/>
      <c r="BF45" s="243"/>
      <c r="BG45" s="243"/>
      <c r="BH45" s="243"/>
      <c r="BI45" s="243"/>
      <c r="BJ45" s="243"/>
      <c r="BK45" s="243"/>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row>
    <row r="46" spans="1:90">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288"/>
      <c r="AF46" s="288"/>
      <c r="AG46" s="289"/>
      <c r="AH46" s="289"/>
      <c r="AI46" s="289"/>
      <c r="AJ46" s="289"/>
      <c r="AK46" s="289"/>
      <c r="AL46" s="289"/>
      <c r="AM46" s="289"/>
      <c r="AN46" s="243"/>
      <c r="AO46" s="243"/>
      <c r="AP46" s="243"/>
      <c r="AQ46" s="243"/>
      <c r="AR46" s="243"/>
      <c r="AS46" s="243"/>
      <c r="AT46" s="243"/>
      <c r="AU46" s="243"/>
      <c r="AV46" s="243"/>
      <c r="AW46" s="243"/>
      <c r="AX46" s="243"/>
      <c r="AY46" s="243"/>
      <c r="AZ46" s="243"/>
      <c r="BA46" s="246" t="s">
        <v>690</v>
      </c>
      <c r="BB46" s="246">
        <v>2.9999999999999997E-4</v>
      </c>
      <c r="BC46" s="246">
        <v>0</v>
      </c>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row>
    <row r="47" spans="1:90">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9"/>
      <c r="AH47" s="289"/>
      <c r="AI47" s="289"/>
      <c r="AJ47" s="289"/>
      <c r="AK47" s="289"/>
      <c r="AL47" s="289"/>
      <c r="AM47" s="289"/>
      <c r="AN47" s="243"/>
      <c r="AO47" s="243"/>
      <c r="AP47" s="243"/>
      <c r="AQ47" s="243"/>
      <c r="AR47" s="243"/>
      <c r="AS47" s="243"/>
      <c r="AT47" s="243"/>
      <c r="AU47" s="243"/>
      <c r="AV47" s="243"/>
      <c r="AW47" s="243"/>
      <c r="AX47" s="243"/>
      <c r="AY47" s="243"/>
      <c r="AZ47" s="243"/>
      <c r="BA47" s="246" t="s">
        <v>691</v>
      </c>
      <c r="BB47" s="246">
        <v>0</v>
      </c>
      <c r="BC47" s="246">
        <v>0</v>
      </c>
      <c r="BD47" s="243"/>
      <c r="BE47" s="243"/>
      <c r="BF47" s="243"/>
      <c r="BG47" s="243"/>
      <c r="BH47" s="243"/>
      <c r="BI47" s="243"/>
      <c r="BJ47" s="243"/>
      <c r="BK47" s="243"/>
      <c r="BL47" s="243"/>
      <c r="BM47" s="243"/>
      <c r="BN47" s="243"/>
      <c r="BO47" s="243"/>
      <c r="BP47" s="243"/>
      <c r="BQ47" s="243"/>
      <c r="BR47" s="243"/>
      <c r="BS47" s="243"/>
      <c r="BT47" s="243"/>
      <c r="BU47" s="243"/>
      <c r="BV47" s="243"/>
      <c r="BW47" s="243"/>
      <c r="BX47" s="243"/>
      <c r="BY47" s="243"/>
      <c r="BZ47" s="243"/>
      <c r="CA47" s="243"/>
      <c r="CB47" s="243"/>
      <c r="CC47" s="243"/>
      <c r="CD47" s="243"/>
      <c r="CE47" s="243"/>
      <c r="CF47" s="243"/>
      <c r="CG47" s="243"/>
      <c r="CH47" s="243"/>
      <c r="CI47" s="243"/>
      <c r="CJ47" s="243"/>
      <c r="CK47" s="243"/>
      <c r="CL47" s="243"/>
    </row>
    <row r="48" spans="1:90">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9"/>
      <c r="AH48" s="289"/>
      <c r="AI48" s="289"/>
      <c r="AJ48" s="289"/>
      <c r="AK48" s="289"/>
      <c r="AL48" s="289"/>
      <c r="AM48" s="289"/>
      <c r="AN48" s="243"/>
      <c r="AO48" s="243"/>
      <c r="AP48" s="243"/>
      <c r="AQ48" s="243"/>
      <c r="AR48" s="243"/>
      <c r="AS48" s="243"/>
      <c r="AT48" s="243"/>
      <c r="AU48" s="243"/>
      <c r="AV48" s="243"/>
      <c r="AW48" s="243"/>
      <c r="AX48" s="243"/>
      <c r="AY48" s="243"/>
      <c r="AZ48" s="243"/>
      <c r="BA48" s="246" t="s">
        <v>692</v>
      </c>
      <c r="BB48" s="246">
        <v>0</v>
      </c>
      <c r="BC48" s="246">
        <v>0</v>
      </c>
      <c r="BD48" s="243"/>
      <c r="BE48" s="243"/>
      <c r="BF48" s="243"/>
      <c r="BG48" s="243"/>
      <c r="BH48" s="243"/>
      <c r="BI48" s="243"/>
      <c r="BJ48" s="243"/>
      <c r="BK48" s="243"/>
      <c r="BL48" s="243"/>
      <c r="BM48" s="243"/>
      <c r="BN48" s="243"/>
      <c r="BO48" s="243"/>
      <c r="BP48" s="243"/>
      <c r="BQ48" s="243"/>
      <c r="BR48" s="243"/>
      <c r="BS48" s="243"/>
      <c r="BT48" s="243"/>
      <c r="BU48" s="243"/>
      <c r="BV48" s="243"/>
      <c r="BW48" s="243"/>
      <c r="BX48" s="243"/>
      <c r="BY48" s="243"/>
      <c r="BZ48" s="243"/>
      <c r="CA48" s="243"/>
      <c r="CB48" s="243"/>
      <c r="CC48" s="243"/>
      <c r="CD48" s="243"/>
      <c r="CE48" s="243"/>
      <c r="CF48" s="243"/>
      <c r="CG48" s="243"/>
      <c r="CH48" s="243"/>
      <c r="CI48" s="243"/>
      <c r="CJ48" s="243"/>
      <c r="CK48" s="243"/>
      <c r="CL48" s="243"/>
    </row>
    <row r="49" spans="1:90">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9"/>
      <c r="AH49" s="289"/>
      <c r="AI49" s="289"/>
      <c r="AJ49" s="289"/>
      <c r="AK49" s="289"/>
      <c r="AL49" s="289"/>
      <c r="AM49" s="289"/>
      <c r="AN49" s="243"/>
      <c r="AO49" s="243"/>
      <c r="AP49" s="243"/>
      <c r="AQ49" s="243"/>
      <c r="AR49" s="243"/>
      <c r="AS49" s="243"/>
      <c r="AT49" s="243"/>
      <c r="AU49" s="243"/>
      <c r="AV49" s="243"/>
      <c r="AW49" s="243"/>
      <c r="AX49" s="243"/>
      <c r="AY49" s="243"/>
      <c r="AZ49" s="243"/>
      <c r="BA49" s="246" t="s">
        <v>693</v>
      </c>
      <c r="BB49" s="246">
        <v>0</v>
      </c>
      <c r="BC49" s="246">
        <v>0</v>
      </c>
      <c r="BD49" s="243"/>
      <c r="BE49" s="243"/>
      <c r="BF49" s="243"/>
      <c r="BG49" s="243"/>
      <c r="BH49" s="243"/>
      <c r="BI49" s="243"/>
      <c r="BJ49" s="243"/>
      <c r="BK49" s="243"/>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row>
    <row r="50" spans="1:90">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9"/>
      <c r="AH50" s="289"/>
      <c r="AI50" s="289"/>
      <c r="AJ50" s="289"/>
      <c r="AK50" s="289"/>
      <c r="AL50" s="289"/>
      <c r="AM50" s="289"/>
      <c r="AN50" s="243"/>
      <c r="AO50" s="243"/>
      <c r="AP50" s="243"/>
      <c r="AQ50" s="243"/>
      <c r="AR50" s="243"/>
      <c r="AS50" s="243"/>
      <c r="AT50" s="243"/>
      <c r="AU50" s="243"/>
      <c r="AV50" s="243"/>
      <c r="AW50" s="243"/>
      <c r="AX50" s="243"/>
      <c r="AY50" s="243"/>
      <c r="AZ50" s="243"/>
      <c r="BA50" s="246" t="s">
        <v>694</v>
      </c>
      <c r="BB50" s="246">
        <v>0</v>
      </c>
      <c r="BC50" s="246">
        <v>0</v>
      </c>
      <c r="BD50" s="243"/>
      <c r="BE50" s="243"/>
      <c r="BF50" s="243"/>
      <c r="BG50" s="243"/>
      <c r="BH50" s="243"/>
      <c r="BI50" s="243"/>
      <c r="BJ50" s="243"/>
      <c r="BK50" s="243"/>
      <c r="BL50" s="243"/>
      <c r="BM50" s="243"/>
      <c r="BN50" s="243"/>
      <c r="BO50" s="243"/>
      <c r="BP50" s="243"/>
      <c r="BQ50" s="243"/>
      <c r="BR50" s="243"/>
      <c r="BS50" s="243"/>
      <c r="BT50" s="243"/>
      <c r="BU50" s="243"/>
      <c r="BV50" s="243"/>
      <c r="BW50" s="243"/>
      <c r="BX50" s="243"/>
      <c r="BY50" s="243"/>
      <c r="BZ50" s="243"/>
      <c r="CA50" s="243"/>
      <c r="CB50" s="243"/>
      <c r="CC50" s="243"/>
      <c r="CD50" s="243"/>
      <c r="CE50" s="243"/>
      <c r="CF50" s="243"/>
      <c r="CG50" s="243"/>
      <c r="CH50" s="243"/>
      <c r="CI50" s="243"/>
      <c r="CJ50" s="243"/>
      <c r="CK50" s="243"/>
      <c r="CL50" s="243"/>
    </row>
    <row r="51" spans="1:90">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9"/>
      <c r="AH51" s="289"/>
      <c r="AI51" s="289"/>
      <c r="AJ51" s="289"/>
      <c r="AK51" s="289"/>
      <c r="AL51" s="289"/>
      <c r="AM51" s="289"/>
      <c r="AN51" s="243"/>
      <c r="AO51" s="243"/>
      <c r="AP51" s="243"/>
      <c r="AQ51" s="243"/>
      <c r="AR51" s="243"/>
      <c r="AS51" s="243"/>
      <c r="AT51" s="243"/>
      <c r="AU51" s="243"/>
      <c r="AV51" s="243"/>
      <c r="AW51" s="243"/>
      <c r="AX51" s="243"/>
      <c r="AY51" s="243"/>
      <c r="AZ51" s="243"/>
      <c r="BA51" s="246" t="s">
        <v>695</v>
      </c>
      <c r="BB51" s="246">
        <v>0</v>
      </c>
      <c r="BC51" s="246">
        <v>0</v>
      </c>
      <c r="BD51" s="243"/>
      <c r="BE51" s="243"/>
      <c r="BF51" s="243"/>
      <c r="BG51" s="243"/>
      <c r="BH51" s="243"/>
      <c r="BI51" s="243"/>
      <c r="BJ51" s="243"/>
      <c r="BK51" s="243"/>
      <c r="BL51" s="243"/>
      <c r="BM51" s="243"/>
      <c r="BN51" s="243"/>
      <c r="BO51" s="243"/>
      <c r="BP51" s="243"/>
      <c r="BQ51" s="243"/>
      <c r="BR51" s="243"/>
      <c r="BS51" s="243"/>
      <c r="BT51" s="243"/>
      <c r="BU51" s="243"/>
      <c r="BV51" s="243"/>
      <c r="BW51" s="243"/>
      <c r="BX51" s="243"/>
      <c r="BY51" s="243"/>
      <c r="BZ51" s="243"/>
      <c r="CA51" s="243"/>
      <c r="CB51" s="243"/>
      <c r="CC51" s="243"/>
      <c r="CD51" s="243"/>
      <c r="CE51" s="243"/>
      <c r="CF51" s="243"/>
      <c r="CG51" s="243"/>
      <c r="CH51" s="243"/>
      <c r="CI51" s="243"/>
      <c r="CJ51" s="243"/>
      <c r="CK51" s="243"/>
      <c r="CL51" s="243"/>
    </row>
    <row r="52" spans="1:90">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9"/>
      <c r="AH52" s="289"/>
      <c r="AI52" s="289"/>
      <c r="AJ52" s="289"/>
      <c r="AK52" s="289"/>
      <c r="AL52" s="289"/>
      <c r="AM52" s="289"/>
      <c r="AN52" s="243"/>
      <c r="AO52" s="243"/>
      <c r="AP52" s="243"/>
      <c r="AQ52" s="243"/>
      <c r="AR52" s="243"/>
      <c r="AS52" s="243"/>
      <c r="AT52" s="243"/>
      <c r="AU52" s="243"/>
      <c r="AV52" s="243"/>
      <c r="AW52" s="243"/>
      <c r="AX52" s="243"/>
      <c r="AY52" s="243"/>
      <c r="AZ52" s="243"/>
      <c r="BA52" s="246" t="s">
        <v>696</v>
      </c>
      <c r="BB52" s="246">
        <v>0</v>
      </c>
      <c r="BC52" s="246">
        <v>0</v>
      </c>
      <c r="BD52" s="243"/>
      <c r="BE52" s="243"/>
      <c r="BF52" s="243"/>
      <c r="BG52" s="243"/>
      <c r="BH52" s="243"/>
      <c r="BI52" s="243"/>
      <c r="BJ52" s="243"/>
      <c r="BK52" s="243"/>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row>
    <row r="53" spans="1:90" s="290" customFormat="1">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9"/>
      <c r="AH53" s="289"/>
      <c r="AI53" s="289"/>
      <c r="AJ53" s="289"/>
      <c r="AK53" s="289"/>
      <c r="AL53" s="289"/>
      <c r="AM53" s="289"/>
      <c r="AN53" s="243"/>
      <c r="AO53" s="243"/>
      <c r="AP53" s="243"/>
      <c r="AQ53" s="243"/>
      <c r="AR53" s="243"/>
      <c r="AS53" s="243"/>
      <c r="AT53" s="243"/>
      <c r="AU53" s="243"/>
      <c r="AV53" s="243"/>
      <c r="AW53" s="243"/>
      <c r="AX53" s="243"/>
      <c r="AY53" s="243"/>
      <c r="AZ53" s="243"/>
      <c r="BA53" s="246" t="s">
        <v>697</v>
      </c>
      <c r="BB53" s="246">
        <v>0</v>
      </c>
      <c r="BC53" s="246">
        <v>0</v>
      </c>
      <c r="BD53" s="243"/>
      <c r="BE53" s="243"/>
      <c r="BF53" s="243"/>
      <c r="BG53" s="243"/>
      <c r="BH53" s="243"/>
      <c r="BI53" s="243"/>
      <c r="BJ53" s="243"/>
      <c r="BK53" s="243"/>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row>
    <row r="54" spans="1:90" s="290" customFormat="1">
      <c r="A54" s="288"/>
      <c r="B54" s="288"/>
      <c r="C54" s="288"/>
      <c r="D54" s="288"/>
      <c r="E54" s="288"/>
      <c r="F54" s="288"/>
      <c r="G54" s="288"/>
      <c r="H54" s="288"/>
      <c r="I54" s="288"/>
      <c r="J54" s="288"/>
      <c r="K54" s="288"/>
      <c r="L54" s="288"/>
      <c r="M54" s="288"/>
      <c r="N54" s="288"/>
      <c r="O54" s="263"/>
      <c r="P54" s="288"/>
      <c r="Q54" s="288"/>
      <c r="R54" s="288"/>
      <c r="S54" s="288"/>
      <c r="T54" s="288"/>
      <c r="U54" s="288"/>
      <c r="V54" s="288"/>
      <c r="W54" s="288"/>
      <c r="X54" s="288"/>
      <c r="Y54" s="288"/>
      <c r="Z54" s="288"/>
      <c r="AA54" s="288"/>
      <c r="AB54" s="288"/>
      <c r="AC54" s="288"/>
      <c r="AD54" s="288"/>
      <c r="AE54" s="288"/>
      <c r="AF54" s="288"/>
      <c r="AG54" s="289"/>
      <c r="AH54" s="289"/>
      <c r="AI54" s="289"/>
      <c r="AJ54" s="289"/>
      <c r="AK54" s="289"/>
      <c r="AL54" s="289"/>
      <c r="AM54" s="289"/>
      <c r="AN54" s="243"/>
      <c r="AO54" s="243"/>
      <c r="AP54" s="243"/>
      <c r="AQ54" s="243"/>
      <c r="AR54" s="243"/>
      <c r="AS54" s="243"/>
      <c r="AT54" s="243"/>
      <c r="AU54" s="243"/>
      <c r="AV54" s="243"/>
      <c r="AW54" s="243"/>
      <c r="AX54" s="243"/>
      <c r="AY54" s="243"/>
      <c r="AZ54" s="243"/>
      <c r="BA54" s="246" t="s">
        <v>431</v>
      </c>
      <c r="BB54" s="246">
        <v>1E-4</v>
      </c>
      <c r="BC54" s="246">
        <v>0.17530000000000001</v>
      </c>
      <c r="BD54" s="243"/>
      <c r="BE54" s="243"/>
      <c r="BF54" s="243"/>
      <c r="BG54" s="243"/>
      <c r="BH54" s="243"/>
      <c r="BI54" s="243"/>
      <c r="BJ54" s="243"/>
      <c r="BK54" s="243"/>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row>
    <row r="55" spans="1:90" s="290" customFormat="1">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9"/>
      <c r="AH55" s="289"/>
      <c r="AI55" s="289"/>
      <c r="AJ55" s="289"/>
      <c r="AK55" s="289"/>
      <c r="AL55" s="289"/>
      <c r="AM55" s="289"/>
      <c r="AN55" s="243"/>
      <c r="AO55" s="243"/>
      <c r="AP55" s="243"/>
      <c r="AQ55" s="243"/>
      <c r="AR55" s="243"/>
      <c r="AS55" s="243"/>
      <c r="AT55" s="243"/>
      <c r="AU55" s="243"/>
      <c r="AV55" s="243"/>
      <c r="AW55" s="243"/>
      <c r="AX55" s="243"/>
      <c r="AY55" s="243"/>
      <c r="AZ55" s="243"/>
      <c r="BA55" s="243"/>
      <c r="BB55" s="246"/>
      <c r="BC55" s="246"/>
      <c r="BD55" s="243"/>
      <c r="BE55" s="243"/>
      <c r="BF55" s="243"/>
      <c r="BG55" s="243"/>
      <c r="BH55" s="243"/>
      <c r="BI55" s="243"/>
      <c r="BJ55" s="243"/>
      <c r="BK55" s="243"/>
      <c r="BL55" s="243"/>
      <c r="BM55" s="243"/>
      <c r="BN55" s="243"/>
      <c r="BO55" s="243"/>
      <c r="BP55" s="243"/>
      <c r="BQ55" s="243"/>
      <c r="BR55" s="243"/>
      <c r="BS55" s="243"/>
      <c r="BT55" s="243"/>
      <c r="BU55" s="243"/>
      <c r="BV55" s="243"/>
      <c r="BW55" s="243"/>
      <c r="BX55" s="243"/>
      <c r="BY55" s="243"/>
      <c r="BZ55" s="243"/>
      <c r="CA55" s="243"/>
      <c r="CB55" s="243"/>
      <c r="CC55" s="243"/>
      <c r="CD55" s="243"/>
      <c r="CE55" s="243"/>
      <c r="CF55" s="243"/>
      <c r="CG55" s="243"/>
      <c r="CH55" s="243"/>
      <c r="CI55" s="243"/>
      <c r="CJ55" s="243"/>
      <c r="CK55" s="243"/>
      <c r="CL55" s="243"/>
    </row>
    <row r="56" spans="1:90" s="290" customFormat="1">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9"/>
      <c r="AH56" s="289"/>
      <c r="AI56" s="289"/>
      <c r="AJ56" s="289"/>
      <c r="AK56" s="289"/>
      <c r="AL56" s="289"/>
      <c r="AM56" s="289"/>
      <c r="AN56" s="243"/>
      <c r="AO56" s="243"/>
      <c r="AP56" s="243"/>
      <c r="AQ56" s="243"/>
      <c r="AR56" s="243"/>
      <c r="AS56" s="243"/>
      <c r="AT56" s="243"/>
      <c r="AU56" s="243"/>
      <c r="AV56" s="243"/>
      <c r="AW56" s="243"/>
      <c r="AX56" s="243"/>
      <c r="AY56" s="243"/>
      <c r="AZ56" s="243"/>
      <c r="BA56" s="243"/>
      <c r="BB56" s="246"/>
      <c r="BC56" s="246"/>
      <c r="BD56" s="243"/>
      <c r="BE56" s="243"/>
      <c r="BF56" s="243"/>
      <c r="BG56" s="243"/>
      <c r="BH56" s="243"/>
      <c r="BI56" s="243"/>
      <c r="BJ56" s="243"/>
      <c r="BK56" s="243"/>
      <c r="BL56" s="243"/>
      <c r="BM56" s="243"/>
      <c r="BN56" s="243"/>
      <c r="BO56" s="243"/>
      <c r="BP56" s="243"/>
      <c r="BQ56" s="243"/>
      <c r="BR56" s="243"/>
      <c r="BS56" s="243"/>
      <c r="BT56" s="243"/>
      <c r="BU56" s="243"/>
      <c r="BV56" s="243"/>
      <c r="BW56" s="243"/>
      <c r="BX56" s="243"/>
      <c r="BY56" s="243"/>
      <c r="BZ56" s="243"/>
      <c r="CA56" s="243"/>
      <c r="CB56" s="243"/>
      <c r="CC56" s="243"/>
      <c r="CD56" s="243"/>
      <c r="CE56" s="243"/>
      <c r="CF56" s="243"/>
      <c r="CG56" s="243"/>
      <c r="CH56" s="243"/>
      <c r="CI56" s="243"/>
      <c r="CJ56" s="243"/>
      <c r="CK56" s="243"/>
      <c r="CL56" s="243"/>
    </row>
    <row r="57" spans="1:90" s="290" customFormat="1">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88"/>
      <c r="AE57" s="288"/>
      <c r="AF57" s="288"/>
      <c r="AG57" s="289"/>
      <c r="AH57" s="289"/>
      <c r="AI57" s="289"/>
      <c r="AJ57" s="289"/>
      <c r="AK57" s="289"/>
      <c r="AL57" s="289"/>
      <c r="AM57" s="289"/>
      <c r="AN57" s="243"/>
      <c r="AO57" s="243"/>
      <c r="AP57" s="243"/>
      <c r="AQ57" s="243"/>
      <c r="AR57" s="243"/>
      <c r="AS57" s="243"/>
      <c r="AT57" s="243"/>
      <c r="AU57" s="243"/>
      <c r="AV57" s="243"/>
      <c r="AW57" s="243"/>
      <c r="AX57" s="243"/>
      <c r="AY57" s="243"/>
      <c r="AZ57" s="243"/>
      <c r="BA57" s="243"/>
      <c r="BB57" s="246"/>
      <c r="BC57" s="246"/>
      <c r="BD57" s="243"/>
      <c r="BE57" s="243"/>
      <c r="BF57" s="243"/>
      <c r="BG57" s="243"/>
      <c r="BH57" s="243"/>
      <c r="BI57" s="243"/>
      <c r="BJ57" s="243"/>
      <c r="BK57" s="243"/>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row>
    <row r="58" spans="1:90" s="290" customFormat="1">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9"/>
      <c r="AH58" s="289"/>
      <c r="AI58" s="289"/>
      <c r="AJ58" s="289"/>
      <c r="AK58" s="289"/>
      <c r="AL58" s="289"/>
      <c r="AM58" s="289"/>
      <c r="AN58" s="243"/>
      <c r="AO58" s="243"/>
      <c r="AP58" s="243"/>
      <c r="AQ58" s="243"/>
      <c r="AR58" s="243"/>
      <c r="AS58" s="243"/>
      <c r="AT58" s="243"/>
      <c r="AU58" s="243"/>
      <c r="AV58" s="243"/>
      <c r="AW58" s="243"/>
      <c r="AX58" s="243"/>
      <c r="AY58" s="243"/>
      <c r="AZ58" s="243"/>
      <c r="BA58" s="243"/>
      <c r="BB58" s="246"/>
      <c r="BC58" s="246"/>
      <c r="BD58" s="243"/>
      <c r="BE58" s="243"/>
      <c r="BF58" s="243"/>
      <c r="BG58" s="243"/>
      <c r="BH58" s="243"/>
      <c r="BI58" s="243"/>
      <c r="BJ58" s="243"/>
      <c r="BK58" s="243"/>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row>
    <row r="59" spans="1:90" s="290" customFormat="1">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9"/>
      <c r="AH59" s="289"/>
      <c r="AI59" s="289"/>
      <c r="AJ59" s="289"/>
      <c r="AK59" s="289"/>
      <c r="AL59" s="289"/>
      <c r="AM59" s="289"/>
      <c r="AN59" s="243"/>
      <c r="AO59" s="243"/>
      <c r="AP59" s="243"/>
      <c r="AQ59" s="243"/>
      <c r="AR59" s="243"/>
      <c r="AS59" s="243"/>
      <c r="AT59" s="243"/>
      <c r="AU59" s="243"/>
      <c r="AV59" s="243"/>
      <c r="AW59" s="243"/>
      <c r="AX59" s="243"/>
      <c r="AY59" s="243"/>
      <c r="AZ59" s="243"/>
      <c r="BA59" s="243"/>
      <c r="BB59" s="246"/>
      <c r="BC59" s="246"/>
      <c r="BD59" s="243"/>
      <c r="BE59" s="243"/>
      <c r="BF59" s="243"/>
      <c r="BG59" s="243"/>
      <c r="BH59" s="243"/>
      <c r="BI59" s="243"/>
      <c r="BJ59" s="243"/>
      <c r="BK59" s="243"/>
      <c r="BL59" s="243"/>
      <c r="BM59" s="243"/>
      <c r="BN59" s="243"/>
      <c r="BO59" s="243"/>
      <c r="BP59" s="243"/>
      <c r="BQ59" s="243"/>
      <c r="BR59" s="243"/>
      <c r="BS59" s="243"/>
      <c r="BT59" s="243"/>
      <c r="BU59" s="243"/>
      <c r="BV59" s="243"/>
      <c r="BW59" s="243"/>
      <c r="BX59" s="243"/>
      <c r="BY59" s="243"/>
      <c r="BZ59" s="243"/>
      <c r="CA59" s="243"/>
      <c r="CB59" s="243"/>
      <c r="CC59" s="243"/>
      <c r="CD59" s="243"/>
      <c r="CE59" s="243"/>
      <c r="CF59" s="243"/>
      <c r="CG59" s="243"/>
      <c r="CH59" s="243"/>
      <c r="CI59" s="243"/>
      <c r="CJ59" s="243"/>
      <c r="CK59" s="243"/>
      <c r="CL59" s="243"/>
    </row>
    <row r="60" spans="1:90" s="290" customFormat="1">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9"/>
      <c r="AH60" s="289"/>
      <c r="AI60" s="289"/>
      <c r="AJ60" s="289"/>
      <c r="AK60" s="289"/>
      <c r="AL60" s="289"/>
      <c r="AM60" s="289"/>
      <c r="AN60" s="243"/>
      <c r="AO60" s="243"/>
      <c r="AP60" s="243"/>
      <c r="AQ60" s="243"/>
      <c r="AR60" s="243"/>
      <c r="AS60" s="243"/>
      <c r="AT60" s="243"/>
      <c r="AU60" s="243"/>
      <c r="AV60" s="243"/>
      <c r="AW60" s="243"/>
      <c r="AX60" s="243"/>
      <c r="AY60" s="243"/>
      <c r="AZ60" s="243"/>
      <c r="BA60" s="243"/>
      <c r="BB60" s="246"/>
      <c r="BC60" s="246"/>
      <c r="BD60" s="243"/>
      <c r="BE60" s="243"/>
      <c r="BF60" s="243"/>
      <c r="BG60" s="243"/>
      <c r="BH60" s="243"/>
      <c r="BI60" s="243"/>
      <c r="BJ60" s="243"/>
      <c r="BK60" s="243"/>
      <c r="BL60" s="243"/>
      <c r="BM60" s="243"/>
      <c r="BN60" s="243"/>
      <c r="BO60" s="243"/>
      <c r="BP60" s="243"/>
      <c r="BQ60" s="243"/>
      <c r="BR60" s="243"/>
      <c r="BS60" s="243"/>
      <c r="BT60" s="243"/>
      <c r="BU60" s="243"/>
      <c r="BV60" s="243"/>
      <c r="BW60" s="243"/>
      <c r="BX60" s="243"/>
      <c r="BY60" s="243"/>
      <c r="BZ60" s="243"/>
      <c r="CA60" s="243"/>
      <c r="CB60" s="243"/>
      <c r="CC60" s="243"/>
      <c r="CD60" s="243"/>
      <c r="CE60" s="243"/>
      <c r="CF60" s="243"/>
      <c r="CG60" s="243"/>
      <c r="CH60" s="243"/>
      <c r="CI60" s="243"/>
      <c r="CJ60" s="243"/>
      <c r="CK60" s="243"/>
      <c r="CL60" s="243"/>
    </row>
    <row r="61" spans="1:90" s="290" customFormat="1">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8"/>
      <c r="AG61" s="289"/>
      <c r="AH61" s="289"/>
      <c r="AI61" s="289"/>
      <c r="AJ61" s="289"/>
      <c r="AK61" s="289"/>
      <c r="AL61" s="289"/>
      <c r="AM61" s="289"/>
      <c r="AN61" s="243"/>
      <c r="AO61" s="243"/>
      <c r="AP61" s="243"/>
      <c r="AQ61" s="243"/>
      <c r="AR61" s="243"/>
      <c r="AS61" s="243"/>
      <c r="AT61" s="243"/>
      <c r="AU61" s="243"/>
      <c r="AV61" s="243"/>
      <c r="AW61" s="243"/>
      <c r="AX61" s="243"/>
      <c r="AY61" s="243"/>
      <c r="AZ61" s="243"/>
      <c r="BA61" s="243"/>
      <c r="BB61" s="246"/>
      <c r="BC61" s="246"/>
      <c r="BD61" s="243"/>
      <c r="BE61" s="243"/>
      <c r="BF61" s="243"/>
      <c r="BG61" s="243"/>
      <c r="BH61" s="243"/>
      <c r="BI61" s="243"/>
      <c r="BJ61" s="243"/>
      <c r="BK61" s="243"/>
      <c r="BL61" s="243"/>
      <c r="BM61" s="243"/>
      <c r="BN61" s="243"/>
      <c r="BO61" s="243"/>
      <c r="BP61" s="243"/>
      <c r="BQ61" s="243"/>
      <c r="BR61" s="243"/>
      <c r="BS61" s="243"/>
      <c r="BT61" s="243"/>
      <c r="BU61" s="243"/>
      <c r="BV61" s="243"/>
      <c r="BW61" s="243"/>
      <c r="BX61" s="243"/>
      <c r="BY61" s="243"/>
      <c r="BZ61" s="243"/>
      <c r="CA61" s="243"/>
      <c r="CB61" s="243"/>
      <c r="CC61" s="243"/>
      <c r="CD61" s="243"/>
      <c r="CE61" s="243"/>
      <c r="CF61" s="243"/>
      <c r="CG61" s="243"/>
      <c r="CH61" s="243"/>
      <c r="CI61" s="243"/>
      <c r="CJ61" s="243"/>
      <c r="CK61" s="243"/>
      <c r="CL61" s="243"/>
    </row>
    <row r="62" spans="1:90" s="290" customFormat="1">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8"/>
      <c r="AG62" s="289"/>
      <c r="AH62" s="289"/>
      <c r="AI62" s="289"/>
      <c r="AJ62" s="289"/>
      <c r="AK62" s="289"/>
      <c r="AL62" s="289"/>
      <c r="AM62" s="289"/>
      <c r="AN62" s="243"/>
      <c r="AO62" s="243"/>
      <c r="AP62" s="243"/>
      <c r="AQ62" s="243"/>
      <c r="AR62" s="243"/>
      <c r="AS62" s="243"/>
      <c r="AT62" s="243"/>
      <c r="AU62" s="243"/>
      <c r="AV62" s="243"/>
      <c r="AW62" s="243"/>
      <c r="AX62" s="243"/>
      <c r="AY62" s="243"/>
      <c r="AZ62" s="243"/>
      <c r="BA62" s="243"/>
      <c r="BB62" s="246"/>
      <c r="BC62" s="246"/>
      <c r="BD62" s="243"/>
      <c r="BE62" s="243"/>
      <c r="BF62" s="243"/>
      <c r="BG62" s="243"/>
      <c r="BH62" s="243"/>
      <c r="BI62" s="243"/>
      <c r="BJ62" s="243"/>
      <c r="BK62" s="243"/>
      <c r="BL62" s="243"/>
      <c r="BM62" s="243"/>
      <c r="BN62" s="243"/>
      <c r="BO62" s="243"/>
      <c r="BP62" s="243"/>
      <c r="BQ62" s="243"/>
      <c r="BR62" s="243"/>
      <c r="BS62" s="243"/>
      <c r="BT62" s="243"/>
      <c r="BU62" s="243"/>
      <c r="BV62" s="243"/>
      <c r="BW62" s="243"/>
      <c r="BX62" s="243"/>
      <c r="BY62" s="243"/>
      <c r="BZ62" s="243"/>
      <c r="CA62" s="243"/>
      <c r="CB62" s="243"/>
      <c r="CC62" s="243"/>
      <c r="CD62" s="243"/>
      <c r="CE62" s="243"/>
      <c r="CF62" s="243"/>
      <c r="CG62" s="243"/>
      <c r="CH62" s="243"/>
      <c r="CI62" s="243"/>
      <c r="CJ62" s="243"/>
      <c r="CK62" s="243"/>
      <c r="CL62" s="243"/>
    </row>
    <row r="63" spans="1:90" s="290" customFormat="1">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9"/>
      <c r="AH63" s="289"/>
      <c r="AI63" s="289"/>
      <c r="AJ63" s="289"/>
      <c r="AK63" s="289"/>
      <c r="AL63" s="289"/>
      <c r="AM63" s="289"/>
      <c r="AN63" s="243"/>
      <c r="AO63" s="243"/>
      <c r="AP63" s="243"/>
      <c r="AQ63" s="243"/>
      <c r="AR63" s="243"/>
      <c r="AS63" s="243"/>
      <c r="AT63" s="243"/>
      <c r="AU63" s="243"/>
      <c r="AV63" s="243"/>
      <c r="AW63" s="243"/>
      <c r="AX63" s="243"/>
      <c r="AY63" s="243"/>
      <c r="AZ63" s="243"/>
      <c r="BA63" s="243"/>
      <c r="BB63" s="246"/>
      <c r="BC63" s="246"/>
      <c r="BD63" s="243"/>
      <c r="BE63" s="243"/>
      <c r="BF63" s="243"/>
      <c r="BG63" s="243"/>
      <c r="BH63" s="243"/>
      <c r="BI63" s="243"/>
      <c r="BJ63" s="243"/>
      <c r="BK63" s="243"/>
      <c r="BL63" s="243"/>
      <c r="BM63" s="243"/>
      <c r="BN63" s="243"/>
      <c r="BO63" s="243"/>
      <c r="BP63" s="243"/>
      <c r="BQ63" s="243"/>
      <c r="BR63" s="243"/>
      <c r="BS63" s="243"/>
      <c r="BT63" s="243"/>
      <c r="BU63" s="243"/>
      <c r="BV63" s="243"/>
      <c r="BW63" s="243"/>
      <c r="BX63" s="243"/>
      <c r="BY63" s="243"/>
      <c r="BZ63" s="243"/>
      <c r="CA63" s="243"/>
      <c r="CB63" s="243"/>
      <c r="CC63" s="243"/>
      <c r="CD63" s="243"/>
      <c r="CE63" s="243"/>
      <c r="CF63" s="243"/>
      <c r="CG63" s="243"/>
      <c r="CH63" s="243"/>
      <c r="CI63" s="243"/>
      <c r="CJ63" s="243"/>
      <c r="CK63" s="243"/>
      <c r="CL63" s="243"/>
    </row>
    <row r="64" spans="1:90" s="290" customFormat="1">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8"/>
      <c r="AG64" s="289"/>
      <c r="AH64" s="289"/>
      <c r="AI64" s="289"/>
      <c r="AJ64" s="289"/>
      <c r="AK64" s="289"/>
      <c r="AL64" s="289"/>
      <c r="AM64" s="289"/>
      <c r="AN64" s="243"/>
      <c r="AO64" s="243"/>
      <c r="AP64" s="243"/>
      <c r="AQ64" s="243"/>
      <c r="AR64" s="243"/>
      <c r="AS64" s="243"/>
      <c r="AT64" s="243"/>
      <c r="AU64" s="243"/>
      <c r="AV64" s="243"/>
      <c r="AW64" s="243"/>
      <c r="AX64" s="243"/>
      <c r="AY64" s="243"/>
      <c r="AZ64" s="243"/>
      <c r="BA64" s="243"/>
      <c r="BB64" s="246"/>
      <c r="BC64" s="246"/>
      <c r="BD64" s="243"/>
      <c r="BE64" s="243"/>
      <c r="BF64" s="243"/>
      <c r="BG64" s="243"/>
      <c r="BH64" s="243"/>
      <c r="BI64" s="243"/>
      <c r="BJ64" s="243"/>
      <c r="BK64" s="243"/>
      <c r="BL64" s="243"/>
      <c r="BM64" s="243"/>
      <c r="BN64" s="243"/>
      <c r="BO64" s="243"/>
      <c r="BP64" s="243"/>
      <c r="BQ64" s="243"/>
      <c r="BR64" s="243"/>
      <c r="BS64" s="243"/>
      <c r="BT64" s="243"/>
      <c r="BU64" s="243"/>
      <c r="BV64" s="243"/>
      <c r="BW64" s="243"/>
      <c r="BX64" s="243"/>
      <c r="BY64" s="243"/>
      <c r="BZ64" s="243"/>
      <c r="CA64" s="243"/>
      <c r="CB64" s="243"/>
      <c r="CC64" s="243"/>
      <c r="CD64" s="243"/>
      <c r="CE64" s="243"/>
      <c r="CF64" s="243"/>
      <c r="CG64" s="243"/>
      <c r="CH64" s="243"/>
      <c r="CI64" s="243"/>
      <c r="CJ64" s="243"/>
      <c r="CK64" s="243"/>
      <c r="CL64" s="243"/>
    </row>
    <row r="65" spans="1:90" s="290" customFormat="1">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9"/>
      <c r="AH65" s="289"/>
      <c r="AI65" s="289"/>
      <c r="AJ65" s="289"/>
      <c r="AK65" s="289"/>
      <c r="AL65" s="289"/>
      <c r="AM65" s="289"/>
      <c r="AN65" s="243"/>
      <c r="AO65" s="243"/>
      <c r="AP65" s="243"/>
      <c r="AQ65" s="243"/>
      <c r="AR65" s="243"/>
      <c r="AS65" s="243"/>
      <c r="AT65" s="243"/>
      <c r="AU65" s="243"/>
      <c r="AV65" s="243"/>
      <c r="AW65" s="243"/>
      <c r="AX65" s="243"/>
      <c r="AY65" s="243"/>
      <c r="AZ65" s="243"/>
      <c r="BA65" s="243"/>
      <c r="BB65" s="246"/>
      <c r="BC65" s="246"/>
      <c r="BD65" s="243"/>
      <c r="BE65" s="243"/>
      <c r="BF65" s="243"/>
      <c r="BG65" s="243"/>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row>
    <row r="66" spans="1:90" s="290" customFormat="1">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9"/>
      <c r="AH66" s="289"/>
      <c r="AI66" s="289"/>
      <c r="AJ66" s="289"/>
      <c r="AK66" s="289"/>
      <c r="AL66" s="289"/>
      <c r="AM66" s="289"/>
      <c r="AN66" s="243"/>
      <c r="AO66" s="243"/>
      <c r="AP66" s="243"/>
      <c r="AQ66" s="243"/>
      <c r="AR66" s="243"/>
      <c r="AS66" s="243"/>
      <c r="AT66" s="243"/>
      <c r="AU66" s="243"/>
      <c r="AV66" s="243"/>
      <c r="AW66" s="243"/>
      <c r="AX66" s="243"/>
      <c r="AY66" s="243"/>
      <c r="AZ66" s="243"/>
      <c r="BA66" s="243"/>
      <c r="BB66" s="246"/>
      <c r="BC66" s="246"/>
      <c r="BD66" s="243"/>
      <c r="BE66" s="243"/>
      <c r="BF66" s="243"/>
      <c r="BG66" s="243"/>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row>
    <row r="67" spans="1:90" s="290" customFormat="1">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9"/>
      <c r="AH67" s="289"/>
      <c r="AI67" s="289"/>
      <c r="AJ67" s="289"/>
      <c r="AK67" s="289"/>
      <c r="AL67" s="289"/>
      <c r="AM67" s="289"/>
      <c r="AN67" s="243"/>
      <c r="AO67" s="243"/>
      <c r="AP67" s="243"/>
      <c r="AQ67" s="243"/>
      <c r="AR67" s="243"/>
      <c r="AS67" s="243"/>
      <c r="AT67" s="243"/>
      <c r="AU67" s="243"/>
      <c r="AV67" s="243"/>
      <c r="AW67" s="243"/>
      <c r="AX67" s="243"/>
      <c r="AY67" s="243"/>
      <c r="AZ67" s="243"/>
      <c r="BA67" s="243"/>
      <c r="BB67" s="246"/>
      <c r="BC67" s="246"/>
      <c r="BD67" s="243"/>
      <c r="BE67" s="243"/>
      <c r="BF67" s="243"/>
      <c r="BG67" s="243"/>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row>
    <row r="68" spans="1:90" s="290" customFormat="1">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9"/>
      <c r="AH68" s="289"/>
      <c r="AI68" s="289"/>
      <c r="AJ68" s="289"/>
      <c r="AK68" s="289"/>
      <c r="AL68" s="289"/>
      <c r="AM68" s="289"/>
      <c r="AN68" s="243"/>
      <c r="AO68" s="243"/>
      <c r="AP68" s="243"/>
      <c r="AQ68" s="243"/>
      <c r="AR68" s="243"/>
      <c r="AS68" s="243"/>
      <c r="AT68" s="243"/>
      <c r="AU68" s="243"/>
      <c r="AV68" s="243"/>
      <c r="AW68" s="243"/>
      <c r="AX68" s="243"/>
      <c r="AY68" s="243"/>
      <c r="AZ68" s="243"/>
      <c r="BA68" s="243"/>
      <c r="BB68" s="246"/>
      <c r="BC68" s="246"/>
      <c r="BD68" s="243"/>
      <c r="BE68" s="243"/>
      <c r="BF68" s="243"/>
      <c r="BG68" s="243"/>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row>
    <row r="69" spans="1:90">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9"/>
      <c r="AH69" s="289"/>
      <c r="AI69" s="289"/>
      <c r="AJ69" s="289"/>
      <c r="AK69" s="289"/>
      <c r="AL69" s="289"/>
      <c r="AM69" s="289"/>
      <c r="AN69" s="243"/>
      <c r="AO69" s="243"/>
      <c r="AP69" s="243"/>
      <c r="AQ69" s="243"/>
      <c r="AR69" s="243"/>
      <c r="AS69" s="243"/>
      <c r="AT69" s="243"/>
      <c r="AU69" s="243"/>
      <c r="AV69" s="243"/>
      <c r="AW69" s="243"/>
      <c r="AX69" s="243"/>
      <c r="AY69" s="243"/>
      <c r="AZ69" s="243"/>
      <c r="BA69" s="243"/>
      <c r="BB69" s="246"/>
      <c r="BC69" s="246"/>
      <c r="BD69" s="243"/>
      <c r="BE69" s="243"/>
      <c r="BF69" s="243"/>
      <c r="BG69" s="243"/>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row>
    <row r="70" spans="1:90">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9"/>
      <c r="AH70" s="289"/>
      <c r="AI70" s="289"/>
      <c r="AJ70" s="289"/>
      <c r="AK70" s="289"/>
      <c r="AL70" s="289"/>
      <c r="AM70" s="289"/>
      <c r="AN70" s="243"/>
      <c r="AO70" s="243"/>
      <c r="AP70" s="243"/>
      <c r="AQ70" s="243"/>
      <c r="AR70" s="243"/>
      <c r="AS70" s="243"/>
      <c r="AT70" s="243"/>
      <c r="AU70" s="243"/>
      <c r="AV70" s="243"/>
      <c r="AW70" s="243"/>
      <c r="AX70" s="243"/>
      <c r="AY70" s="243"/>
      <c r="AZ70" s="243"/>
      <c r="BA70" s="243"/>
      <c r="BB70" s="246"/>
      <c r="BC70" s="246"/>
      <c r="BD70" s="243"/>
      <c r="BE70" s="243"/>
      <c r="BF70" s="243"/>
      <c r="BG70" s="243"/>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row>
    <row r="71" spans="1:90">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9"/>
      <c r="AH71" s="289"/>
      <c r="AI71" s="289"/>
      <c r="AJ71" s="289"/>
      <c r="AK71" s="289"/>
      <c r="AL71" s="289"/>
      <c r="AM71" s="289"/>
      <c r="AN71" s="243"/>
      <c r="AO71" s="243"/>
      <c r="AP71" s="243"/>
      <c r="AQ71" s="243"/>
      <c r="AR71" s="243"/>
      <c r="AS71" s="243"/>
      <c r="AT71" s="243"/>
      <c r="AU71" s="243"/>
      <c r="AV71" s="243"/>
      <c r="AW71" s="243"/>
      <c r="AX71" s="243"/>
      <c r="AY71" s="243"/>
      <c r="AZ71" s="243"/>
      <c r="BA71" s="243"/>
      <c r="BB71" s="246"/>
      <c r="BC71" s="246"/>
      <c r="BD71" s="243"/>
      <c r="BE71" s="243"/>
      <c r="BF71" s="243"/>
      <c r="BG71" s="243"/>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row>
    <row r="72" spans="1:90">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9"/>
      <c r="AH72" s="289"/>
      <c r="AI72" s="289"/>
      <c r="AJ72" s="289"/>
      <c r="AK72" s="289"/>
      <c r="AL72" s="289"/>
      <c r="AM72" s="289"/>
      <c r="AN72" s="243"/>
      <c r="AO72" s="243"/>
      <c r="AP72" s="243"/>
      <c r="AQ72" s="243"/>
      <c r="AR72" s="243"/>
      <c r="AS72" s="243"/>
      <c r="AT72" s="243"/>
      <c r="AU72" s="243"/>
      <c r="AV72" s="243"/>
      <c r="AW72" s="243"/>
      <c r="AX72" s="243"/>
      <c r="AY72" s="243"/>
      <c r="AZ72" s="243"/>
      <c r="BA72" s="243"/>
      <c r="BB72" s="246"/>
      <c r="BC72" s="246"/>
      <c r="BD72" s="243"/>
      <c r="BE72" s="243"/>
      <c r="BF72" s="243"/>
      <c r="BG72" s="243"/>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row>
    <row r="73" spans="1:90">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9"/>
      <c r="AH73" s="289"/>
      <c r="AI73" s="289"/>
      <c r="AJ73" s="289"/>
      <c r="AK73" s="289"/>
      <c r="AL73" s="289"/>
      <c r="AM73" s="289"/>
      <c r="AN73" s="243"/>
      <c r="AO73" s="243"/>
      <c r="AP73" s="243"/>
      <c r="AQ73" s="243"/>
      <c r="AR73" s="243"/>
      <c r="AS73" s="243"/>
      <c r="AT73" s="243"/>
      <c r="AU73" s="243"/>
      <c r="AV73" s="243"/>
      <c r="AW73" s="243"/>
      <c r="AX73" s="243"/>
      <c r="AY73" s="243"/>
      <c r="AZ73" s="243"/>
      <c r="BA73" s="243"/>
      <c r="BB73" s="246"/>
      <c r="BC73" s="246"/>
      <c r="BD73" s="243"/>
      <c r="BE73" s="243"/>
      <c r="BF73" s="243"/>
      <c r="BG73" s="243"/>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row>
    <row r="74" spans="1:90">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9"/>
      <c r="AH74" s="289"/>
      <c r="AI74" s="289"/>
      <c r="AJ74" s="289"/>
      <c r="AK74" s="289"/>
      <c r="AL74" s="289"/>
      <c r="AM74" s="289"/>
      <c r="AN74" s="243"/>
      <c r="AO74" s="243"/>
      <c r="AP74" s="243"/>
      <c r="AQ74" s="243"/>
      <c r="AR74" s="243"/>
      <c r="AS74" s="243"/>
      <c r="AT74" s="243"/>
      <c r="AU74" s="243"/>
      <c r="AV74" s="243"/>
      <c r="AW74" s="243"/>
      <c r="AX74" s="243"/>
      <c r="AY74" s="243"/>
      <c r="AZ74" s="243"/>
      <c r="BA74" s="243"/>
      <c r="BB74" s="246"/>
      <c r="BC74" s="246"/>
      <c r="BD74" s="243"/>
      <c r="BE74" s="243"/>
      <c r="BF74" s="243"/>
      <c r="BG74" s="243"/>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row>
    <row r="75" spans="1:90">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9"/>
      <c r="AH75" s="289"/>
      <c r="AI75" s="289"/>
      <c r="AJ75" s="289"/>
      <c r="AK75" s="289"/>
      <c r="AL75" s="289"/>
      <c r="AM75" s="289"/>
      <c r="AN75" s="243"/>
      <c r="AO75" s="243"/>
      <c r="AP75" s="243"/>
      <c r="AQ75" s="243"/>
      <c r="AR75" s="243"/>
      <c r="AS75" s="243"/>
      <c r="AT75" s="243"/>
      <c r="AU75" s="243"/>
      <c r="AV75" s="243"/>
      <c r="AW75" s="243"/>
      <c r="AX75" s="243"/>
      <c r="AY75" s="243"/>
      <c r="AZ75" s="243"/>
      <c r="BA75" s="243"/>
      <c r="BB75" s="246"/>
      <c r="BC75" s="246"/>
      <c r="BD75" s="243"/>
      <c r="BE75" s="243"/>
      <c r="BF75" s="243"/>
      <c r="BG75" s="243"/>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row>
    <row r="76" spans="1:90">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9"/>
      <c r="AH76" s="289"/>
      <c r="AI76" s="289"/>
      <c r="AJ76" s="289"/>
      <c r="AK76" s="289"/>
      <c r="AL76" s="289"/>
      <c r="AM76" s="289"/>
      <c r="AN76" s="243"/>
      <c r="AO76" s="243"/>
      <c r="AP76" s="243"/>
      <c r="AQ76" s="243"/>
      <c r="AR76" s="243"/>
      <c r="AS76" s="243"/>
      <c r="AT76" s="243"/>
      <c r="AU76" s="243"/>
      <c r="AV76" s="243"/>
      <c r="AW76" s="243"/>
      <c r="AX76" s="243"/>
      <c r="AY76" s="243"/>
      <c r="AZ76" s="243"/>
      <c r="BA76" s="243"/>
      <c r="BB76" s="246"/>
      <c r="BC76" s="246"/>
      <c r="BD76" s="243"/>
      <c r="BE76" s="243"/>
      <c r="BF76" s="243"/>
      <c r="BG76" s="243"/>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row>
    <row r="77" spans="1:90">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9"/>
      <c r="AH77" s="289"/>
      <c r="AI77" s="289"/>
      <c r="AJ77" s="289"/>
      <c r="AK77" s="289"/>
      <c r="AL77" s="289"/>
      <c r="AM77" s="289"/>
      <c r="AN77" s="243"/>
      <c r="AO77" s="243"/>
      <c r="AP77" s="243"/>
      <c r="AQ77" s="243"/>
      <c r="AR77" s="243"/>
      <c r="AS77" s="243"/>
      <c r="AT77" s="243"/>
      <c r="AU77" s="243"/>
      <c r="AV77" s="243"/>
      <c r="AW77" s="243"/>
      <c r="AX77" s="243"/>
      <c r="AY77" s="243"/>
      <c r="AZ77" s="243"/>
      <c r="BA77" s="243"/>
      <c r="BB77" s="246"/>
      <c r="BC77" s="246"/>
      <c r="BD77" s="243"/>
      <c r="BE77" s="243"/>
      <c r="BF77" s="243"/>
      <c r="BG77" s="243"/>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row>
    <row r="78" spans="1:90">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9"/>
      <c r="AH78" s="289"/>
      <c r="AI78" s="289"/>
      <c r="AJ78" s="289"/>
      <c r="AK78" s="289"/>
      <c r="AL78" s="289"/>
      <c r="AM78" s="289"/>
      <c r="AN78" s="243"/>
      <c r="AO78" s="243"/>
      <c r="AP78" s="243"/>
      <c r="AQ78" s="243"/>
      <c r="AR78" s="243"/>
      <c r="AS78" s="243"/>
      <c r="AT78" s="243"/>
      <c r="AU78" s="243"/>
      <c r="AV78" s="243"/>
      <c r="AW78" s="243"/>
      <c r="AX78" s="243"/>
      <c r="AY78" s="243"/>
      <c r="AZ78" s="243"/>
      <c r="BA78" s="243"/>
      <c r="BB78" s="246"/>
      <c r="BC78" s="246"/>
      <c r="BD78" s="243"/>
      <c r="BE78" s="243"/>
      <c r="BF78" s="243"/>
      <c r="BG78" s="243"/>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row>
    <row r="79" spans="1:90">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9"/>
      <c r="AH79" s="289"/>
      <c r="AI79" s="289"/>
      <c r="AJ79" s="289"/>
      <c r="AK79" s="289"/>
      <c r="AL79" s="289"/>
      <c r="AM79" s="289"/>
      <c r="AN79" s="243"/>
      <c r="AO79" s="243"/>
      <c r="AP79" s="243"/>
      <c r="AQ79" s="243"/>
      <c r="AR79" s="243"/>
      <c r="AS79" s="243"/>
      <c r="AT79" s="243"/>
      <c r="AU79" s="243"/>
      <c r="AV79" s="243"/>
      <c r="AW79" s="243"/>
      <c r="AX79" s="243"/>
      <c r="AY79" s="243"/>
      <c r="AZ79" s="243"/>
      <c r="BA79" s="243"/>
      <c r="BB79" s="246"/>
      <c r="BC79" s="246"/>
      <c r="BD79" s="243"/>
      <c r="BE79" s="243"/>
      <c r="BF79" s="243"/>
      <c r="BG79" s="243"/>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row>
    <row r="80" spans="1:90">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9"/>
      <c r="AH80" s="289"/>
      <c r="AI80" s="289"/>
      <c r="AJ80" s="289"/>
      <c r="AK80" s="289"/>
      <c r="AL80" s="289"/>
      <c r="AM80" s="289"/>
      <c r="AN80" s="243"/>
      <c r="AO80" s="243"/>
      <c r="AP80" s="243"/>
      <c r="AQ80" s="243"/>
      <c r="AR80" s="243"/>
      <c r="AS80" s="243"/>
      <c r="AT80" s="243"/>
      <c r="AU80" s="243"/>
      <c r="AV80" s="243"/>
      <c r="AW80" s="243"/>
      <c r="AX80" s="243"/>
      <c r="AY80" s="243"/>
      <c r="AZ80" s="243"/>
      <c r="BA80" s="243"/>
      <c r="BB80" s="246"/>
      <c r="BC80" s="246"/>
      <c r="BD80" s="243"/>
      <c r="BE80" s="243"/>
      <c r="BF80" s="243"/>
      <c r="BG80" s="243"/>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row>
    <row r="81" spans="1:90">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9"/>
      <c r="AH81" s="289"/>
      <c r="AI81" s="289"/>
      <c r="AJ81" s="289"/>
      <c r="AK81" s="289"/>
      <c r="AL81" s="289"/>
      <c r="AM81" s="289"/>
      <c r="AN81" s="243"/>
      <c r="AO81" s="243"/>
      <c r="AP81" s="243"/>
      <c r="AQ81" s="243"/>
      <c r="AR81" s="243"/>
      <c r="AS81" s="243"/>
      <c r="AT81" s="243"/>
      <c r="AU81" s="243"/>
      <c r="AV81" s="243"/>
      <c r="AW81" s="243"/>
      <c r="AX81" s="243"/>
      <c r="AY81" s="243"/>
      <c r="AZ81" s="243"/>
      <c r="BA81" s="243"/>
      <c r="BB81" s="246"/>
      <c r="BC81" s="246"/>
      <c r="BD81" s="243"/>
      <c r="BE81" s="243"/>
      <c r="BF81" s="243"/>
      <c r="BG81" s="243"/>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row>
    <row r="82" spans="1:90">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9"/>
      <c r="AH82" s="289"/>
      <c r="AI82" s="289"/>
      <c r="AJ82" s="289"/>
      <c r="AK82" s="289"/>
      <c r="AL82" s="289"/>
      <c r="AM82" s="289"/>
      <c r="AN82" s="243"/>
      <c r="AO82" s="243"/>
      <c r="AP82" s="243"/>
      <c r="AQ82" s="243"/>
      <c r="AR82" s="243"/>
      <c r="AS82" s="243"/>
      <c r="AT82" s="243"/>
      <c r="AU82" s="243"/>
      <c r="AV82" s="243"/>
      <c r="AW82" s="243"/>
      <c r="AX82" s="243"/>
      <c r="AY82" s="243"/>
      <c r="AZ82" s="243"/>
      <c r="BA82" s="243"/>
      <c r="BB82" s="246"/>
      <c r="BC82" s="246"/>
      <c r="BD82" s="243"/>
      <c r="BE82" s="243"/>
      <c r="BF82" s="243"/>
      <c r="BG82" s="243"/>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row>
    <row r="83" spans="1:90">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9"/>
      <c r="AH83" s="289"/>
      <c r="AI83" s="289"/>
      <c r="AJ83" s="289"/>
      <c r="AK83" s="289"/>
      <c r="AL83" s="289"/>
      <c r="AM83" s="289"/>
      <c r="AN83" s="243"/>
      <c r="AO83" s="243"/>
      <c r="AP83" s="243"/>
      <c r="AQ83" s="243"/>
      <c r="AR83" s="243"/>
      <c r="AS83" s="243"/>
      <c r="AT83" s="243"/>
      <c r="AU83" s="243"/>
      <c r="AV83" s="243"/>
      <c r="AW83" s="243"/>
      <c r="AX83" s="243"/>
      <c r="AY83" s="243"/>
      <c r="AZ83" s="243"/>
      <c r="BA83" s="243"/>
      <c r="BB83" s="246"/>
      <c r="BC83" s="246"/>
      <c r="BD83" s="243"/>
      <c r="BE83" s="243"/>
      <c r="BF83" s="243"/>
      <c r="BG83" s="243"/>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row>
    <row r="84" spans="1:90">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9"/>
      <c r="AH84" s="289"/>
      <c r="AI84" s="289"/>
      <c r="AJ84" s="289"/>
      <c r="AK84" s="289"/>
      <c r="AL84" s="289"/>
      <c r="AM84" s="289"/>
      <c r="AN84" s="243"/>
      <c r="AO84" s="243"/>
      <c r="AP84" s="243"/>
      <c r="AQ84" s="243"/>
      <c r="AR84" s="243"/>
      <c r="AS84" s="243"/>
      <c r="AT84" s="243"/>
      <c r="AU84" s="243"/>
      <c r="AV84" s="243"/>
      <c r="AW84" s="243"/>
      <c r="AX84" s="243"/>
      <c r="AY84" s="243"/>
      <c r="AZ84" s="243"/>
      <c r="BA84" s="243"/>
      <c r="BB84" s="246"/>
      <c r="BC84" s="246"/>
      <c r="BD84" s="243"/>
      <c r="BE84" s="243"/>
      <c r="BF84" s="243"/>
      <c r="BG84" s="243"/>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row>
    <row r="85" spans="1:90">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9"/>
      <c r="AH85" s="289"/>
      <c r="AI85" s="289"/>
      <c r="AJ85" s="289"/>
      <c r="AK85" s="289"/>
      <c r="AL85" s="289"/>
      <c r="AM85" s="289"/>
      <c r="AN85" s="243"/>
      <c r="AO85" s="243"/>
      <c r="AP85" s="243"/>
      <c r="AQ85" s="243"/>
      <c r="AR85" s="243"/>
      <c r="AS85" s="243"/>
      <c r="AT85" s="243"/>
      <c r="AU85" s="243"/>
      <c r="AV85" s="243"/>
      <c r="AW85" s="243"/>
      <c r="AX85" s="243"/>
      <c r="AY85" s="243"/>
      <c r="AZ85" s="243"/>
      <c r="BA85" s="243"/>
      <c r="BB85" s="246"/>
      <c r="BC85" s="246"/>
      <c r="BD85" s="243"/>
      <c r="BE85" s="243"/>
      <c r="BF85" s="243"/>
      <c r="BG85" s="243"/>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row>
    <row r="86" spans="1:90">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9"/>
      <c r="AH86" s="289"/>
      <c r="AI86" s="289"/>
      <c r="AJ86" s="289"/>
      <c r="AK86" s="289"/>
      <c r="AL86" s="289"/>
      <c r="AM86" s="289"/>
      <c r="AN86" s="243"/>
      <c r="AO86" s="243"/>
      <c r="AP86" s="243"/>
      <c r="AQ86" s="243"/>
      <c r="AR86" s="243"/>
      <c r="AS86" s="243"/>
      <c r="AT86" s="243"/>
      <c r="AU86" s="243"/>
      <c r="AV86" s="243"/>
      <c r="AW86" s="243"/>
      <c r="AX86" s="243"/>
      <c r="AY86" s="243"/>
      <c r="AZ86" s="243"/>
      <c r="BA86" s="243"/>
      <c r="BB86" s="246"/>
      <c r="BC86" s="246"/>
      <c r="BD86" s="243"/>
      <c r="BE86" s="243"/>
      <c r="BF86" s="243"/>
      <c r="BG86" s="243"/>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row>
    <row r="87" spans="1:90">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9"/>
      <c r="AH87" s="289"/>
      <c r="AI87" s="289"/>
      <c r="AJ87" s="289"/>
      <c r="AK87" s="289"/>
      <c r="AL87" s="289"/>
      <c r="AM87" s="289"/>
      <c r="AN87" s="243"/>
      <c r="AO87" s="243"/>
      <c r="AP87" s="243"/>
      <c r="AQ87" s="243"/>
      <c r="AR87" s="243"/>
      <c r="AS87" s="243"/>
      <c r="AT87" s="243"/>
      <c r="AU87" s="243"/>
      <c r="AV87" s="243"/>
      <c r="AW87" s="243"/>
      <c r="AX87" s="243"/>
      <c r="AY87" s="243"/>
      <c r="AZ87" s="243"/>
      <c r="BA87" s="243"/>
      <c r="BB87" s="246"/>
      <c r="BC87" s="246"/>
      <c r="BD87" s="243"/>
      <c r="BE87" s="243"/>
      <c r="BF87" s="243"/>
      <c r="BG87" s="243"/>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row>
    <row r="88" spans="1:90">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9"/>
      <c r="AH88" s="289"/>
      <c r="AI88" s="289"/>
      <c r="AJ88" s="289"/>
      <c r="AK88" s="289"/>
      <c r="AL88" s="289"/>
      <c r="AM88" s="289"/>
      <c r="AN88" s="243"/>
      <c r="AO88" s="243"/>
      <c r="AP88" s="243"/>
      <c r="AQ88" s="243"/>
      <c r="AR88" s="243"/>
      <c r="AS88" s="243"/>
      <c r="AT88" s="243"/>
      <c r="AU88" s="243"/>
      <c r="AV88" s="243"/>
      <c r="AW88" s="243"/>
      <c r="AX88" s="243"/>
      <c r="AY88" s="243"/>
      <c r="AZ88" s="243"/>
      <c r="BA88" s="243"/>
      <c r="BB88" s="246"/>
      <c r="BC88" s="246"/>
      <c r="BD88" s="243"/>
      <c r="BE88" s="243"/>
      <c r="BF88" s="243"/>
      <c r="BG88" s="243"/>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row>
    <row r="89" spans="1:90">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9"/>
      <c r="AH89" s="289"/>
      <c r="AI89" s="289"/>
      <c r="AJ89" s="289"/>
      <c r="AK89" s="289"/>
      <c r="AL89" s="289"/>
      <c r="AM89" s="289"/>
      <c r="AN89" s="243"/>
      <c r="AO89" s="243"/>
      <c r="AP89" s="243"/>
      <c r="AQ89" s="243"/>
      <c r="AR89" s="243"/>
      <c r="AS89" s="243"/>
      <c r="AT89" s="243"/>
      <c r="AU89" s="243"/>
      <c r="AV89" s="243"/>
      <c r="AW89" s="243"/>
      <c r="AX89" s="243"/>
      <c r="AY89" s="243"/>
      <c r="AZ89" s="243"/>
      <c r="BA89" s="243"/>
      <c r="BB89" s="246"/>
      <c r="BC89" s="246"/>
      <c r="BD89" s="243"/>
      <c r="BE89" s="243"/>
      <c r="BF89" s="243"/>
      <c r="BG89" s="243"/>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row>
    <row r="90" spans="1:90">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9"/>
      <c r="AH90" s="289"/>
      <c r="AI90" s="289"/>
      <c r="AJ90" s="289"/>
      <c r="AK90" s="289"/>
      <c r="AL90" s="289"/>
      <c r="AM90" s="289"/>
      <c r="AN90" s="243"/>
      <c r="AO90" s="243"/>
      <c r="AP90" s="243"/>
      <c r="AQ90" s="243"/>
      <c r="AR90" s="243"/>
      <c r="AS90" s="243"/>
      <c r="AT90" s="243"/>
      <c r="AU90" s="243"/>
      <c r="AV90" s="243"/>
      <c r="AW90" s="243"/>
      <c r="AX90" s="243"/>
      <c r="AY90" s="243"/>
      <c r="AZ90" s="243"/>
      <c r="BA90" s="243"/>
      <c r="BB90" s="246"/>
      <c r="BC90" s="246"/>
      <c r="BD90" s="243"/>
      <c r="BE90" s="243"/>
      <c r="BF90" s="243"/>
      <c r="BG90" s="243"/>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row>
    <row r="91" spans="1:90">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9"/>
      <c r="AH91" s="289"/>
      <c r="AI91" s="289"/>
      <c r="AJ91" s="289"/>
      <c r="AK91" s="289"/>
      <c r="AL91" s="289"/>
      <c r="AM91" s="289"/>
      <c r="AN91" s="243"/>
      <c r="AO91" s="243"/>
      <c r="AP91" s="243"/>
      <c r="AQ91" s="243"/>
      <c r="AR91" s="243"/>
      <c r="AS91" s="243"/>
      <c r="AT91" s="243"/>
      <c r="AU91" s="243"/>
      <c r="AV91" s="243"/>
      <c r="AW91" s="243"/>
      <c r="AX91" s="243"/>
      <c r="AY91" s="243"/>
      <c r="AZ91" s="243"/>
      <c r="BA91" s="243"/>
      <c r="BB91" s="246"/>
      <c r="BC91" s="246"/>
      <c r="BD91" s="243"/>
      <c r="BE91" s="243"/>
      <c r="BF91" s="243"/>
      <c r="BG91" s="243"/>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row>
    <row r="92" spans="1:90">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9"/>
      <c r="AH92" s="289"/>
      <c r="AI92" s="289"/>
      <c r="AJ92" s="289"/>
      <c r="AK92" s="289"/>
      <c r="AL92" s="289"/>
      <c r="AM92" s="289"/>
      <c r="AN92" s="243"/>
      <c r="AO92" s="243"/>
      <c r="AP92" s="243"/>
      <c r="AQ92" s="243"/>
      <c r="AR92" s="243"/>
      <c r="AS92" s="243"/>
      <c r="AT92" s="243"/>
      <c r="AU92" s="243"/>
      <c r="AV92" s="243"/>
      <c r="AW92" s="243"/>
      <c r="AX92" s="243"/>
      <c r="AY92" s="243"/>
      <c r="AZ92" s="243"/>
      <c r="BA92" s="243"/>
      <c r="BB92" s="246"/>
      <c r="BC92" s="246"/>
      <c r="BD92" s="243"/>
      <c r="BE92" s="243"/>
      <c r="BF92" s="243"/>
      <c r="BG92" s="243"/>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row>
    <row r="93" spans="1:90">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9"/>
      <c r="AH93" s="289"/>
      <c r="AI93" s="289"/>
      <c r="AJ93" s="289"/>
      <c r="AK93" s="289"/>
      <c r="AL93" s="289"/>
      <c r="AM93" s="289"/>
      <c r="AN93" s="243"/>
      <c r="AO93" s="243"/>
      <c r="AP93" s="243"/>
      <c r="AQ93" s="243"/>
      <c r="AR93" s="243"/>
      <c r="AS93" s="243"/>
      <c r="AT93" s="243"/>
      <c r="AU93" s="243"/>
      <c r="AV93" s="243"/>
      <c r="AW93" s="243"/>
      <c r="AX93" s="243"/>
      <c r="AY93" s="243"/>
      <c r="AZ93" s="243"/>
      <c r="BA93" s="243"/>
      <c r="BB93" s="246"/>
      <c r="BC93" s="246"/>
      <c r="BD93" s="243"/>
      <c r="BE93" s="243"/>
      <c r="BF93" s="243"/>
      <c r="BG93" s="243"/>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row>
    <row r="94" spans="1:90">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9"/>
      <c r="AH94" s="289"/>
      <c r="AI94" s="289"/>
      <c r="AJ94" s="289"/>
      <c r="AK94" s="289"/>
      <c r="AL94" s="289"/>
      <c r="AM94" s="289"/>
      <c r="AN94" s="243"/>
      <c r="AO94" s="243"/>
      <c r="AP94" s="243"/>
      <c r="AQ94" s="243"/>
      <c r="AR94" s="243"/>
      <c r="AS94" s="243"/>
      <c r="AT94" s="243"/>
      <c r="AU94" s="243"/>
      <c r="AV94" s="243"/>
      <c r="AW94" s="243"/>
      <c r="AX94" s="243"/>
      <c r="AY94" s="243"/>
      <c r="AZ94" s="243"/>
      <c r="BA94" s="243"/>
      <c r="BB94" s="246"/>
      <c r="BC94" s="246"/>
      <c r="BD94" s="243"/>
      <c r="BE94" s="243"/>
      <c r="BF94" s="243"/>
      <c r="BG94" s="243"/>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row>
    <row r="95" spans="1:90">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9"/>
      <c r="AH95" s="289"/>
      <c r="AI95" s="289"/>
      <c r="AJ95" s="289"/>
      <c r="AK95" s="289"/>
      <c r="AL95" s="289"/>
      <c r="AM95" s="289"/>
      <c r="AN95" s="243"/>
      <c r="AO95" s="243"/>
      <c r="AP95" s="243"/>
      <c r="AQ95" s="243"/>
      <c r="AR95" s="243"/>
      <c r="AS95" s="243"/>
      <c r="AT95" s="243"/>
      <c r="AU95" s="243"/>
      <c r="AV95" s="243"/>
      <c r="AW95" s="243"/>
      <c r="AX95" s="243"/>
      <c r="AY95" s="243"/>
      <c r="AZ95" s="243"/>
      <c r="BA95" s="243"/>
      <c r="BB95" s="246"/>
      <c r="BC95" s="246"/>
      <c r="BD95" s="243"/>
      <c r="BE95" s="243"/>
      <c r="BF95" s="243"/>
      <c r="BG95" s="243"/>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row>
    <row r="96" spans="1:90">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9"/>
      <c r="AH96" s="289"/>
      <c r="AI96" s="289"/>
      <c r="AJ96" s="289"/>
      <c r="AK96" s="289"/>
      <c r="AL96" s="289"/>
      <c r="AM96" s="289"/>
      <c r="AN96" s="243"/>
      <c r="AO96" s="243"/>
      <c r="AP96" s="243"/>
      <c r="AQ96" s="243"/>
      <c r="AR96" s="243"/>
      <c r="AS96" s="243"/>
      <c r="AT96" s="243"/>
      <c r="AU96" s="243"/>
      <c r="AV96" s="243"/>
      <c r="AW96" s="243"/>
      <c r="AX96" s="243"/>
      <c r="AY96" s="243"/>
      <c r="AZ96" s="243"/>
      <c r="BA96" s="243"/>
      <c r="BB96" s="246"/>
      <c r="BC96" s="246"/>
      <c r="BD96" s="243"/>
      <c r="BE96" s="243"/>
      <c r="BF96" s="243"/>
      <c r="BG96" s="243"/>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row>
    <row r="97" spans="1:90">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9"/>
      <c r="AH97" s="289"/>
      <c r="AI97" s="289"/>
      <c r="AJ97" s="289"/>
      <c r="AK97" s="289"/>
      <c r="AL97" s="289"/>
      <c r="AM97" s="289"/>
      <c r="AN97" s="243"/>
      <c r="AO97" s="243"/>
      <c r="AP97" s="243"/>
      <c r="AQ97" s="243"/>
      <c r="AR97" s="243"/>
      <c r="AS97" s="243"/>
      <c r="AT97" s="243"/>
      <c r="AU97" s="243"/>
      <c r="AV97" s="243"/>
      <c r="AW97" s="243"/>
      <c r="AX97" s="243"/>
      <c r="AY97" s="243"/>
      <c r="AZ97" s="243"/>
      <c r="BA97" s="243"/>
      <c r="BB97" s="246"/>
      <c r="BC97" s="246"/>
      <c r="BD97" s="243"/>
      <c r="BE97" s="243"/>
      <c r="BF97" s="243"/>
      <c r="BG97" s="243"/>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row>
    <row r="98" spans="1:90">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9"/>
      <c r="AH98" s="289"/>
      <c r="AI98" s="289"/>
      <c r="AJ98" s="289"/>
      <c r="AK98" s="289"/>
      <c r="AL98" s="289"/>
      <c r="AM98" s="289"/>
      <c r="AN98" s="243"/>
      <c r="AO98" s="243"/>
      <c r="AP98" s="243"/>
      <c r="AQ98" s="243"/>
      <c r="AR98" s="243"/>
      <c r="AS98" s="243"/>
      <c r="AT98" s="243"/>
      <c r="AU98" s="243"/>
      <c r="AV98" s="243"/>
      <c r="AW98" s="243"/>
      <c r="AX98" s="243"/>
      <c r="AY98" s="243"/>
      <c r="AZ98" s="243"/>
      <c r="BA98" s="243"/>
      <c r="BB98" s="246"/>
      <c r="BC98" s="246"/>
      <c r="BD98" s="243"/>
      <c r="BE98" s="243"/>
      <c r="BF98" s="243"/>
      <c r="BG98" s="243"/>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row>
    <row r="99" spans="1:90">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9"/>
      <c r="AH99" s="289"/>
      <c r="AI99" s="289"/>
      <c r="AJ99" s="289"/>
      <c r="AK99" s="289"/>
      <c r="AL99" s="289"/>
      <c r="AM99" s="289"/>
      <c r="AN99" s="243"/>
      <c r="AO99" s="243"/>
      <c r="AP99" s="243"/>
      <c r="AQ99" s="243"/>
      <c r="AR99" s="243"/>
      <c r="AS99" s="243"/>
      <c r="AT99" s="243"/>
      <c r="AU99" s="243"/>
      <c r="AV99" s="243"/>
      <c r="AW99" s="243"/>
      <c r="AX99" s="243"/>
      <c r="AY99" s="243"/>
      <c r="AZ99" s="243"/>
      <c r="BA99" s="243"/>
      <c r="BB99" s="246"/>
      <c r="BC99" s="246"/>
      <c r="BD99" s="243"/>
      <c r="BE99" s="243"/>
      <c r="BF99" s="243"/>
      <c r="BG99" s="243"/>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row>
    <row r="100" spans="1:90">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9"/>
      <c r="AH100" s="289"/>
      <c r="AI100" s="289"/>
      <c r="AJ100" s="289"/>
      <c r="AK100" s="289"/>
      <c r="AL100" s="289"/>
      <c r="AM100" s="289"/>
      <c r="AN100" s="243"/>
      <c r="AO100" s="243"/>
      <c r="AP100" s="243"/>
      <c r="AQ100" s="243"/>
      <c r="AR100" s="243"/>
      <c r="AS100" s="243"/>
      <c r="AT100" s="243"/>
      <c r="AU100" s="243"/>
      <c r="AV100" s="243"/>
      <c r="AW100" s="243"/>
      <c r="AX100" s="243"/>
      <c r="AY100" s="243"/>
      <c r="AZ100" s="243"/>
      <c r="BA100" s="243"/>
      <c r="BB100" s="246"/>
      <c r="BC100" s="246"/>
      <c r="BD100" s="243"/>
      <c r="BE100" s="243"/>
      <c r="BF100" s="243"/>
      <c r="BG100" s="243"/>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row>
    <row r="101" spans="1:90">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9"/>
      <c r="AH101" s="289"/>
      <c r="AI101" s="289"/>
      <c r="AJ101" s="289"/>
      <c r="AK101" s="289"/>
      <c r="AL101" s="289"/>
      <c r="AM101" s="289"/>
      <c r="AN101" s="243"/>
      <c r="AO101" s="243"/>
      <c r="AP101" s="243"/>
      <c r="AQ101" s="243"/>
      <c r="AR101" s="243"/>
      <c r="AS101" s="243"/>
      <c r="AT101" s="243"/>
      <c r="AU101" s="243"/>
      <c r="AV101" s="243"/>
      <c r="AW101" s="243"/>
      <c r="AX101" s="243"/>
      <c r="AY101" s="243"/>
      <c r="AZ101" s="243"/>
      <c r="BA101" s="243"/>
      <c r="BB101" s="246"/>
      <c r="BC101" s="246"/>
      <c r="BD101" s="243"/>
      <c r="BE101" s="243"/>
      <c r="BF101" s="243"/>
      <c r="BG101" s="243"/>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row>
    <row r="102" spans="1:90">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9"/>
      <c r="AH102" s="289"/>
      <c r="AI102" s="289"/>
      <c r="AJ102" s="289"/>
      <c r="AK102" s="289"/>
      <c r="AL102" s="289"/>
      <c r="AM102" s="289"/>
      <c r="AN102" s="243"/>
      <c r="AO102" s="243"/>
      <c r="AP102" s="243"/>
      <c r="AQ102" s="243"/>
      <c r="AR102" s="243"/>
      <c r="AS102" s="243"/>
      <c r="AT102" s="243"/>
      <c r="AU102" s="243"/>
      <c r="AV102" s="243"/>
      <c r="AW102" s="243"/>
      <c r="AX102" s="243"/>
      <c r="AY102" s="243"/>
      <c r="AZ102" s="243"/>
      <c r="BA102" s="243"/>
      <c r="BB102" s="246"/>
      <c r="BC102" s="246"/>
      <c r="BD102" s="243"/>
      <c r="BE102" s="243"/>
      <c r="BF102" s="243"/>
      <c r="BG102" s="243"/>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row>
  </sheetData>
  <sheetProtection algorithmName="SHA-512" hashValue="6Nj2S6SE6E6DHpb/cQxsh/EquZpjrJ4VkuM7SDiXmu0PMlt/DSCWC6PjGIKnah3AHjhnsE9SUbjIheugC56XPw==" saltValue="5pkJJvx2yWi6FhlVdSC8Ig==" spinCount="100000" sheet="1" objects="1" scenarios="1" selectLockedCells="1" selectUnlockedCells="1"/>
  <mergeCells count="171">
    <mergeCell ref="A1:AG4"/>
    <mergeCell ref="A5:G5"/>
    <mergeCell ref="U5:X5"/>
    <mergeCell ref="Y5:AG5"/>
    <mergeCell ref="A6:G6"/>
    <mergeCell ref="U6:X6"/>
    <mergeCell ref="Y6:AG6"/>
    <mergeCell ref="A7:G7"/>
    <mergeCell ref="U7:X7"/>
    <mergeCell ref="A8:G9"/>
    <mergeCell ref="H8:AG9"/>
    <mergeCell ref="A10:H10"/>
    <mergeCell ref="I10:T10"/>
    <mergeCell ref="U10:X10"/>
    <mergeCell ref="Y10:AA10"/>
    <mergeCell ref="AB10:AD10"/>
    <mergeCell ref="AE10:AG10"/>
    <mergeCell ref="S14:AF18"/>
    <mergeCell ref="F15:I16"/>
    <mergeCell ref="J15:M16"/>
    <mergeCell ref="N15:Q16"/>
    <mergeCell ref="A17:E17"/>
    <mergeCell ref="F17:G17"/>
    <mergeCell ref="H17:I17"/>
    <mergeCell ref="J17:M17"/>
    <mergeCell ref="A11:AG12"/>
    <mergeCell ref="R13:S13"/>
    <mergeCell ref="T13:V13"/>
    <mergeCell ref="W13:X13"/>
    <mergeCell ref="Y13:Z13"/>
    <mergeCell ref="AA13:AC13"/>
    <mergeCell ref="AD13:AE13"/>
    <mergeCell ref="N17:O17"/>
    <mergeCell ref="P17:Q17"/>
    <mergeCell ref="F18:G18"/>
    <mergeCell ref="H18:I18"/>
    <mergeCell ref="J18:K18"/>
    <mergeCell ref="L18:M18"/>
    <mergeCell ref="N18:O18"/>
    <mergeCell ref="P18:Q18"/>
    <mergeCell ref="A14:E14"/>
    <mergeCell ref="F14:Q14"/>
    <mergeCell ref="F21:G21"/>
    <mergeCell ref="H21:I21"/>
    <mergeCell ref="J21:K21"/>
    <mergeCell ref="L21:M21"/>
    <mergeCell ref="N21:O21"/>
    <mergeCell ref="P21:Q21"/>
    <mergeCell ref="R19:S19"/>
    <mergeCell ref="F20:G20"/>
    <mergeCell ref="H20:I20"/>
    <mergeCell ref="J20:K20"/>
    <mergeCell ref="L20:M20"/>
    <mergeCell ref="N20:O20"/>
    <mergeCell ref="P20:Q20"/>
    <mergeCell ref="F19:G19"/>
    <mergeCell ref="H19:I19"/>
    <mergeCell ref="J19:K19"/>
    <mergeCell ref="L19:M19"/>
    <mergeCell ref="N19:O19"/>
    <mergeCell ref="P19:Q19"/>
    <mergeCell ref="F23:G23"/>
    <mergeCell ref="H23:I23"/>
    <mergeCell ref="J23:K23"/>
    <mergeCell ref="L23:M23"/>
    <mergeCell ref="N23:O23"/>
    <mergeCell ref="P23:Q23"/>
    <mergeCell ref="F22:G22"/>
    <mergeCell ref="H22:I22"/>
    <mergeCell ref="J22:K22"/>
    <mergeCell ref="L22:M22"/>
    <mergeCell ref="N22:O22"/>
    <mergeCell ref="P22:Q22"/>
    <mergeCell ref="F25:G25"/>
    <mergeCell ref="H25:I25"/>
    <mergeCell ref="J25:K25"/>
    <mergeCell ref="L25:M25"/>
    <mergeCell ref="N25:O25"/>
    <mergeCell ref="P25:Q25"/>
    <mergeCell ref="F24:G24"/>
    <mergeCell ref="H24:I24"/>
    <mergeCell ref="J24:K24"/>
    <mergeCell ref="L24:M24"/>
    <mergeCell ref="N24:O24"/>
    <mergeCell ref="P24:Q24"/>
    <mergeCell ref="F27:G27"/>
    <mergeCell ref="H27:I27"/>
    <mergeCell ref="J27:K27"/>
    <mergeCell ref="L27:M27"/>
    <mergeCell ref="N27:O27"/>
    <mergeCell ref="P27:Q27"/>
    <mergeCell ref="F26:G26"/>
    <mergeCell ref="H26:I26"/>
    <mergeCell ref="J26:K26"/>
    <mergeCell ref="L26:M26"/>
    <mergeCell ref="N26:O26"/>
    <mergeCell ref="P26:Q26"/>
    <mergeCell ref="T28:AE36"/>
    <mergeCell ref="F29:G29"/>
    <mergeCell ref="H29:I29"/>
    <mergeCell ref="J29:K29"/>
    <mergeCell ref="L29:M29"/>
    <mergeCell ref="N29:O29"/>
    <mergeCell ref="P29:Q29"/>
    <mergeCell ref="F30:G30"/>
    <mergeCell ref="H30:I30"/>
    <mergeCell ref="J30:K30"/>
    <mergeCell ref="F28:G28"/>
    <mergeCell ref="H28:I28"/>
    <mergeCell ref="J28:K28"/>
    <mergeCell ref="L28:M28"/>
    <mergeCell ref="N28:O28"/>
    <mergeCell ref="P28:Q28"/>
    <mergeCell ref="L30:M30"/>
    <mergeCell ref="N30:O30"/>
    <mergeCell ref="P30:Q30"/>
    <mergeCell ref="F31:G31"/>
    <mergeCell ref="H31:I31"/>
    <mergeCell ref="J31:K31"/>
    <mergeCell ref="L31:M31"/>
    <mergeCell ref="N31:O31"/>
    <mergeCell ref="P31:Q31"/>
    <mergeCell ref="F33:G33"/>
    <mergeCell ref="H33:I33"/>
    <mergeCell ref="J33:K33"/>
    <mergeCell ref="L33:M33"/>
    <mergeCell ref="N33:O33"/>
    <mergeCell ref="P33:Q33"/>
    <mergeCell ref="F32:G32"/>
    <mergeCell ref="H32:I32"/>
    <mergeCell ref="J32:K32"/>
    <mergeCell ref="L32:M32"/>
    <mergeCell ref="N32:O32"/>
    <mergeCell ref="P32:Q32"/>
    <mergeCell ref="F35:G35"/>
    <mergeCell ref="H35:I35"/>
    <mergeCell ref="J35:K35"/>
    <mergeCell ref="L35:M35"/>
    <mergeCell ref="N35:O35"/>
    <mergeCell ref="P35:Q35"/>
    <mergeCell ref="F34:G34"/>
    <mergeCell ref="H34:I34"/>
    <mergeCell ref="J34:K34"/>
    <mergeCell ref="L34:M34"/>
    <mergeCell ref="N34:O34"/>
    <mergeCell ref="P34:Q34"/>
    <mergeCell ref="F37:G37"/>
    <mergeCell ref="H37:I37"/>
    <mergeCell ref="J37:K37"/>
    <mergeCell ref="L37:M37"/>
    <mergeCell ref="N37:O37"/>
    <mergeCell ref="P37:Q37"/>
    <mergeCell ref="F36:G36"/>
    <mergeCell ref="H36:I36"/>
    <mergeCell ref="J36:K36"/>
    <mergeCell ref="L36:M36"/>
    <mergeCell ref="N36:O36"/>
    <mergeCell ref="P36:Q36"/>
    <mergeCell ref="P39:Q39"/>
    <mergeCell ref="A39:E39"/>
    <mergeCell ref="F39:G39"/>
    <mergeCell ref="H39:I39"/>
    <mergeCell ref="J39:K39"/>
    <mergeCell ref="L39:M39"/>
    <mergeCell ref="N39:O39"/>
    <mergeCell ref="F38:G38"/>
    <mergeCell ref="H38:I38"/>
    <mergeCell ref="J38:K38"/>
    <mergeCell ref="L38:M38"/>
    <mergeCell ref="N38:O38"/>
    <mergeCell ref="P38:Q38"/>
  </mergeCells>
  <conditionalFormatting sqref="F39:M39 P39:Y39">
    <cfRule type="expression" dxfId="16" priority="7" stopIfTrue="1">
      <formula>F39=0</formula>
    </cfRule>
  </conditionalFormatting>
  <conditionalFormatting sqref="O54">
    <cfRule type="expression" dxfId="15" priority="4">
      <formula>O54=0</formula>
    </cfRule>
  </conditionalFormatting>
  <conditionalFormatting sqref="R18:R19 H18:Q38">
    <cfRule type="expression" dxfId="14" priority="5">
      <formula>H18=0</formula>
    </cfRule>
  </conditionalFormatting>
  <conditionalFormatting sqref="R24:AG27 R28:T28 AF28:AG36 R29:S36 R37:AG38">
    <cfRule type="expression" dxfId="13" priority="1">
      <formula>R24=0</formula>
    </cfRule>
  </conditionalFormatting>
  <conditionalFormatting sqref="V20:V23">
    <cfRule type="expression" dxfId="12" priority="2">
      <formula>(V20&lt;&gt;0)</formula>
    </cfRule>
    <cfRule type="expression" dxfId="11" priority="3">
      <formula>(V20=0)</formula>
    </cfRule>
  </conditionalFormatting>
  <conditionalFormatting sqref="AB39:AE39">
    <cfRule type="expression" dxfId="10" priority="8" stopIfTrue="1">
      <formula>AB39=0</formula>
    </cfRule>
  </conditionalFormatting>
  <conditionalFormatting sqref="AG18 T19:AG19 R20:S23 W20:AG23">
    <cfRule type="expression" dxfId="9" priority="6">
      <formula>R18=0</formula>
    </cfRule>
  </conditionalFormatting>
  <pageMargins left="0.7" right="0.7" top="0.75" bottom="0.75" header="0.3" footer="0.3"/>
  <pageSetup paperSize="9" scale="65" orientation="portrait" r:id="rId1"/>
  <headerFooter>
    <oddFooter>&amp;C_x000D_&amp;1#&amp;"Calibri"&amp;10&amp;K000000 Internal</oddFooter>
  </headerFooter>
  <colBreaks count="1" manualBreakCount="1">
    <brk id="33" max="1048575" man="1"/>
  </col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5499F-99B9-400B-8736-DDC275F5693A}">
  <sheetPr>
    <tabColor theme="3"/>
    <pageSetUpPr fitToPage="1"/>
  </sheetPr>
  <dimension ref="A1:CL102"/>
  <sheetViews>
    <sheetView showGridLines="0" view="pageBreakPreview" zoomScaleNormal="100" zoomScaleSheetLayoutView="100" workbookViewId="0">
      <selection activeCell="A6" sqref="A6:G6"/>
    </sheetView>
  </sheetViews>
  <sheetFormatPr defaultColWidth="9.28515625" defaultRowHeight="15"/>
  <cols>
    <col min="1" max="13" width="3.7109375" style="290" customWidth="1"/>
    <col min="14" max="14" width="4.7109375" style="290" customWidth="1"/>
    <col min="15" max="15" width="6.42578125" style="290" customWidth="1"/>
    <col min="16" max="19" width="3.7109375" style="290" customWidth="1"/>
    <col min="20" max="20" width="9" style="290" bestFit="1" customWidth="1"/>
    <col min="21" max="21" width="3.7109375" style="290" customWidth="1"/>
    <col min="22" max="22" width="5.28515625" style="290" customWidth="1"/>
    <col min="23" max="33" width="3.7109375" style="290" customWidth="1"/>
    <col min="34" max="34" width="9.28515625" style="247"/>
    <col min="35" max="46" width="8.7109375" style="247" customWidth="1"/>
    <col min="47" max="53" width="9.28515625" style="247"/>
    <col min="54" max="55" width="9.28515625" style="285"/>
    <col min="56" max="16384" width="9.28515625" style="247"/>
  </cols>
  <sheetData>
    <row r="1" spans="1:90" s="240" customFormat="1" ht="14.25" customHeight="1">
      <c r="A1" s="866" t="s">
        <v>21</v>
      </c>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8"/>
      <c r="AH1" s="238"/>
      <c r="AI1" s="238"/>
      <c r="AJ1" s="238"/>
      <c r="AK1" s="238"/>
      <c r="AL1" s="238"/>
      <c r="AM1" s="238"/>
      <c r="AN1" s="238"/>
      <c r="AO1" s="238"/>
      <c r="AP1" s="238"/>
      <c r="AQ1" s="238"/>
      <c r="AR1" s="238"/>
      <c r="AS1" s="238"/>
      <c r="AT1" s="238"/>
      <c r="AU1" s="238"/>
      <c r="AV1" s="238"/>
      <c r="AW1" s="238"/>
      <c r="AX1" s="238"/>
      <c r="AY1" s="238"/>
      <c r="AZ1" s="238"/>
      <c r="BA1" s="238"/>
      <c r="BB1" s="239"/>
      <c r="BC1" s="239"/>
      <c r="BD1" s="238"/>
      <c r="BE1" s="238"/>
      <c r="BF1" s="238"/>
      <c r="BG1" s="238"/>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row>
    <row r="2" spans="1:90" s="240" customFormat="1" ht="14.25" customHeight="1">
      <c r="A2" s="869"/>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1"/>
      <c r="AH2" s="238"/>
      <c r="AI2" s="238"/>
      <c r="AJ2" s="238"/>
      <c r="AK2" s="238"/>
      <c r="AL2" s="238"/>
      <c r="AM2" s="238"/>
      <c r="AN2" s="238"/>
      <c r="AO2" s="238"/>
      <c r="AP2" s="238"/>
      <c r="AQ2" s="238"/>
      <c r="AR2" s="238"/>
      <c r="AS2" s="238"/>
      <c r="AT2" s="238"/>
      <c r="AU2" s="238"/>
      <c r="AV2" s="238"/>
      <c r="AW2" s="238"/>
      <c r="AX2" s="238"/>
      <c r="AY2" s="238"/>
      <c r="AZ2" s="238"/>
      <c r="BA2" s="238"/>
      <c r="BB2" s="239"/>
      <c r="BC2" s="239"/>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row>
    <row r="3" spans="1:90" s="240" customFormat="1" ht="14.25" customHeight="1">
      <c r="A3" s="869"/>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1"/>
      <c r="AH3" s="238"/>
      <c r="AI3" s="238"/>
      <c r="AJ3" s="238"/>
      <c r="AK3" s="238"/>
      <c r="AL3" s="238"/>
      <c r="AM3" s="238"/>
      <c r="AN3" s="238"/>
      <c r="AO3" s="238"/>
      <c r="AP3" s="238"/>
      <c r="AQ3" s="238"/>
      <c r="AR3" s="238"/>
      <c r="AS3" s="238"/>
      <c r="AT3" s="238"/>
      <c r="AU3" s="238"/>
      <c r="AV3" s="238"/>
      <c r="AW3" s="238"/>
      <c r="AX3" s="238"/>
      <c r="AY3" s="238"/>
      <c r="AZ3" s="238"/>
      <c r="BA3" s="238"/>
      <c r="BB3" s="239"/>
      <c r="BC3" s="239"/>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row>
    <row r="4" spans="1:90" s="240" customFormat="1" ht="14.25" customHeight="1">
      <c r="A4" s="872"/>
      <c r="B4" s="873"/>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4"/>
      <c r="AH4" s="238"/>
      <c r="AI4" s="241"/>
      <c r="AJ4" s="241"/>
      <c r="AK4" s="241"/>
      <c r="AL4" s="242" t="s">
        <v>576</v>
      </c>
      <c r="AM4" s="242" t="s">
        <v>577</v>
      </c>
      <c r="AN4" s="242" t="s">
        <v>578</v>
      </c>
      <c r="AO4" s="241"/>
      <c r="AP4" s="241"/>
      <c r="AQ4" s="241"/>
      <c r="AR4" s="241"/>
      <c r="AS4" s="241"/>
      <c r="AT4" s="238"/>
      <c r="AU4" s="238"/>
      <c r="AV4" s="238"/>
      <c r="AW4" s="238"/>
      <c r="AX4" s="238"/>
      <c r="AY4" s="238"/>
      <c r="AZ4" s="238"/>
      <c r="BA4" s="238"/>
      <c r="BB4" s="239"/>
      <c r="BC4" s="239"/>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row>
    <row r="5" spans="1:90" ht="15" customHeight="1">
      <c r="A5" s="875" t="s">
        <v>22</v>
      </c>
      <c r="B5" s="876"/>
      <c r="C5" s="876"/>
      <c r="D5" s="876"/>
      <c r="E5" s="876"/>
      <c r="F5" s="876"/>
      <c r="G5" s="876"/>
      <c r="H5" s="27" t="str">
        <f>'Emiss. Ops'!$C$2</f>
        <v>OMVP</v>
      </c>
      <c r="I5" s="27"/>
      <c r="J5" s="27"/>
      <c r="K5" s="27"/>
      <c r="L5" s="27"/>
      <c r="M5" s="27"/>
      <c r="N5" s="27"/>
      <c r="O5" s="27"/>
      <c r="P5" s="27"/>
      <c r="Q5" s="27"/>
      <c r="R5" s="27"/>
      <c r="S5" s="27"/>
      <c r="T5" s="27"/>
      <c r="U5" s="876" t="s">
        <v>23</v>
      </c>
      <c r="V5" s="876"/>
      <c r="W5" s="876"/>
      <c r="X5" s="876"/>
      <c r="Y5" s="877" t="str">
        <f>Effluents!$K$2</f>
        <v>PRJ-001030</v>
      </c>
      <c r="Z5" s="877"/>
      <c r="AA5" s="877"/>
      <c r="AB5" s="877"/>
      <c r="AC5" s="877"/>
      <c r="AD5" s="877"/>
      <c r="AE5" s="877"/>
      <c r="AF5" s="877"/>
      <c r="AG5" s="878"/>
      <c r="AH5" s="243"/>
      <c r="AI5" s="244"/>
      <c r="AJ5" s="244"/>
      <c r="AK5" s="244"/>
      <c r="AL5" s="245" t="s">
        <v>386</v>
      </c>
      <c r="AM5" s="245" t="s">
        <v>729</v>
      </c>
      <c r="AN5" s="242">
        <v>1020</v>
      </c>
      <c r="AO5" s="244"/>
      <c r="AP5" s="244"/>
      <c r="AQ5" s="244"/>
      <c r="AR5" s="244"/>
      <c r="AS5" s="244"/>
      <c r="AT5" s="238"/>
      <c r="AU5" s="238"/>
      <c r="AV5" s="238"/>
      <c r="AW5" s="243"/>
      <c r="AX5" s="243"/>
      <c r="AY5" s="243"/>
      <c r="AZ5" s="243"/>
      <c r="BA5" s="243"/>
      <c r="BB5" s="246"/>
      <c r="BC5" s="246"/>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row>
    <row r="6" spans="1:90" ht="15" customHeight="1">
      <c r="A6" s="862" t="s">
        <v>24</v>
      </c>
      <c r="B6" s="863"/>
      <c r="C6" s="863"/>
      <c r="D6" s="863"/>
      <c r="E6" s="863"/>
      <c r="F6" s="863"/>
      <c r="G6" s="863"/>
      <c r="H6" s="30" t="str">
        <f>'Emiss. Ops'!$C$3</f>
        <v>OMV Neptun BAT Study &amp; ESIA</v>
      </c>
      <c r="I6" s="30"/>
      <c r="J6" s="30"/>
      <c r="K6" s="30"/>
      <c r="L6" s="30"/>
      <c r="M6" s="30"/>
      <c r="N6" s="30"/>
      <c r="O6" s="30"/>
      <c r="P6" s="30"/>
      <c r="Q6" s="30"/>
      <c r="R6" s="30"/>
      <c r="S6" s="30"/>
      <c r="T6" s="30"/>
      <c r="U6" s="863" t="s">
        <v>25</v>
      </c>
      <c r="V6" s="863"/>
      <c r="W6" s="863"/>
      <c r="X6" s="863"/>
      <c r="Y6" s="860"/>
      <c r="Z6" s="860"/>
      <c r="AA6" s="860"/>
      <c r="AB6" s="860"/>
      <c r="AC6" s="860"/>
      <c r="AD6" s="860"/>
      <c r="AE6" s="860"/>
      <c r="AF6" s="860"/>
      <c r="AG6" s="861"/>
      <c r="AH6" s="243"/>
      <c r="AI6" s="244"/>
      <c r="AJ6" s="244"/>
      <c r="AK6" s="242"/>
      <c r="AL6" s="245" t="s">
        <v>406</v>
      </c>
      <c r="AM6" s="245" t="s">
        <v>339</v>
      </c>
      <c r="AN6" s="245">
        <v>0.45400000000000001</v>
      </c>
      <c r="AO6" s="242"/>
      <c r="AP6" s="244"/>
      <c r="AQ6" s="244"/>
      <c r="AR6" s="244"/>
      <c r="AS6" s="244"/>
      <c r="AT6" s="238"/>
      <c r="AU6" s="238"/>
      <c r="AV6" s="238"/>
      <c r="AW6" s="243"/>
      <c r="AX6" s="243"/>
      <c r="AY6" s="243"/>
      <c r="AZ6" s="243"/>
      <c r="BA6" s="243"/>
      <c r="BB6" s="246"/>
      <c r="BC6" s="246"/>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row>
    <row r="7" spans="1:90" ht="15" customHeight="1">
      <c r="A7" s="862" t="s">
        <v>26</v>
      </c>
      <c r="B7" s="863"/>
      <c r="C7" s="863"/>
      <c r="D7" s="863"/>
      <c r="E7" s="863"/>
      <c r="F7" s="863"/>
      <c r="G7" s="863"/>
      <c r="H7" s="30" t="str">
        <f>'Emiss. Ops'!$C$4</f>
        <v>Emissions Inventory</v>
      </c>
      <c r="I7" s="30"/>
      <c r="J7" s="30"/>
      <c r="K7" s="30"/>
      <c r="L7" s="30"/>
      <c r="M7" s="30"/>
      <c r="N7" s="30"/>
      <c r="O7" s="30"/>
      <c r="P7" s="30"/>
      <c r="Q7" s="30"/>
      <c r="R7" s="30"/>
      <c r="S7" s="30"/>
      <c r="T7" s="30"/>
      <c r="U7" s="863" t="s">
        <v>27</v>
      </c>
      <c r="V7" s="863"/>
      <c r="W7" s="863"/>
      <c r="X7" s="863"/>
      <c r="Y7" s="30" t="str">
        <f>'Emiss. Ops'!$I$4</f>
        <v>Normal Operations</v>
      </c>
      <c r="Z7" s="31"/>
      <c r="AA7" s="31"/>
      <c r="AB7" s="31"/>
      <c r="AC7" s="31"/>
      <c r="AD7" s="31"/>
      <c r="AE7" s="31"/>
      <c r="AF7" s="31"/>
      <c r="AG7" s="32"/>
      <c r="AH7" s="243"/>
      <c r="AI7" s="244"/>
      <c r="AJ7" s="244"/>
      <c r="AK7" s="242"/>
      <c r="AL7" s="245" t="s">
        <v>407</v>
      </c>
      <c r="AM7" s="245" t="s">
        <v>730</v>
      </c>
      <c r="AN7" s="248">
        <f>0.305^3</f>
        <v>2.8372624999999999E-2</v>
      </c>
      <c r="AO7" s="242"/>
      <c r="AP7" s="244"/>
      <c r="AQ7" s="244"/>
      <c r="AR7" s="244"/>
      <c r="AS7" s="244"/>
      <c r="AT7" s="238"/>
      <c r="AU7" s="238"/>
      <c r="AV7" s="238"/>
      <c r="AW7" s="243"/>
      <c r="AX7" s="243"/>
      <c r="AY7" s="243"/>
      <c r="AZ7" s="243"/>
      <c r="BA7" s="243"/>
      <c r="BB7" s="246"/>
      <c r="BC7" s="246"/>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row>
    <row r="8" spans="1:90" ht="14.25" customHeight="1">
      <c r="A8" s="864" t="s">
        <v>98</v>
      </c>
      <c r="B8" s="865"/>
      <c r="C8" s="865"/>
      <c r="D8" s="865"/>
      <c r="E8" s="865"/>
      <c r="F8" s="865"/>
      <c r="G8" s="865"/>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8"/>
      <c r="AF8" s="1288"/>
      <c r="AG8" s="1289"/>
      <c r="AH8" s="243"/>
      <c r="AI8" s="244"/>
      <c r="AJ8" s="244"/>
      <c r="AK8" s="242"/>
      <c r="AL8" s="245" t="s">
        <v>729</v>
      </c>
      <c r="AM8" s="245" t="s">
        <v>731</v>
      </c>
      <c r="AN8" s="249" t="e">
        <f>AN6/AN7 * ((#REF!+273.15)/(#REF!+273.15))</f>
        <v>#REF!</v>
      </c>
      <c r="AO8" s="242"/>
      <c r="AP8" s="244"/>
      <c r="AQ8" s="244"/>
      <c r="AR8" s="244"/>
      <c r="AS8" s="244"/>
      <c r="AT8" s="238"/>
      <c r="AU8" s="238"/>
      <c r="AV8" s="238"/>
      <c r="AW8" s="243"/>
      <c r="AX8" s="243"/>
      <c r="AY8" s="243"/>
      <c r="AZ8" s="243"/>
      <c r="BA8" s="243"/>
      <c r="BB8" s="246"/>
      <c r="BC8" s="246"/>
      <c r="BD8" s="243"/>
      <c r="BE8" s="243"/>
      <c r="BF8" s="243"/>
      <c r="BG8" s="243"/>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row>
    <row r="9" spans="1:90" ht="14.25" customHeight="1">
      <c r="A9" s="864"/>
      <c r="B9" s="865"/>
      <c r="C9" s="865"/>
      <c r="D9" s="865"/>
      <c r="E9" s="865"/>
      <c r="F9" s="865"/>
      <c r="G9" s="865"/>
      <c r="H9" s="1288"/>
      <c r="I9" s="1288"/>
      <c r="J9" s="1288"/>
      <c r="K9" s="1288"/>
      <c r="L9" s="1288"/>
      <c r="M9" s="1288"/>
      <c r="N9" s="1288"/>
      <c r="O9" s="1288"/>
      <c r="P9" s="1288"/>
      <c r="Q9" s="1288"/>
      <c r="R9" s="1288"/>
      <c r="S9" s="1288"/>
      <c r="T9" s="1288"/>
      <c r="U9" s="1288"/>
      <c r="V9" s="1288"/>
      <c r="W9" s="1288"/>
      <c r="X9" s="1288"/>
      <c r="Y9" s="1288"/>
      <c r="Z9" s="1288"/>
      <c r="AA9" s="1288"/>
      <c r="AB9" s="1288"/>
      <c r="AC9" s="1288"/>
      <c r="AD9" s="1288"/>
      <c r="AE9" s="1288"/>
      <c r="AF9" s="1288"/>
      <c r="AG9" s="1289"/>
      <c r="AH9" s="243"/>
      <c r="AI9" s="244"/>
      <c r="AJ9" s="244"/>
      <c r="AK9" s="242"/>
      <c r="AL9" s="242" t="s">
        <v>409</v>
      </c>
      <c r="AM9" s="242" t="s">
        <v>410</v>
      </c>
      <c r="AN9" s="242">
        <v>947</v>
      </c>
      <c r="AO9" s="242"/>
      <c r="AP9" s="244"/>
      <c r="AQ9" s="244"/>
      <c r="AR9" s="244"/>
      <c r="AS9" s="244"/>
      <c r="AT9" s="238"/>
      <c r="AU9" s="238"/>
      <c r="AV9" s="238"/>
      <c r="AW9" s="243"/>
      <c r="AX9" s="243"/>
      <c r="AY9" s="243"/>
      <c r="AZ9" s="243"/>
      <c r="BA9" s="243"/>
      <c r="BB9" s="246"/>
      <c r="BC9" s="246"/>
      <c r="BD9" s="243"/>
      <c r="BE9" s="243"/>
      <c r="BF9" s="243"/>
      <c r="BG9" s="243"/>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row>
    <row r="10" spans="1:90" s="240" customFormat="1" ht="15" customHeight="1">
      <c r="A10" s="858" t="s">
        <v>99</v>
      </c>
      <c r="B10" s="859"/>
      <c r="C10" s="859"/>
      <c r="D10" s="859"/>
      <c r="E10" s="859"/>
      <c r="F10" s="859"/>
      <c r="G10" s="859"/>
      <c r="H10" s="859"/>
      <c r="I10" s="1283"/>
      <c r="J10" s="1283"/>
      <c r="K10" s="1283"/>
      <c r="L10" s="1283"/>
      <c r="M10" s="1283"/>
      <c r="N10" s="1283"/>
      <c r="O10" s="1283"/>
      <c r="P10" s="1283"/>
      <c r="Q10" s="1283"/>
      <c r="R10" s="1283"/>
      <c r="S10" s="1283"/>
      <c r="T10" s="1283"/>
      <c r="U10" s="859" t="s">
        <v>28</v>
      </c>
      <c r="V10" s="859"/>
      <c r="W10" s="859"/>
      <c r="X10" s="859"/>
      <c r="Y10" s="1284"/>
      <c r="Z10" s="1284"/>
      <c r="AA10" s="1284"/>
      <c r="AB10" s="1285"/>
      <c r="AC10" s="1285"/>
      <c r="AD10" s="1285"/>
      <c r="AE10" s="1286"/>
      <c r="AF10" s="1286"/>
      <c r="AG10" s="1287"/>
      <c r="AH10" s="238"/>
      <c r="AI10" s="241"/>
      <c r="AJ10" s="241"/>
      <c r="AK10" s="245"/>
      <c r="AL10" s="245" t="s">
        <v>710</v>
      </c>
      <c r="AM10" s="245" t="s">
        <v>709</v>
      </c>
      <c r="AN10" s="245">
        <v>1E-3</v>
      </c>
      <c r="AO10" s="245"/>
      <c r="AP10" s="241"/>
      <c r="AQ10" s="241"/>
      <c r="AR10" s="241"/>
      <c r="AS10" s="241"/>
      <c r="AT10" s="238"/>
      <c r="AU10" s="238"/>
      <c r="AV10" s="238"/>
      <c r="AW10" s="238"/>
      <c r="AX10" s="238"/>
      <c r="AY10" s="238"/>
      <c r="AZ10" s="238"/>
      <c r="BA10" s="238"/>
      <c r="BB10" s="239"/>
      <c r="BC10" s="239"/>
      <c r="BD10" s="238"/>
      <c r="BE10" s="238"/>
      <c r="BF10" s="238"/>
      <c r="BG10" s="238"/>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row>
    <row r="11" spans="1:90" s="240" customFormat="1" ht="14.25" customHeight="1">
      <c r="A11" s="1271" t="s">
        <v>218</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3"/>
      <c r="AH11" s="238"/>
      <c r="AI11" s="241"/>
      <c r="AJ11" s="241"/>
      <c r="AK11" s="245"/>
      <c r="AL11" s="245" t="s">
        <v>732</v>
      </c>
      <c r="AM11" s="245" t="s">
        <v>409</v>
      </c>
      <c r="AN11" s="245">
        <f>1/(AN9/1000000)</f>
        <v>1055.9662090813094</v>
      </c>
      <c r="AO11" s="245"/>
      <c r="AP11" s="241"/>
      <c r="AQ11" s="241"/>
      <c r="AR11" s="241"/>
      <c r="AS11" s="241"/>
      <c r="AT11" s="238"/>
      <c r="AU11" s="238"/>
      <c r="AV11" s="238"/>
      <c r="AW11" s="238"/>
      <c r="AX11" s="238"/>
      <c r="AY11" s="238"/>
      <c r="AZ11" s="238"/>
      <c r="BA11" s="238"/>
      <c r="BB11" s="239"/>
      <c r="BC11" s="239"/>
      <c r="BD11" s="238"/>
      <c r="BE11" s="238"/>
      <c r="BF11" s="238"/>
      <c r="BG11" s="238"/>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row>
    <row r="12" spans="1:90" s="240" customFormat="1" ht="14.25" customHeight="1">
      <c r="A12" s="1274"/>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6"/>
      <c r="AH12" s="238"/>
      <c r="AI12" s="241"/>
      <c r="AJ12" s="241"/>
      <c r="AK12" s="245"/>
      <c r="AL12" s="245"/>
      <c r="AM12" s="245"/>
      <c r="AN12" s="245"/>
      <c r="AO12" s="245"/>
      <c r="AP12" s="241"/>
      <c r="AQ12" s="241"/>
      <c r="AR12" s="241"/>
      <c r="AS12" s="241"/>
      <c r="AT12" s="238"/>
      <c r="AU12" s="238"/>
      <c r="AV12" s="238"/>
      <c r="AW12" s="238"/>
      <c r="AX12" s="238"/>
      <c r="AY12" s="238"/>
      <c r="AZ12" s="238"/>
      <c r="BA12" s="238"/>
      <c r="BB12" s="239"/>
      <c r="BC12" s="239"/>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row>
    <row r="13" spans="1:90" s="240" customFormat="1" ht="14.25" customHeight="1">
      <c r="A13" s="250"/>
      <c r="B13" s="251"/>
      <c r="C13" s="251"/>
      <c r="D13" s="251"/>
      <c r="E13" s="251"/>
      <c r="F13" s="251"/>
      <c r="G13" s="251"/>
      <c r="H13" s="252"/>
      <c r="I13" s="251"/>
      <c r="J13" s="251"/>
      <c r="K13" s="251"/>
      <c r="L13" s="251"/>
      <c r="M13" s="251"/>
      <c r="N13" s="251"/>
      <c r="O13" s="251"/>
      <c r="P13" s="251"/>
      <c r="Q13" s="251"/>
      <c r="R13" s="860"/>
      <c r="S13" s="860"/>
      <c r="T13" s="1293"/>
      <c r="U13" s="1293"/>
      <c r="V13" s="1293"/>
      <c r="W13" s="860"/>
      <c r="X13" s="860"/>
      <c r="Y13" s="1293"/>
      <c r="Z13" s="1293"/>
      <c r="AA13" s="860"/>
      <c r="AB13" s="860"/>
      <c r="AC13" s="860"/>
      <c r="AD13" s="1293"/>
      <c r="AE13" s="1293"/>
      <c r="AF13" s="30"/>
      <c r="AG13" s="253"/>
      <c r="AH13" s="238"/>
      <c r="AI13" s="254" t="e">
        <f>#REF!*SUM(N20:O29)</f>
        <v>#REF!</v>
      </c>
      <c r="AJ13" s="241"/>
      <c r="AK13" s="241"/>
      <c r="AL13" s="241"/>
      <c r="AM13" s="241"/>
      <c r="AN13" s="241"/>
      <c r="AO13" s="241"/>
      <c r="AP13" s="241"/>
      <c r="AQ13" s="241"/>
      <c r="AR13" s="241"/>
      <c r="AS13" s="241"/>
      <c r="AT13" s="238"/>
      <c r="AU13" s="238"/>
      <c r="AV13" s="238"/>
      <c r="AW13" s="238"/>
      <c r="AX13" s="238"/>
      <c r="AY13" s="238"/>
      <c r="AZ13" s="238"/>
      <c r="BA13" s="238"/>
      <c r="BB13" s="239"/>
      <c r="BC13" s="239"/>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row>
    <row r="14" spans="1:90" s="240" customFormat="1" ht="14.25" customHeight="1">
      <c r="A14" s="1370" t="s">
        <v>718</v>
      </c>
      <c r="B14" s="1370"/>
      <c r="C14" s="1370"/>
      <c r="D14" s="1370"/>
      <c r="E14" s="1370"/>
      <c r="F14" s="1371" t="s">
        <v>789</v>
      </c>
      <c r="G14" s="1372"/>
      <c r="H14" s="1372"/>
      <c r="I14" s="1372"/>
      <c r="J14" s="1372"/>
      <c r="K14" s="1372"/>
      <c r="L14" s="1372"/>
      <c r="M14" s="1372"/>
      <c r="N14" s="1372"/>
      <c r="O14" s="1372"/>
      <c r="P14" s="1372"/>
      <c r="Q14" s="1372"/>
      <c r="R14" s="30"/>
      <c r="S14" s="1402"/>
      <c r="T14" s="1184"/>
      <c r="U14" s="1184"/>
      <c r="V14" s="1184"/>
      <c r="W14" s="1184"/>
      <c r="X14" s="1184"/>
      <c r="Y14" s="1184"/>
      <c r="Z14" s="1184"/>
      <c r="AA14" s="1184"/>
      <c r="AB14" s="1184"/>
      <c r="AC14" s="1184"/>
      <c r="AD14" s="1184"/>
      <c r="AE14" s="1184"/>
      <c r="AF14" s="1184"/>
      <c r="AG14" s="253"/>
      <c r="AH14" s="255"/>
      <c r="AI14" s="241"/>
      <c r="AJ14" s="241"/>
      <c r="AK14" s="241"/>
      <c r="AL14" s="241"/>
      <c r="AM14" s="241"/>
      <c r="AN14" s="241"/>
      <c r="AO14" s="241"/>
      <c r="AP14" s="241"/>
      <c r="AQ14" s="241"/>
      <c r="AR14" s="241"/>
      <c r="AS14" s="241"/>
      <c r="AT14" s="241"/>
      <c r="AU14" s="241"/>
      <c r="AV14" s="238"/>
      <c r="AW14" s="238"/>
      <c r="AX14" s="238"/>
      <c r="AY14" s="238"/>
      <c r="AZ14" s="238"/>
      <c r="BA14" s="238"/>
      <c r="BB14" s="239"/>
      <c r="BC14" s="239"/>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row>
    <row r="15" spans="1:90" s="240" customFormat="1" ht="14.25" customHeight="1">
      <c r="A15" s="256" t="s">
        <v>620</v>
      </c>
      <c r="B15" s="30"/>
      <c r="C15" s="30"/>
      <c r="D15" s="30"/>
      <c r="E15" s="30"/>
      <c r="F15" s="1529" t="s">
        <v>791</v>
      </c>
      <c r="G15" s="1530"/>
      <c r="H15" s="1530"/>
      <c r="I15" s="1531"/>
      <c r="J15" s="1529" t="s">
        <v>792</v>
      </c>
      <c r="K15" s="1530"/>
      <c r="L15" s="1530"/>
      <c r="M15" s="1531"/>
      <c r="N15" s="1535" t="s">
        <v>793</v>
      </c>
      <c r="O15" s="1536"/>
      <c r="P15" s="1537"/>
      <c r="Q15" s="1538"/>
      <c r="R15" s="257"/>
      <c r="S15" s="1184"/>
      <c r="T15" s="1184"/>
      <c r="U15" s="1184"/>
      <c r="V15" s="1184"/>
      <c r="W15" s="1184"/>
      <c r="X15" s="1184"/>
      <c r="Y15" s="1184"/>
      <c r="Z15" s="1184"/>
      <c r="AA15" s="1184"/>
      <c r="AB15" s="1184"/>
      <c r="AC15" s="1184"/>
      <c r="AD15" s="1184"/>
      <c r="AE15" s="1184"/>
      <c r="AF15" s="1184"/>
      <c r="AG15" s="253"/>
      <c r="AH15" s="255"/>
      <c r="AI15" s="241"/>
      <c r="AJ15" s="241"/>
      <c r="AK15" s="241"/>
      <c r="AL15" s="241"/>
      <c r="AM15" s="241"/>
      <c r="AN15" s="241"/>
      <c r="AO15" s="241"/>
      <c r="AP15" s="241"/>
      <c r="AQ15" s="241"/>
      <c r="AR15" s="241"/>
      <c r="AS15" s="241"/>
      <c r="AT15" s="241"/>
      <c r="AU15" s="241"/>
      <c r="AV15" s="238"/>
      <c r="AW15" s="238"/>
      <c r="AX15" s="238"/>
      <c r="AY15" s="238"/>
      <c r="AZ15" s="238"/>
      <c r="BA15" s="238"/>
      <c r="BB15" s="239"/>
      <c r="BC15" s="239"/>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row>
    <row r="16" spans="1:90" s="240" customFormat="1" ht="14.25" customHeight="1">
      <c r="A16" s="133"/>
      <c r="B16" s="30"/>
      <c r="C16" s="30"/>
      <c r="D16" s="30"/>
      <c r="E16" s="30"/>
      <c r="F16" s="1532"/>
      <c r="G16" s="1533"/>
      <c r="H16" s="1533"/>
      <c r="I16" s="1534"/>
      <c r="J16" s="1532"/>
      <c r="K16" s="1533"/>
      <c r="L16" s="1533"/>
      <c r="M16" s="1534"/>
      <c r="N16" s="1539"/>
      <c r="O16" s="1540"/>
      <c r="P16" s="1533"/>
      <c r="Q16" s="1534"/>
      <c r="R16" s="257"/>
      <c r="S16" s="1184"/>
      <c r="T16" s="1184"/>
      <c r="U16" s="1184"/>
      <c r="V16" s="1184"/>
      <c r="W16" s="1184"/>
      <c r="X16" s="1184"/>
      <c r="Y16" s="1184"/>
      <c r="Z16" s="1184"/>
      <c r="AA16" s="1184"/>
      <c r="AB16" s="1184"/>
      <c r="AC16" s="1184"/>
      <c r="AD16" s="1184"/>
      <c r="AE16" s="1184"/>
      <c r="AF16" s="1184"/>
      <c r="AG16" s="253"/>
      <c r="AH16" s="258"/>
      <c r="AI16" s="259" t="s">
        <v>740</v>
      </c>
      <c r="AJ16" s="259"/>
      <c r="AK16" s="259"/>
      <c r="AL16" s="259"/>
      <c r="AM16" s="259"/>
      <c r="AN16" s="259"/>
      <c r="AO16" s="259" t="s">
        <v>741</v>
      </c>
      <c r="AP16" s="259"/>
      <c r="AQ16" s="259" t="s">
        <v>742</v>
      </c>
      <c r="AR16" s="259"/>
      <c r="AS16" s="259"/>
      <c r="AT16" s="259"/>
      <c r="AU16" s="258"/>
      <c r="AV16" s="238"/>
      <c r="AW16" s="238"/>
      <c r="AX16" s="238"/>
      <c r="AY16" s="238"/>
      <c r="AZ16" s="238"/>
      <c r="BA16" s="238"/>
      <c r="BB16" s="239"/>
      <c r="BC16" s="239"/>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row>
    <row r="17" spans="1:90" s="240" customFormat="1" ht="14.25" customHeight="1">
      <c r="A17" s="1376" t="s">
        <v>630</v>
      </c>
      <c r="B17" s="1376"/>
      <c r="C17" s="1376"/>
      <c r="D17" s="1376"/>
      <c r="E17" s="1376"/>
      <c r="F17" s="1375" t="s">
        <v>794</v>
      </c>
      <c r="G17" s="1375"/>
      <c r="H17" s="1375" t="s">
        <v>590</v>
      </c>
      <c r="I17" s="1375"/>
      <c r="J17" s="1371" t="s">
        <v>795</v>
      </c>
      <c r="K17" s="1372"/>
      <c r="L17" s="1541"/>
      <c r="M17" s="1542"/>
      <c r="N17" s="1375" t="s">
        <v>617</v>
      </c>
      <c r="O17" s="1375"/>
      <c r="P17" s="1375" t="s">
        <v>332</v>
      </c>
      <c r="Q17" s="1375"/>
      <c r="R17" s="30"/>
      <c r="S17" s="1184"/>
      <c r="T17" s="1184"/>
      <c r="U17" s="1184"/>
      <c r="V17" s="1184"/>
      <c r="W17" s="1184"/>
      <c r="X17" s="1184"/>
      <c r="Y17" s="1184"/>
      <c r="Z17" s="1184"/>
      <c r="AA17" s="1184"/>
      <c r="AB17" s="1184"/>
      <c r="AC17" s="1184"/>
      <c r="AD17" s="1184"/>
      <c r="AE17" s="1184"/>
      <c r="AF17" s="1184"/>
      <c r="AG17" s="253"/>
      <c r="AH17" s="258"/>
      <c r="AI17" s="259" t="s">
        <v>633</v>
      </c>
      <c r="AJ17" s="259" t="s">
        <v>634</v>
      </c>
      <c r="AK17" s="259" t="s">
        <v>635</v>
      </c>
      <c r="AL17" s="259" t="s">
        <v>636</v>
      </c>
      <c r="AM17" s="259" t="s">
        <v>637</v>
      </c>
      <c r="AN17" s="259" t="s">
        <v>590</v>
      </c>
      <c r="AO17" s="259" t="s">
        <v>428</v>
      </c>
      <c r="AP17" s="259" t="s">
        <v>429</v>
      </c>
      <c r="AQ17" s="259" t="s">
        <v>126</v>
      </c>
      <c r="AR17" s="259" t="s">
        <v>431</v>
      </c>
      <c r="AS17" s="259" t="s">
        <v>429</v>
      </c>
      <c r="AT17" s="259" t="s">
        <v>124</v>
      </c>
      <c r="AU17" s="258"/>
      <c r="AV17" s="238"/>
      <c r="AW17" s="238"/>
      <c r="AX17" s="238"/>
      <c r="AY17" s="238"/>
      <c r="AZ17" s="238"/>
      <c r="BA17" s="238"/>
      <c r="BB17" s="239" t="s">
        <v>128</v>
      </c>
      <c r="BC17" s="239" t="s">
        <v>743</v>
      </c>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row>
    <row r="18" spans="1:90" s="240" customFormat="1" ht="14.25" customHeight="1">
      <c r="A18" s="260" t="s">
        <v>638</v>
      </c>
      <c r="B18" s="261"/>
      <c r="C18" s="261"/>
      <c r="D18" s="261"/>
      <c r="E18" s="262"/>
      <c r="F18" s="1377">
        <v>0</v>
      </c>
      <c r="G18" s="1378"/>
      <c r="H18" s="1379"/>
      <c r="I18" s="1381"/>
      <c r="J18" s="1380"/>
      <c r="K18" s="1380"/>
      <c r="L18" s="1379"/>
      <c r="M18" s="1380"/>
      <c r="N18" s="1379">
        <f>SUM(H18,J18,L18)*AN18</f>
        <v>0</v>
      </c>
      <c r="O18" s="1380"/>
      <c r="P18" s="1379"/>
      <c r="Q18" s="1381"/>
      <c r="R18" s="263"/>
      <c r="S18" s="1184"/>
      <c r="T18" s="1184"/>
      <c r="U18" s="1184"/>
      <c r="V18" s="1184"/>
      <c r="W18" s="1184"/>
      <c r="X18" s="1184"/>
      <c r="Y18" s="1184"/>
      <c r="Z18" s="1184"/>
      <c r="AA18" s="1184"/>
      <c r="AB18" s="1184"/>
      <c r="AC18" s="1184"/>
      <c r="AD18" s="1184"/>
      <c r="AE18" s="1184"/>
      <c r="AF18" s="1184"/>
      <c r="AG18" s="264"/>
      <c r="AH18" s="258"/>
      <c r="AI18" s="259"/>
      <c r="AJ18" s="259">
        <v>2</v>
      </c>
      <c r="AK18" s="259"/>
      <c r="AL18" s="259"/>
      <c r="AM18" s="259"/>
      <c r="AN18" s="265">
        <f>AI18*12.01+AJ18*1.008+AK18*16+AL18*14+AM18*32</f>
        <v>2.016</v>
      </c>
      <c r="AO18" s="259">
        <f>AI18*1+AJ18*0.25+AM18*1</f>
        <v>0.5</v>
      </c>
      <c r="AP18" s="266">
        <f>0.79/0.21*AO18</f>
        <v>1.8809523809523812</v>
      </c>
      <c r="AQ18" s="259">
        <f>1*AI18</f>
        <v>0</v>
      </c>
      <c r="AR18" s="259">
        <f>AJ18/2</f>
        <v>1</v>
      </c>
      <c r="AS18" s="266">
        <f>AL18*0.5+AP18</f>
        <v>1.8809523809523812</v>
      </c>
      <c r="AT18" s="259">
        <f>AM18*1</f>
        <v>0</v>
      </c>
      <c r="AU18" s="258"/>
      <c r="AV18" s="238"/>
      <c r="AW18" s="238"/>
      <c r="AX18" s="238"/>
      <c r="AY18" s="238"/>
      <c r="AZ18" s="238"/>
      <c r="BA18" s="239" t="s">
        <v>639</v>
      </c>
      <c r="BB18" s="239">
        <v>1.4200000000000001E-2</v>
      </c>
      <c r="BC18" s="239">
        <v>2.9999999999999997E-4</v>
      </c>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row>
    <row r="19" spans="1:90" s="240" customFormat="1" ht="14.25" customHeight="1">
      <c r="A19" s="267" t="s">
        <v>122</v>
      </c>
      <c r="B19" s="268"/>
      <c r="C19" s="268"/>
      <c r="D19" s="268"/>
      <c r="E19" s="269"/>
      <c r="F19" s="1377">
        <f>CO2eEF!P26</f>
        <v>0.99629999999999996</v>
      </c>
      <c r="G19" s="1378"/>
      <c r="H19" s="1546">
        <v>16.042999999999999</v>
      </c>
      <c r="I19" s="1549"/>
      <c r="J19" s="1550">
        <f>F19*H19</f>
        <v>15.983640899999999</v>
      </c>
      <c r="K19" s="1550"/>
      <c r="L19" s="1546">
        <f>J19/$J$39</f>
        <v>0.99103593622983144</v>
      </c>
      <c r="M19" s="1545"/>
      <c r="N19" s="1547">
        <f>L19*$V$20</f>
        <v>2.8263630396698363E-2</v>
      </c>
      <c r="O19" s="1548"/>
      <c r="P19" s="1547">
        <f>N19*365.25*24/1000</f>
        <v>0.24775898405745783</v>
      </c>
      <c r="Q19" s="1548"/>
      <c r="R19" s="1382"/>
      <c r="S19" s="1384"/>
      <c r="T19" s="263"/>
      <c r="U19" s="263"/>
      <c r="V19" s="263"/>
      <c r="W19" s="263"/>
      <c r="X19" s="263"/>
      <c r="Y19" s="263"/>
      <c r="Z19" s="263"/>
      <c r="AA19" s="263"/>
      <c r="AB19" s="263"/>
      <c r="AC19" s="263"/>
      <c r="AD19" s="263"/>
      <c r="AE19" s="263"/>
      <c r="AF19" s="263"/>
      <c r="AG19" s="264"/>
      <c r="AH19" s="258"/>
      <c r="AI19" s="259">
        <v>1</v>
      </c>
      <c r="AJ19" s="259">
        <v>4</v>
      </c>
      <c r="AK19" s="259"/>
      <c r="AL19" s="259"/>
      <c r="AM19" s="259"/>
      <c r="AN19" s="265">
        <f t="shared" ref="AN19:AN34" si="0">AI19*12.01+AJ19*1.008+AK19*16+AL19*14+AM19*32</f>
        <v>16.042000000000002</v>
      </c>
      <c r="AO19" s="259">
        <f t="shared" ref="AO19:AO33" si="1">AI19*1+AJ19*0.25+AM19*1</f>
        <v>2</v>
      </c>
      <c r="AP19" s="266">
        <f t="shared" ref="AP19:AP33" si="2">0.79/0.21*AO19</f>
        <v>7.5238095238095246</v>
      </c>
      <c r="AQ19" s="259">
        <f t="shared" ref="AQ19:AQ33" si="3">1*AI19</f>
        <v>1</v>
      </c>
      <c r="AR19" s="259">
        <f t="shared" ref="AR19:AR33" si="4">AJ19/2</f>
        <v>2</v>
      </c>
      <c r="AS19" s="266">
        <f t="shared" ref="AS19:AS33" si="5">AL19*0.5+AP19</f>
        <v>7.5238095238095246</v>
      </c>
      <c r="AT19" s="259">
        <f t="shared" ref="AT19:AT33" si="6">AM19*1</f>
        <v>0</v>
      </c>
      <c r="AU19" s="258"/>
      <c r="AV19" s="238"/>
      <c r="AW19" s="238"/>
      <c r="AX19" s="238"/>
      <c r="AY19" s="238"/>
      <c r="AZ19" s="238"/>
      <c r="BA19" s="239" t="s">
        <v>126</v>
      </c>
      <c r="BB19" s="239">
        <v>9.5999999999999992E-3</v>
      </c>
      <c r="BC19" s="239">
        <v>0.77539999999999998</v>
      </c>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row>
    <row r="20" spans="1:90" s="240" customFormat="1" ht="14.25" customHeight="1">
      <c r="A20" s="267" t="s">
        <v>641</v>
      </c>
      <c r="B20" s="268"/>
      <c r="C20" s="268"/>
      <c r="D20" s="268"/>
      <c r="E20" s="269"/>
      <c r="F20" s="1377">
        <v>0</v>
      </c>
      <c r="G20" s="1378"/>
      <c r="H20" s="1299"/>
      <c r="I20" s="1301"/>
      <c r="J20" s="1300"/>
      <c r="K20" s="1300"/>
      <c r="L20" s="1299"/>
      <c r="M20" s="1300"/>
      <c r="N20" s="1299">
        <f>SUM(H20,J20,L20)*AN20</f>
        <v>0</v>
      </c>
      <c r="O20" s="1301"/>
      <c r="P20" s="1299"/>
      <c r="Q20" s="1301"/>
      <c r="R20" s="263"/>
      <c r="S20" s="263"/>
      <c r="T20" s="270"/>
      <c r="U20" s="31"/>
      <c r="V20" s="271">
        <f>0.25*1000/365.25/24</f>
        <v>2.8519279032626053E-2</v>
      </c>
      <c r="W20" s="263" t="s">
        <v>617</v>
      </c>
      <c r="X20" s="263"/>
      <c r="Y20" s="263"/>
      <c r="Z20" s="263"/>
      <c r="AA20" s="263"/>
      <c r="AB20" s="263"/>
      <c r="AC20" s="263"/>
      <c r="AD20" s="263"/>
      <c r="AE20" s="263"/>
      <c r="AF20" s="263"/>
      <c r="AG20" s="264"/>
      <c r="AH20" s="258"/>
      <c r="AI20" s="259">
        <v>2</v>
      </c>
      <c r="AJ20" s="259">
        <v>4</v>
      </c>
      <c r="AK20" s="259"/>
      <c r="AL20" s="259"/>
      <c r="AM20" s="259"/>
      <c r="AN20" s="265">
        <f t="shared" si="0"/>
        <v>28.052</v>
      </c>
      <c r="AO20" s="259">
        <f t="shared" si="1"/>
        <v>3</v>
      </c>
      <c r="AP20" s="266">
        <f t="shared" si="2"/>
        <v>11.285714285714286</v>
      </c>
      <c r="AQ20" s="259">
        <f t="shared" si="3"/>
        <v>2</v>
      </c>
      <c r="AR20" s="259">
        <f t="shared" si="4"/>
        <v>2</v>
      </c>
      <c r="AS20" s="266">
        <f t="shared" si="5"/>
        <v>11.285714285714286</v>
      </c>
      <c r="AT20" s="259">
        <f t="shared" si="6"/>
        <v>0</v>
      </c>
      <c r="AU20" s="258"/>
      <c r="AV20" s="238"/>
      <c r="AW20" s="238"/>
      <c r="AX20" s="238"/>
      <c r="AY20" s="238"/>
      <c r="AZ20" s="238"/>
      <c r="BA20" s="239" t="s">
        <v>642</v>
      </c>
      <c r="BB20" s="239">
        <v>0.60499999999999998</v>
      </c>
      <c r="BC20" s="239">
        <v>1.43E-2</v>
      </c>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row>
    <row r="21" spans="1:90" s="240" customFormat="1" ht="14.25" customHeight="1">
      <c r="A21" s="267" t="s">
        <v>643</v>
      </c>
      <c r="B21" s="268"/>
      <c r="C21" s="268"/>
      <c r="D21" s="268"/>
      <c r="E21" s="269"/>
      <c r="F21" s="1377">
        <f>CO2eEF!P27</f>
        <v>7.000000000000001E-4</v>
      </c>
      <c r="G21" s="1378"/>
      <c r="H21" s="1543">
        <v>30.07</v>
      </c>
      <c r="I21" s="1544"/>
      <c r="J21" s="1545">
        <f>F21*H21</f>
        <v>2.1049000000000002E-2</v>
      </c>
      <c r="K21" s="1545"/>
      <c r="L21" s="1546">
        <f>J21/$J$39</f>
        <v>1.3051041093961092E-3</v>
      </c>
      <c r="M21" s="1545"/>
      <c r="N21" s="1547">
        <f>L21*$V$20</f>
        <v>3.7220628262494559E-5</v>
      </c>
      <c r="O21" s="1548"/>
      <c r="P21" s="1547">
        <f>N21*365.25*24/1000</f>
        <v>3.2627602734902725E-4</v>
      </c>
      <c r="Q21" s="1548"/>
      <c r="R21" s="263"/>
      <c r="S21" s="263"/>
      <c r="T21" s="31"/>
      <c r="U21" s="31"/>
      <c r="V21" s="270"/>
      <c r="W21" s="263"/>
      <c r="X21" s="263"/>
      <c r="Y21" s="263"/>
      <c r="Z21" s="263"/>
      <c r="AA21" s="263"/>
      <c r="AB21" s="263"/>
      <c r="AC21" s="263"/>
      <c r="AD21" s="263"/>
      <c r="AE21" s="263"/>
      <c r="AF21" s="263"/>
      <c r="AG21" s="264"/>
      <c r="AH21" s="258"/>
      <c r="AI21" s="259">
        <v>2</v>
      </c>
      <c r="AJ21" s="259">
        <v>6</v>
      </c>
      <c r="AK21" s="259"/>
      <c r="AL21" s="259"/>
      <c r="AM21" s="259"/>
      <c r="AN21" s="265">
        <f t="shared" si="0"/>
        <v>30.067999999999998</v>
      </c>
      <c r="AO21" s="259">
        <f t="shared" si="1"/>
        <v>3.5</v>
      </c>
      <c r="AP21" s="266">
        <f t="shared" si="2"/>
        <v>13.166666666666668</v>
      </c>
      <c r="AQ21" s="259">
        <f t="shared" si="3"/>
        <v>2</v>
      </c>
      <c r="AR21" s="259">
        <f t="shared" si="4"/>
        <v>3</v>
      </c>
      <c r="AS21" s="266">
        <f t="shared" si="5"/>
        <v>13.166666666666668</v>
      </c>
      <c r="AT21" s="259">
        <f t="shared" si="6"/>
        <v>0</v>
      </c>
      <c r="AU21" s="258"/>
      <c r="AV21" s="238"/>
      <c r="AW21" s="238"/>
      <c r="AX21" s="238"/>
      <c r="AY21" s="238"/>
      <c r="AZ21" s="238"/>
      <c r="BA21" s="239" t="s">
        <v>644</v>
      </c>
      <c r="BB21" s="239">
        <v>0.17519999999999999</v>
      </c>
      <c r="BC21" s="239">
        <v>1.9E-3</v>
      </c>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row>
    <row r="22" spans="1:90" s="240" customFormat="1" ht="14.25" customHeight="1">
      <c r="A22" s="267" t="s">
        <v>418</v>
      </c>
      <c r="B22" s="268"/>
      <c r="C22" s="268"/>
      <c r="D22" s="268"/>
      <c r="E22" s="269"/>
      <c r="F22" s="1377">
        <v>0</v>
      </c>
      <c r="G22" s="1378"/>
      <c r="H22" s="1299"/>
      <c r="I22" s="1301"/>
      <c r="J22" s="1300"/>
      <c r="K22" s="1300"/>
      <c r="L22" s="1299"/>
      <c r="M22" s="1300"/>
      <c r="N22" s="1299">
        <f>SUM(H22,J22,L22)*AN22</f>
        <v>0</v>
      </c>
      <c r="O22" s="1301"/>
      <c r="P22" s="1299"/>
      <c r="Q22" s="1301"/>
      <c r="R22" s="263"/>
      <c r="S22" s="263"/>
      <c r="T22" s="272"/>
      <c r="U22" s="31"/>
      <c r="V22" s="270"/>
      <c r="W22" s="263"/>
      <c r="X22" s="263"/>
      <c r="Y22" s="263"/>
      <c r="Z22" s="263"/>
      <c r="AA22" s="263"/>
      <c r="AB22" s="263"/>
      <c r="AC22" s="263"/>
      <c r="AD22" s="263"/>
      <c r="AE22" s="263"/>
      <c r="AF22" s="263"/>
      <c r="AG22" s="264"/>
      <c r="AH22" s="258"/>
      <c r="AI22" s="259">
        <v>3</v>
      </c>
      <c r="AJ22" s="259">
        <v>6</v>
      </c>
      <c r="AK22" s="259"/>
      <c r="AL22" s="259"/>
      <c r="AM22" s="259"/>
      <c r="AN22" s="265">
        <f t="shared" si="0"/>
        <v>42.078000000000003</v>
      </c>
      <c r="AO22" s="259">
        <f t="shared" si="1"/>
        <v>4.5</v>
      </c>
      <c r="AP22" s="266">
        <f t="shared" si="2"/>
        <v>16.928571428571431</v>
      </c>
      <c r="AQ22" s="259">
        <f t="shared" si="3"/>
        <v>3</v>
      </c>
      <c r="AR22" s="259">
        <f t="shared" si="4"/>
        <v>3</v>
      </c>
      <c r="AS22" s="266">
        <f t="shared" si="5"/>
        <v>16.928571428571431</v>
      </c>
      <c r="AT22" s="259">
        <f t="shared" si="6"/>
        <v>0</v>
      </c>
      <c r="AU22" s="258"/>
      <c r="AV22" s="238"/>
      <c r="AW22" s="238"/>
      <c r="AX22" s="238"/>
      <c r="AY22" s="238"/>
      <c r="AZ22" s="238"/>
      <c r="BA22" s="239" t="s">
        <v>645</v>
      </c>
      <c r="BB22" s="239">
        <v>0.1139</v>
      </c>
      <c r="BC22" s="239">
        <v>3.5999999999999999E-3</v>
      </c>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row>
    <row r="23" spans="1:90" s="240" customFormat="1" ht="14.25" customHeight="1">
      <c r="A23" s="267" t="s">
        <v>419</v>
      </c>
      <c r="B23" s="268"/>
      <c r="C23" s="268"/>
      <c r="D23" s="268"/>
      <c r="E23" s="269"/>
      <c r="F23" s="1377">
        <f>CO2eEF!P28</f>
        <v>2.0000000000000001E-4</v>
      </c>
      <c r="G23" s="1378"/>
      <c r="H23" s="1546">
        <v>44.097000000000001</v>
      </c>
      <c r="I23" s="1549"/>
      <c r="J23" s="1545">
        <f>F23*H23</f>
        <v>8.8194000000000015E-3</v>
      </c>
      <c r="K23" s="1545"/>
      <c r="L23" s="1546">
        <f>J23/$J$39</f>
        <v>5.4683049942553315E-4</v>
      </c>
      <c r="M23" s="1545"/>
      <c r="N23" s="1547">
        <f>L23*$V$20</f>
        <v>1.559521159666704E-5</v>
      </c>
      <c r="O23" s="1548"/>
      <c r="P23" s="1547">
        <f>N23*365.25*24/1000</f>
        <v>1.3670762485638326E-4</v>
      </c>
      <c r="Q23" s="1548"/>
      <c r="R23" s="263"/>
      <c r="S23" s="263"/>
      <c r="T23" s="272"/>
      <c r="U23" s="31"/>
      <c r="V23" s="270"/>
      <c r="W23" s="263"/>
      <c r="X23" s="263"/>
      <c r="Y23" s="263"/>
      <c r="Z23" s="263"/>
      <c r="AA23" s="263"/>
      <c r="AB23" s="263"/>
      <c r="AC23" s="263"/>
      <c r="AD23" s="263"/>
      <c r="AE23" s="263"/>
      <c r="AF23" s="263"/>
      <c r="AG23" s="264"/>
      <c r="AH23" s="258"/>
      <c r="AI23" s="259">
        <v>3</v>
      </c>
      <c r="AJ23" s="259">
        <v>8</v>
      </c>
      <c r="AK23" s="259"/>
      <c r="AL23" s="259"/>
      <c r="AM23" s="259"/>
      <c r="AN23" s="265">
        <f t="shared" si="0"/>
        <v>44.094000000000001</v>
      </c>
      <c r="AO23" s="259">
        <f t="shared" si="1"/>
        <v>5</v>
      </c>
      <c r="AP23" s="266">
        <f t="shared" si="2"/>
        <v>18.80952380952381</v>
      </c>
      <c r="AQ23" s="259">
        <f t="shared" si="3"/>
        <v>3</v>
      </c>
      <c r="AR23" s="259">
        <f t="shared" si="4"/>
        <v>4</v>
      </c>
      <c r="AS23" s="266">
        <f t="shared" si="5"/>
        <v>18.80952380952381</v>
      </c>
      <c r="AT23" s="259">
        <f t="shared" si="6"/>
        <v>0</v>
      </c>
      <c r="AU23" s="258"/>
      <c r="AV23" s="238"/>
      <c r="AW23" s="238"/>
      <c r="AX23" s="238"/>
      <c r="AY23" s="238"/>
      <c r="AZ23" s="238"/>
      <c r="BA23" s="239" t="s">
        <v>646</v>
      </c>
      <c r="BB23" s="239">
        <v>1.7100000000000001E-2</v>
      </c>
      <c r="BC23" s="239">
        <v>1E-3</v>
      </c>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row>
    <row r="24" spans="1:90" s="240" customFormat="1" ht="14.25" customHeight="1">
      <c r="A24" s="267" t="s">
        <v>420</v>
      </c>
      <c r="B24" s="268"/>
      <c r="C24" s="268"/>
      <c r="D24" s="268"/>
      <c r="E24" s="269"/>
      <c r="F24" s="1377">
        <v>0</v>
      </c>
      <c r="G24" s="1378"/>
      <c r="H24" s="1299"/>
      <c r="I24" s="1301"/>
      <c r="J24" s="1300"/>
      <c r="K24" s="1300"/>
      <c r="L24" s="1299"/>
      <c r="M24" s="1300"/>
      <c r="N24" s="1299">
        <f>SUM(H24,J24,L24)*AN24</f>
        <v>0</v>
      </c>
      <c r="O24" s="1301"/>
      <c r="P24" s="1299"/>
      <c r="Q24" s="1301"/>
      <c r="R24" s="263"/>
      <c r="S24" s="263"/>
      <c r="T24" s="263"/>
      <c r="U24" s="263"/>
      <c r="V24" s="263"/>
      <c r="W24" s="263"/>
      <c r="X24" s="263"/>
      <c r="Y24" s="263"/>
      <c r="Z24" s="263"/>
      <c r="AA24" s="263"/>
      <c r="AB24" s="263"/>
      <c r="AC24" s="263"/>
      <c r="AD24" s="263"/>
      <c r="AE24" s="263"/>
      <c r="AF24" s="263"/>
      <c r="AG24" s="264"/>
      <c r="AH24" s="258"/>
      <c r="AI24" s="259">
        <v>4</v>
      </c>
      <c r="AJ24" s="259">
        <v>8</v>
      </c>
      <c r="AK24" s="259"/>
      <c r="AL24" s="259"/>
      <c r="AM24" s="259"/>
      <c r="AN24" s="265">
        <f t="shared" si="0"/>
        <v>56.103999999999999</v>
      </c>
      <c r="AO24" s="259">
        <f t="shared" si="1"/>
        <v>6</v>
      </c>
      <c r="AP24" s="266">
        <f t="shared" si="2"/>
        <v>22.571428571428573</v>
      </c>
      <c r="AQ24" s="259">
        <f t="shared" si="3"/>
        <v>4</v>
      </c>
      <c r="AR24" s="259">
        <f t="shared" si="4"/>
        <v>4</v>
      </c>
      <c r="AS24" s="266">
        <f t="shared" si="5"/>
        <v>22.571428571428573</v>
      </c>
      <c r="AT24" s="259">
        <f t="shared" si="6"/>
        <v>0</v>
      </c>
      <c r="AU24" s="258"/>
      <c r="AV24" s="238"/>
      <c r="AW24" s="238"/>
      <c r="AX24" s="238"/>
      <c r="AY24" s="238"/>
      <c r="AZ24" s="238"/>
      <c r="BA24" s="239" t="s">
        <v>647</v>
      </c>
      <c r="BB24" s="239">
        <v>4.5900000000000003E-2</v>
      </c>
      <c r="BC24" s="239">
        <v>2.3999999999999998E-3</v>
      </c>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row>
    <row r="25" spans="1:90" s="240" customFormat="1" ht="14.25" customHeight="1">
      <c r="A25" s="267" t="s">
        <v>421</v>
      </c>
      <c r="B25" s="268"/>
      <c r="C25" s="268"/>
      <c r="D25" s="268"/>
      <c r="E25" s="269"/>
      <c r="F25" s="1377">
        <f>CO2eEF!P29</f>
        <v>1E-4</v>
      </c>
      <c r="G25" s="1378"/>
      <c r="H25" s="1546">
        <v>58.122999999999998</v>
      </c>
      <c r="I25" s="1549"/>
      <c r="J25" s="1545">
        <f>F25*H25</f>
        <v>5.8123000000000003E-3</v>
      </c>
      <c r="K25" s="1545"/>
      <c r="L25" s="1546">
        <f>J25/$J$39</f>
        <v>3.6038085491201508E-4</v>
      </c>
      <c r="M25" s="1545"/>
      <c r="N25" s="1547">
        <f>L25*$V$20</f>
        <v>1.0277802159252083E-5</v>
      </c>
      <c r="O25" s="1548"/>
      <c r="P25" s="1547">
        <f>N25*365.25*24/1000</f>
        <v>9.0095213728003757E-5</v>
      </c>
      <c r="Q25" s="1548"/>
      <c r="R25" s="263"/>
      <c r="S25" s="263"/>
      <c r="T25" s="263"/>
      <c r="U25" s="263"/>
      <c r="V25" s="263"/>
      <c r="W25" s="263"/>
      <c r="X25" s="263"/>
      <c r="Y25" s="263"/>
      <c r="Z25" s="263"/>
      <c r="AA25" s="263"/>
      <c r="AB25" s="263"/>
      <c r="AC25" s="263"/>
      <c r="AD25" s="263"/>
      <c r="AE25" s="263"/>
      <c r="AF25" s="263"/>
      <c r="AG25" s="264"/>
      <c r="AH25" s="258"/>
      <c r="AI25" s="259">
        <v>4</v>
      </c>
      <c r="AJ25" s="259">
        <v>10</v>
      </c>
      <c r="AK25" s="259"/>
      <c r="AL25" s="259"/>
      <c r="AM25" s="259"/>
      <c r="AN25" s="265">
        <f>AI25*12.01+AJ25*1.008+AK25*16+AL25*14+AM25*32</f>
        <v>58.12</v>
      </c>
      <c r="AO25" s="259">
        <f t="shared" si="1"/>
        <v>6.5</v>
      </c>
      <c r="AP25" s="266">
        <f t="shared" si="2"/>
        <v>24.452380952380956</v>
      </c>
      <c r="AQ25" s="259">
        <f t="shared" si="3"/>
        <v>4</v>
      </c>
      <c r="AR25" s="259">
        <f t="shared" si="4"/>
        <v>5</v>
      </c>
      <c r="AS25" s="266">
        <f t="shared" si="5"/>
        <v>24.452380952380956</v>
      </c>
      <c r="AT25" s="259">
        <f t="shared" si="6"/>
        <v>0</v>
      </c>
      <c r="AU25" s="258"/>
      <c r="AV25" s="238"/>
      <c r="AW25" s="238"/>
      <c r="AX25" s="238"/>
      <c r="AY25" s="238"/>
      <c r="AZ25" s="238"/>
      <c r="BA25" s="239" t="s">
        <v>648</v>
      </c>
      <c r="BB25" s="239">
        <v>8.2000000000000007E-3</v>
      </c>
      <c r="BC25" s="239">
        <v>1.6000000000000001E-3</v>
      </c>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row>
    <row r="26" spans="1:90" s="240" customFormat="1" ht="14.25" customHeight="1">
      <c r="A26" s="267" t="s">
        <v>422</v>
      </c>
      <c r="B26" s="268"/>
      <c r="C26" s="268"/>
      <c r="D26" s="268"/>
      <c r="E26" s="269"/>
      <c r="F26" s="1377">
        <f>CO2eEF!P30</f>
        <v>0</v>
      </c>
      <c r="G26" s="1378"/>
      <c r="H26" s="1299"/>
      <c r="I26" s="1301"/>
      <c r="J26" s="1300"/>
      <c r="K26" s="1300"/>
      <c r="L26" s="1299"/>
      <c r="M26" s="1300"/>
      <c r="N26" s="1299">
        <f>SUM(H26,J26,L26)*AN26</f>
        <v>0</v>
      </c>
      <c r="O26" s="1301"/>
      <c r="P26" s="1299"/>
      <c r="Q26" s="1301"/>
      <c r="R26" s="263"/>
      <c r="S26" s="263"/>
      <c r="T26" s="263" t="s">
        <v>761</v>
      </c>
      <c r="U26" s="263"/>
      <c r="V26" s="263"/>
      <c r="W26" s="263"/>
      <c r="X26" s="263"/>
      <c r="Y26" s="263"/>
      <c r="Z26" s="263"/>
      <c r="AA26" s="263"/>
      <c r="AB26" s="263"/>
      <c r="AC26" s="263"/>
      <c r="AD26" s="263"/>
      <c r="AE26" s="263"/>
      <c r="AF26" s="263"/>
      <c r="AG26" s="264"/>
      <c r="AH26" s="258"/>
      <c r="AI26" s="259">
        <v>4</v>
      </c>
      <c r="AJ26" s="259">
        <v>10</v>
      </c>
      <c r="AK26" s="259"/>
      <c r="AL26" s="259"/>
      <c r="AM26" s="259"/>
      <c r="AN26" s="265">
        <f t="shared" si="0"/>
        <v>58.12</v>
      </c>
      <c r="AO26" s="259">
        <f t="shared" si="1"/>
        <v>6.5</v>
      </c>
      <c r="AP26" s="266">
        <f t="shared" si="2"/>
        <v>24.452380952380956</v>
      </c>
      <c r="AQ26" s="259">
        <f t="shared" si="3"/>
        <v>4</v>
      </c>
      <c r="AR26" s="259">
        <f t="shared" si="4"/>
        <v>5</v>
      </c>
      <c r="AS26" s="266">
        <f t="shared" si="5"/>
        <v>24.452380952380956</v>
      </c>
      <c r="AT26" s="259">
        <f t="shared" si="6"/>
        <v>0</v>
      </c>
      <c r="AU26" s="258"/>
      <c r="AV26" s="238"/>
      <c r="AW26" s="238"/>
      <c r="AX26" s="238"/>
      <c r="AY26" s="238"/>
      <c r="AZ26" s="238"/>
      <c r="BA26" s="239" t="s">
        <v>649</v>
      </c>
      <c r="BB26" s="239">
        <v>2.0000000000000001E-4</v>
      </c>
      <c r="BC26" s="239">
        <v>0</v>
      </c>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row>
    <row r="27" spans="1:90" s="240" customFormat="1" ht="14.25" customHeight="1">
      <c r="A27" s="267" t="s">
        <v>423</v>
      </c>
      <c r="B27" s="268"/>
      <c r="C27" s="268"/>
      <c r="D27" s="268"/>
      <c r="E27" s="269"/>
      <c r="F27" s="1377">
        <f>CO2eEF!P31</f>
        <v>1E-4</v>
      </c>
      <c r="G27" s="1378"/>
      <c r="H27" s="1543">
        <v>72.150000000000006</v>
      </c>
      <c r="I27" s="1544"/>
      <c r="J27" s="1545">
        <f t="shared" ref="J27:J29" si="7">F27*H27</f>
        <v>7.2150000000000009E-3</v>
      </c>
      <c r="K27" s="1545"/>
      <c r="L27" s="1546">
        <f t="shared" ref="L27:L29" si="8">J27/$J$39</f>
        <v>4.4735266042533745E-4</v>
      </c>
      <c r="M27" s="1545"/>
      <c r="N27" s="1547">
        <f t="shared" ref="N27:N29" si="9">L27*$V$20</f>
        <v>1.2758175348657808E-5</v>
      </c>
      <c r="O27" s="1548"/>
      <c r="P27" s="1547">
        <f t="shared" ref="P27:P29" si="10">N27*365.25*24/1000</f>
        <v>1.1183816510633435E-4</v>
      </c>
      <c r="Q27" s="1548"/>
      <c r="R27" s="263"/>
      <c r="S27" s="263"/>
      <c r="T27" s="263"/>
      <c r="U27" s="263"/>
      <c r="V27" s="263"/>
      <c r="W27" s="263"/>
      <c r="X27" s="263"/>
      <c r="Y27" s="263"/>
      <c r="Z27" s="263"/>
      <c r="AA27" s="263"/>
      <c r="AB27" s="263"/>
      <c r="AC27" s="263"/>
      <c r="AD27" s="263"/>
      <c r="AE27" s="263"/>
      <c r="AF27" s="263"/>
      <c r="AG27" s="264"/>
      <c r="AH27" s="258"/>
      <c r="AI27" s="259">
        <v>5</v>
      </c>
      <c r="AJ27" s="259">
        <v>12</v>
      </c>
      <c r="AK27" s="259"/>
      <c r="AL27" s="259"/>
      <c r="AM27" s="259"/>
      <c r="AN27" s="265">
        <f t="shared" si="0"/>
        <v>72.146000000000001</v>
      </c>
      <c r="AO27" s="259">
        <f t="shared" si="1"/>
        <v>8</v>
      </c>
      <c r="AP27" s="266">
        <f t="shared" si="2"/>
        <v>30.095238095238098</v>
      </c>
      <c r="AQ27" s="259">
        <f t="shared" si="3"/>
        <v>5</v>
      </c>
      <c r="AR27" s="259">
        <f t="shared" si="4"/>
        <v>6</v>
      </c>
      <c r="AS27" s="266">
        <f t="shared" si="5"/>
        <v>30.095238095238098</v>
      </c>
      <c r="AT27" s="259">
        <f t="shared" si="6"/>
        <v>0</v>
      </c>
      <c r="AU27" s="258"/>
      <c r="AV27" s="238"/>
      <c r="AW27" s="238"/>
      <c r="AX27" s="238"/>
      <c r="AY27" s="238"/>
      <c r="AZ27" s="238"/>
      <c r="BA27" s="239" t="s">
        <v>650</v>
      </c>
      <c r="BB27" s="239">
        <v>8.8999999999999999E-3</v>
      </c>
      <c r="BC27" s="239">
        <v>1.9E-3</v>
      </c>
      <c r="BD27" s="238"/>
      <c r="BE27" s="238"/>
      <c r="BF27" s="238"/>
      <c r="BG27" s="238"/>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row>
    <row r="28" spans="1:90" s="240" customFormat="1" ht="14.25" customHeight="1">
      <c r="A28" s="267" t="s">
        <v>424</v>
      </c>
      <c r="B28" s="268"/>
      <c r="C28" s="268"/>
      <c r="D28" s="268"/>
      <c r="E28" s="269"/>
      <c r="F28" s="1377">
        <f>CO2eEF!P33</f>
        <v>1E-4</v>
      </c>
      <c r="G28" s="1378"/>
      <c r="H28" s="1543">
        <v>72.150000000000006</v>
      </c>
      <c r="I28" s="1544"/>
      <c r="J28" s="1545">
        <f t="shared" si="7"/>
        <v>7.2150000000000009E-3</v>
      </c>
      <c r="K28" s="1545"/>
      <c r="L28" s="1546">
        <f t="shared" si="8"/>
        <v>4.4735266042533745E-4</v>
      </c>
      <c r="M28" s="1545"/>
      <c r="N28" s="1547">
        <f t="shared" si="9"/>
        <v>1.2758175348657808E-5</v>
      </c>
      <c r="O28" s="1548"/>
      <c r="P28" s="1547">
        <f t="shared" si="10"/>
        <v>1.1183816510633435E-4</v>
      </c>
      <c r="Q28" s="1548"/>
      <c r="R28" s="263"/>
      <c r="S28" s="263"/>
      <c r="T28" s="1528" t="s">
        <v>918</v>
      </c>
      <c r="U28" s="1184"/>
      <c r="V28" s="1184"/>
      <c r="W28" s="1184"/>
      <c r="X28" s="1184"/>
      <c r="Y28" s="1184"/>
      <c r="Z28" s="1184"/>
      <c r="AA28" s="1184"/>
      <c r="AB28" s="1184"/>
      <c r="AC28" s="1184"/>
      <c r="AD28" s="1184"/>
      <c r="AE28" s="1184"/>
      <c r="AF28" s="263"/>
      <c r="AG28" s="264"/>
      <c r="AH28" s="258"/>
      <c r="AI28" s="259">
        <v>5</v>
      </c>
      <c r="AJ28" s="259">
        <v>12</v>
      </c>
      <c r="AK28" s="259"/>
      <c r="AL28" s="259"/>
      <c r="AM28" s="259"/>
      <c r="AN28" s="265">
        <f t="shared" si="0"/>
        <v>72.146000000000001</v>
      </c>
      <c r="AO28" s="259">
        <f t="shared" si="1"/>
        <v>8</v>
      </c>
      <c r="AP28" s="266">
        <f t="shared" si="2"/>
        <v>30.095238095238098</v>
      </c>
      <c r="AQ28" s="259">
        <f t="shared" si="3"/>
        <v>5</v>
      </c>
      <c r="AR28" s="259">
        <f t="shared" si="4"/>
        <v>6</v>
      </c>
      <c r="AS28" s="266">
        <f t="shared" si="5"/>
        <v>30.095238095238098</v>
      </c>
      <c r="AT28" s="259">
        <f t="shared" si="6"/>
        <v>0</v>
      </c>
      <c r="AU28" s="258"/>
      <c r="AV28" s="238"/>
      <c r="AW28" s="238"/>
      <c r="AX28" s="238"/>
      <c r="AY28" s="238"/>
      <c r="AZ28" s="238"/>
      <c r="BA28" s="239" t="s">
        <v>651</v>
      </c>
      <c r="BB28" s="239">
        <v>2.0000000000000001E-4</v>
      </c>
      <c r="BC28" s="239">
        <v>2.9999999999999997E-4</v>
      </c>
      <c r="BD28" s="238"/>
      <c r="BE28" s="238"/>
      <c r="BF28" s="238"/>
      <c r="BG28" s="238"/>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row>
    <row r="29" spans="1:90" s="240" customFormat="1" ht="14.25" customHeight="1">
      <c r="A29" s="267" t="s">
        <v>721</v>
      </c>
      <c r="B29" s="268"/>
      <c r="C29" s="268"/>
      <c r="D29" s="268"/>
      <c r="E29" s="269"/>
      <c r="F29" s="1377">
        <f>1-(SUM(F18:F28)+SUM(F30:G38))</f>
        <v>2.00000000000089E-4</v>
      </c>
      <c r="G29" s="1378"/>
      <c r="H29" s="1546">
        <v>86.177000000000007</v>
      </c>
      <c r="I29" s="1549"/>
      <c r="J29" s="1545">
        <f t="shared" si="7"/>
        <v>1.7235400000007672E-2</v>
      </c>
      <c r="K29" s="1545"/>
      <c r="L29" s="1546">
        <f t="shared" si="8"/>
        <v>1.0686489318777951E-3</v>
      </c>
      <c r="M29" s="1545"/>
      <c r="N29" s="1547">
        <f t="shared" si="9"/>
        <v>3.047709707614063E-5</v>
      </c>
      <c r="O29" s="1548"/>
      <c r="P29" s="1547">
        <f t="shared" si="10"/>
        <v>2.6716223296944873E-4</v>
      </c>
      <c r="Q29" s="1548"/>
      <c r="R29" s="263"/>
      <c r="S29" s="263"/>
      <c r="T29" s="1184"/>
      <c r="U29" s="1184"/>
      <c r="V29" s="1184"/>
      <c r="W29" s="1184"/>
      <c r="X29" s="1184"/>
      <c r="Y29" s="1184"/>
      <c r="Z29" s="1184"/>
      <c r="AA29" s="1184"/>
      <c r="AB29" s="1184"/>
      <c r="AC29" s="1184"/>
      <c r="AD29" s="1184"/>
      <c r="AE29" s="1184"/>
      <c r="AF29" s="263"/>
      <c r="AG29" s="264"/>
      <c r="AH29" s="258"/>
      <c r="AI29" s="259">
        <v>6</v>
      </c>
      <c r="AJ29" s="259">
        <v>14</v>
      </c>
      <c r="AK29" s="259"/>
      <c r="AL29" s="259"/>
      <c r="AM29" s="259"/>
      <c r="AN29" s="265">
        <f t="shared" si="0"/>
        <v>86.171999999999997</v>
      </c>
      <c r="AO29" s="259">
        <f t="shared" si="1"/>
        <v>9.5</v>
      </c>
      <c r="AP29" s="266">
        <f t="shared" si="2"/>
        <v>35.738095238095241</v>
      </c>
      <c r="AQ29" s="259">
        <f t="shared" si="3"/>
        <v>6</v>
      </c>
      <c r="AR29" s="259">
        <f t="shared" si="4"/>
        <v>7</v>
      </c>
      <c r="AS29" s="266">
        <f t="shared" si="5"/>
        <v>35.738095238095241</v>
      </c>
      <c r="AT29" s="259">
        <f t="shared" si="6"/>
        <v>0</v>
      </c>
      <c r="AU29" s="258"/>
      <c r="AV29" s="238"/>
      <c r="AW29" s="238"/>
      <c r="AX29" s="238"/>
      <c r="AY29" s="238"/>
      <c r="AZ29" s="238"/>
      <c r="BA29" s="239" t="s">
        <v>652</v>
      </c>
      <c r="BB29" s="239">
        <v>0</v>
      </c>
      <c r="BC29" s="239">
        <v>5.0000000000000001E-4</v>
      </c>
      <c r="BD29" s="238"/>
      <c r="BE29" s="238"/>
      <c r="BF29" s="238"/>
      <c r="BG29" s="238"/>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row>
    <row r="30" spans="1:90" s="240" customFormat="1" ht="14.25" customHeight="1">
      <c r="A30" s="267" t="s">
        <v>426</v>
      </c>
      <c r="B30" s="268"/>
      <c r="C30" s="268"/>
      <c r="D30" s="268"/>
      <c r="E30" s="269"/>
      <c r="F30" s="1377">
        <v>0</v>
      </c>
      <c r="G30" s="1378"/>
      <c r="H30" s="1299"/>
      <c r="I30" s="1301"/>
      <c r="J30" s="1300"/>
      <c r="K30" s="1300"/>
      <c r="L30" s="1299"/>
      <c r="M30" s="1300"/>
      <c r="N30" s="1299">
        <f>SUM(H30,J30,L30)*AN30</f>
        <v>0</v>
      </c>
      <c r="O30" s="1301"/>
      <c r="P30" s="1299"/>
      <c r="Q30" s="1301"/>
      <c r="R30" s="263"/>
      <c r="S30" s="263"/>
      <c r="T30" s="1184"/>
      <c r="U30" s="1184"/>
      <c r="V30" s="1184"/>
      <c r="W30" s="1184"/>
      <c r="X30" s="1184"/>
      <c r="Y30" s="1184"/>
      <c r="Z30" s="1184"/>
      <c r="AA30" s="1184"/>
      <c r="AB30" s="1184"/>
      <c r="AC30" s="1184"/>
      <c r="AD30" s="1184"/>
      <c r="AE30" s="1184"/>
      <c r="AF30" s="263"/>
      <c r="AG30" s="264"/>
      <c r="AH30" s="258"/>
      <c r="AI30" s="259"/>
      <c r="AJ30" s="259"/>
      <c r="AK30" s="259"/>
      <c r="AL30" s="259"/>
      <c r="AM30" s="259"/>
      <c r="AN30" s="265">
        <v>4.0030000000000001</v>
      </c>
      <c r="AO30" s="259"/>
      <c r="AP30" s="266"/>
      <c r="AQ30" s="259"/>
      <c r="AR30" s="259"/>
      <c r="AS30" s="266"/>
      <c r="AT30" s="259"/>
      <c r="AU30" s="258"/>
      <c r="AV30" s="238"/>
      <c r="AW30" s="238"/>
      <c r="AX30" s="238"/>
      <c r="AY30" s="238"/>
      <c r="AZ30" s="238"/>
      <c r="BA30" s="239" t="s">
        <v>653</v>
      </c>
      <c r="BB30" s="239">
        <v>0</v>
      </c>
      <c r="BC30" s="239">
        <v>1E-4</v>
      </c>
      <c r="BD30" s="238"/>
      <c r="BE30" s="238"/>
      <c r="BF30" s="238"/>
      <c r="BG30" s="238"/>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row>
    <row r="31" spans="1:90" s="240" customFormat="1" ht="14.25" customHeight="1">
      <c r="A31" s="267" t="s">
        <v>427</v>
      </c>
      <c r="B31" s="268"/>
      <c r="C31" s="268"/>
      <c r="D31" s="268"/>
      <c r="E31" s="269"/>
      <c r="F31" s="1377">
        <v>0</v>
      </c>
      <c r="G31" s="1378"/>
      <c r="H31" s="1299"/>
      <c r="I31" s="1301"/>
      <c r="J31" s="1300"/>
      <c r="K31" s="1300"/>
      <c r="L31" s="1299"/>
      <c r="M31" s="1300"/>
      <c r="N31" s="1299">
        <f>SUM(H31,J31,L31)*AN31</f>
        <v>0</v>
      </c>
      <c r="O31" s="1301"/>
      <c r="P31" s="1299"/>
      <c r="Q31" s="1301"/>
      <c r="R31" s="263"/>
      <c r="S31" s="263"/>
      <c r="T31" s="1184"/>
      <c r="U31" s="1184"/>
      <c r="V31" s="1184"/>
      <c r="W31" s="1184"/>
      <c r="X31" s="1184"/>
      <c r="Y31" s="1184"/>
      <c r="Z31" s="1184"/>
      <c r="AA31" s="1184"/>
      <c r="AB31" s="1184"/>
      <c r="AC31" s="1184"/>
      <c r="AD31" s="1184"/>
      <c r="AE31" s="1184"/>
      <c r="AF31" s="263"/>
      <c r="AG31" s="264"/>
      <c r="AH31" s="258"/>
      <c r="AI31" s="259"/>
      <c r="AJ31" s="259">
        <v>2</v>
      </c>
      <c r="AK31" s="259"/>
      <c r="AL31" s="259"/>
      <c r="AM31" s="259">
        <v>1</v>
      </c>
      <c r="AN31" s="265">
        <f t="shared" si="0"/>
        <v>34.015999999999998</v>
      </c>
      <c r="AO31" s="259">
        <f t="shared" si="1"/>
        <v>1.5</v>
      </c>
      <c r="AP31" s="266">
        <f t="shared" si="2"/>
        <v>5.6428571428571432</v>
      </c>
      <c r="AQ31" s="259">
        <f t="shared" si="3"/>
        <v>0</v>
      </c>
      <c r="AR31" s="259">
        <f t="shared" si="4"/>
        <v>1</v>
      </c>
      <c r="AS31" s="266">
        <f t="shared" si="5"/>
        <v>5.6428571428571432</v>
      </c>
      <c r="AT31" s="259">
        <f t="shared" si="6"/>
        <v>1</v>
      </c>
      <c r="AU31" s="258"/>
      <c r="AV31" s="238"/>
      <c r="AW31" s="238"/>
      <c r="AX31" s="238"/>
      <c r="AY31" s="238"/>
      <c r="AZ31" s="238"/>
      <c r="BA31" s="239" t="s">
        <v>654</v>
      </c>
      <c r="BB31" s="239">
        <v>0</v>
      </c>
      <c r="BC31" s="239">
        <v>4.0000000000000002E-4</v>
      </c>
      <c r="BD31" s="238"/>
      <c r="BE31" s="238"/>
      <c r="BF31" s="238"/>
      <c r="BG31" s="238"/>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row>
    <row r="32" spans="1:90" s="240" customFormat="1" ht="14.25" customHeight="1">
      <c r="A32" s="267" t="s">
        <v>428</v>
      </c>
      <c r="B32" s="268"/>
      <c r="C32" s="268"/>
      <c r="D32" s="268"/>
      <c r="E32" s="269"/>
      <c r="F32" s="1377">
        <v>0</v>
      </c>
      <c r="G32" s="1378"/>
      <c r="H32" s="1299"/>
      <c r="I32" s="1301"/>
      <c r="J32" s="1300"/>
      <c r="K32" s="1300"/>
      <c r="L32" s="1299">
        <v>0</v>
      </c>
      <c r="M32" s="1300"/>
      <c r="N32" s="1299">
        <f>SUM(H32,J32,L32)*AN32</f>
        <v>0</v>
      </c>
      <c r="O32" s="1301"/>
      <c r="P32" s="1299"/>
      <c r="Q32" s="1301"/>
      <c r="R32" s="263"/>
      <c r="S32" s="263"/>
      <c r="T32" s="1184"/>
      <c r="U32" s="1184"/>
      <c r="V32" s="1184"/>
      <c r="W32" s="1184"/>
      <c r="X32" s="1184"/>
      <c r="Y32" s="1184"/>
      <c r="Z32" s="1184"/>
      <c r="AA32" s="1184"/>
      <c r="AB32" s="1184"/>
      <c r="AC32" s="1184"/>
      <c r="AD32" s="1184"/>
      <c r="AE32" s="1184"/>
      <c r="AF32" s="263"/>
      <c r="AG32" s="264"/>
      <c r="AH32" s="258"/>
      <c r="AI32" s="259"/>
      <c r="AJ32" s="259"/>
      <c r="AK32" s="259">
        <v>2</v>
      </c>
      <c r="AL32" s="259"/>
      <c r="AM32" s="259"/>
      <c r="AN32" s="265">
        <f t="shared" si="0"/>
        <v>32</v>
      </c>
      <c r="AO32" s="259">
        <f t="shared" si="1"/>
        <v>0</v>
      </c>
      <c r="AP32" s="266">
        <f t="shared" si="2"/>
        <v>0</v>
      </c>
      <c r="AQ32" s="259">
        <f t="shared" si="3"/>
        <v>0</v>
      </c>
      <c r="AR32" s="259">
        <f t="shared" si="4"/>
        <v>0</v>
      </c>
      <c r="AS32" s="266">
        <f t="shared" si="5"/>
        <v>0</v>
      </c>
      <c r="AT32" s="259">
        <f t="shared" si="6"/>
        <v>0</v>
      </c>
      <c r="AU32" s="258"/>
      <c r="AV32" s="238"/>
      <c r="AW32" s="238"/>
      <c r="AX32" s="238"/>
      <c r="AY32" s="238"/>
      <c r="AZ32" s="238"/>
      <c r="BA32" s="239" t="s">
        <v>655</v>
      </c>
      <c r="BB32" s="239">
        <v>0</v>
      </c>
      <c r="BC32" s="239">
        <v>2.0000000000000001E-4</v>
      </c>
      <c r="BD32" s="238"/>
      <c r="BE32" s="238"/>
      <c r="BF32" s="238"/>
      <c r="BG32" s="238"/>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row>
    <row r="33" spans="1:90" s="240" customFormat="1" ht="14.25" customHeight="1">
      <c r="A33" s="267" t="s">
        <v>429</v>
      </c>
      <c r="B33" s="268"/>
      <c r="C33" s="268"/>
      <c r="D33" s="268"/>
      <c r="E33" s="269"/>
      <c r="F33" s="1377">
        <f>CO2eEF!P24</f>
        <v>1.5E-3</v>
      </c>
      <c r="G33" s="1378"/>
      <c r="H33" s="1547">
        <v>28.013500000000001</v>
      </c>
      <c r="I33" s="1548"/>
      <c r="J33" s="1545">
        <f t="shared" ref="J33" si="11">F33*H33</f>
        <v>4.2020250000000002E-2</v>
      </c>
      <c r="K33" s="1545"/>
      <c r="L33" s="1546">
        <f t="shared" ref="L33" si="12">J33/$J$39</f>
        <v>2.6053874745998315E-3</v>
      </c>
      <c r="M33" s="1545"/>
      <c r="N33" s="1547">
        <f t="shared" ref="N33" si="13">L33*$V$20</f>
        <v>7.4303772376221517E-5</v>
      </c>
      <c r="O33" s="1548"/>
      <c r="P33" s="1547">
        <f t="shared" ref="P33" si="14">N33*365.25*24/1000</f>
        <v>6.5134686864995776E-4</v>
      </c>
      <c r="Q33" s="1548"/>
      <c r="R33" s="263"/>
      <c r="S33" s="263"/>
      <c r="T33" s="1184"/>
      <c r="U33" s="1184"/>
      <c r="V33" s="1184"/>
      <c r="W33" s="1184"/>
      <c r="X33" s="1184"/>
      <c r="Y33" s="1184"/>
      <c r="Z33" s="1184"/>
      <c r="AA33" s="1184"/>
      <c r="AB33" s="1184"/>
      <c r="AC33" s="1184"/>
      <c r="AD33" s="1184"/>
      <c r="AE33" s="1184"/>
      <c r="AF33" s="263"/>
      <c r="AG33" s="264"/>
      <c r="AH33" s="258"/>
      <c r="AI33" s="259"/>
      <c r="AJ33" s="259"/>
      <c r="AK33" s="259"/>
      <c r="AL33" s="259">
        <v>2</v>
      </c>
      <c r="AM33" s="259"/>
      <c r="AN33" s="265">
        <f t="shared" si="0"/>
        <v>28</v>
      </c>
      <c r="AO33" s="259">
        <f t="shared" si="1"/>
        <v>0</v>
      </c>
      <c r="AP33" s="266">
        <f t="shared" si="2"/>
        <v>0</v>
      </c>
      <c r="AQ33" s="259">
        <f t="shared" si="3"/>
        <v>0</v>
      </c>
      <c r="AR33" s="259">
        <f t="shared" si="4"/>
        <v>0</v>
      </c>
      <c r="AS33" s="266">
        <f t="shared" si="5"/>
        <v>1</v>
      </c>
      <c r="AT33" s="259">
        <f t="shared" si="6"/>
        <v>0</v>
      </c>
      <c r="AU33" s="258"/>
      <c r="AV33" s="238"/>
      <c r="AW33" s="238"/>
      <c r="AX33" s="238"/>
      <c r="AY33" s="238"/>
      <c r="AZ33" s="238"/>
      <c r="BA33" s="239" t="s">
        <v>656</v>
      </c>
      <c r="BB33" s="239">
        <v>1.5E-3</v>
      </c>
      <c r="BC33" s="239">
        <v>0</v>
      </c>
      <c r="BD33" s="238"/>
      <c r="BE33" s="238"/>
      <c r="BF33" s="238"/>
      <c r="BG33" s="238"/>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row>
    <row r="34" spans="1:90" s="240" customFormat="1" ht="14.25" customHeight="1">
      <c r="A34" s="267" t="s">
        <v>115</v>
      </c>
      <c r="B34" s="268"/>
      <c r="C34" s="268"/>
      <c r="D34" s="268"/>
      <c r="E34" s="269"/>
      <c r="F34" s="1377">
        <v>0</v>
      </c>
      <c r="G34" s="1378"/>
      <c r="H34" s="1299"/>
      <c r="I34" s="1301"/>
      <c r="J34" s="1300"/>
      <c r="K34" s="1300"/>
      <c r="L34" s="1299"/>
      <c r="M34" s="1300"/>
      <c r="N34" s="1299">
        <f>SUM(H34,J34,L34)*AN34</f>
        <v>0</v>
      </c>
      <c r="O34" s="1301"/>
      <c r="P34" s="1299"/>
      <c r="Q34" s="1301"/>
      <c r="R34" s="263"/>
      <c r="S34" s="263"/>
      <c r="T34" s="1184"/>
      <c r="U34" s="1184"/>
      <c r="V34" s="1184"/>
      <c r="W34" s="1184"/>
      <c r="X34" s="1184"/>
      <c r="Y34" s="1184"/>
      <c r="Z34" s="1184"/>
      <c r="AA34" s="1184"/>
      <c r="AB34" s="1184"/>
      <c r="AC34" s="1184"/>
      <c r="AD34" s="1184"/>
      <c r="AE34" s="1184"/>
      <c r="AF34" s="263"/>
      <c r="AG34" s="264"/>
      <c r="AH34" s="258"/>
      <c r="AI34" s="258">
        <v>1</v>
      </c>
      <c r="AJ34" s="258"/>
      <c r="AK34" s="258">
        <v>1</v>
      </c>
      <c r="AL34" s="258"/>
      <c r="AM34" s="258"/>
      <c r="AN34" s="265">
        <f t="shared" si="0"/>
        <v>28.009999999999998</v>
      </c>
      <c r="AO34" s="259"/>
      <c r="AP34" s="258"/>
      <c r="AQ34" s="258"/>
      <c r="AR34" s="258"/>
      <c r="AS34" s="258"/>
      <c r="AT34" s="258"/>
      <c r="AU34" s="258"/>
      <c r="AV34" s="238"/>
      <c r="AW34" s="238"/>
      <c r="AX34" s="238"/>
      <c r="AY34" s="238"/>
      <c r="AZ34" s="238"/>
      <c r="BA34" s="239" t="s">
        <v>657</v>
      </c>
      <c r="BB34" s="239">
        <v>1E-4</v>
      </c>
      <c r="BC34" s="239">
        <v>0</v>
      </c>
      <c r="BD34" s="238"/>
      <c r="BE34" s="238"/>
      <c r="BF34" s="238"/>
      <c r="BG34" s="238"/>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row>
    <row r="35" spans="1:90" s="240" customFormat="1" ht="14.25" customHeight="1">
      <c r="A35" s="267" t="s">
        <v>126</v>
      </c>
      <c r="B35" s="268"/>
      <c r="C35" s="268"/>
      <c r="D35" s="268"/>
      <c r="E35" s="269"/>
      <c r="F35" s="1377">
        <f>CO2eEF!P25</f>
        <v>8.0000000000000004E-4</v>
      </c>
      <c r="G35" s="1378"/>
      <c r="H35" s="1543">
        <v>44.01</v>
      </c>
      <c r="I35" s="1544"/>
      <c r="J35" s="1545">
        <f t="shared" ref="J35" si="15">F35*H35</f>
        <v>3.5208000000000003E-2</v>
      </c>
      <c r="K35" s="1545"/>
      <c r="L35" s="1546">
        <f t="shared" ref="L35" si="16">J35/$J$39</f>
        <v>2.1830065791067612E-3</v>
      </c>
      <c r="M35" s="1545"/>
      <c r="N35" s="1547">
        <f t="shared" ref="N35" si="17">L35*$V$20</f>
        <v>6.2257773759604183E-5</v>
      </c>
      <c r="O35" s="1548"/>
      <c r="P35" s="1547">
        <f t="shared" ref="P35" si="18">N35*365.25*24/1000</f>
        <v>5.4575164477669029E-4</v>
      </c>
      <c r="Q35" s="1548"/>
      <c r="R35" s="263"/>
      <c r="S35" s="263"/>
      <c r="T35" s="1184"/>
      <c r="U35" s="1184"/>
      <c r="V35" s="1184"/>
      <c r="W35" s="1184"/>
      <c r="X35" s="1184"/>
      <c r="Y35" s="1184"/>
      <c r="Z35" s="1184"/>
      <c r="AA35" s="1184"/>
      <c r="AB35" s="1184"/>
      <c r="AC35" s="1184"/>
      <c r="AD35" s="1184"/>
      <c r="AE35" s="1184"/>
      <c r="AF35" s="263"/>
      <c r="AG35" s="264"/>
      <c r="AH35" s="258"/>
      <c r="AI35" s="259">
        <v>1</v>
      </c>
      <c r="AJ35" s="259"/>
      <c r="AK35" s="259">
        <v>2</v>
      </c>
      <c r="AL35" s="259"/>
      <c r="AM35" s="259"/>
      <c r="AN35" s="265">
        <f>AI35*12.01+AJ35*1.008+AK35*16+AL35*14+AM35*32</f>
        <v>44.01</v>
      </c>
      <c r="AO35" s="259"/>
      <c r="AP35" s="259"/>
      <c r="AQ35" s="259"/>
      <c r="AR35" s="259"/>
      <c r="AS35" s="259"/>
      <c r="AT35" s="259"/>
      <c r="AU35" s="258"/>
      <c r="AV35" s="238"/>
      <c r="AW35" s="238"/>
      <c r="AX35" s="238"/>
      <c r="AY35" s="238"/>
      <c r="AZ35" s="238"/>
      <c r="BA35" s="239" t="s">
        <v>658</v>
      </c>
      <c r="BB35" s="239">
        <v>0</v>
      </c>
      <c r="BC35" s="239">
        <v>0</v>
      </c>
      <c r="BD35" s="238"/>
      <c r="BE35" s="238"/>
      <c r="BF35" s="238"/>
      <c r="BG35" s="238"/>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row>
    <row r="36" spans="1:90" s="240" customFormat="1" ht="14.25" customHeight="1">
      <c r="A36" s="267" t="s">
        <v>430</v>
      </c>
      <c r="B36" s="268"/>
      <c r="C36" s="268"/>
      <c r="D36" s="268"/>
      <c r="E36" s="269"/>
      <c r="F36" s="1377">
        <v>0</v>
      </c>
      <c r="G36" s="1378"/>
      <c r="H36" s="1299"/>
      <c r="I36" s="1301"/>
      <c r="J36" s="1300"/>
      <c r="K36" s="1300"/>
      <c r="L36" s="1299"/>
      <c r="M36" s="1300"/>
      <c r="N36" s="1299">
        <f>SUM(H36,J36,L36)*AN36</f>
        <v>0</v>
      </c>
      <c r="O36" s="1301"/>
      <c r="P36" s="1299"/>
      <c r="Q36" s="1301"/>
      <c r="R36" s="263"/>
      <c r="S36" s="263"/>
      <c r="T36" s="1184"/>
      <c r="U36" s="1184"/>
      <c r="V36" s="1184"/>
      <c r="W36" s="1184"/>
      <c r="X36" s="1184"/>
      <c r="Y36" s="1184"/>
      <c r="Z36" s="1184"/>
      <c r="AA36" s="1184"/>
      <c r="AB36" s="1184"/>
      <c r="AC36" s="1184"/>
      <c r="AD36" s="1184"/>
      <c r="AE36" s="1184"/>
      <c r="AF36" s="263"/>
      <c r="AG36" s="264"/>
      <c r="AH36" s="258"/>
      <c r="AI36" s="258"/>
      <c r="AJ36" s="258"/>
      <c r="AK36" s="258">
        <v>2</v>
      </c>
      <c r="AL36" s="258">
        <v>1</v>
      </c>
      <c r="AM36" s="258"/>
      <c r="AN36" s="265">
        <f>AI36*12.01+AJ36*1.008+AK36*16+AL36*14+AM36*32</f>
        <v>46</v>
      </c>
      <c r="AO36" s="259"/>
      <c r="AP36" s="258"/>
      <c r="AQ36" s="258"/>
      <c r="AR36" s="258"/>
      <c r="AS36" s="258"/>
      <c r="AT36" s="258"/>
      <c r="AU36" s="258"/>
      <c r="AV36" s="238"/>
      <c r="AW36" s="238"/>
      <c r="AX36" s="238"/>
      <c r="AY36" s="238"/>
      <c r="AZ36" s="238"/>
      <c r="BA36" s="239" t="s">
        <v>659</v>
      </c>
      <c r="BB36" s="239">
        <v>0</v>
      </c>
      <c r="BC36" s="239">
        <v>0</v>
      </c>
      <c r="BD36" s="238"/>
      <c r="BE36" s="238"/>
      <c r="BF36" s="238"/>
      <c r="BG36" s="238"/>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row>
    <row r="37" spans="1:90" s="240" customFormat="1" ht="14.25" customHeight="1">
      <c r="A37" s="267" t="s">
        <v>124</v>
      </c>
      <c r="B37" s="268"/>
      <c r="C37" s="268"/>
      <c r="D37" s="268"/>
      <c r="E37" s="269"/>
      <c r="F37" s="1377">
        <v>0</v>
      </c>
      <c r="G37" s="1378"/>
      <c r="H37" s="1299"/>
      <c r="I37" s="1301"/>
      <c r="J37" s="1300"/>
      <c r="K37" s="1300"/>
      <c r="L37" s="1299"/>
      <c r="M37" s="1300"/>
      <c r="N37" s="1299">
        <f>SUM(H37,J37,L37)*AN37</f>
        <v>0</v>
      </c>
      <c r="O37" s="1301"/>
      <c r="P37" s="1299"/>
      <c r="Q37" s="1301"/>
      <c r="R37" s="263"/>
      <c r="S37" s="263"/>
      <c r="T37" s="263"/>
      <c r="U37" s="263"/>
      <c r="V37" s="263"/>
      <c r="W37" s="263"/>
      <c r="X37" s="263"/>
      <c r="Y37" s="263"/>
      <c r="Z37" s="263"/>
      <c r="AA37" s="263"/>
      <c r="AB37" s="263"/>
      <c r="AC37" s="263"/>
      <c r="AD37" s="263"/>
      <c r="AE37" s="263"/>
      <c r="AF37" s="263"/>
      <c r="AG37" s="264"/>
      <c r="AH37" s="258"/>
      <c r="AI37" s="258"/>
      <c r="AJ37" s="258"/>
      <c r="AK37" s="258">
        <v>2</v>
      </c>
      <c r="AL37" s="258"/>
      <c r="AM37" s="258">
        <v>1</v>
      </c>
      <c r="AN37" s="265">
        <f>AI37*12.01+AJ37*1.008+AK37*16+AL37*14+AM37*32</f>
        <v>64</v>
      </c>
      <c r="AO37" s="259"/>
      <c r="AP37" s="258"/>
      <c r="AQ37" s="258"/>
      <c r="AR37" s="258"/>
      <c r="AS37" s="258"/>
      <c r="AT37" s="258"/>
      <c r="AU37" s="258"/>
      <c r="AV37" s="238"/>
      <c r="AW37" s="238"/>
      <c r="AX37" s="238"/>
      <c r="AY37" s="238"/>
      <c r="AZ37" s="238"/>
      <c r="BA37" s="239" t="s">
        <v>660</v>
      </c>
      <c r="BB37" s="239">
        <v>0</v>
      </c>
      <c r="BC37" s="239">
        <v>0</v>
      </c>
      <c r="BD37" s="238"/>
      <c r="BE37" s="238"/>
      <c r="BF37" s="238"/>
      <c r="BG37" s="238"/>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row>
    <row r="38" spans="1:90" s="240" customFormat="1" ht="14.25" customHeight="1">
      <c r="A38" s="273" t="s">
        <v>431</v>
      </c>
      <c r="B38" s="274"/>
      <c r="C38" s="274"/>
      <c r="D38" s="274"/>
      <c r="E38" s="274"/>
      <c r="F38" s="1377">
        <f>CO2eEF!P47</f>
        <v>0</v>
      </c>
      <c r="G38" s="1378"/>
      <c r="H38" s="1299"/>
      <c r="I38" s="1301"/>
      <c r="J38" s="1384"/>
      <c r="K38" s="1384"/>
      <c r="L38" s="1382"/>
      <c r="M38" s="1384"/>
      <c r="N38" s="1299">
        <f>SUM(H38,J38,L38)*AN38</f>
        <v>0</v>
      </c>
      <c r="O38" s="1301"/>
      <c r="P38" s="1299"/>
      <c r="Q38" s="1301"/>
      <c r="R38" s="263"/>
      <c r="S38" s="263"/>
      <c r="T38" s="263"/>
      <c r="U38" s="263"/>
      <c r="V38" s="263"/>
      <c r="W38" s="263"/>
      <c r="X38" s="263"/>
      <c r="Y38" s="263"/>
      <c r="Z38" s="263"/>
      <c r="AA38" s="263"/>
      <c r="AB38" s="263"/>
      <c r="AC38" s="263"/>
      <c r="AD38" s="263"/>
      <c r="AE38" s="263"/>
      <c r="AF38" s="263"/>
      <c r="AG38" s="264"/>
      <c r="AH38" s="258"/>
      <c r="AI38" s="258"/>
      <c r="AJ38" s="258">
        <v>2</v>
      </c>
      <c r="AK38" s="258">
        <v>1</v>
      </c>
      <c r="AL38" s="258"/>
      <c r="AM38" s="258"/>
      <c r="AN38" s="265">
        <f>AI38*12.01+AJ38*1.008+AK38*16+AL38*14+AM38*32</f>
        <v>18.015999999999998</v>
      </c>
      <c r="AO38" s="259"/>
      <c r="AP38" s="258"/>
      <c r="AQ38" s="258"/>
      <c r="AR38" s="258"/>
      <c r="AS38" s="258"/>
      <c r="AT38" s="258"/>
      <c r="AU38" s="258"/>
      <c r="AV38" s="238"/>
      <c r="AW38" s="238"/>
      <c r="AX38" s="238"/>
      <c r="AY38" s="238"/>
      <c r="AZ38" s="238"/>
      <c r="BA38" s="239" t="s">
        <v>661</v>
      </c>
      <c r="BB38" s="239">
        <v>0</v>
      </c>
      <c r="BC38" s="239">
        <v>0</v>
      </c>
      <c r="BD38" s="238"/>
      <c r="BE38" s="238"/>
      <c r="BF38" s="238"/>
      <c r="BG38" s="238"/>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row>
    <row r="39" spans="1:90" s="240" customFormat="1" ht="14.25" customHeight="1">
      <c r="A39" s="1391" t="s">
        <v>663</v>
      </c>
      <c r="B39" s="1392"/>
      <c r="C39" s="1392"/>
      <c r="D39" s="1392"/>
      <c r="E39" s="1393"/>
      <c r="F39" s="1394">
        <f>SUM(F18:F38)</f>
        <v>1</v>
      </c>
      <c r="G39" s="1395"/>
      <c r="H39" s="1371">
        <v>6106.1389961389959</v>
      </c>
      <c r="I39" s="1373"/>
      <c r="J39" s="1395">
        <f>SUM(J18:K38)</f>
        <v>16.128215250000004</v>
      </c>
      <c r="K39" s="1395"/>
      <c r="L39" s="1371">
        <v>0</v>
      </c>
      <c r="M39" s="1372"/>
      <c r="N39" s="1394">
        <f>SUM(N18:O38)</f>
        <v>2.8519279032626056E-2</v>
      </c>
      <c r="O39" s="1551"/>
      <c r="P39" s="1552">
        <f>SUM(P19:Q38)</f>
        <v>0.24999999999999994</v>
      </c>
      <c r="Q39" s="1553"/>
      <c r="R39" s="275"/>
      <c r="S39" s="275"/>
      <c r="T39" s="30"/>
      <c r="U39" s="30"/>
      <c r="V39" s="276"/>
      <c r="W39" s="276"/>
      <c r="X39" s="30"/>
      <c r="Y39" s="30"/>
      <c r="Z39" s="277"/>
      <c r="AA39" s="277"/>
      <c r="AB39" s="263"/>
      <c r="AC39" s="263"/>
      <c r="AD39" s="30"/>
      <c r="AE39" s="30"/>
      <c r="AF39" s="277"/>
      <c r="AG39" s="278"/>
      <c r="AH39" s="238"/>
      <c r="AI39" s="238"/>
      <c r="AJ39" s="238"/>
      <c r="AK39" s="238"/>
      <c r="AL39" s="238"/>
      <c r="AM39" s="238"/>
      <c r="AN39" s="238"/>
      <c r="AO39" s="238"/>
      <c r="AP39" s="238"/>
      <c r="AQ39" s="238"/>
      <c r="AR39" s="238"/>
      <c r="AS39" s="238"/>
      <c r="AT39" s="238"/>
      <c r="AU39" s="238"/>
      <c r="AV39" s="238"/>
      <c r="AW39" s="238"/>
      <c r="AX39" s="238"/>
      <c r="AY39" s="238"/>
      <c r="AZ39" s="238"/>
      <c r="BA39" s="239" t="s">
        <v>662</v>
      </c>
      <c r="BB39" s="239">
        <v>0</v>
      </c>
      <c r="BC39" s="239">
        <v>0</v>
      </c>
      <c r="BD39" s="238"/>
      <c r="BE39" s="238"/>
      <c r="BF39" s="238"/>
      <c r="BG39" s="238"/>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row>
    <row r="40" spans="1:90" s="240" customFormat="1" ht="14.25" customHeight="1">
      <c r="A40" s="279" t="s">
        <v>749</v>
      </c>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280"/>
      <c r="AH40" s="238"/>
      <c r="AI40" s="238"/>
      <c r="AJ40" s="238"/>
      <c r="AK40" s="281"/>
      <c r="AL40" s="238"/>
      <c r="AM40" s="238"/>
      <c r="AN40" s="238"/>
      <c r="AO40" s="238"/>
      <c r="AP40" s="238"/>
      <c r="AQ40" s="238"/>
      <c r="AR40" s="238"/>
      <c r="AS40" s="238"/>
      <c r="AT40" s="238"/>
      <c r="AU40" s="238"/>
      <c r="AV40" s="238"/>
      <c r="AW40" s="238"/>
      <c r="AX40" s="238"/>
      <c r="AY40" s="238"/>
      <c r="AZ40" s="238"/>
      <c r="BA40" s="239"/>
      <c r="BB40" s="239"/>
      <c r="BC40" s="239"/>
      <c r="BD40" s="238"/>
      <c r="BE40" s="238"/>
      <c r="BF40" s="238"/>
      <c r="BG40" s="238"/>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row>
    <row r="41" spans="1:90" s="240" customFormat="1" ht="14.25" customHeight="1">
      <c r="A41" s="282" t="s">
        <v>31</v>
      </c>
      <c r="B41" s="31" t="s">
        <v>751</v>
      </c>
      <c r="C41" s="30"/>
      <c r="D41" s="30"/>
      <c r="E41" s="30"/>
      <c r="F41" s="30"/>
      <c r="G41" s="30"/>
      <c r="H41" s="30"/>
      <c r="I41" s="30"/>
      <c r="J41" s="30"/>
      <c r="K41" s="30"/>
      <c r="L41" s="30"/>
      <c r="M41" s="30"/>
      <c r="N41" s="283"/>
      <c r="O41" s="283"/>
      <c r="P41" s="283"/>
      <c r="Q41" s="30"/>
      <c r="R41" s="30"/>
      <c r="S41" s="30"/>
      <c r="T41" s="30"/>
      <c r="U41" s="30"/>
      <c r="V41" s="30"/>
      <c r="W41" s="30"/>
      <c r="X41" s="30"/>
      <c r="Y41" s="30"/>
      <c r="Z41" s="30"/>
      <c r="AA41" s="30"/>
      <c r="AB41" s="30"/>
      <c r="AC41" s="30"/>
      <c r="AD41" s="30"/>
      <c r="AE41" s="30"/>
      <c r="AF41" s="30"/>
      <c r="AG41" s="253"/>
      <c r="AH41" s="238"/>
      <c r="AI41" s="238"/>
      <c r="AJ41" s="238"/>
      <c r="AK41" s="238"/>
      <c r="AL41" s="238"/>
      <c r="AM41" s="238"/>
      <c r="AN41" s="238"/>
      <c r="AO41" s="238"/>
      <c r="AP41" s="238"/>
      <c r="AQ41" s="238"/>
      <c r="AR41" s="238"/>
      <c r="AS41" s="238"/>
      <c r="AT41" s="238"/>
      <c r="AU41" s="238"/>
      <c r="AV41" s="238"/>
      <c r="AW41" s="238"/>
      <c r="AX41" s="238"/>
      <c r="AY41" s="238"/>
      <c r="AZ41" s="238"/>
      <c r="BA41" s="239" t="s">
        <v>679</v>
      </c>
      <c r="BB41" s="239">
        <v>0</v>
      </c>
      <c r="BC41" s="239">
        <v>0</v>
      </c>
      <c r="BD41" s="238"/>
      <c r="BE41" s="238"/>
      <c r="BF41" s="238"/>
      <c r="BG41" s="238"/>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row>
    <row r="42" spans="1:90" ht="14.25" customHeight="1">
      <c r="A42" s="282" t="s">
        <v>33</v>
      </c>
      <c r="B42" s="284" t="s">
        <v>726</v>
      </c>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6"/>
      <c r="AH42" s="243"/>
      <c r="AI42" s="243"/>
      <c r="AJ42" s="243"/>
      <c r="AK42" s="243"/>
      <c r="AL42" s="243"/>
      <c r="AM42" s="243"/>
      <c r="AN42" s="243"/>
      <c r="AO42" s="243"/>
      <c r="AP42" s="243"/>
      <c r="AQ42" s="243"/>
      <c r="AR42" s="243"/>
      <c r="AS42" s="243"/>
      <c r="AT42" s="243"/>
      <c r="AU42" s="243"/>
      <c r="AV42" s="243"/>
      <c r="AW42" s="243"/>
      <c r="AX42" s="243"/>
      <c r="AY42" s="243"/>
      <c r="AZ42" s="243"/>
      <c r="BA42" s="246" t="s">
        <v>681</v>
      </c>
      <c r="BB42" s="246">
        <v>0</v>
      </c>
      <c r="BC42" s="246">
        <v>0</v>
      </c>
      <c r="BD42" s="243"/>
      <c r="BE42" s="243"/>
      <c r="BF42" s="243"/>
      <c r="BG42" s="243"/>
      <c r="BH42" s="243"/>
      <c r="BI42" s="243"/>
      <c r="BJ42" s="243"/>
      <c r="BK42" s="243"/>
      <c r="BL42" s="243"/>
      <c r="BM42" s="243"/>
      <c r="BN42" s="243"/>
      <c r="BO42" s="243"/>
      <c r="BP42" s="243"/>
      <c r="BQ42" s="243"/>
      <c r="BR42" s="243"/>
      <c r="BS42" s="243"/>
      <c r="BT42" s="243"/>
      <c r="BU42" s="243"/>
      <c r="BV42" s="243"/>
      <c r="BW42" s="243"/>
      <c r="BX42" s="243"/>
      <c r="BY42" s="243"/>
      <c r="BZ42" s="243"/>
      <c r="CA42" s="243"/>
      <c r="CB42" s="243"/>
      <c r="CC42" s="243"/>
      <c r="CD42" s="243"/>
      <c r="CE42" s="243"/>
      <c r="CF42" s="243"/>
      <c r="CG42" s="243"/>
      <c r="CH42" s="243"/>
      <c r="CI42" s="243"/>
      <c r="CJ42" s="243"/>
      <c r="CK42" s="243"/>
      <c r="CL42" s="243"/>
    </row>
    <row r="43" spans="1:90" ht="14.25" customHeight="1">
      <c r="A43" s="282" t="s">
        <v>752</v>
      </c>
      <c r="B43" s="284"/>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5"/>
      <c r="AA43" s="285"/>
      <c r="AB43" s="285"/>
      <c r="AC43" s="285"/>
      <c r="AD43" s="285"/>
      <c r="AE43" s="285"/>
      <c r="AF43" s="285"/>
      <c r="AG43" s="286"/>
      <c r="AH43" s="243"/>
      <c r="AI43" s="243"/>
      <c r="AJ43" s="243"/>
      <c r="AK43" s="243"/>
      <c r="AL43" s="243"/>
      <c r="AM43" s="243"/>
      <c r="AN43" s="243"/>
      <c r="AO43" s="243"/>
      <c r="AP43" s="243"/>
      <c r="AQ43" s="243"/>
      <c r="AR43" s="243"/>
      <c r="AS43" s="243"/>
      <c r="AT43" s="243"/>
      <c r="AU43" s="243"/>
      <c r="AV43" s="243"/>
      <c r="AW43" s="243"/>
      <c r="AX43" s="243"/>
      <c r="AY43" s="243"/>
      <c r="AZ43" s="243"/>
      <c r="BA43" s="246" t="s">
        <v>684</v>
      </c>
      <c r="BB43" s="246">
        <v>0</v>
      </c>
      <c r="BC43" s="246">
        <v>0</v>
      </c>
      <c r="BD43" s="243"/>
      <c r="BE43" s="243"/>
      <c r="BF43" s="243"/>
      <c r="BG43" s="243"/>
      <c r="BH43" s="243"/>
      <c r="BI43" s="243"/>
      <c r="BJ43" s="243"/>
      <c r="BK43" s="243"/>
      <c r="BL43" s="243"/>
      <c r="BM43" s="243"/>
      <c r="BN43" s="243"/>
      <c r="BO43" s="243"/>
      <c r="BP43" s="243"/>
      <c r="BQ43" s="243"/>
      <c r="BR43" s="243"/>
      <c r="BS43" s="243"/>
      <c r="BT43" s="243"/>
      <c r="BU43" s="243"/>
      <c r="BV43" s="243"/>
      <c r="BW43" s="243"/>
      <c r="BX43" s="243"/>
      <c r="BY43" s="243"/>
      <c r="BZ43" s="243"/>
      <c r="CA43" s="243"/>
      <c r="CB43" s="243"/>
      <c r="CC43" s="243"/>
      <c r="CD43" s="243"/>
      <c r="CE43" s="243"/>
      <c r="CF43" s="243"/>
      <c r="CG43" s="243"/>
      <c r="CH43" s="243"/>
      <c r="CI43" s="243"/>
      <c r="CJ43" s="243"/>
      <c r="CK43" s="243"/>
      <c r="CL43" s="243"/>
    </row>
    <row r="44" spans="1:90" ht="14.25">
      <c r="A44" s="282" t="s">
        <v>38</v>
      </c>
      <c r="B44" s="284"/>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6"/>
      <c r="AH44" s="243"/>
      <c r="AI44" s="243"/>
      <c r="AJ44" s="243"/>
      <c r="AK44" s="243"/>
      <c r="AL44" s="243"/>
      <c r="AM44" s="243"/>
      <c r="AN44" s="243"/>
      <c r="AO44" s="243"/>
      <c r="AP44" s="243"/>
      <c r="AQ44" s="243"/>
      <c r="AR44" s="243"/>
      <c r="AS44" s="243"/>
      <c r="AT44" s="243"/>
      <c r="AU44" s="243"/>
      <c r="AV44" s="243"/>
      <c r="AW44" s="243"/>
      <c r="AX44" s="243"/>
      <c r="AY44" s="243"/>
      <c r="AZ44" s="243"/>
      <c r="BA44" s="246"/>
      <c r="BB44" s="246"/>
      <c r="BC44" s="246"/>
      <c r="BD44" s="243"/>
      <c r="BE44" s="243"/>
      <c r="BF44" s="243"/>
      <c r="BG44" s="243"/>
      <c r="BH44" s="243"/>
      <c r="BI44" s="243"/>
      <c r="BJ44" s="243"/>
      <c r="BK44" s="243"/>
      <c r="BL44" s="243"/>
      <c r="BM44" s="243"/>
      <c r="BN44" s="243"/>
      <c r="BO44" s="243"/>
      <c r="BP44" s="243"/>
      <c r="BQ44" s="243"/>
      <c r="BR44" s="243"/>
      <c r="BS44" s="243"/>
      <c r="BT44" s="243"/>
      <c r="BU44" s="243"/>
      <c r="BV44" s="243"/>
      <c r="BW44" s="243"/>
      <c r="BX44" s="243"/>
      <c r="BY44" s="243"/>
      <c r="BZ44" s="243"/>
      <c r="CA44" s="243"/>
      <c r="CB44" s="243"/>
      <c r="CC44" s="243"/>
      <c r="CD44" s="243"/>
      <c r="CE44" s="243"/>
      <c r="CF44" s="243"/>
      <c r="CG44" s="243"/>
      <c r="CH44" s="243"/>
      <c r="CI44" s="243"/>
      <c r="CJ44" s="243"/>
      <c r="CK44" s="243"/>
      <c r="CL44" s="243"/>
    </row>
    <row r="45" spans="1:90" ht="14.25">
      <c r="A45" s="282" t="s">
        <v>41</v>
      </c>
      <c r="B45" s="284"/>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43"/>
      <c r="AI45" s="243"/>
      <c r="AJ45" s="243"/>
      <c r="AK45" s="243"/>
      <c r="AL45" s="243"/>
      <c r="AM45" s="243"/>
      <c r="AN45" s="243"/>
      <c r="AO45" s="243"/>
      <c r="AP45" s="243"/>
      <c r="AQ45" s="243"/>
      <c r="AR45" s="243"/>
      <c r="AS45" s="243"/>
      <c r="AT45" s="243"/>
      <c r="AU45" s="243"/>
      <c r="AV45" s="243"/>
      <c r="AW45" s="243"/>
      <c r="AX45" s="243"/>
      <c r="AY45" s="243"/>
      <c r="AZ45" s="243"/>
      <c r="BA45" s="246" t="s">
        <v>688</v>
      </c>
      <c r="BB45" s="246">
        <v>0</v>
      </c>
      <c r="BC45" s="246">
        <v>0</v>
      </c>
      <c r="BD45" s="243"/>
      <c r="BE45" s="243"/>
      <c r="BF45" s="243"/>
      <c r="BG45" s="243"/>
      <c r="BH45" s="243"/>
      <c r="BI45" s="243"/>
      <c r="BJ45" s="243"/>
      <c r="BK45" s="243"/>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row>
    <row r="46" spans="1:90">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288"/>
      <c r="AF46" s="288"/>
      <c r="AG46" s="289"/>
      <c r="AH46" s="289"/>
      <c r="AI46" s="289"/>
      <c r="AJ46" s="289"/>
      <c r="AK46" s="289"/>
      <c r="AL46" s="289"/>
      <c r="AM46" s="289"/>
      <c r="AN46" s="243"/>
      <c r="AO46" s="243"/>
      <c r="AP46" s="243"/>
      <c r="AQ46" s="243"/>
      <c r="AR46" s="243"/>
      <c r="AS46" s="243"/>
      <c r="AT46" s="243"/>
      <c r="AU46" s="243"/>
      <c r="AV46" s="243"/>
      <c r="AW46" s="243"/>
      <c r="AX46" s="243"/>
      <c r="AY46" s="243"/>
      <c r="AZ46" s="243"/>
      <c r="BA46" s="246" t="s">
        <v>690</v>
      </c>
      <c r="BB46" s="246">
        <v>2.9999999999999997E-4</v>
      </c>
      <c r="BC46" s="246">
        <v>0</v>
      </c>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row>
    <row r="47" spans="1:90">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9"/>
      <c r="AH47" s="289"/>
      <c r="AI47" s="289"/>
      <c r="AJ47" s="289"/>
      <c r="AK47" s="289"/>
      <c r="AL47" s="289"/>
      <c r="AM47" s="289"/>
      <c r="AN47" s="243"/>
      <c r="AO47" s="243"/>
      <c r="AP47" s="243"/>
      <c r="AQ47" s="243"/>
      <c r="AR47" s="243"/>
      <c r="AS47" s="243"/>
      <c r="AT47" s="243"/>
      <c r="AU47" s="243"/>
      <c r="AV47" s="243"/>
      <c r="AW47" s="243"/>
      <c r="AX47" s="243"/>
      <c r="AY47" s="243"/>
      <c r="AZ47" s="243"/>
      <c r="BA47" s="246" t="s">
        <v>691</v>
      </c>
      <c r="BB47" s="246">
        <v>0</v>
      </c>
      <c r="BC47" s="246">
        <v>0</v>
      </c>
      <c r="BD47" s="243"/>
      <c r="BE47" s="243"/>
      <c r="BF47" s="243"/>
      <c r="BG47" s="243"/>
      <c r="BH47" s="243"/>
      <c r="BI47" s="243"/>
      <c r="BJ47" s="243"/>
      <c r="BK47" s="243"/>
      <c r="BL47" s="243"/>
      <c r="BM47" s="243"/>
      <c r="BN47" s="243"/>
      <c r="BO47" s="243"/>
      <c r="BP47" s="243"/>
      <c r="BQ47" s="243"/>
      <c r="BR47" s="243"/>
      <c r="BS47" s="243"/>
      <c r="BT47" s="243"/>
      <c r="BU47" s="243"/>
      <c r="BV47" s="243"/>
      <c r="BW47" s="243"/>
      <c r="BX47" s="243"/>
      <c r="BY47" s="243"/>
      <c r="BZ47" s="243"/>
      <c r="CA47" s="243"/>
      <c r="CB47" s="243"/>
      <c r="CC47" s="243"/>
      <c r="CD47" s="243"/>
      <c r="CE47" s="243"/>
      <c r="CF47" s="243"/>
      <c r="CG47" s="243"/>
      <c r="CH47" s="243"/>
      <c r="CI47" s="243"/>
      <c r="CJ47" s="243"/>
      <c r="CK47" s="243"/>
      <c r="CL47" s="243"/>
    </row>
    <row r="48" spans="1:90">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9"/>
      <c r="AH48" s="289"/>
      <c r="AI48" s="289"/>
      <c r="AJ48" s="289"/>
      <c r="AK48" s="289"/>
      <c r="AL48" s="289"/>
      <c r="AM48" s="289"/>
      <c r="AN48" s="243"/>
      <c r="AO48" s="243"/>
      <c r="AP48" s="243"/>
      <c r="AQ48" s="243"/>
      <c r="AR48" s="243"/>
      <c r="AS48" s="243"/>
      <c r="AT48" s="243"/>
      <c r="AU48" s="243"/>
      <c r="AV48" s="243"/>
      <c r="AW48" s="243"/>
      <c r="AX48" s="243"/>
      <c r="AY48" s="243"/>
      <c r="AZ48" s="243"/>
      <c r="BA48" s="246" t="s">
        <v>692</v>
      </c>
      <c r="BB48" s="246">
        <v>0</v>
      </c>
      <c r="BC48" s="246">
        <v>0</v>
      </c>
      <c r="BD48" s="243"/>
      <c r="BE48" s="243"/>
      <c r="BF48" s="243"/>
      <c r="BG48" s="243"/>
      <c r="BH48" s="243"/>
      <c r="BI48" s="243"/>
      <c r="BJ48" s="243"/>
      <c r="BK48" s="243"/>
      <c r="BL48" s="243"/>
      <c r="BM48" s="243"/>
      <c r="BN48" s="243"/>
      <c r="BO48" s="243"/>
      <c r="BP48" s="243"/>
      <c r="BQ48" s="243"/>
      <c r="BR48" s="243"/>
      <c r="BS48" s="243"/>
      <c r="BT48" s="243"/>
      <c r="BU48" s="243"/>
      <c r="BV48" s="243"/>
      <c r="BW48" s="243"/>
      <c r="BX48" s="243"/>
      <c r="BY48" s="243"/>
      <c r="BZ48" s="243"/>
      <c r="CA48" s="243"/>
      <c r="CB48" s="243"/>
      <c r="CC48" s="243"/>
      <c r="CD48" s="243"/>
      <c r="CE48" s="243"/>
      <c r="CF48" s="243"/>
      <c r="CG48" s="243"/>
      <c r="CH48" s="243"/>
      <c r="CI48" s="243"/>
      <c r="CJ48" s="243"/>
      <c r="CK48" s="243"/>
      <c r="CL48" s="243"/>
    </row>
    <row r="49" spans="1:90">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9"/>
      <c r="AH49" s="289"/>
      <c r="AI49" s="289"/>
      <c r="AJ49" s="289"/>
      <c r="AK49" s="289"/>
      <c r="AL49" s="289"/>
      <c r="AM49" s="289"/>
      <c r="AN49" s="243"/>
      <c r="AO49" s="243"/>
      <c r="AP49" s="243"/>
      <c r="AQ49" s="243"/>
      <c r="AR49" s="243"/>
      <c r="AS49" s="243"/>
      <c r="AT49" s="243"/>
      <c r="AU49" s="243"/>
      <c r="AV49" s="243"/>
      <c r="AW49" s="243"/>
      <c r="AX49" s="243"/>
      <c r="AY49" s="243"/>
      <c r="AZ49" s="243"/>
      <c r="BA49" s="246" t="s">
        <v>693</v>
      </c>
      <c r="BB49" s="246">
        <v>0</v>
      </c>
      <c r="BC49" s="246">
        <v>0</v>
      </c>
      <c r="BD49" s="243"/>
      <c r="BE49" s="243"/>
      <c r="BF49" s="243"/>
      <c r="BG49" s="243"/>
      <c r="BH49" s="243"/>
      <c r="BI49" s="243"/>
      <c r="BJ49" s="243"/>
      <c r="BK49" s="243"/>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row>
    <row r="50" spans="1:90">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9"/>
      <c r="AH50" s="289"/>
      <c r="AI50" s="289"/>
      <c r="AJ50" s="289"/>
      <c r="AK50" s="289"/>
      <c r="AL50" s="289"/>
      <c r="AM50" s="289"/>
      <c r="AN50" s="243"/>
      <c r="AO50" s="243"/>
      <c r="AP50" s="243"/>
      <c r="AQ50" s="243"/>
      <c r="AR50" s="243"/>
      <c r="AS50" s="243"/>
      <c r="AT50" s="243"/>
      <c r="AU50" s="243"/>
      <c r="AV50" s="243"/>
      <c r="AW50" s="243"/>
      <c r="AX50" s="243"/>
      <c r="AY50" s="243"/>
      <c r="AZ50" s="243"/>
      <c r="BA50" s="246" t="s">
        <v>694</v>
      </c>
      <c r="BB50" s="246">
        <v>0</v>
      </c>
      <c r="BC50" s="246">
        <v>0</v>
      </c>
      <c r="BD50" s="243"/>
      <c r="BE50" s="243"/>
      <c r="BF50" s="243"/>
      <c r="BG50" s="243"/>
      <c r="BH50" s="243"/>
      <c r="BI50" s="243"/>
      <c r="BJ50" s="243"/>
      <c r="BK50" s="243"/>
      <c r="BL50" s="243"/>
      <c r="BM50" s="243"/>
      <c r="BN50" s="243"/>
      <c r="BO50" s="243"/>
      <c r="BP50" s="243"/>
      <c r="BQ50" s="243"/>
      <c r="BR50" s="243"/>
      <c r="BS50" s="243"/>
      <c r="BT50" s="243"/>
      <c r="BU50" s="243"/>
      <c r="BV50" s="243"/>
      <c r="BW50" s="243"/>
      <c r="BX50" s="243"/>
      <c r="BY50" s="243"/>
      <c r="BZ50" s="243"/>
      <c r="CA50" s="243"/>
      <c r="CB50" s="243"/>
      <c r="CC50" s="243"/>
      <c r="CD50" s="243"/>
      <c r="CE50" s="243"/>
      <c r="CF50" s="243"/>
      <c r="CG50" s="243"/>
      <c r="CH50" s="243"/>
      <c r="CI50" s="243"/>
      <c r="CJ50" s="243"/>
      <c r="CK50" s="243"/>
      <c r="CL50" s="243"/>
    </row>
    <row r="51" spans="1:90">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9"/>
      <c r="AH51" s="289"/>
      <c r="AI51" s="289"/>
      <c r="AJ51" s="289"/>
      <c r="AK51" s="289"/>
      <c r="AL51" s="289"/>
      <c r="AM51" s="289"/>
      <c r="AN51" s="243"/>
      <c r="AO51" s="243"/>
      <c r="AP51" s="243"/>
      <c r="AQ51" s="243"/>
      <c r="AR51" s="243"/>
      <c r="AS51" s="243"/>
      <c r="AT51" s="243"/>
      <c r="AU51" s="243"/>
      <c r="AV51" s="243"/>
      <c r="AW51" s="243"/>
      <c r="AX51" s="243"/>
      <c r="AY51" s="243"/>
      <c r="AZ51" s="243"/>
      <c r="BA51" s="246" t="s">
        <v>695</v>
      </c>
      <c r="BB51" s="246">
        <v>0</v>
      </c>
      <c r="BC51" s="246">
        <v>0</v>
      </c>
      <c r="BD51" s="243"/>
      <c r="BE51" s="243"/>
      <c r="BF51" s="243"/>
      <c r="BG51" s="243"/>
      <c r="BH51" s="243"/>
      <c r="BI51" s="243"/>
      <c r="BJ51" s="243"/>
      <c r="BK51" s="243"/>
      <c r="BL51" s="243"/>
      <c r="BM51" s="243"/>
      <c r="BN51" s="243"/>
      <c r="BO51" s="243"/>
      <c r="BP51" s="243"/>
      <c r="BQ51" s="243"/>
      <c r="BR51" s="243"/>
      <c r="BS51" s="243"/>
      <c r="BT51" s="243"/>
      <c r="BU51" s="243"/>
      <c r="BV51" s="243"/>
      <c r="BW51" s="243"/>
      <c r="BX51" s="243"/>
      <c r="BY51" s="243"/>
      <c r="BZ51" s="243"/>
      <c r="CA51" s="243"/>
      <c r="CB51" s="243"/>
      <c r="CC51" s="243"/>
      <c r="CD51" s="243"/>
      <c r="CE51" s="243"/>
      <c r="CF51" s="243"/>
      <c r="CG51" s="243"/>
      <c r="CH51" s="243"/>
      <c r="CI51" s="243"/>
      <c r="CJ51" s="243"/>
      <c r="CK51" s="243"/>
      <c r="CL51" s="243"/>
    </row>
    <row r="52" spans="1:90">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9"/>
      <c r="AH52" s="289"/>
      <c r="AI52" s="289"/>
      <c r="AJ52" s="289"/>
      <c r="AK52" s="289"/>
      <c r="AL52" s="289"/>
      <c r="AM52" s="289"/>
      <c r="AN52" s="243"/>
      <c r="AO52" s="243"/>
      <c r="AP52" s="243"/>
      <c r="AQ52" s="243"/>
      <c r="AR52" s="243"/>
      <c r="AS52" s="243"/>
      <c r="AT52" s="243"/>
      <c r="AU52" s="243"/>
      <c r="AV52" s="243"/>
      <c r="AW52" s="243"/>
      <c r="AX52" s="243"/>
      <c r="AY52" s="243"/>
      <c r="AZ52" s="243"/>
      <c r="BA52" s="246" t="s">
        <v>696</v>
      </c>
      <c r="BB52" s="246">
        <v>0</v>
      </c>
      <c r="BC52" s="246">
        <v>0</v>
      </c>
      <c r="BD52" s="243"/>
      <c r="BE52" s="243"/>
      <c r="BF52" s="243"/>
      <c r="BG52" s="243"/>
      <c r="BH52" s="243"/>
      <c r="BI52" s="243"/>
      <c r="BJ52" s="243"/>
      <c r="BK52" s="243"/>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row>
    <row r="53" spans="1:90" s="290" customFormat="1">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9"/>
      <c r="AH53" s="289"/>
      <c r="AI53" s="289"/>
      <c r="AJ53" s="289"/>
      <c r="AK53" s="289"/>
      <c r="AL53" s="289"/>
      <c r="AM53" s="289"/>
      <c r="AN53" s="243"/>
      <c r="AO53" s="243"/>
      <c r="AP53" s="243"/>
      <c r="AQ53" s="243"/>
      <c r="AR53" s="243"/>
      <c r="AS53" s="243"/>
      <c r="AT53" s="243"/>
      <c r="AU53" s="243"/>
      <c r="AV53" s="243"/>
      <c r="AW53" s="243"/>
      <c r="AX53" s="243"/>
      <c r="AY53" s="243"/>
      <c r="AZ53" s="243"/>
      <c r="BA53" s="246" t="s">
        <v>697</v>
      </c>
      <c r="BB53" s="246">
        <v>0</v>
      </c>
      <c r="BC53" s="246">
        <v>0</v>
      </c>
      <c r="BD53" s="243"/>
      <c r="BE53" s="243"/>
      <c r="BF53" s="243"/>
      <c r="BG53" s="243"/>
      <c r="BH53" s="243"/>
      <c r="BI53" s="243"/>
      <c r="BJ53" s="243"/>
      <c r="BK53" s="243"/>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row>
    <row r="54" spans="1:90" s="290" customFormat="1">
      <c r="A54" s="288"/>
      <c r="B54" s="288"/>
      <c r="C54" s="288"/>
      <c r="D54" s="288"/>
      <c r="E54" s="288"/>
      <c r="F54" s="288"/>
      <c r="G54" s="288"/>
      <c r="H54" s="288"/>
      <c r="I54" s="288"/>
      <c r="J54" s="288"/>
      <c r="K54" s="288"/>
      <c r="L54" s="288"/>
      <c r="M54" s="288"/>
      <c r="N54" s="288"/>
      <c r="O54" s="263"/>
      <c r="P54" s="288"/>
      <c r="Q54" s="288"/>
      <c r="R54" s="288"/>
      <c r="S54" s="288"/>
      <c r="T54" s="288"/>
      <c r="U54" s="288"/>
      <c r="V54" s="288"/>
      <c r="W54" s="288"/>
      <c r="X54" s="288"/>
      <c r="Y54" s="288"/>
      <c r="Z54" s="288"/>
      <c r="AA54" s="288"/>
      <c r="AB54" s="288"/>
      <c r="AC54" s="288"/>
      <c r="AD54" s="288"/>
      <c r="AE54" s="288"/>
      <c r="AF54" s="288"/>
      <c r="AG54" s="289"/>
      <c r="AH54" s="289"/>
      <c r="AI54" s="289"/>
      <c r="AJ54" s="289"/>
      <c r="AK54" s="289"/>
      <c r="AL54" s="289"/>
      <c r="AM54" s="289"/>
      <c r="AN54" s="243"/>
      <c r="AO54" s="243"/>
      <c r="AP54" s="243"/>
      <c r="AQ54" s="243"/>
      <c r="AR54" s="243"/>
      <c r="AS54" s="243"/>
      <c r="AT54" s="243"/>
      <c r="AU54" s="243"/>
      <c r="AV54" s="243"/>
      <c r="AW54" s="243"/>
      <c r="AX54" s="243"/>
      <c r="AY54" s="243"/>
      <c r="AZ54" s="243"/>
      <c r="BA54" s="246" t="s">
        <v>431</v>
      </c>
      <c r="BB54" s="246">
        <v>1E-4</v>
      </c>
      <c r="BC54" s="246">
        <v>0.17530000000000001</v>
      </c>
      <c r="BD54" s="243"/>
      <c r="BE54" s="243"/>
      <c r="BF54" s="243"/>
      <c r="BG54" s="243"/>
      <c r="BH54" s="243"/>
      <c r="BI54" s="243"/>
      <c r="BJ54" s="243"/>
      <c r="BK54" s="243"/>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row>
    <row r="55" spans="1:90" s="290" customFormat="1">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9"/>
      <c r="AH55" s="289"/>
      <c r="AI55" s="289"/>
      <c r="AJ55" s="289"/>
      <c r="AK55" s="289"/>
      <c r="AL55" s="289"/>
      <c r="AM55" s="289"/>
      <c r="AN55" s="243"/>
      <c r="AO55" s="243"/>
      <c r="AP55" s="243"/>
      <c r="AQ55" s="243"/>
      <c r="AR55" s="243"/>
      <c r="AS55" s="243"/>
      <c r="AT55" s="243"/>
      <c r="AU55" s="243"/>
      <c r="AV55" s="243"/>
      <c r="AW55" s="243"/>
      <c r="AX55" s="243"/>
      <c r="AY55" s="243"/>
      <c r="AZ55" s="243"/>
      <c r="BA55" s="243"/>
      <c r="BB55" s="246"/>
      <c r="BC55" s="246"/>
      <c r="BD55" s="243"/>
      <c r="BE55" s="243"/>
      <c r="BF55" s="243"/>
      <c r="BG55" s="243"/>
      <c r="BH55" s="243"/>
      <c r="BI55" s="243"/>
      <c r="BJ55" s="243"/>
      <c r="BK55" s="243"/>
      <c r="BL55" s="243"/>
      <c r="BM55" s="243"/>
      <c r="BN55" s="243"/>
      <c r="BO55" s="243"/>
      <c r="BP55" s="243"/>
      <c r="BQ55" s="243"/>
      <c r="BR55" s="243"/>
      <c r="BS55" s="243"/>
      <c r="BT55" s="243"/>
      <c r="BU55" s="243"/>
      <c r="BV55" s="243"/>
      <c r="BW55" s="243"/>
      <c r="BX55" s="243"/>
      <c r="BY55" s="243"/>
      <c r="BZ55" s="243"/>
      <c r="CA55" s="243"/>
      <c r="CB55" s="243"/>
      <c r="CC55" s="243"/>
      <c r="CD55" s="243"/>
      <c r="CE55" s="243"/>
      <c r="CF55" s="243"/>
      <c r="CG55" s="243"/>
      <c r="CH55" s="243"/>
      <c r="CI55" s="243"/>
      <c r="CJ55" s="243"/>
      <c r="CK55" s="243"/>
      <c r="CL55" s="243"/>
    </row>
    <row r="56" spans="1:90" s="290" customFormat="1">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9"/>
      <c r="AH56" s="289"/>
      <c r="AI56" s="289"/>
      <c r="AJ56" s="289"/>
      <c r="AK56" s="289"/>
      <c r="AL56" s="289"/>
      <c r="AM56" s="289"/>
      <c r="AN56" s="243"/>
      <c r="AO56" s="243"/>
      <c r="AP56" s="243"/>
      <c r="AQ56" s="243"/>
      <c r="AR56" s="243"/>
      <c r="AS56" s="243"/>
      <c r="AT56" s="243"/>
      <c r="AU56" s="243"/>
      <c r="AV56" s="243"/>
      <c r="AW56" s="243"/>
      <c r="AX56" s="243"/>
      <c r="AY56" s="243"/>
      <c r="AZ56" s="243"/>
      <c r="BA56" s="243"/>
      <c r="BB56" s="246"/>
      <c r="BC56" s="246"/>
      <c r="BD56" s="243"/>
      <c r="BE56" s="243"/>
      <c r="BF56" s="243"/>
      <c r="BG56" s="243"/>
      <c r="BH56" s="243"/>
      <c r="BI56" s="243"/>
      <c r="BJ56" s="243"/>
      <c r="BK56" s="243"/>
      <c r="BL56" s="243"/>
      <c r="BM56" s="243"/>
      <c r="BN56" s="243"/>
      <c r="BO56" s="243"/>
      <c r="BP56" s="243"/>
      <c r="BQ56" s="243"/>
      <c r="BR56" s="243"/>
      <c r="BS56" s="243"/>
      <c r="BT56" s="243"/>
      <c r="BU56" s="243"/>
      <c r="BV56" s="243"/>
      <c r="BW56" s="243"/>
      <c r="BX56" s="243"/>
      <c r="BY56" s="243"/>
      <c r="BZ56" s="243"/>
      <c r="CA56" s="243"/>
      <c r="CB56" s="243"/>
      <c r="CC56" s="243"/>
      <c r="CD56" s="243"/>
      <c r="CE56" s="243"/>
      <c r="CF56" s="243"/>
      <c r="CG56" s="243"/>
      <c r="CH56" s="243"/>
      <c r="CI56" s="243"/>
      <c r="CJ56" s="243"/>
      <c r="CK56" s="243"/>
      <c r="CL56" s="243"/>
    </row>
    <row r="57" spans="1:90" s="290" customFormat="1">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88"/>
      <c r="AE57" s="288"/>
      <c r="AF57" s="288"/>
      <c r="AG57" s="289"/>
      <c r="AH57" s="289"/>
      <c r="AI57" s="289"/>
      <c r="AJ57" s="289"/>
      <c r="AK57" s="289"/>
      <c r="AL57" s="289"/>
      <c r="AM57" s="289"/>
      <c r="AN57" s="243"/>
      <c r="AO57" s="243"/>
      <c r="AP57" s="243"/>
      <c r="AQ57" s="243"/>
      <c r="AR57" s="243"/>
      <c r="AS57" s="243"/>
      <c r="AT57" s="243"/>
      <c r="AU57" s="243"/>
      <c r="AV57" s="243"/>
      <c r="AW57" s="243"/>
      <c r="AX57" s="243"/>
      <c r="AY57" s="243"/>
      <c r="AZ57" s="243"/>
      <c r="BA57" s="243"/>
      <c r="BB57" s="246"/>
      <c r="BC57" s="246"/>
      <c r="BD57" s="243"/>
      <c r="BE57" s="243"/>
      <c r="BF57" s="243"/>
      <c r="BG57" s="243"/>
      <c r="BH57" s="243"/>
      <c r="BI57" s="243"/>
      <c r="BJ57" s="243"/>
      <c r="BK57" s="243"/>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row>
    <row r="58" spans="1:90" s="290" customFormat="1">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9"/>
      <c r="AH58" s="289"/>
      <c r="AI58" s="289"/>
      <c r="AJ58" s="289"/>
      <c r="AK58" s="289"/>
      <c r="AL58" s="289"/>
      <c r="AM58" s="289"/>
      <c r="AN58" s="243"/>
      <c r="AO58" s="243"/>
      <c r="AP58" s="243"/>
      <c r="AQ58" s="243"/>
      <c r="AR58" s="243"/>
      <c r="AS58" s="243"/>
      <c r="AT58" s="243"/>
      <c r="AU58" s="243"/>
      <c r="AV58" s="243"/>
      <c r="AW58" s="243"/>
      <c r="AX58" s="243"/>
      <c r="AY58" s="243"/>
      <c r="AZ58" s="243"/>
      <c r="BA58" s="243"/>
      <c r="BB58" s="246"/>
      <c r="BC58" s="246"/>
      <c r="BD58" s="243"/>
      <c r="BE58" s="243"/>
      <c r="BF58" s="243"/>
      <c r="BG58" s="243"/>
      <c r="BH58" s="243"/>
      <c r="BI58" s="243"/>
      <c r="BJ58" s="243"/>
      <c r="BK58" s="243"/>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row>
    <row r="59" spans="1:90" s="290" customFormat="1">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9"/>
      <c r="AH59" s="289"/>
      <c r="AI59" s="289"/>
      <c r="AJ59" s="289"/>
      <c r="AK59" s="289"/>
      <c r="AL59" s="289"/>
      <c r="AM59" s="289"/>
      <c r="AN59" s="243"/>
      <c r="AO59" s="243"/>
      <c r="AP59" s="243"/>
      <c r="AQ59" s="243"/>
      <c r="AR59" s="243"/>
      <c r="AS59" s="243"/>
      <c r="AT59" s="243"/>
      <c r="AU59" s="243"/>
      <c r="AV59" s="243"/>
      <c r="AW59" s="243"/>
      <c r="AX59" s="243"/>
      <c r="AY59" s="243"/>
      <c r="AZ59" s="243"/>
      <c r="BA59" s="243"/>
      <c r="BB59" s="246"/>
      <c r="BC59" s="246"/>
      <c r="BD59" s="243"/>
      <c r="BE59" s="243"/>
      <c r="BF59" s="243"/>
      <c r="BG59" s="243"/>
      <c r="BH59" s="243"/>
      <c r="BI59" s="243"/>
      <c r="BJ59" s="243"/>
      <c r="BK59" s="243"/>
      <c r="BL59" s="243"/>
      <c r="BM59" s="243"/>
      <c r="BN59" s="243"/>
      <c r="BO59" s="243"/>
      <c r="BP59" s="243"/>
      <c r="BQ59" s="243"/>
      <c r="BR59" s="243"/>
      <c r="BS59" s="243"/>
      <c r="BT59" s="243"/>
      <c r="BU59" s="243"/>
      <c r="BV59" s="243"/>
      <c r="BW59" s="243"/>
      <c r="BX59" s="243"/>
      <c r="BY59" s="243"/>
      <c r="BZ59" s="243"/>
      <c r="CA59" s="243"/>
      <c r="CB59" s="243"/>
      <c r="CC59" s="243"/>
      <c r="CD59" s="243"/>
      <c r="CE59" s="243"/>
      <c r="CF59" s="243"/>
      <c r="CG59" s="243"/>
      <c r="CH59" s="243"/>
      <c r="CI59" s="243"/>
      <c r="CJ59" s="243"/>
      <c r="CK59" s="243"/>
      <c r="CL59" s="243"/>
    </row>
    <row r="60" spans="1:90" s="290" customFormat="1">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9"/>
      <c r="AH60" s="289"/>
      <c r="AI60" s="289"/>
      <c r="AJ60" s="289"/>
      <c r="AK60" s="289"/>
      <c r="AL60" s="289"/>
      <c r="AM60" s="289"/>
      <c r="AN60" s="243"/>
      <c r="AO60" s="243"/>
      <c r="AP60" s="243"/>
      <c r="AQ60" s="243"/>
      <c r="AR60" s="243"/>
      <c r="AS60" s="243"/>
      <c r="AT60" s="243"/>
      <c r="AU60" s="243"/>
      <c r="AV60" s="243"/>
      <c r="AW60" s="243"/>
      <c r="AX60" s="243"/>
      <c r="AY60" s="243"/>
      <c r="AZ60" s="243"/>
      <c r="BA60" s="243"/>
      <c r="BB60" s="246"/>
      <c r="BC60" s="246"/>
      <c r="BD60" s="243"/>
      <c r="BE60" s="243"/>
      <c r="BF60" s="243"/>
      <c r="BG60" s="243"/>
      <c r="BH60" s="243"/>
      <c r="BI60" s="243"/>
      <c r="BJ60" s="243"/>
      <c r="BK60" s="243"/>
      <c r="BL60" s="243"/>
      <c r="BM60" s="243"/>
      <c r="BN60" s="243"/>
      <c r="BO60" s="243"/>
      <c r="BP60" s="243"/>
      <c r="BQ60" s="243"/>
      <c r="BR60" s="243"/>
      <c r="BS60" s="243"/>
      <c r="BT60" s="243"/>
      <c r="BU60" s="243"/>
      <c r="BV60" s="243"/>
      <c r="BW60" s="243"/>
      <c r="BX60" s="243"/>
      <c r="BY60" s="243"/>
      <c r="BZ60" s="243"/>
      <c r="CA60" s="243"/>
      <c r="CB60" s="243"/>
      <c r="CC60" s="243"/>
      <c r="CD60" s="243"/>
      <c r="CE60" s="243"/>
      <c r="CF60" s="243"/>
      <c r="CG60" s="243"/>
      <c r="CH60" s="243"/>
      <c r="CI60" s="243"/>
      <c r="CJ60" s="243"/>
      <c r="CK60" s="243"/>
      <c r="CL60" s="243"/>
    </row>
    <row r="61" spans="1:90" s="290" customFormat="1">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8"/>
      <c r="AG61" s="289"/>
      <c r="AH61" s="289"/>
      <c r="AI61" s="289"/>
      <c r="AJ61" s="289"/>
      <c r="AK61" s="289"/>
      <c r="AL61" s="289"/>
      <c r="AM61" s="289"/>
      <c r="AN61" s="243"/>
      <c r="AO61" s="243"/>
      <c r="AP61" s="243"/>
      <c r="AQ61" s="243"/>
      <c r="AR61" s="243"/>
      <c r="AS61" s="243"/>
      <c r="AT61" s="243"/>
      <c r="AU61" s="243"/>
      <c r="AV61" s="243"/>
      <c r="AW61" s="243"/>
      <c r="AX61" s="243"/>
      <c r="AY61" s="243"/>
      <c r="AZ61" s="243"/>
      <c r="BA61" s="243"/>
      <c r="BB61" s="246"/>
      <c r="BC61" s="246"/>
      <c r="BD61" s="243"/>
      <c r="BE61" s="243"/>
      <c r="BF61" s="243"/>
      <c r="BG61" s="243"/>
      <c r="BH61" s="243"/>
      <c r="BI61" s="243"/>
      <c r="BJ61" s="243"/>
      <c r="BK61" s="243"/>
      <c r="BL61" s="243"/>
      <c r="BM61" s="243"/>
      <c r="BN61" s="243"/>
      <c r="BO61" s="243"/>
      <c r="BP61" s="243"/>
      <c r="BQ61" s="243"/>
      <c r="BR61" s="243"/>
      <c r="BS61" s="243"/>
      <c r="BT61" s="243"/>
      <c r="BU61" s="243"/>
      <c r="BV61" s="243"/>
      <c r="BW61" s="243"/>
      <c r="BX61" s="243"/>
      <c r="BY61" s="243"/>
      <c r="BZ61" s="243"/>
      <c r="CA61" s="243"/>
      <c r="CB61" s="243"/>
      <c r="CC61" s="243"/>
      <c r="CD61" s="243"/>
      <c r="CE61" s="243"/>
      <c r="CF61" s="243"/>
      <c r="CG61" s="243"/>
      <c r="CH61" s="243"/>
      <c r="CI61" s="243"/>
      <c r="CJ61" s="243"/>
      <c r="CK61" s="243"/>
      <c r="CL61" s="243"/>
    </row>
    <row r="62" spans="1:90" s="290" customFormat="1">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8"/>
      <c r="AG62" s="289"/>
      <c r="AH62" s="289"/>
      <c r="AI62" s="289"/>
      <c r="AJ62" s="289"/>
      <c r="AK62" s="289"/>
      <c r="AL62" s="289"/>
      <c r="AM62" s="289"/>
      <c r="AN62" s="243"/>
      <c r="AO62" s="243"/>
      <c r="AP62" s="243"/>
      <c r="AQ62" s="243"/>
      <c r="AR62" s="243"/>
      <c r="AS62" s="243"/>
      <c r="AT62" s="243"/>
      <c r="AU62" s="243"/>
      <c r="AV62" s="243"/>
      <c r="AW62" s="243"/>
      <c r="AX62" s="243"/>
      <c r="AY62" s="243"/>
      <c r="AZ62" s="243"/>
      <c r="BA62" s="243"/>
      <c r="BB62" s="246"/>
      <c r="BC62" s="246"/>
      <c r="BD62" s="243"/>
      <c r="BE62" s="243"/>
      <c r="BF62" s="243"/>
      <c r="BG62" s="243"/>
      <c r="BH62" s="243"/>
      <c r="BI62" s="243"/>
      <c r="BJ62" s="243"/>
      <c r="BK62" s="243"/>
      <c r="BL62" s="243"/>
      <c r="BM62" s="243"/>
      <c r="BN62" s="243"/>
      <c r="BO62" s="243"/>
      <c r="BP62" s="243"/>
      <c r="BQ62" s="243"/>
      <c r="BR62" s="243"/>
      <c r="BS62" s="243"/>
      <c r="BT62" s="243"/>
      <c r="BU62" s="243"/>
      <c r="BV62" s="243"/>
      <c r="BW62" s="243"/>
      <c r="BX62" s="243"/>
      <c r="BY62" s="243"/>
      <c r="BZ62" s="243"/>
      <c r="CA62" s="243"/>
      <c r="CB62" s="243"/>
      <c r="CC62" s="243"/>
      <c r="CD62" s="243"/>
      <c r="CE62" s="243"/>
      <c r="CF62" s="243"/>
      <c r="CG62" s="243"/>
      <c r="CH62" s="243"/>
      <c r="CI62" s="243"/>
      <c r="CJ62" s="243"/>
      <c r="CK62" s="243"/>
      <c r="CL62" s="243"/>
    </row>
    <row r="63" spans="1:90" s="290" customFormat="1">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9"/>
      <c r="AH63" s="289"/>
      <c r="AI63" s="289"/>
      <c r="AJ63" s="289"/>
      <c r="AK63" s="289"/>
      <c r="AL63" s="289"/>
      <c r="AM63" s="289"/>
      <c r="AN63" s="243"/>
      <c r="AO63" s="243"/>
      <c r="AP63" s="243"/>
      <c r="AQ63" s="243"/>
      <c r="AR63" s="243"/>
      <c r="AS63" s="243"/>
      <c r="AT63" s="243"/>
      <c r="AU63" s="243"/>
      <c r="AV63" s="243"/>
      <c r="AW63" s="243"/>
      <c r="AX63" s="243"/>
      <c r="AY63" s="243"/>
      <c r="AZ63" s="243"/>
      <c r="BA63" s="243"/>
      <c r="BB63" s="246"/>
      <c r="BC63" s="246"/>
      <c r="BD63" s="243"/>
      <c r="BE63" s="243"/>
      <c r="BF63" s="243"/>
      <c r="BG63" s="243"/>
      <c r="BH63" s="243"/>
      <c r="BI63" s="243"/>
      <c r="BJ63" s="243"/>
      <c r="BK63" s="243"/>
      <c r="BL63" s="243"/>
      <c r="BM63" s="243"/>
      <c r="BN63" s="243"/>
      <c r="BO63" s="243"/>
      <c r="BP63" s="243"/>
      <c r="BQ63" s="243"/>
      <c r="BR63" s="243"/>
      <c r="BS63" s="243"/>
      <c r="BT63" s="243"/>
      <c r="BU63" s="243"/>
      <c r="BV63" s="243"/>
      <c r="BW63" s="243"/>
      <c r="BX63" s="243"/>
      <c r="BY63" s="243"/>
      <c r="BZ63" s="243"/>
      <c r="CA63" s="243"/>
      <c r="CB63" s="243"/>
      <c r="CC63" s="243"/>
      <c r="CD63" s="243"/>
      <c r="CE63" s="243"/>
      <c r="CF63" s="243"/>
      <c r="CG63" s="243"/>
      <c r="CH63" s="243"/>
      <c r="CI63" s="243"/>
      <c r="CJ63" s="243"/>
      <c r="CK63" s="243"/>
      <c r="CL63" s="243"/>
    </row>
    <row r="64" spans="1:90" s="290" customFormat="1">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8"/>
      <c r="AG64" s="289"/>
      <c r="AH64" s="289"/>
      <c r="AI64" s="289"/>
      <c r="AJ64" s="289"/>
      <c r="AK64" s="289"/>
      <c r="AL64" s="289"/>
      <c r="AM64" s="289"/>
      <c r="AN64" s="243"/>
      <c r="AO64" s="243"/>
      <c r="AP64" s="243"/>
      <c r="AQ64" s="243"/>
      <c r="AR64" s="243"/>
      <c r="AS64" s="243"/>
      <c r="AT64" s="243"/>
      <c r="AU64" s="243"/>
      <c r="AV64" s="243"/>
      <c r="AW64" s="243"/>
      <c r="AX64" s="243"/>
      <c r="AY64" s="243"/>
      <c r="AZ64" s="243"/>
      <c r="BA64" s="243"/>
      <c r="BB64" s="246"/>
      <c r="BC64" s="246"/>
      <c r="BD64" s="243"/>
      <c r="BE64" s="243"/>
      <c r="BF64" s="243"/>
      <c r="BG64" s="243"/>
      <c r="BH64" s="243"/>
      <c r="BI64" s="243"/>
      <c r="BJ64" s="243"/>
      <c r="BK64" s="243"/>
      <c r="BL64" s="243"/>
      <c r="BM64" s="243"/>
      <c r="BN64" s="243"/>
      <c r="BO64" s="243"/>
      <c r="BP64" s="243"/>
      <c r="BQ64" s="243"/>
      <c r="BR64" s="243"/>
      <c r="BS64" s="243"/>
      <c r="BT64" s="243"/>
      <c r="BU64" s="243"/>
      <c r="BV64" s="243"/>
      <c r="BW64" s="243"/>
      <c r="BX64" s="243"/>
      <c r="BY64" s="243"/>
      <c r="BZ64" s="243"/>
      <c r="CA64" s="243"/>
      <c r="CB64" s="243"/>
      <c r="CC64" s="243"/>
      <c r="CD64" s="243"/>
      <c r="CE64" s="243"/>
      <c r="CF64" s="243"/>
      <c r="CG64" s="243"/>
      <c r="CH64" s="243"/>
      <c r="CI64" s="243"/>
      <c r="CJ64" s="243"/>
      <c r="CK64" s="243"/>
      <c r="CL64" s="243"/>
    </row>
    <row r="65" spans="1:90" s="290" customFormat="1">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9"/>
      <c r="AH65" s="289"/>
      <c r="AI65" s="289"/>
      <c r="AJ65" s="289"/>
      <c r="AK65" s="289"/>
      <c r="AL65" s="289"/>
      <c r="AM65" s="289"/>
      <c r="AN65" s="243"/>
      <c r="AO65" s="243"/>
      <c r="AP65" s="243"/>
      <c r="AQ65" s="243"/>
      <c r="AR65" s="243"/>
      <c r="AS65" s="243"/>
      <c r="AT65" s="243"/>
      <c r="AU65" s="243"/>
      <c r="AV65" s="243"/>
      <c r="AW65" s="243"/>
      <c r="AX65" s="243"/>
      <c r="AY65" s="243"/>
      <c r="AZ65" s="243"/>
      <c r="BA65" s="243"/>
      <c r="BB65" s="246"/>
      <c r="BC65" s="246"/>
      <c r="BD65" s="243"/>
      <c r="BE65" s="243"/>
      <c r="BF65" s="243"/>
      <c r="BG65" s="243"/>
      <c r="BH65" s="243"/>
      <c r="BI65" s="243"/>
      <c r="BJ65" s="243"/>
      <c r="BK65" s="243"/>
      <c r="BL65" s="243"/>
      <c r="BM65" s="243"/>
      <c r="BN65" s="243"/>
      <c r="BO65" s="243"/>
      <c r="BP65" s="243"/>
      <c r="BQ65" s="243"/>
      <c r="BR65" s="243"/>
      <c r="BS65" s="243"/>
      <c r="BT65" s="243"/>
      <c r="BU65" s="243"/>
      <c r="BV65" s="243"/>
      <c r="BW65" s="243"/>
      <c r="BX65" s="243"/>
      <c r="BY65" s="243"/>
      <c r="BZ65" s="243"/>
      <c r="CA65" s="243"/>
      <c r="CB65" s="243"/>
      <c r="CC65" s="243"/>
      <c r="CD65" s="243"/>
      <c r="CE65" s="243"/>
      <c r="CF65" s="243"/>
      <c r="CG65" s="243"/>
      <c r="CH65" s="243"/>
      <c r="CI65" s="243"/>
      <c r="CJ65" s="243"/>
      <c r="CK65" s="243"/>
      <c r="CL65" s="243"/>
    </row>
    <row r="66" spans="1:90" s="290" customFormat="1">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9"/>
      <c r="AH66" s="289"/>
      <c r="AI66" s="289"/>
      <c r="AJ66" s="289"/>
      <c r="AK66" s="289"/>
      <c r="AL66" s="289"/>
      <c r="AM66" s="289"/>
      <c r="AN66" s="243"/>
      <c r="AO66" s="243"/>
      <c r="AP66" s="243"/>
      <c r="AQ66" s="243"/>
      <c r="AR66" s="243"/>
      <c r="AS66" s="243"/>
      <c r="AT66" s="243"/>
      <c r="AU66" s="243"/>
      <c r="AV66" s="243"/>
      <c r="AW66" s="243"/>
      <c r="AX66" s="243"/>
      <c r="AY66" s="243"/>
      <c r="AZ66" s="243"/>
      <c r="BA66" s="243"/>
      <c r="BB66" s="246"/>
      <c r="BC66" s="246"/>
      <c r="BD66" s="243"/>
      <c r="BE66" s="243"/>
      <c r="BF66" s="243"/>
      <c r="BG66" s="243"/>
      <c r="BH66" s="243"/>
      <c r="BI66" s="243"/>
      <c r="BJ66" s="243"/>
      <c r="BK66" s="243"/>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row>
    <row r="67" spans="1:90" s="290" customFormat="1">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9"/>
      <c r="AH67" s="289"/>
      <c r="AI67" s="289"/>
      <c r="AJ67" s="289"/>
      <c r="AK67" s="289"/>
      <c r="AL67" s="289"/>
      <c r="AM67" s="289"/>
      <c r="AN67" s="243"/>
      <c r="AO67" s="243"/>
      <c r="AP67" s="243"/>
      <c r="AQ67" s="243"/>
      <c r="AR67" s="243"/>
      <c r="AS67" s="243"/>
      <c r="AT67" s="243"/>
      <c r="AU67" s="243"/>
      <c r="AV67" s="243"/>
      <c r="AW67" s="243"/>
      <c r="AX67" s="243"/>
      <c r="AY67" s="243"/>
      <c r="AZ67" s="243"/>
      <c r="BA67" s="243"/>
      <c r="BB67" s="246"/>
      <c r="BC67" s="246"/>
      <c r="BD67" s="243"/>
      <c r="BE67" s="243"/>
      <c r="BF67" s="243"/>
      <c r="BG67" s="243"/>
      <c r="BH67" s="243"/>
      <c r="BI67" s="243"/>
      <c r="BJ67" s="243"/>
      <c r="BK67" s="243"/>
      <c r="BL67" s="243"/>
      <c r="BM67" s="243"/>
      <c r="BN67" s="243"/>
      <c r="BO67" s="243"/>
      <c r="BP67" s="243"/>
      <c r="BQ67" s="243"/>
      <c r="BR67" s="243"/>
      <c r="BS67" s="243"/>
      <c r="BT67" s="243"/>
      <c r="BU67" s="243"/>
      <c r="BV67" s="243"/>
      <c r="BW67" s="243"/>
      <c r="BX67" s="243"/>
      <c r="BY67" s="243"/>
      <c r="BZ67" s="243"/>
      <c r="CA67" s="243"/>
      <c r="CB67" s="243"/>
      <c r="CC67" s="243"/>
      <c r="CD67" s="243"/>
      <c r="CE67" s="243"/>
      <c r="CF67" s="243"/>
      <c r="CG67" s="243"/>
      <c r="CH67" s="243"/>
      <c r="CI67" s="243"/>
      <c r="CJ67" s="243"/>
      <c r="CK67" s="243"/>
      <c r="CL67" s="243"/>
    </row>
    <row r="68" spans="1:90" s="290" customFormat="1">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9"/>
      <c r="AH68" s="289"/>
      <c r="AI68" s="289"/>
      <c r="AJ68" s="289"/>
      <c r="AK68" s="289"/>
      <c r="AL68" s="289"/>
      <c r="AM68" s="289"/>
      <c r="AN68" s="243"/>
      <c r="AO68" s="243"/>
      <c r="AP68" s="243"/>
      <c r="AQ68" s="243"/>
      <c r="AR68" s="243"/>
      <c r="AS68" s="243"/>
      <c r="AT68" s="243"/>
      <c r="AU68" s="243"/>
      <c r="AV68" s="243"/>
      <c r="AW68" s="243"/>
      <c r="AX68" s="243"/>
      <c r="AY68" s="243"/>
      <c r="AZ68" s="243"/>
      <c r="BA68" s="243"/>
      <c r="BB68" s="246"/>
      <c r="BC68" s="246"/>
      <c r="BD68" s="243"/>
      <c r="BE68" s="243"/>
      <c r="BF68" s="243"/>
      <c r="BG68" s="243"/>
      <c r="BH68" s="243"/>
      <c r="BI68" s="243"/>
      <c r="BJ68" s="243"/>
      <c r="BK68" s="243"/>
      <c r="BL68" s="243"/>
      <c r="BM68" s="243"/>
      <c r="BN68" s="243"/>
      <c r="BO68" s="243"/>
      <c r="BP68" s="243"/>
      <c r="BQ68" s="243"/>
      <c r="BR68" s="243"/>
      <c r="BS68" s="243"/>
      <c r="BT68" s="243"/>
      <c r="BU68" s="243"/>
      <c r="BV68" s="243"/>
      <c r="BW68" s="243"/>
      <c r="BX68" s="243"/>
      <c r="BY68" s="243"/>
      <c r="BZ68" s="243"/>
      <c r="CA68" s="243"/>
      <c r="CB68" s="243"/>
      <c r="CC68" s="243"/>
      <c r="CD68" s="243"/>
      <c r="CE68" s="243"/>
      <c r="CF68" s="243"/>
      <c r="CG68" s="243"/>
      <c r="CH68" s="243"/>
      <c r="CI68" s="243"/>
      <c r="CJ68" s="243"/>
      <c r="CK68" s="243"/>
      <c r="CL68" s="243"/>
    </row>
    <row r="69" spans="1:90">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9"/>
      <c r="AH69" s="289"/>
      <c r="AI69" s="289"/>
      <c r="AJ69" s="289"/>
      <c r="AK69" s="289"/>
      <c r="AL69" s="289"/>
      <c r="AM69" s="289"/>
      <c r="AN69" s="243"/>
      <c r="AO69" s="243"/>
      <c r="AP69" s="243"/>
      <c r="AQ69" s="243"/>
      <c r="AR69" s="243"/>
      <c r="AS69" s="243"/>
      <c r="AT69" s="243"/>
      <c r="AU69" s="243"/>
      <c r="AV69" s="243"/>
      <c r="AW69" s="243"/>
      <c r="AX69" s="243"/>
      <c r="AY69" s="243"/>
      <c r="AZ69" s="243"/>
      <c r="BA69" s="243"/>
      <c r="BB69" s="246"/>
      <c r="BC69" s="246"/>
      <c r="BD69" s="243"/>
      <c r="BE69" s="243"/>
      <c r="BF69" s="243"/>
      <c r="BG69" s="243"/>
      <c r="BH69" s="243"/>
      <c r="BI69" s="243"/>
      <c r="BJ69" s="243"/>
      <c r="BK69" s="243"/>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row>
    <row r="70" spans="1:90">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9"/>
      <c r="AH70" s="289"/>
      <c r="AI70" s="289"/>
      <c r="AJ70" s="289"/>
      <c r="AK70" s="289"/>
      <c r="AL70" s="289"/>
      <c r="AM70" s="289"/>
      <c r="AN70" s="243"/>
      <c r="AO70" s="243"/>
      <c r="AP70" s="243"/>
      <c r="AQ70" s="243"/>
      <c r="AR70" s="243"/>
      <c r="AS70" s="243"/>
      <c r="AT70" s="243"/>
      <c r="AU70" s="243"/>
      <c r="AV70" s="243"/>
      <c r="AW70" s="243"/>
      <c r="AX70" s="243"/>
      <c r="AY70" s="243"/>
      <c r="AZ70" s="243"/>
      <c r="BA70" s="243"/>
      <c r="BB70" s="246"/>
      <c r="BC70" s="246"/>
      <c r="BD70" s="243"/>
      <c r="BE70" s="243"/>
      <c r="BF70" s="243"/>
      <c r="BG70" s="243"/>
      <c r="BH70" s="243"/>
      <c r="BI70" s="243"/>
      <c r="BJ70" s="243"/>
      <c r="BK70" s="243"/>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row>
    <row r="71" spans="1:90">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9"/>
      <c r="AH71" s="289"/>
      <c r="AI71" s="289"/>
      <c r="AJ71" s="289"/>
      <c r="AK71" s="289"/>
      <c r="AL71" s="289"/>
      <c r="AM71" s="289"/>
      <c r="AN71" s="243"/>
      <c r="AO71" s="243"/>
      <c r="AP71" s="243"/>
      <c r="AQ71" s="243"/>
      <c r="AR71" s="243"/>
      <c r="AS71" s="243"/>
      <c r="AT71" s="243"/>
      <c r="AU71" s="243"/>
      <c r="AV71" s="243"/>
      <c r="AW71" s="243"/>
      <c r="AX71" s="243"/>
      <c r="AY71" s="243"/>
      <c r="AZ71" s="243"/>
      <c r="BA71" s="243"/>
      <c r="BB71" s="246"/>
      <c r="BC71" s="246"/>
      <c r="BD71" s="243"/>
      <c r="BE71" s="243"/>
      <c r="BF71" s="243"/>
      <c r="BG71" s="243"/>
      <c r="BH71" s="243"/>
      <c r="BI71" s="243"/>
      <c r="BJ71" s="243"/>
      <c r="BK71" s="243"/>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row>
    <row r="72" spans="1:90">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9"/>
      <c r="AH72" s="289"/>
      <c r="AI72" s="289"/>
      <c r="AJ72" s="289"/>
      <c r="AK72" s="289"/>
      <c r="AL72" s="289"/>
      <c r="AM72" s="289"/>
      <c r="AN72" s="243"/>
      <c r="AO72" s="243"/>
      <c r="AP72" s="243"/>
      <c r="AQ72" s="243"/>
      <c r="AR72" s="243"/>
      <c r="AS72" s="243"/>
      <c r="AT72" s="243"/>
      <c r="AU72" s="243"/>
      <c r="AV72" s="243"/>
      <c r="AW72" s="243"/>
      <c r="AX72" s="243"/>
      <c r="AY72" s="243"/>
      <c r="AZ72" s="243"/>
      <c r="BA72" s="243"/>
      <c r="BB72" s="246"/>
      <c r="BC72" s="246"/>
      <c r="BD72" s="243"/>
      <c r="BE72" s="243"/>
      <c r="BF72" s="243"/>
      <c r="BG72" s="243"/>
      <c r="BH72" s="243"/>
      <c r="BI72" s="243"/>
      <c r="BJ72" s="243"/>
      <c r="BK72" s="243"/>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row>
    <row r="73" spans="1:90">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9"/>
      <c r="AH73" s="289"/>
      <c r="AI73" s="289"/>
      <c r="AJ73" s="289"/>
      <c r="AK73" s="289"/>
      <c r="AL73" s="289"/>
      <c r="AM73" s="289"/>
      <c r="AN73" s="243"/>
      <c r="AO73" s="243"/>
      <c r="AP73" s="243"/>
      <c r="AQ73" s="243"/>
      <c r="AR73" s="243"/>
      <c r="AS73" s="243"/>
      <c r="AT73" s="243"/>
      <c r="AU73" s="243"/>
      <c r="AV73" s="243"/>
      <c r="AW73" s="243"/>
      <c r="AX73" s="243"/>
      <c r="AY73" s="243"/>
      <c r="AZ73" s="243"/>
      <c r="BA73" s="243"/>
      <c r="BB73" s="246"/>
      <c r="BC73" s="246"/>
      <c r="BD73" s="243"/>
      <c r="BE73" s="243"/>
      <c r="BF73" s="243"/>
      <c r="BG73" s="243"/>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row>
    <row r="74" spans="1:90">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9"/>
      <c r="AH74" s="289"/>
      <c r="AI74" s="289"/>
      <c r="AJ74" s="289"/>
      <c r="AK74" s="289"/>
      <c r="AL74" s="289"/>
      <c r="AM74" s="289"/>
      <c r="AN74" s="243"/>
      <c r="AO74" s="243"/>
      <c r="AP74" s="243"/>
      <c r="AQ74" s="243"/>
      <c r="AR74" s="243"/>
      <c r="AS74" s="243"/>
      <c r="AT74" s="243"/>
      <c r="AU74" s="243"/>
      <c r="AV74" s="243"/>
      <c r="AW74" s="243"/>
      <c r="AX74" s="243"/>
      <c r="AY74" s="243"/>
      <c r="AZ74" s="243"/>
      <c r="BA74" s="243"/>
      <c r="BB74" s="246"/>
      <c r="BC74" s="246"/>
      <c r="BD74" s="243"/>
      <c r="BE74" s="243"/>
      <c r="BF74" s="243"/>
      <c r="BG74" s="243"/>
      <c r="BH74" s="243"/>
      <c r="BI74" s="243"/>
      <c r="BJ74" s="243"/>
      <c r="BK74" s="243"/>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row>
    <row r="75" spans="1:90">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9"/>
      <c r="AH75" s="289"/>
      <c r="AI75" s="289"/>
      <c r="AJ75" s="289"/>
      <c r="AK75" s="289"/>
      <c r="AL75" s="289"/>
      <c r="AM75" s="289"/>
      <c r="AN75" s="243"/>
      <c r="AO75" s="243"/>
      <c r="AP75" s="243"/>
      <c r="AQ75" s="243"/>
      <c r="AR75" s="243"/>
      <c r="AS75" s="243"/>
      <c r="AT75" s="243"/>
      <c r="AU75" s="243"/>
      <c r="AV75" s="243"/>
      <c r="AW75" s="243"/>
      <c r="AX75" s="243"/>
      <c r="AY75" s="243"/>
      <c r="AZ75" s="243"/>
      <c r="BA75" s="243"/>
      <c r="BB75" s="246"/>
      <c r="BC75" s="246"/>
      <c r="BD75" s="243"/>
      <c r="BE75" s="243"/>
      <c r="BF75" s="243"/>
      <c r="BG75" s="243"/>
      <c r="BH75" s="243"/>
      <c r="BI75" s="243"/>
      <c r="BJ75" s="243"/>
      <c r="BK75" s="243"/>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row>
    <row r="76" spans="1:90">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9"/>
      <c r="AH76" s="289"/>
      <c r="AI76" s="289"/>
      <c r="AJ76" s="289"/>
      <c r="AK76" s="289"/>
      <c r="AL76" s="289"/>
      <c r="AM76" s="289"/>
      <c r="AN76" s="243"/>
      <c r="AO76" s="243"/>
      <c r="AP76" s="243"/>
      <c r="AQ76" s="243"/>
      <c r="AR76" s="243"/>
      <c r="AS76" s="243"/>
      <c r="AT76" s="243"/>
      <c r="AU76" s="243"/>
      <c r="AV76" s="243"/>
      <c r="AW76" s="243"/>
      <c r="AX76" s="243"/>
      <c r="AY76" s="243"/>
      <c r="AZ76" s="243"/>
      <c r="BA76" s="243"/>
      <c r="BB76" s="246"/>
      <c r="BC76" s="246"/>
      <c r="BD76" s="243"/>
      <c r="BE76" s="243"/>
      <c r="BF76" s="243"/>
      <c r="BG76" s="243"/>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row>
    <row r="77" spans="1:90">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9"/>
      <c r="AH77" s="289"/>
      <c r="AI77" s="289"/>
      <c r="AJ77" s="289"/>
      <c r="AK77" s="289"/>
      <c r="AL77" s="289"/>
      <c r="AM77" s="289"/>
      <c r="AN77" s="243"/>
      <c r="AO77" s="243"/>
      <c r="AP77" s="243"/>
      <c r="AQ77" s="243"/>
      <c r="AR77" s="243"/>
      <c r="AS77" s="243"/>
      <c r="AT77" s="243"/>
      <c r="AU77" s="243"/>
      <c r="AV77" s="243"/>
      <c r="AW77" s="243"/>
      <c r="AX77" s="243"/>
      <c r="AY77" s="243"/>
      <c r="AZ77" s="243"/>
      <c r="BA77" s="243"/>
      <c r="BB77" s="246"/>
      <c r="BC77" s="246"/>
      <c r="BD77" s="243"/>
      <c r="BE77" s="243"/>
      <c r="BF77" s="243"/>
      <c r="BG77" s="243"/>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row>
    <row r="78" spans="1:90">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9"/>
      <c r="AH78" s="289"/>
      <c r="AI78" s="289"/>
      <c r="AJ78" s="289"/>
      <c r="AK78" s="289"/>
      <c r="AL78" s="289"/>
      <c r="AM78" s="289"/>
      <c r="AN78" s="243"/>
      <c r="AO78" s="243"/>
      <c r="AP78" s="243"/>
      <c r="AQ78" s="243"/>
      <c r="AR78" s="243"/>
      <c r="AS78" s="243"/>
      <c r="AT78" s="243"/>
      <c r="AU78" s="243"/>
      <c r="AV78" s="243"/>
      <c r="AW78" s="243"/>
      <c r="AX78" s="243"/>
      <c r="AY78" s="243"/>
      <c r="AZ78" s="243"/>
      <c r="BA78" s="243"/>
      <c r="BB78" s="246"/>
      <c r="BC78" s="246"/>
      <c r="BD78" s="243"/>
      <c r="BE78" s="243"/>
      <c r="BF78" s="243"/>
      <c r="BG78" s="243"/>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row>
    <row r="79" spans="1:90">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9"/>
      <c r="AH79" s="289"/>
      <c r="AI79" s="289"/>
      <c r="AJ79" s="289"/>
      <c r="AK79" s="289"/>
      <c r="AL79" s="289"/>
      <c r="AM79" s="289"/>
      <c r="AN79" s="243"/>
      <c r="AO79" s="243"/>
      <c r="AP79" s="243"/>
      <c r="AQ79" s="243"/>
      <c r="AR79" s="243"/>
      <c r="AS79" s="243"/>
      <c r="AT79" s="243"/>
      <c r="AU79" s="243"/>
      <c r="AV79" s="243"/>
      <c r="AW79" s="243"/>
      <c r="AX79" s="243"/>
      <c r="AY79" s="243"/>
      <c r="AZ79" s="243"/>
      <c r="BA79" s="243"/>
      <c r="BB79" s="246"/>
      <c r="BC79" s="246"/>
      <c r="BD79" s="243"/>
      <c r="BE79" s="243"/>
      <c r="BF79" s="243"/>
      <c r="BG79" s="243"/>
      <c r="BH79" s="243"/>
      <c r="BI79" s="243"/>
      <c r="BJ79" s="243"/>
      <c r="BK79" s="243"/>
      <c r="BL79" s="243"/>
      <c r="BM79" s="243"/>
      <c r="BN79" s="243"/>
      <c r="BO79" s="243"/>
      <c r="BP79" s="243"/>
      <c r="BQ79" s="243"/>
      <c r="BR79" s="243"/>
      <c r="BS79" s="243"/>
      <c r="BT79" s="243"/>
      <c r="BU79" s="243"/>
      <c r="BV79" s="243"/>
      <c r="BW79" s="243"/>
      <c r="BX79" s="243"/>
      <c r="BY79" s="243"/>
      <c r="BZ79" s="243"/>
      <c r="CA79" s="243"/>
      <c r="CB79" s="243"/>
      <c r="CC79" s="243"/>
      <c r="CD79" s="243"/>
      <c r="CE79" s="243"/>
      <c r="CF79" s="243"/>
      <c r="CG79" s="243"/>
      <c r="CH79" s="243"/>
      <c r="CI79" s="243"/>
      <c r="CJ79" s="243"/>
      <c r="CK79" s="243"/>
      <c r="CL79" s="243"/>
    </row>
    <row r="80" spans="1:90">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9"/>
      <c r="AH80" s="289"/>
      <c r="AI80" s="289"/>
      <c r="AJ80" s="289"/>
      <c r="AK80" s="289"/>
      <c r="AL80" s="289"/>
      <c r="AM80" s="289"/>
      <c r="AN80" s="243"/>
      <c r="AO80" s="243"/>
      <c r="AP80" s="243"/>
      <c r="AQ80" s="243"/>
      <c r="AR80" s="243"/>
      <c r="AS80" s="243"/>
      <c r="AT80" s="243"/>
      <c r="AU80" s="243"/>
      <c r="AV80" s="243"/>
      <c r="AW80" s="243"/>
      <c r="AX80" s="243"/>
      <c r="AY80" s="243"/>
      <c r="AZ80" s="243"/>
      <c r="BA80" s="243"/>
      <c r="BB80" s="246"/>
      <c r="BC80" s="246"/>
      <c r="BD80" s="243"/>
      <c r="BE80" s="243"/>
      <c r="BF80" s="243"/>
      <c r="BG80" s="243"/>
      <c r="BH80" s="243"/>
      <c r="BI80" s="243"/>
      <c r="BJ80" s="243"/>
      <c r="BK80" s="243"/>
      <c r="BL80" s="243"/>
      <c r="BM80" s="243"/>
      <c r="BN80" s="243"/>
      <c r="BO80" s="243"/>
      <c r="BP80" s="243"/>
      <c r="BQ80" s="243"/>
      <c r="BR80" s="243"/>
      <c r="BS80" s="243"/>
      <c r="BT80" s="243"/>
      <c r="BU80" s="243"/>
      <c r="BV80" s="243"/>
      <c r="BW80" s="243"/>
      <c r="BX80" s="243"/>
      <c r="BY80" s="243"/>
      <c r="BZ80" s="243"/>
      <c r="CA80" s="243"/>
      <c r="CB80" s="243"/>
      <c r="CC80" s="243"/>
      <c r="CD80" s="243"/>
      <c r="CE80" s="243"/>
      <c r="CF80" s="243"/>
      <c r="CG80" s="243"/>
      <c r="CH80" s="243"/>
      <c r="CI80" s="243"/>
      <c r="CJ80" s="243"/>
      <c r="CK80" s="243"/>
      <c r="CL80" s="243"/>
    </row>
    <row r="81" spans="1:90">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9"/>
      <c r="AH81" s="289"/>
      <c r="AI81" s="289"/>
      <c r="AJ81" s="289"/>
      <c r="AK81" s="289"/>
      <c r="AL81" s="289"/>
      <c r="AM81" s="289"/>
      <c r="AN81" s="243"/>
      <c r="AO81" s="243"/>
      <c r="AP81" s="243"/>
      <c r="AQ81" s="243"/>
      <c r="AR81" s="243"/>
      <c r="AS81" s="243"/>
      <c r="AT81" s="243"/>
      <c r="AU81" s="243"/>
      <c r="AV81" s="243"/>
      <c r="AW81" s="243"/>
      <c r="AX81" s="243"/>
      <c r="AY81" s="243"/>
      <c r="AZ81" s="243"/>
      <c r="BA81" s="243"/>
      <c r="BB81" s="246"/>
      <c r="BC81" s="246"/>
      <c r="BD81" s="243"/>
      <c r="BE81" s="243"/>
      <c r="BF81" s="243"/>
      <c r="BG81" s="243"/>
      <c r="BH81" s="243"/>
      <c r="BI81" s="243"/>
      <c r="BJ81" s="243"/>
      <c r="BK81" s="243"/>
      <c r="BL81" s="243"/>
      <c r="BM81" s="243"/>
      <c r="BN81" s="243"/>
      <c r="BO81" s="243"/>
      <c r="BP81" s="243"/>
      <c r="BQ81" s="243"/>
      <c r="BR81" s="243"/>
      <c r="BS81" s="243"/>
      <c r="BT81" s="243"/>
      <c r="BU81" s="243"/>
      <c r="BV81" s="243"/>
      <c r="BW81" s="243"/>
      <c r="BX81" s="243"/>
      <c r="BY81" s="243"/>
      <c r="BZ81" s="243"/>
      <c r="CA81" s="243"/>
      <c r="CB81" s="243"/>
      <c r="CC81" s="243"/>
      <c r="CD81" s="243"/>
      <c r="CE81" s="243"/>
      <c r="CF81" s="243"/>
      <c r="CG81" s="243"/>
      <c r="CH81" s="243"/>
      <c r="CI81" s="243"/>
      <c r="CJ81" s="243"/>
      <c r="CK81" s="243"/>
      <c r="CL81" s="243"/>
    </row>
    <row r="82" spans="1:90">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9"/>
      <c r="AH82" s="289"/>
      <c r="AI82" s="289"/>
      <c r="AJ82" s="289"/>
      <c r="AK82" s="289"/>
      <c r="AL82" s="289"/>
      <c r="AM82" s="289"/>
      <c r="AN82" s="243"/>
      <c r="AO82" s="243"/>
      <c r="AP82" s="243"/>
      <c r="AQ82" s="243"/>
      <c r="AR82" s="243"/>
      <c r="AS82" s="243"/>
      <c r="AT82" s="243"/>
      <c r="AU82" s="243"/>
      <c r="AV82" s="243"/>
      <c r="AW82" s="243"/>
      <c r="AX82" s="243"/>
      <c r="AY82" s="243"/>
      <c r="AZ82" s="243"/>
      <c r="BA82" s="243"/>
      <c r="BB82" s="246"/>
      <c r="BC82" s="246"/>
      <c r="BD82" s="243"/>
      <c r="BE82" s="243"/>
      <c r="BF82" s="243"/>
      <c r="BG82" s="243"/>
      <c r="BH82" s="243"/>
      <c r="BI82" s="243"/>
      <c r="BJ82" s="243"/>
      <c r="BK82" s="243"/>
      <c r="BL82" s="243"/>
      <c r="BM82" s="243"/>
      <c r="BN82" s="243"/>
      <c r="BO82" s="243"/>
      <c r="BP82" s="243"/>
      <c r="BQ82" s="243"/>
      <c r="BR82" s="243"/>
      <c r="BS82" s="243"/>
      <c r="BT82" s="243"/>
      <c r="BU82" s="243"/>
      <c r="BV82" s="243"/>
      <c r="BW82" s="243"/>
      <c r="BX82" s="243"/>
      <c r="BY82" s="243"/>
      <c r="BZ82" s="243"/>
      <c r="CA82" s="243"/>
      <c r="CB82" s="243"/>
      <c r="CC82" s="243"/>
      <c r="CD82" s="243"/>
      <c r="CE82" s="243"/>
      <c r="CF82" s="243"/>
      <c r="CG82" s="243"/>
      <c r="CH82" s="243"/>
      <c r="CI82" s="243"/>
      <c r="CJ82" s="243"/>
      <c r="CK82" s="243"/>
      <c r="CL82" s="243"/>
    </row>
    <row r="83" spans="1:90">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9"/>
      <c r="AH83" s="289"/>
      <c r="AI83" s="289"/>
      <c r="AJ83" s="289"/>
      <c r="AK83" s="289"/>
      <c r="AL83" s="289"/>
      <c r="AM83" s="289"/>
      <c r="AN83" s="243"/>
      <c r="AO83" s="243"/>
      <c r="AP83" s="243"/>
      <c r="AQ83" s="243"/>
      <c r="AR83" s="243"/>
      <c r="AS83" s="243"/>
      <c r="AT83" s="243"/>
      <c r="AU83" s="243"/>
      <c r="AV83" s="243"/>
      <c r="AW83" s="243"/>
      <c r="AX83" s="243"/>
      <c r="AY83" s="243"/>
      <c r="AZ83" s="243"/>
      <c r="BA83" s="243"/>
      <c r="BB83" s="246"/>
      <c r="BC83" s="246"/>
      <c r="BD83" s="243"/>
      <c r="BE83" s="243"/>
      <c r="BF83" s="243"/>
      <c r="BG83" s="243"/>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row>
    <row r="84" spans="1:90">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9"/>
      <c r="AH84" s="289"/>
      <c r="AI84" s="289"/>
      <c r="AJ84" s="289"/>
      <c r="AK84" s="289"/>
      <c r="AL84" s="289"/>
      <c r="AM84" s="289"/>
      <c r="AN84" s="243"/>
      <c r="AO84" s="243"/>
      <c r="AP84" s="243"/>
      <c r="AQ84" s="243"/>
      <c r="AR84" s="243"/>
      <c r="AS84" s="243"/>
      <c r="AT84" s="243"/>
      <c r="AU84" s="243"/>
      <c r="AV84" s="243"/>
      <c r="AW84" s="243"/>
      <c r="AX84" s="243"/>
      <c r="AY84" s="243"/>
      <c r="AZ84" s="243"/>
      <c r="BA84" s="243"/>
      <c r="BB84" s="246"/>
      <c r="BC84" s="246"/>
      <c r="BD84" s="243"/>
      <c r="BE84" s="243"/>
      <c r="BF84" s="243"/>
      <c r="BG84" s="243"/>
      <c r="BH84" s="243"/>
      <c r="BI84" s="243"/>
      <c r="BJ84" s="243"/>
      <c r="BK84" s="243"/>
      <c r="BL84" s="243"/>
      <c r="BM84" s="243"/>
      <c r="BN84" s="243"/>
      <c r="BO84" s="243"/>
      <c r="BP84" s="243"/>
      <c r="BQ84" s="243"/>
      <c r="BR84" s="243"/>
      <c r="BS84" s="243"/>
      <c r="BT84" s="243"/>
      <c r="BU84" s="243"/>
      <c r="BV84" s="243"/>
      <c r="BW84" s="243"/>
      <c r="BX84" s="243"/>
      <c r="BY84" s="243"/>
      <c r="BZ84" s="243"/>
      <c r="CA84" s="243"/>
      <c r="CB84" s="243"/>
      <c r="CC84" s="243"/>
      <c r="CD84" s="243"/>
      <c r="CE84" s="243"/>
      <c r="CF84" s="243"/>
      <c r="CG84" s="243"/>
      <c r="CH84" s="243"/>
      <c r="CI84" s="243"/>
      <c r="CJ84" s="243"/>
      <c r="CK84" s="243"/>
      <c r="CL84" s="243"/>
    </row>
    <row r="85" spans="1:90">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9"/>
      <c r="AH85" s="289"/>
      <c r="AI85" s="289"/>
      <c r="AJ85" s="289"/>
      <c r="AK85" s="289"/>
      <c r="AL85" s="289"/>
      <c r="AM85" s="289"/>
      <c r="AN85" s="243"/>
      <c r="AO85" s="243"/>
      <c r="AP85" s="243"/>
      <c r="AQ85" s="243"/>
      <c r="AR85" s="243"/>
      <c r="AS85" s="243"/>
      <c r="AT85" s="243"/>
      <c r="AU85" s="243"/>
      <c r="AV85" s="243"/>
      <c r="AW85" s="243"/>
      <c r="AX85" s="243"/>
      <c r="AY85" s="243"/>
      <c r="AZ85" s="243"/>
      <c r="BA85" s="243"/>
      <c r="BB85" s="246"/>
      <c r="BC85" s="246"/>
      <c r="BD85" s="243"/>
      <c r="BE85" s="243"/>
      <c r="BF85" s="243"/>
      <c r="BG85" s="243"/>
      <c r="BH85" s="243"/>
      <c r="BI85" s="243"/>
      <c r="BJ85" s="243"/>
      <c r="BK85" s="243"/>
      <c r="BL85" s="243"/>
      <c r="BM85" s="243"/>
      <c r="BN85" s="243"/>
      <c r="BO85" s="243"/>
      <c r="BP85" s="243"/>
      <c r="BQ85" s="243"/>
      <c r="BR85" s="243"/>
      <c r="BS85" s="243"/>
      <c r="BT85" s="243"/>
      <c r="BU85" s="243"/>
      <c r="BV85" s="243"/>
      <c r="BW85" s="243"/>
      <c r="BX85" s="243"/>
      <c r="BY85" s="243"/>
      <c r="BZ85" s="243"/>
      <c r="CA85" s="243"/>
      <c r="CB85" s="243"/>
      <c r="CC85" s="243"/>
      <c r="CD85" s="243"/>
      <c r="CE85" s="243"/>
      <c r="CF85" s="243"/>
      <c r="CG85" s="243"/>
      <c r="CH85" s="243"/>
      <c r="CI85" s="243"/>
      <c r="CJ85" s="243"/>
      <c r="CK85" s="243"/>
      <c r="CL85" s="243"/>
    </row>
    <row r="86" spans="1:90">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9"/>
      <c r="AH86" s="289"/>
      <c r="AI86" s="289"/>
      <c r="AJ86" s="289"/>
      <c r="AK86" s="289"/>
      <c r="AL86" s="289"/>
      <c r="AM86" s="289"/>
      <c r="AN86" s="243"/>
      <c r="AO86" s="243"/>
      <c r="AP86" s="243"/>
      <c r="AQ86" s="243"/>
      <c r="AR86" s="243"/>
      <c r="AS86" s="243"/>
      <c r="AT86" s="243"/>
      <c r="AU86" s="243"/>
      <c r="AV86" s="243"/>
      <c r="AW86" s="243"/>
      <c r="AX86" s="243"/>
      <c r="AY86" s="243"/>
      <c r="AZ86" s="243"/>
      <c r="BA86" s="243"/>
      <c r="BB86" s="246"/>
      <c r="BC86" s="246"/>
      <c r="BD86" s="243"/>
      <c r="BE86" s="243"/>
      <c r="BF86" s="243"/>
      <c r="BG86" s="243"/>
      <c r="BH86" s="243"/>
      <c r="BI86" s="243"/>
      <c r="BJ86" s="243"/>
      <c r="BK86" s="243"/>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row>
    <row r="87" spans="1:90">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9"/>
      <c r="AH87" s="289"/>
      <c r="AI87" s="289"/>
      <c r="AJ87" s="289"/>
      <c r="AK87" s="289"/>
      <c r="AL87" s="289"/>
      <c r="AM87" s="289"/>
      <c r="AN87" s="243"/>
      <c r="AO87" s="243"/>
      <c r="AP87" s="243"/>
      <c r="AQ87" s="243"/>
      <c r="AR87" s="243"/>
      <c r="AS87" s="243"/>
      <c r="AT87" s="243"/>
      <c r="AU87" s="243"/>
      <c r="AV87" s="243"/>
      <c r="AW87" s="243"/>
      <c r="AX87" s="243"/>
      <c r="AY87" s="243"/>
      <c r="AZ87" s="243"/>
      <c r="BA87" s="243"/>
      <c r="BB87" s="246"/>
      <c r="BC87" s="246"/>
      <c r="BD87" s="243"/>
      <c r="BE87" s="243"/>
      <c r="BF87" s="243"/>
      <c r="BG87" s="243"/>
      <c r="BH87" s="243"/>
      <c r="BI87" s="243"/>
      <c r="BJ87" s="243"/>
      <c r="BK87" s="243"/>
      <c r="BL87" s="243"/>
      <c r="BM87" s="243"/>
      <c r="BN87" s="243"/>
      <c r="BO87" s="243"/>
      <c r="BP87" s="243"/>
      <c r="BQ87" s="243"/>
      <c r="BR87" s="243"/>
      <c r="BS87" s="243"/>
      <c r="BT87" s="243"/>
      <c r="BU87" s="243"/>
      <c r="BV87" s="243"/>
      <c r="BW87" s="243"/>
      <c r="BX87" s="243"/>
      <c r="BY87" s="243"/>
      <c r="BZ87" s="243"/>
      <c r="CA87" s="243"/>
      <c r="CB87" s="243"/>
      <c r="CC87" s="243"/>
      <c r="CD87" s="243"/>
      <c r="CE87" s="243"/>
      <c r="CF87" s="243"/>
      <c r="CG87" s="243"/>
      <c r="CH87" s="243"/>
      <c r="CI87" s="243"/>
      <c r="CJ87" s="243"/>
      <c r="CK87" s="243"/>
      <c r="CL87" s="243"/>
    </row>
    <row r="88" spans="1:90">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9"/>
      <c r="AH88" s="289"/>
      <c r="AI88" s="289"/>
      <c r="AJ88" s="289"/>
      <c r="AK88" s="289"/>
      <c r="AL88" s="289"/>
      <c r="AM88" s="289"/>
      <c r="AN88" s="243"/>
      <c r="AO88" s="243"/>
      <c r="AP88" s="243"/>
      <c r="AQ88" s="243"/>
      <c r="AR88" s="243"/>
      <c r="AS88" s="243"/>
      <c r="AT88" s="243"/>
      <c r="AU88" s="243"/>
      <c r="AV88" s="243"/>
      <c r="AW88" s="243"/>
      <c r="AX88" s="243"/>
      <c r="AY88" s="243"/>
      <c r="AZ88" s="243"/>
      <c r="BA88" s="243"/>
      <c r="BB88" s="246"/>
      <c r="BC88" s="246"/>
      <c r="BD88" s="243"/>
      <c r="BE88" s="243"/>
      <c r="BF88" s="243"/>
      <c r="BG88" s="243"/>
      <c r="BH88" s="243"/>
      <c r="BI88" s="243"/>
      <c r="BJ88" s="243"/>
      <c r="BK88" s="243"/>
      <c r="BL88" s="243"/>
      <c r="BM88" s="243"/>
      <c r="BN88" s="243"/>
      <c r="BO88" s="243"/>
      <c r="BP88" s="243"/>
      <c r="BQ88" s="243"/>
      <c r="BR88" s="243"/>
      <c r="BS88" s="243"/>
      <c r="BT88" s="243"/>
      <c r="BU88" s="243"/>
      <c r="BV88" s="243"/>
      <c r="BW88" s="243"/>
      <c r="BX88" s="243"/>
      <c r="BY88" s="243"/>
      <c r="BZ88" s="243"/>
      <c r="CA88" s="243"/>
      <c r="CB88" s="243"/>
      <c r="CC88" s="243"/>
      <c r="CD88" s="243"/>
      <c r="CE88" s="243"/>
      <c r="CF88" s="243"/>
      <c r="CG88" s="243"/>
      <c r="CH88" s="243"/>
      <c r="CI88" s="243"/>
      <c r="CJ88" s="243"/>
      <c r="CK88" s="243"/>
      <c r="CL88" s="243"/>
    </row>
    <row r="89" spans="1:90">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9"/>
      <c r="AH89" s="289"/>
      <c r="AI89" s="289"/>
      <c r="AJ89" s="289"/>
      <c r="AK89" s="289"/>
      <c r="AL89" s="289"/>
      <c r="AM89" s="289"/>
      <c r="AN89" s="243"/>
      <c r="AO89" s="243"/>
      <c r="AP89" s="243"/>
      <c r="AQ89" s="243"/>
      <c r="AR89" s="243"/>
      <c r="AS89" s="243"/>
      <c r="AT89" s="243"/>
      <c r="AU89" s="243"/>
      <c r="AV89" s="243"/>
      <c r="AW89" s="243"/>
      <c r="AX89" s="243"/>
      <c r="AY89" s="243"/>
      <c r="AZ89" s="243"/>
      <c r="BA89" s="243"/>
      <c r="BB89" s="246"/>
      <c r="BC89" s="246"/>
      <c r="BD89" s="243"/>
      <c r="BE89" s="243"/>
      <c r="BF89" s="243"/>
      <c r="BG89" s="243"/>
      <c r="BH89" s="243"/>
      <c r="BI89" s="243"/>
      <c r="BJ89" s="243"/>
      <c r="BK89" s="243"/>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row>
    <row r="90" spans="1:90">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9"/>
      <c r="AH90" s="289"/>
      <c r="AI90" s="289"/>
      <c r="AJ90" s="289"/>
      <c r="AK90" s="289"/>
      <c r="AL90" s="289"/>
      <c r="AM90" s="289"/>
      <c r="AN90" s="243"/>
      <c r="AO90" s="243"/>
      <c r="AP90" s="243"/>
      <c r="AQ90" s="243"/>
      <c r="AR90" s="243"/>
      <c r="AS90" s="243"/>
      <c r="AT90" s="243"/>
      <c r="AU90" s="243"/>
      <c r="AV90" s="243"/>
      <c r="AW90" s="243"/>
      <c r="AX90" s="243"/>
      <c r="AY90" s="243"/>
      <c r="AZ90" s="243"/>
      <c r="BA90" s="243"/>
      <c r="BB90" s="246"/>
      <c r="BC90" s="246"/>
      <c r="BD90" s="243"/>
      <c r="BE90" s="243"/>
      <c r="BF90" s="243"/>
      <c r="BG90" s="243"/>
      <c r="BH90" s="243"/>
      <c r="BI90" s="243"/>
      <c r="BJ90" s="243"/>
      <c r="BK90" s="243"/>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row>
    <row r="91" spans="1:90">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9"/>
      <c r="AH91" s="289"/>
      <c r="AI91" s="289"/>
      <c r="AJ91" s="289"/>
      <c r="AK91" s="289"/>
      <c r="AL91" s="289"/>
      <c r="AM91" s="289"/>
      <c r="AN91" s="243"/>
      <c r="AO91" s="243"/>
      <c r="AP91" s="243"/>
      <c r="AQ91" s="243"/>
      <c r="AR91" s="243"/>
      <c r="AS91" s="243"/>
      <c r="AT91" s="243"/>
      <c r="AU91" s="243"/>
      <c r="AV91" s="243"/>
      <c r="AW91" s="243"/>
      <c r="AX91" s="243"/>
      <c r="AY91" s="243"/>
      <c r="AZ91" s="243"/>
      <c r="BA91" s="243"/>
      <c r="BB91" s="246"/>
      <c r="BC91" s="246"/>
      <c r="BD91" s="243"/>
      <c r="BE91" s="243"/>
      <c r="BF91" s="243"/>
      <c r="BG91" s="243"/>
      <c r="BH91" s="243"/>
      <c r="BI91" s="243"/>
      <c r="BJ91" s="243"/>
      <c r="BK91" s="243"/>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row>
    <row r="92" spans="1:90">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9"/>
      <c r="AH92" s="289"/>
      <c r="AI92" s="289"/>
      <c r="AJ92" s="289"/>
      <c r="AK92" s="289"/>
      <c r="AL92" s="289"/>
      <c r="AM92" s="289"/>
      <c r="AN92" s="243"/>
      <c r="AO92" s="243"/>
      <c r="AP92" s="243"/>
      <c r="AQ92" s="243"/>
      <c r="AR92" s="243"/>
      <c r="AS92" s="243"/>
      <c r="AT92" s="243"/>
      <c r="AU92" s="243"/>
      <c r="AV92" s="243"/>
      <c r="AW92" s="243"/>
      <c r="AX92" s="243"/>
      <c r="AY92" s="243"/>
      <c r="AZ92" s="243"/>
      <c r="BA92" s="243"/>
      <c r="BB92" s="246"/>
      <c r="BC92" s="246"/>
      <c r="BD92" s="243"/>
      <c r="BE92" s="243"/>
      <c r="BF92" s="243"/>
      <c r="BG92" s="243"/>
      <c r="BH92" s="243"/>
      <c r="BI92" s="243"/>
      <c r="BJ92" s="243"/>
      <c r="BK92" s="243"/>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row>
    <row r="93" spans="1:90">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9"/>
      <c r="AH93" s="289"/>
      <c r="AI93" s="289"/>
      <c r="AJ93" s="289"/>
      <c r="AK93" s="289"/>
      <c r="AL93" s="289"/>
      <c r="AM93" s="289"/>
      <c r="AN93" s="243"/>
      <c r="AO93" s="243"/>
      <c r="AP93" s="243"/>
      <c r="AQ93" s="243"/>
      <c r="AR93" s="243"/>
      <c r="AS93" s="243"/>
      <c r="AT93" s="243"/>
      <c r="AU93" s="243"/>
      <c r="AV93" s="243"/>
      <c r="AW93" s="243"/>
      <c r="AX93" s="243"/>
      <c r="AY93" s="243"/>
      <c r="AZ93" s="243"/>
      <c r="BA93" s="243"/>
      <c r="BB93" s="246"/>
      <c r="BC93" s="246"/>
      <c r="BD93" s="243"/>
      <c r="BE93" s="243"/>
      <c r="BF93" s="243"/>
      <c r="BG93" s="243"/>
      <c r="BH93" s="243"/>
      <c r="BI93" s="243"/>
      <c r="BJ93" s="243"/>
      <c r="BK93" s="243"/>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row>
    <row r="94" spans="1:90">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9"/>
      <c r="AH94" s="289"/>
      <c r="AI94" s="289"/>
      <c r="AJ94" s="289"/>
      <c r="AK94" s="289"/>
      <c r="AL94" s="289"/>
      <c r="AM94" s="289"/>
      <c r="AN94" s="243"/>
      <c r="AO94" s="243"/>
      <c r="AP94" s="243"/>
      <c r="AQ94" s="243"/>
      <c r="AR94" s="243"/>
      <c r="AS94" s="243"/>
      <c r="AT94" s="243"/>
      <c r="AU94" s="243"/>
      <c r="AV94" s="243"/>
      <c r="AW94" s="243"/>
      <c r="AX94" s="243"/>
      <c r="AY94" s="243"/>
      <c r="AZ94" s="243"/>
      <c r="BA94" s="243"/>
      <c r="BB94" s="246"/>
      <c r="BC94" s="246"/>
      <c r="BD94" s="243"/>
      <c r="BE94" s="243"/>
      <c r="BF94" s="243"/>
      <c r="BG94" s="243"/>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row>
    <row r="95" spans="1:90">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9"/>
      <c r="AH95" s="289"/>
      <c r="AI95" s="289"/>
      <c r="AJ95" s="289"/>
      <c r="AK95" s="289"/>
      <c r="AL95" s="289"/>
      <c r="AM95" s="289"/>
      <c r="AN95" s="243"/>
      <c r="AO95" s="243"/>
      <c r="AP95" s="243"/>
      <c r="AQ95" s="243"/>
      <c r="AR95" s="243"/>
      <c r="AS95" s="243"/>
      <c r="AT95" s="243"/>
      <c r="AU95" s="243"/>
      <c r="AV95" s="243"/>
      <c r="AW95" s="243"/>
      <c r="AX95" s="243"/>
      <c r="AY95" s="243"/>
      <c r="AZ95" s="243"/>
      <c r="BA95" s="243"/>
      <c r="BB95" s="246"/>
      <c r="BC95" s="246"/>
      <c r="BD95" s="243"/>
      <c r="BE95" s="243"/>
      <c r="BF95" s="243"/>
      <c r="BG95" s="243"/>
      <c r="BH95" s="243"/>
      <c r="BI95" s="243"/>
      <c r="BJ95" s="243"/>
      <c r="BK95" s="243"/>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row>
    <row r="96" spans="1:90">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9"/>
      <c r="AH96" s="289"/>
      <c r="AI96" s="289"/>
      <c r="AJ96" s="289"/>
      <c r="AK96" s="289"/>
      <c r="AL96" s="289"/>
      <c r="AM96" s="289"/>
      <c r="AN96" s="243"/>
      <c r="AO96" s="243"/>
      <c r="AP96" s="243"/>
      <c r="AQ96" s="243"/>
      <c r="AR96" s="243"/>
      <c r="AS96" s="243"/>
      <c r="AT96" s="243"/>
      <c r="AU96" s="243"/>
      <c r="AV96" s="243"/>
      <c r="AW96" s="243"/>
      <c r="AX96" s="243"/>
      <c r="AY96" s="243"/>
      <c r="AZ96" s="243"/>
      <c r="BA96" s="243"/>
      <c r="BB96" s="246"/>
      <c r="BC96" s="246"/>
      <c r="BD96" s="243"/>
      <c r="BE96" s="243"/>
      <c r="BF96" s="243"/>
      <c r="BG96" s="243"/>
      <c r="BH96" s="243"/>
      <c r="BI96" s="243"/>
      <c r="BJ96" s="243"/>
      <c r="BK96" s="243"/>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row>
    <row r="97" spans="1:90">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9"/>
      <c r="AH97" s="289"/>
      <c r="AI97" s="289"/>
      <c r="AJ97" s="289"/>
      <c r="AK97" s="289"/>
      <c r="AL97" s="289"/>
      <c r="AM97" s="289"/>
      <c r="AN97" s="243"/>
      <c r="AO97" s="243"/>
      <c r="AP97" s="243"/>
      <c r="AQ97" s="243"/>
      <c r="AR97" s="243"/>
      <c r="AS97" s="243"/>
      <c r="AT97" s="243"/>
      <c r="AU97" s="243"/>
      <c r="AV97" s="243"/>
      <c r="AW97" s="243"/>
      <c r="AX97" s="243"/>
      <c r="AY97" s="243"/>
      <c r="AZ97" s="243"/>
      <c r="BA97" s="243"/>
      <c r="BB97" s="246"/>
      <c r="BC97" s="246"/>
      <c r="BD97" s="243"/>
      <c r="BE97" s="243"/>
      <c r="BF97" s="243"/>
      <c r="BG97" s="243"/>
      <c r="BH97" s="243"/>
      <c r="BI97" s="243"/>
      <c r="BJ97" s="243"/>
      <c r="BK97" s="243"/>
      <c r="BL97" s="243"/>
      <c r="BM97" s="243"/>
      <c r="BN97" s="243"/>
      <c r="BO97" s="243"/>
      <c r="BP97" s="243"/>
      <c r="BQ97" s="243"/>
      <c r="BR97" s="243"/>
      <c r="BS97" s="243"/>
      <c r="BT97" s="243"/>
      <c r="BU97" s="243"/>
      <c r="BV97" s="243"/>
      <c r="BW97" s="243"/>
      <c r="BX97" s="243"/>
      <c r="BY97" s="243"/>
      <c r="BZ97" s="243"/>
      <c r="CA97" s="243"/>
      <c r="CB97" s="243"/>
      <c r="CC97" s="243"/>
      <c r="CD97" s="243"/>
      <c r="CE97" s="243"/>
      <c r="CF97" s="243"/>
      <c r="CG97" s="243"/>
      <c r="CH97" s="243"/>
      <c r="CI97" s="243"/>
      <c r="CJ97" s="243"/>
      <c r="CK97" s="243"/>
      <c r="CL97" s="243"/>
    </row>
    <row r="98" spans="1:90">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9"/>
      <c r="AH98" s="289"/>
      <c r="AI98" s="289"/>
      <c r="AJ98" s="289"/>
      <c r="AK98" s="289"/>
      <c r="AL98" s="289"/>
      <c r="AM98" s="289"/>
      <c r="AN98" s="243"/>
      <c r="AO98" s="243"/>
      <c r="AP98" s="243"/>
      <c r="AQ98" s="243"/>
      <c r="AR98" s="243"/>
      <c r="AS98" s="243"/>
      <c r="AT98" s="243"/>
      <c r="AU98" s="243"/>
      <c r="AV98" s="243"/>
      <c r="AW98" s="243"/>
      <c r="AX98" s="243"/>
      <c r="AY98" s="243"/>
      <c r="AZ98" s="243"/>
      <c r="BA98" s="243"/>
      <c r="BB98" s="246"/>
      <c r="BC98" s="246"/>
      <c r="BD98" s="243"/>
      <c r="BE98" s="243"/>
      <c r="BF98" s="243"/>
      <c r="BG98" s="243"/>
      <c r="BH98" s="243"/>
      <c r="BI98" s="243"/>
      <c r="BJ98" s="243"/>
      <c r="BK98" s="243"/>
      <c r="BL98" s="243"/>
      <c r="BM98" s="243"/>
      <c r="BN98" s="243"/>
      <c r="BO98" s="243"/>
      <c r="BP98" s="243"/>
      <c r="BQ98" s="243"/>
      <c r="BR98" s="243"/>
      <c r="BS98" s="243"/>
      <c r="BT98" s="243"/>
      <c r="BU98" s="243"/>
      <c r="BV98" s="243"/>
      <c r="BW98" s="243"/>
      <c r="BX98" s="243"/>
      <c r="BY98" s="243"/>
      <c r="BZ98" s="243"/>
      <c r="CA98" s="243"/>
      <c r="CB98" s="243"/>
      <c r="CC98" s="243"/>
      <c r="CD98" s="243"/>
      <c r="CE98" s="243"/>
      <c r="CF98" s="243"/>
      <c r="CG98" s="243"/>
      <c r="CH98" s="243"/>
      <c r="CI98" s="243"/>
      <c r="CJ98" s="243"/>
      <c r="CK98" s="243"/>
      <c r="CL98" s="243"/>
    </row>
    <row r="99" spans="1:90">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9"/>
      <c r="AH99" s="289"/>
      <c r="AI99" s="289"/>
      <c r="AJ99" s="289"/>
      <c r="AK99" s="289"/>
      <c r="AL99" s="289"/>
      <c r="AM99" s="289"/>
      <c r="AN99" s="243"/>
      <c r="AO99" s="243"/>
      <c r="AP99" s="243"/>
      <c r="AQ99" s="243"/>
      <c r="AR99" s="243"/>
      <c r="AS99" s="243"/>
      <c r="AT99" s="243"/>
      <c r="AU99" s="243"/>
      <c r="AV99" s="243"/>
      <c r="AW99" s="243"/>
      <c r="AX99" s="243"/>
      <c r="AY99" s="243"/>
      <c r="AZ99" s="243"/>
      <c r="BA99" s="243"/>
      <c r="BB99" s="246"/>
      <c r="BC99" s="246"/>
      <c r="BD99" s="243"/>
      <c r="BE99" s="243"/>
      <c r="BF99" s="243"/>
      <c r="BG99" s="243"/>
      <c r="BH99" s="243"/>
      <c r="BI99" s="243"/>
      <c r="BJ99" s="243"/>
      <c r="BK99" s="243"/>
      <c r="BL99" s="243"/>
      <c r="BM99" s="243"/>
      <c r="BN99" s="243"/>
      <c r="BO99" s="243"/>
      <c r="BP99" s="243"/>
      <c r="BQ99" s="243"/>
      <c r="BR99" s="243"/>
      <c r="BS99" s="243"/>
      <c r="BT99" s="243"/>
      <c r="BU99" s="243"/>
      <c r="BV99" s="243"/>
      <c r="BW99" s="243"/>
      <c r="BX99" s="243"/>
      <c r="BY99" s="243"/>
      <c r="BZ99" s="243"/>
      <c r="CA99" s="243"/>
      <c r="CB99" s="243"/>
      <c r="CC99" s="243"/>
      <c r="CD99" s="243"/>
      <c r="CE99" s="243"/>
      <c r="CF99" s="243"/>
      <c r="CG99" s="243"/>
      <c r="CH99" s="243"/>
      <c r="CI99" s="243"/>
      <c r="CJ99" s="243"/>
      <c r="CK99" s="243"/>
      <c r="CL99" s="243"/>
    </row>
    <row r="100" spans="1:90">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9"/>
      <c r="AH100" s="289"/>
      <c r="AI100" s="289"/>
      <c r="AJ100" s="289"/>
      <c r="AK100" s="289"/>
      <c r="AL100" s="289"/>
      <c r="AM100" s="289"/>
      <c r="AN100" s="243"/>
      <c r="AO100" s="243"/>
      <c r="AP100" s="243"/>
      <c r="AQ100" s="243"/>
      <c r="AR100" s="243"/>
      <c r="AS100" s="243"/>
      <c r="AT100" s="243"/>
      <c r="AU100" s="243"/>
      <c r="AV100" s="243"/>
      <c r="AW100" s="243"/>
      <c r="AX100" s="243"/>
      <c r="AY100" s="243"/>
      <c r="AZ100" s="243"/>
      <c r="BA100" s="243"/>
      <c r="BB100" s="246"/>
      <c r="BC100" s="246"/>
      <c r="BD100" s="243"/>
      <c r="BE100" s="243"/>
      <c r="BF100" s="243"/>
      <c r="BG100" s="243"/>
      <c r="BH100" s="243"/>
      <c r="BI100" s="243"/>
      <c r="BJ100" s="243"/>
      <c r="BK100" s="243"/>
      <c r="BL100" s="243"/>
      <c r="BM100" s="243"/>
      <c r="BN100" s="243"/>
      <c r="BO100" s="243"/>
      <c r="BP100" s="243"/>
      <c r="BQ100" s="243"/>
      <c r="BR100" s="243"/>
      <c r="BS100" s="243"/>
      <c r="BT100" s="243"/>
      <c r="BU100" s="243"/>
      <c r="BV100" s="243"/>
      <c r="BW100" s="243"/>
      <c r="BX100" s="243"/>
      <c r="BY100" s="243"/>
      <c r="BZ100" s="243"/>
      <c r="CA100" s="243"/>
      <c r="CB100" s="243"/>
      <c r="CC100" s="243"/>
      <c r="CD100" s="243"/>
      <c r="CE100" s="243"/>
      <c r="CF100" s="243"/>
      <c r="CG100" s="243"/>
      <c r="CH100" s="243"/>
      <c r="CI100" s="243"/>
      <c r="CJ100" s="243"/>
      <c r="CK100" s="243"/>
      <c r="CL100" s="243"/>
    </row>
    <row r="101" spans="1:90">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9"/>
      <c r="AH101" s="289"/>
      <c r="AI101" s="289"/>
      <c r="AJ101" s="289"/>
      <c r="AK101" s="289"/>
      <c r="AL101" s="289"/>
      <c r="AM101" s="289"/>
      <c r="AN101" s="243"/>
      <c r="AO101" s="243"/>
      <c r="AP101" s="243"/>
      <c r="AQ101" s="243"/>
      <c r="AR101" s="243"/>
      <c r="AS101" s="243"/>
      <c r="AT101" s="243"/>
      <c r="AU101" s="243"/>
      <c r="AV101" s="243"/>
      <c r="AW101" s="243"/>
      <c r="AX101" s="243"/>
      <c r="AY101" s="243"/>
      <c r="AZ101" s="243"/>
      <c r="BA101" s="243"/>
      <c r="BB101" s="246"/>
      <c r="BC101" s="246"/>
      <c r="BD101" s="243"/>
      <c r="BE101" s="243"/>
      <c r="BF101" s="243"/>
      <c r="BG101" s="243"/>
      <c r="BH101" s="243"/>
      <c r="BI101" s="243"/>
      <c r="BJ101" s="243"/>
      <c r="BK101" s="243"/>
      <c r="BL101" s="243"/>
      <c r="BM101" s="243"/>
      <c r="BN101" s="243"/>
      <c r="BO101" s="243"/>
      <c r="BP101" s="243"/>
      <c r="BQ101" s="243"/>
      <c r="BR101" s="243"/>
      <c r="BS101" s="243"/>
      <c r="BT101" s="243"/>
      <c r="BU101" s="243"/>
      <c r="BV101" s="243"/>
      <c r="BW101" s="243"/>
      <c r="BX101" s="243"/>
      <c r="BY101" s="243"/>
      <c r="BZ101" s="243"/>
      <c r="CA101" s="243"/>
      <c r="CB101" s="243"/>
      <c r="CC101" s="243"/>
      <c r="CD101" s="243"/>
      <c r="CE101" s="243"/>
      <c r="CF101" s="243"/>
      <c r="CG101" s="243"/>
      <c r="CH101" s="243"/>
      <c r="CI101" s="243"/>
      <c r="CJ101" s="243"/>
      <c r="CK101" s="243"/>
      <c r="CL101" s="243"/>
    </row>
    <row r="102" spans="1:90">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9"/>
      <c r="AH102" s="289"/>
      <c r="AI102" s="289"/>
      <c r="AJ102" s="289"/>
      <c r="AK102" s="289"/>
      <c r="AL102" s="289"/>
      <c r="AM102" s="289"/>
      <c r="AN102" s="243"/>
      <c r="AO102" s="243"/>
      <c r="AP102" s="243"/>
      <c r="AQ102" s="243"/>
      <c r="AR102" s="243"/>
      <c r="AS102" s="243"/>
      <c r="AT102" s="243"/>
      <c r="AU102" s="243"/>
      <c r="AV102" s="243"/>
      <c r="AW102" s="243"/>
      <c r="AX102" s="243"/>
      <c r="AY102" s="243"/>
      <c r="AZ102" s="243"/>
      <c r="BA102" s="243"/>
      <c r="BB102" s="246"/>
      <c r="BC102" s="246"/>
      <c r="BD102" s="243"/>
      <c r="BE102" s="243"/>
      <c r="BF102" s="243"/>
      <c r="BG102" s="243"/>
      <c r="BH102" s="243"/>
      <c r="BI102" s="243"/>
      <c r="BJ102" s="243"/>
      <c r="BK102" s="243"/>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row>
  </sheetData>
  <sheetProtection algorithmName="SHA-512" hashValue="aVb3IF+XhGJW5rVY5zq+uRz//LH9R6HoQmM/+fLyKXkdM5zHFV89JX24v/1q3O1SOgfMso3ZqefYPevvgycLmg==" saltValue="lMlTIOIfoNU72ZxctV3kBw==" spinCount="100000" sheet="1" objects="1" scenarios="1" selectLockedCells="1" selectUnlockedCells="1"/>
  <mergeCells count="171">
    <mergeCell ref="A1:AG4"/>
    <mergeCell ref="A5:G5"/>
    <mergeCell ref="U5:X5"/>
    <mergeCell ref="Y5:AG5"/>
    <mergeCell ref="A6:G6"/>
    <mergeCell ref="U6:X6"/>
    <mergeCell ref="Y6:AG6"/>
    <mergeCell ref="A7:G7"/>
    <mergeCell ref="U7:X7"/>
    <mergeCell ref="A8:G9"/>
    <mergeCell ref="H8:AG9"/>
    <mergeCell ref="A10:H10"/>
    <mergeCell ref="I10:T10"/>
    <mergeCell ref="U10:X10"/>
    <mergeCell ref="Y10:AA10"/>
    <mergeCell ref="AB10:AD10"/>
    <mergeCell ref="AE10:AG10"/>
    <mergeCell ref="S14:AF18"/>
    <mergeCell ref="F15:I16"/>
    <mergeCell ref="J15:M16"/>
    <mergeCell ref="N15:Q16"/>
    <mergeCell ref="A17:E17"/>
    <mergeCell ref="F17:G17"/>
    <mergeCell ref="H17:I17"/>
    <mergeCell ref="J17:M17"/>
    <mergeCell ref="A11:AG12"/>
    <mergeCell ref="R13:S13"/>
    <mergeCell ref="T13:V13"/>
    <mergeCell ref="W13:X13"/>
    <mergeCell ref="Y13:Z13"/>
    <mergeCell ref="AA13:AC13"/>
    <mergeCell ref="AD13:AE13"/>
    <mergeCell ref="N17:O17"/>
    <mergeCell ref="P17:Q17"/>
    <mergeCell ref="F18:G18"/>
    <mergeCell ref="H18:I18"/>
    <mergeCell ref="J18:K18"/>
    <mergeCell ref="L18:M18"/>
    <mergeCell ref="N18:O18"/>
    <mergeCell ref="P18:Q18"/>
    <mergeCell ref="A14:E14"/>
    <mergeCell ref="F14:Q14"/>
    <mergeCell ref="F21:G21"/>
    <mergeCell ref="H21:I21"/>
    <mergeCell ref="J21:K21"/>
    <mergeCell ref="L21:M21"/>
    <mergeCell ref="N21:O21"/>
    <mergeCell ref="P21:Q21"/>
    <mergeCell ref="R19:S19"/>
    <mergeCell ref="F20:G20"/>
    <mergeCell ref="H20:I20"/>
    <mergeCell ref="J20:K20"/>
    <mergeCell ref="L20:M20"/>
    <mergeCell ref="N20:O20"/>
    <mergeCell ref="P20:Q20"/>
    <mergeCell ref="F19:G19"/>
    <mergeCell ref="H19:I19"/>
    <mergeCell ref="J19:K19"/>
    <mergeCell ref="L19:M19"/>
    <mergeCell ref="N19:O19"/>
    <mergeCell ref="P19:Q19"/>
    <mergeCell ref="F23:G23"/>
    <mergeCell ref="H23:I23"/>
    <mergeCell ref="J23:K23"/>
    <mergeCell ref="L23:M23"/>
    <mergeCell ref="N23:O23"/>
    <mergeCell ref="P23:Q23"/>
    <mergeCell ref="F22:G22"/>
    <mergeCell ref="H22:I22"/>
    <mergeCell ref="J22:K22"/>
    <mergeCell ref="L22:M22"/>
    <mergeCell ref="N22:O22"/>
    <mergeCell ref="P22:Q22"/>
    <mergeCell ref="F25:G25"/>
    <mergeCell ref="H25:I25"/>
    <mergeCell ref="J25:K25"/>
    <mergeCell ref="L25:M25"/>
    <mergeCell ref="N25:O25"/>
    <mergeCell ref="P25:Q25"/>
    <mergeCell ref="F24:G24"/>
    <mergeCell ref="H24:I24"/>
    <mergeCell ref="J24:K24"/>
    <mergeCell ref="L24:M24"/>
    <mergeCell ref="N24:O24"/>
    <mergeCell ref="P24:Q24"/>
    <mergeCell ref="F27:G27"/>
    <mergeCell ref="H27:I27"/>
    <mergeCell ref="J27:K27"/>
    <mergeCell ref="L27:M27"/>
    <mergeCell ref="N27:O27"/>
    <mergeCell ref="P27:Q27"/>
    <mergeCell ref="F26:G26"/>
    <mergeCell ref="H26:I26"/>
    <mergeCell ref="J26:K26"/>
    <mergeCell ref="L26:M26"/>
    <mergeCell ref="N26:O26"/>
    <mergeCell ref="P26:Q26"/>
    <mergeCell ref="T28:AE36"/>
    <mergeCell ref="F29:G29"/>
    <mergeCell ref="H29:I29"/>
    <mergeCell ref="J29:K29"/>
    <mergeCell ref="L29:M29"/>
    <mergeCell ref="N29:O29"/>
    <mergeCell ref="P29:Q29"/>
    <mergeCell ref="F30:G30"/>
    <mergeCell ref="H30:I30"/>
    <mergeCell ref="J30:K30"/>
    <mergeCell ref="F28:G28"/>
    <mergeCell ref="H28:I28"/>
    <mergeCell ref="J28:K28"/>
    <mergeCell ref="L28:M28"/>
    <mergeCell ref="N28:O28"/>
    <mergeCell ref="P28:Q28"/>
    <mergeCell ref="L30:M30"/>
    <mergeCell ref="N30:O30"/>
    <mergeCell ref="P30:Q30"/>
    <mergeCell ref="F31:G31"/>
    <mergeCell ref="H31:I31"/>
    <mergeCell ref="J31:K31"/>
    <mergeCell ref="L31:M31"/>
    <mergeCell ref="N31:O31"/>
    <mergeCell ref="P31:Q31"/>
    <mergeCell ref="F33:G33"/>
    <mergeCell ref="H33:I33"/>
    <mergeCell ref="J33:K33"/>
    <mergeCell ref="L33:M33"/>
    <mergeCell ref="N33:O33"/>
    <mergeCell ref="P33:Q33"/>
    <mergeCell ref="F32:G32"/>
    <mergeCell ref="H32:I32"/>
    <mergeCell ref="J32:K32"/>
    <mergeCell ref="L32:M32"/>
    <mergeCell ref="N32:O32"/>
    <mergeCell ref="P32:Q32"/>
    <mergeCell ref="F35:G35"/>
    <mergeCell ref="H35:I35"/>
    <mergeCell ref="J35:K35"/>
    <mergeCell ref="L35:M35"/>
    <mergeCell ref="N35:O35"/>
    <mergeCell ref="P35:Q35"/>
    <mergeCell ref="F34:G34"/>
    <mergeCell ref="H34:I34"/>
    <mergeCell ref="J34:K34"/>
    <mergeCell ref="L34:M34"/>
    <mergeCell ref="N34:O34"/>
    <mergeCell ref="P34:Q34"/>
    <mergeCell ref="F37:G37"/>
    <mergeCell ref="H37:I37"/>
    <mergeCell ref="J37:K37"/>
    <mergeCell ref="L37:M37"/>
    <mergeCell ref="N37:O37"/>
    <mergeCell ref="P37:Q37"/>
    <mergeCell ref="F36:G36"/>
    <mergeCell ref="H36:I36"/>
    <mergeCell ref="J36:K36"/>
    <mergeCell ref="L36:M36"/>
    <mergeCell ref="N36:O36"/>
    <mergeCell ref="P36:Q36"/>
    <mergeCell ref="P39:Q39"/>
    <mergeCell ref="A39:E39"/>
    <mergeCell ref="F39:G39"/>
    <mergeCell ref="H39:I39"/>
    <mergeCell ref="J39:K39"/>
    <mergeCell ref="L39:M39"/>
    <mergeCell ref="N39:O39"/>
    <mergeCell ref="F38:G38"/>
    <mergeCell ref="H38:I38"/>
    <mergeCell ref="J38:K38"/>
    <mergeCell ref="L38:M38"/>
    <mergeCell ref="N38:O38"/>
    <mergeCell ref="P38:Q38"/>
  </mergeCells>
  <conditionalFormatting sqref="F39:M39 P39:Y39">
    <cfRule type="expression" dxfId="8" priority="7" stopIfTrue="1">
      <formula>F39=0</formula>
    </cfRule>
  </conditionalFormatting>
  <conditionalFormatting sqref="O54">
    <cfRule type="expression" dxfId="7" priority="4">
      <formula>O54=0</formula>
    </cfRule>
  </conditionalFormatting>
  <conditionalFormatting sqref="R18:R19 H18:Q38">
    <cfRule type="expression" dxfId="6" priority="5">
      <formula>H18=0</formula>
    </cfRule>
  </conditionalFormatting>
  <conditionalFormatting sqref="R24:AG27 R28:T28 AF28:AG36 R29:S36 R37:AG38">
    <cfRule type="expression" dxfId="5" priority="1">
      <formula>R24=0</formula>
    </cfRule>
  </conditionalFormatting>
  <conditionalFormatting sqref="V20:V23">
    <cfRule type="expression" dxfId="4" priority="2">
      <formula>(V20&lt;&gt;0)</formula>
    </cfRule>
    <cfRule type="expression" dxfId="3" priority="3">
      <formula>(V20=0)</formula>
    </cfRule>
  </conditionalFormatting>
  <conditionalFormatting sqref="AB39:AE39">
    <cfRule type="expression" dxfId="2" priority="8" stopIfTrue="1">
      <formula>AB39=0</formula>
    </cfRule>
  </conditionalFormatting>
  <conditionalFormatting sqref="AG18 T19:AG19 R20:S23 W20:AG23">
    <cfRule type="expression" dxfId="1" priority="6">
      <formula>R18=0</formula>
    </cfRule>
  </conditionalFormatting>
  <pageMargins left="0.7" right="0.7" top="0.75" bottom="0.75" header="0.3" footer="0.3"/>
  <pageSetup paperSize="9" scale="65" orientation="portrait" r:id="rId1"/>
  <headerFooter>
    <oddFooter>&amp;C_x000D_&amp;1#&amp;"Calibri"&amp;10&amp;K000000 Internal</oddFooter>
  </headerFooter>
  <colBreaks count="1" manualBreakCount="1">
    <brk id="33" max="1048575"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188AD-D66D-4E1E-9F83-954CA9E92DB1}">
  <sheetPr>
    <tabColor rgb="FF7030A0"/>
    <pageSetUpPr fitToPage="1"/>
  </sheetPr>
  <dimension ref="A1:AR114"/>
  <sheetViews>
    <sheetView showGridLines="0" view="pageBreakPreview" zoomScaleNormal="100" zoomScaleSheetLayoutView="100" workbookViewId="0">
      <selection activeCell="A6" sqref="A6:E6"/>
    </sheetView>
  </sheetViews>
  <sheetFormatPr defaultColWidth="9.28515625" defaultRowHeight="11.25"/>
  <cols>
    <col min="1" max="7" width="3.5703125" style="137" customWidth="1"/>
    <col min="8" max="8" width="10" style="137" customWidth="1"/>
    <col min="9" max="16" width="8.28515625" style="137" customWidth="1"/>
    <col min="17" max="17" width="1.42578125" style="137" customWidth="1"/>
    <col min="18" max="23" width="8" style="137" customWidth="1"/>
    <col min="24" max="24" width="8" style="134" customWidth="1"/>
    <col min="25" max="30" width="8" style="137" customWidth="1"/>
    <col min="31" max="36" width="8" style="136" customWidth="1"/>
    <col min="37" max="16384" width="9.28515625" style="136"/>
  </cols>
  <sheetData>
    <row r="1" spans="1:44" s="129" customFormat="1" ht="14.25" customHeight="1">
      <c r="A1" s="1517" t="s">
        <v>21</v>
      </c>
      <c r="B1" s="1518"/>
      <c r="C1" s="1518"/>
      <c r="D1" s="1518"/>
      <c r="E1" s="1518"/>
      <c r="F1" s="1518"/>
      <c r="G1" s="1518"/>
      <c r="H1" s="1518"/>
      <c r="I1" s="1518"/>
      <c r="J1" s="1518"/>
      <c r="K1" s="1518"/>
      <c r="L1" s="1518"/>
      <c r="M1" s="1518"/>
      <c r="N1" s="1518"/>
      <c r="O1" s="1518"/>
      <c r="P1" s="1518"/>
      <c r="Q1" s="1519"/>
      <c r="R1" s="127"/>
      <c r="S1" s="127"/>
      <c r="T1" s="127"/>
      <c r="U1" s="127"/>
      <c r="V1" s="127"/>
      <c r="W1" s="127"/>
      <c r="X1" s="128"/>
      <c r="Y1" s="127"/>
      <c r="Z1" s="127"/>
      <c r="AA1" s="127"/>
      <c r="AB1" s="127"/>
      <c r="AC1" s="127"/>
      <c r="AD1" s="127"/>
      <c r="AE1" s="127"/>
      <c r="AF1" s="127"/>
      <c r="AG1" s="127"/>
      <c r="AH1" s="127"/>
      <c r="AI1" s="127"/>
      <c r="AJ1" s="127"/>
      <c r="AK1" s="56"/>
      <c r="AL1" s="56"/>
      <c r="AM1" s="56"/>
      <c r="AN1" s="56"/>
      <c r="AO1" s="56"/>
      <c r="AP1" s="56"/>
      <c r="AQ1" s="56"/>
      <c r="AR1" s="56"/>
    </row>
    <row r="2" spans="1:44" s="129" customFormat="1" ht="14.25" customHeight="1">
      <c r="A2" s="1520"/>
      <c r="B2" s="1521"/>
      <c r="C2" s="1521"/>
      <c r="D2" s="1521"/>
      <c r="E2" s="1521"/>
      <c r="F2" s="1521"/>
      <c r="G2" s="1521"/>
      <c r="H2" s="1521"/>
      <c r="I2" s="1521"/>
      <c r="J2" s="1521"/>
      <c r="K2" s="1521"/>
      <c r="L2" s="1521"/>
      <c r="M2" s="1521"/>
      <c r="N2" s="1521"/>
      <c r="O2" s="1521"/>
      <c r="P2" s="1521"/>
      <c r="Q2" s="1522"/>
      <c r="R2" s="127"/>
      <c r="S2" s="127"/>
      <c r="T2" s="127"/>
      <c r="U2" s="127"/>
      <c r="V2" s="127"/>
      <c r="W2" s="127"/>
      <c r="X2" s="128"/>
      <c r="Y2" s="127"/>
      <c r="Z2" s="127"/>
      <c r="AA2" s="127"/>
      <c r="AB2" s="127"/>
      <c r="AC2" s="127"/>
      <c r="AD2" s="127"/>
      <c r="AE2" s="127"/>
      <c r="AF2" s="127"/>
      <c r="AG2" s="127"/>
      <c r="AH2" s="127"/>
      <c r="AI2" s="127"/>
      <c r="AJ2" s="127"/>
      <c r="AK2" s="56"/>
      <c r="AL2" s="56"/>
      <c r="AM2" s="56"/>
      <c r="AN2" s="56"/>
      <c r="AO2" s="56"/>
      <c r="AP2" s="56"/>
      <c r="AQ2" s="56"/>
      <c r="AR2" s="56"/>
    </row>
    <row r="3" spans="1:44" s="129" customFormat="1" ht="14.25" customHeight="1">
      <c r="A3" s="1520"/>
      <c r="B3" s="1521"/>
      <c r="C3" s="1521"/>
      <c r="D3" s="1521"/>
      <c r="E3" s="1521"/>
      <c r="F3" s="1521"/>
      <c r="G3" s="1521"/>
      <c r="H3" s="1521"/>
      <c r="I3" s="1521"/>
      <c r="J3" s="1521"/>
      <c r="K3" s="1521"/>
      <c r="L3" s="1521"/>
      <c r="M3" s="1521"/>
      <c r="N3" s="1521"/>
      <c r="O3" s="1521"/>
      <c r="P3" s="1521"/>
      <c r="Q3" s="1522"/>
      <c r="R3" s="127"/>
      <c r="S3" s="127"/>
      <c r="T3" s="127"/>
      <c r="U3" s="127"/>
      <c r="V3" s="127"/>
      <c r="W3" s="127"/>
      <c r="X3" s="128"/>
      <c r="Y3" s="127"/>
      <c r="Z3" s="127"/>
      <c r="AA3" s="127"/>
      <c r="AB3" s="127"/>
      <c r="AC3" s="127"/>
      <c r="AD3" s="127"/>
      <c r="AE3" s="127"/>
      <c r="AF3" s="127"/>
      <c r="AG3" s="127"/>
      <c r="AH3" s="127"/>
      <c r="AI3" s="127"/>
      <c r="AJ3" s="127"/>
      <c r="AK3" s="56"/>
      <c r="AL3" s="56"/>
      <c r="AM3" s="56"/>
      <c r="AN3" s="56"/>
      <c r="AO3" s="56"/>
      <c r="AP3" s="56"/>
      <c r="AQ3" s="56"/>
      <c r="AR3" s="56"/>
    </row>
    <row r="4" spans="1:44" s="129" customFormat="1" ht="14.25" customHeight="1">
      <c r="A4" s="1523"/>
      <c r="B4" s="1524"/>
      <c r="C4" s="1524"/>
      <c r="D4" s="1524"/>
      <c r="E4" s="1524"/>
      <c r="F4" s="1524"/>
      <c r="G4" s="1524"/>
      <c r="H4" s="1524"/>
      <c r="I4" s="1524"/>
      <c r="J4" s="1524"/>
      <c r="K4" s="1524"/>
      <c r="L4" s="1524"/>
      <c r="M4" s="1524"/>
      <c r="N4" s="1524"/>
      <c r="O4" s="1524"/>
      <c r="P4" s="1524"/>
      <c r="Q4" s="1525"/>
      <c r="R4" s="127"/>
      <c r="S4" s="127"/>
      <c r="T4" s="127"/>
      <c r="U4" s="127"/>
      <c r="V4" s="127"/>
      <c r="W4" s="127"/>
      <c r="X4" s="128"/>
      <c r="Y4" s="127"/>
      <c r="Z4" s="127"/>
      <c r="AA4" s="127"/>
      <c r="AB4" s="127"/>
      <c r="AC4" s="127"/>
      <c r="AD4" s="127"/>
      <c r="AE4" s="127"/>
      <c r="AF4" s="127"/>
      <c r="AG4" s="127"/>
      <c r="AH4" s="127"/>
      <c r="AI4" s="127"/>
      <c r="AJ4" s="127"/>
      <c r="AK4" s="56"/>
      <c r="AL4" s="56"/>
      <c r="AM4" s="56"/>
      <c r="AN4" s="56"/>
      <c r="AO4" s="56"/>
      <c r="AP4" s="56"/>
      <c r="AQ4" s="56"/>
      <c r="AR4" s="56"/>
    </row>
    <row r="5" spans="1:44" ht="15" customHeight="1">
      <c r="A5" s="1167" t="s">
        <v>22</v>
      </c>
      <c r="B5" s="1168"/>
      <c r="C5" s="1168"/>
      <c r="D5" s="1168"/>
      <c r="E5" s="1168"/>
      <c r="F5" s="27" t="str">
        <f>'Emiss. Ops'!$C$2</f>
        <v>OMVP</v>
      </c>
      <c r="G5" s="27"/>
      <c r="H5" s="27"/>
      <c r="I5" s="27"/>
      <c r="J5" s="27"/>
      <c r="K5" s="130"/>
      <c r="L5" s="130"/>
      <c r="M5" s="131" t="s">
        <v>23</v>
      </c>
      <c r="N5" s="27"/>
      <c r="O5" s="132" t="e">
        <f>#REF!</f>
        <v>#REF!</v>
      </c>
      <c r="P5" s="132"/>
      <c r="Q5" s="132"/>
      <c r="R5" s="133"/>
      <c r="S5" s="30"/>
      <c r="T5" s="30"/>
      <c r="U5" s="30"/>
      <c r="V5" s="30"/>
      <c r="W5" s="30"/>
      <c r="Y5" s="135"/>
      <c r="Z5" s="135"/>
      <c r="AA5" s="135"/>
      <c r="AB5" s="1494"/>
      <c r="AC5" s="1494"/>
      <c r="AD5" s="1494"/>
      <c r="AE5" s="1494"/>
      <c r="AF5" s="1494"/>
      <c r="AG5" s="1494"/>
      <c r="AH5" s="1494"/>
      <c r="AI5" s="1494"/>
      <c r="AJ5" s="1494"/>
      <c r="AK5" s="105"/>
    </row>
    <row r="6" spans="1:44" ht="15" customHeight="1">
      <c r="A6" s="1171" t="s">
        <v>24</v>
      </c>
      <c r="B6" s="1172"/>
      <c r="C6" s="1172"/>
      <c r="D6" s="1172"/>
      <c r="E6" s="1172"/>
      <c r="F6" s="30" t="str">
        <f>'Emiss. Ops'!$C$3</f>
        <v>OMV Neptun BAT Study &amp; ESIA</v>
      </c>
      <c r="G6" s="31"/>
      <c r="H6" s="31"/>
      <c r="I6" s="31"/>
      <c r="J6" s="31"/>
      <c r="M6" s="138" t="s">
        <v>25</v>
      </c>
      <c r="N6" s="31"/>
      <c r="O6" s="31"/>
      <c r="P6" s="31"/>
      <c r="Q6" s="32"/>
      <c r="R6" s="31"/>
      <c r="S6" s="31"/>
      <c r="T6" s="31"/>
      <c r="U6" s="31"/>
      <c r="V6" s="31"/>
      <c r="W6" s="31"/>
      <c r="Y6" s="135"/>
      <c r="Z6" s="135"/>
      <c r="AA6" s="135"/>
      <c r="AB6" s="1494"/>
      <c r="AC6" s="1494"/>
      <c r="AD6" s="1494"/>
      <c r="AE6" s="1494"/>
      <c r="AF6" s="1494"/>
      <c r="AG6" s="1494"/>
      <c r="AH6" s="1494"/>
      <c r="AI6" s="1494"/>
      <c r="AJ6" s="1494"/>
      <c r="AK6" s="105"/>
    </row>
    <row r="7" spans="1:44" ht="15" customHeight="1">
      <c r="A7" s="1171" t="s">
        <v>26</v>
      </c>
      <c r="B7" s="1172"/>
      <c r="C7" s="1172"/>
      <c r="D7" s="1172"/>
      <c r="E7" s="1172"/>
      <c r="F7" s="30" t="str">
        <f>'Emiss. Ops'!$C$4</f>
        <v>Emissions Inventory</v>
      </c>
      <c r="G7" s="31"/>
      <c r="H7" s="31"/>
      <c r="I7" s="31"/>
      <c r="J7" s="31"/>
      <c r="M7" s="139" t="s">
        <v>27</v>
      </c>
      <c r="N7" s="31"/>
      <c r="O7" s="30" t="s">
        <v>201</v>
      </c>
      <c r="P7" s="31"/>
      <c r="Q7" s="31"/>
      <c r="R7" s="31"/>
      <c r="S7" s="31"/>
      <c r="T7" s="31"/>
      <c r="U7" s="31"/>
      <c r="V7" s="31"/>
      <c r="W7" s="31"/>
      <c r="Y7" s="135"/>
      <c r="Z7" s="135"/>
      <c r="AA7" s="135"/>
      <c r="AB7" s="1494"/>
      <c r="AC7" s="1494"/>
      <c r="AD7" s="1494"/>
      <c r="AE7" s="1494"/>
      <c r="AF7" s="1494"/>
      <c r="AG7" s="1494"/>
      <c r="AH7" s="1494"/>
      <c r="AI7" s="1494"/>
      <c r="AJ7" s="1494"/>
      <c r="AK7" s="105"/>
    </row>
    <row r="8" spans="1:44" ht="14.25" customHeight="1">
      <c r="A8" s="1171" t="s">
        <v>98</v>
      </c>
      <c r="B8" s="1172"/>
      <c r="C8" s="1172"/>
      <c r="D8" s="1172"/>
      <c r="E8" s="1172"/>
      <c r="F8" s="140"/>
      <c r="G8" s="140"/>
      <c r="H8" s="140"/>
      <c r="I8" s="140"/>
      <c r="J8" s="140"/>
      <c r="K8" s="140"/>
      <c r="L8" s="140"/>
      <c r="M8" s="138" t="s">
        <v>28</v>
      </c>
      <c r="N8" s="140"/>
      <c r="O8" s="140"/>
      <c r="P8" s="140"/>
      <c r="Q8" s="141"/>
      <c r="Y8" s="142"/>
      <c r="Z8" s="142"/>
      <c r="AA8" s="142"/>
      <c r="AB8" s="142"/>
      <c r="AC8" s="142"/>
      <c r="AD8" s="142"/>
      <c r="AE8" s="142"/>
      <c r="AF8" s="142"/>
      <c r="AG8" s="142"/>
      <c r="AH8" s="142"/>
      <c r="AI8" s="142"/>
      <c r="AJ8" s="142"/>
      <c r="AK8" s="105"/>
    </row>
    <row r="9" spans="1:44" ht="12" customHeight="1">
      <c r="A9" s="143"/>
      <c r="B9" s="144"/>
      <c r="C9" s="144"/>
      <c r="D9" s="144"/>
      <c r="E9" s="144"/>
      <c r="F9" s="140"/>
      <c r="G9" s="140"/>
      <c r="H9" s="140"/>
      <c r="I9" s="140"/>
      <c r="J9" s="140"/>
      <c r="K9" s="140"/>
      <c r="L9" s="140"/>
      <c r="M9" s="140"/>
      <c r="N9" s="140"/>
      <c r="O9" s="140"/>
      <c r="P9" s="140"/>
      <c r="Q9" s="141"/>
      <c r="Y9" s="142"/>
      <c r="Z9" s="142"/>
      <c r="AA9" s="142"/>
      <c r="AB9" s="142"/>
      <c r="AC9" s="142"/>
      <c r="AD9" s="142"/>
      <c r="AE9" s="142"/>
      <c r="AF9" s="142"/>
      <c r="AG9" s="142"/>
      <c r="AH9" s="142"/>
      <c r="AI9" s="142"/>
      <c r="AJ9" s="142"/>
      <c r="AK9" s="105"/>
    </row>
    <row r="10" spans="1:44" s="129" customFormat="1" ht="15" customHeight="1">
      <c r="A10" s="145" t="s">
        <v>99</v>
      </c>
      <c r="B10" s="146"/>
      <c r="C10" s="146"/>
      <c r="D10" s="146"/>
      <c r="E10" s="146"/>
      <c r="F10" s="146"/>
      <c r="G10" s="146"/>
      <c r="H10" s="146"/>
      <c r="I10" s="147"/>
      <c r="J10" s="147"/>
      <c r="K10" s="148"/>
      <c r="L10" s="147"/>
      <c r="M10" s="147"/>
      <c r="N10" s="147"/>
      <c r="O10" s="147"/>
      <c r="P10" s="147"/>
      <c r="Q10" s="149"/>
      <c r="X10" s="150"/>
      <c r="Y10" s="135"/>
      <c r="Z10" s="135"/>
      <c r="AA10" s="135"/>
      <c r="AB10" s="1526"/>
      <c r="AC10" s="1526"/>
      <c r="AD10" s="1526"/>
      <c r="AE10" s="1527"/>
      <c r="AF10" s="1527"/>
      <c r="AG10" s="1527"/>
      <c r="AH10" s="1494"/>
      <c r="AI10" s="1494"/>
      <c r="AJ10" s="1494"/>
      <c r="AK10" s="56"/>
    </row>
    <row r="11" spans="1:44" s="129" customFormat="1" ht="14.25" customHeight="1">
      <c r="A11" s="1117" t="s">
        <v>220</v>
      </c>
      <c r="B11" s="1118"/>
      <c r="C11" s="1118"/>
      <c r="D11" s="1118"/>
      <c r="E11" s="1118"/>
      <c r="F11" s="1118"/>
      <c r="G11" s="1118"/>
      <c r="H11" s="1118"/>
      <c r="I11" s="1118"/>
      <c r="J11" s="1118"/>
      <c r="K11" s="1118"/>
      <c r="L11" s="1118"/>
      <c r="M11" s="1118"/>
      <c r="N11" s="1118"/>
      <c r="O11" s="1118"/>
      <c r="P11" s="151"/>
      <c r="Q11" s="152"/>
      <c r="R11" s="127"/>
      <c r="S11" s="127"/>
      <c r="T11" s="127"/>
      <c r="U11" s="127"/>
      <c r="V11" s="127"/>
      <c r="W11" s="127"/>
      <c r="X11" s="128"/>
      <c r="Y11" s="127"/>
      <c r="Z11" s="127"/>
      <c r="AA11" s="127"/>
      <c r="AB11" s="127"/>
      <c r="AC11" s="127"/>
      <c r="AD11" s="127"/>
      <c r="AE11" s="127"/>
      <c r="AF11" s="127"/>
      <c r="AG11" s="127"/>
      <c r="AH11" s="127"/>
      <c r="AI11" s="127"/>
      <c r="AJ11" s="127"/>
      <c r="AK11" s="56"/>
      <c r="AL11" s="56"/>
      <c r="AM11" s="56"/>
      <c r="AN11" s="56"/>
      <c r="AO11" s="56"/>
      <c r="AP11" s="56"/>
      <c r="AQ11" s="56"/>
      <c r="AR11" s="56"/>
    </row>
    <row r="12" spans="1:44" s="129" customFormat="1" ht="14.25" customHeight="1">
      <c r="A12" s="1149"/>
      <c r="B12" s="1150"/>
      <c r="C12" s="1150"/>
      <c r="D12" s="1150"/>
      <c r="E12" s="1150"/>
      <c r="F12" s="1150"/>
      <c r="G12" s="1150"/>
      <c r="H12" s="1150"/>
      <c r="I12" s="1150"/>
      <c r="J12" s="1150"/>
      <c r="K12" s="1150"/>
      <c r="L12" s="1150"/>
      <c r="M12" s="1150"/>
      <c r="N12" s="1150"/>
      <c r="O12" s="1150"/>
      <c r="P12" s="153"/>
      <c r="Q12" s="154"/>
      <c r="R12" s="127"/>
      <c r="S12" s="127"/>
      <c r="T12" s="127"/>
      <c r="U12" s="127"/>
      <c r="V12" s="127"/>
      <c r="W12" s="127"/>
      <c r="X12" s="128"/>
      <c r="Y12" s="127"/>
      <c r="Z12" s="127"/>
      <c r="AA12" s="127"/>
      <c r="AB12" s="127"/>
      <c r="AC12" s="127"/>
      <c r="AD12" s="127"/>
      <c r="AE12" s="127"/>
      <c r="AF12" s="127"/>
      <c r="AG12" s="127"/>
      <c r="AH12" s="127"/>
      <c r="AI12" s="127"/>
      <c r="AJ12" s="127"/>
      <c r="AK12" s="56"/>
      <c r="AL12" s="56"/>
      <c r="AM12" s="56"/>
      <c r="AN12" s="56"/>
      <c r="AO12" s="56"/>
      <c r="AP12" s="56"/>
      <c r="AQ12" s="56"/>
      <c r="AR12" s="56"/>
    </row>
    <row r="13" spans="1:44" s="129" customFormat="1" ht="14.25" customHeight="1">
      <c r="A13" s="155"/>
      <c r="B13" s="156"/>
      <c r="C13" s="156"/>
      <c r="D13" s="156"/>
      <c r="E13" s="156"/>
      <c r="F13" s="156"/>
      <c r="G13" s="156"/>
      <c r="H13" s="156"/>
      <c r="I13" s="156"/>
      <c r="J13" s="156"/>
      <c r="K13" s="156"/>
      <c r="L13" s="156"/>
      <c r="M13" s="156"/>
      <c r="N13" s="156"/>
      <c r="O13" s="156"/>
      <c r="P13" s="156"/>
      <c r="Q13" s="157"/>
      <c r="R13" s="127"/>
      <c r="S13" s="127"/>
      <c r="T13" s="127"/>
      <c r="U13" s="127"/>
      <c r="V13" s="127"/>
      <c r="W13" s="127"/>
      <c r="X13" s="128"/>
      <c r="Y13" s="127"/>
      <c r="Z13" s="127"/>
      <c r="AA13" s="127"/>
      <c r="AB13" s="127"/>
      <c r="AC13" s="127"/>
      <c r="AD13" s="127"/>
      <c r="AE13" s="127"/>
      <c r="AF13" s="127"/>
      <c r="AG13" s="127"/>
      <c r="AH13" s="127"/>
      <c r="AI13" s="127"/>
      <c r="AJ13" s="127"/>
      <c r="AK13" s="56"/>
      <c r="AL13" s="56"/>
      <c r="AM13" s="56"/>
      <c r="AN13" s="56"/>
      <c r="AO13" s="56"/>
      <c r="AP13" s="56"/>
      <c r="AQ13" s="56"/>
      <c r="AR13" s="56"/>
    </row>
    <row r="14" spans="1:44" s="129" customFormat="1" ht="33.75" customHeight="1">
      <c r="A14" s="1117" t="s">
        <v>589</v>
      </c>
      <c r="B14" s="1118"/>
      <c r="C14" s="1118"/>
      <c r="D14" s="1118"/>
      <c r="E14" s="1118"/>
      <c r="F14" s="1118"/>
      <c r="G14" s="1119"/>
      <c r="H14" s="1515" t="s">
        <v>919</v>
      </c>
      <c r="I14" s="1516"/>
      <c r="J14" s="1516"/>
      <c r="K14" s="1516"/>
      <c r="L14" s="1516"/>
      <c r="M14" s="1516"/>
      <c r="N14" s="1516"/>
      <c r="O14" s="1516"/>
      <c r="P14" s="155"/>
      <c r="Q14" s="141"/>
      <c r="R14" s="142"/>
      <c r="X14" s="150"/>
      <c r="AC14" s="142"/>
      <c r="AD14" s="142"/>
      <c r="AK14" s="56"/>
      <c r="AL14" s="56"/>
      <c r="AM14" s="56"/>
      <c r="AN14" s="56"/>
      <c r="AO14" s="56"/>
      <c r="AP14" s="56"/>
      <c r="AQ14" s="56"/>
      <c r="AR14" s="56"/>
    </row>
    <row r="15" spans="1:44" s="129" customFormat="1" ht="34.5" customHeight="1">
      <c r="A15" s="1149"/>
      <c r="B15" s="1150"/>
      <c r="C15" s="1150"/>
      <c r="D15" s="1150"/>
      <c r="E15" s="1150"/>
      <c r="F15" s="1150"/>
      <c r="G15" s="1151"/>
      <c r="H15" s="158"/>
      <c r="I15" s="158" t="s">
        <v>920</v>
      </c>
      <c r="J15" s="159" t="s">
        <v>921</v>
      </c>
      <c r="K15" s="159" t="s">
        <v>922</v>
      </c>
      <c r="L15" s="159" t="s">
        <v>923</v>
      </c>
      <c r="M15" s="159" t="s">
        <v>924</v>
      </c>
      <c r="N15" s="159" t="s">
        <v>925</v>
      </c>
      <c r="O15" s="159" t="s">
        <v>926</v>
      </c>
      <c r="P15" s="160"/>
      <c r="Q15" s="141"/>
      <c r="R15" s="142"/>
      <c r="X15" s="150"/>
      <c r="AC15" s="142"/>
      <c r="AD15" s="142"/>
      <c r="AK15" s="56"/>
      <c r="AL15" s="56"/>
      <c r="AM15" s="56"/>
      <c r="AN15" s="56"/>
      <c r="AO15" s="56"/>
      <c r="AP15" s="56"/>
      <c r="AQ15" s="56"/>
      <c r="AR15" s="56"/>
    </row>
    <row r="16" spans="1:44" s="129" customFormat="1" ht="14.25" customHeight="1">
      <c r="A16" s="1499" t="s">
        <v>393</v>
      </c>
      <c r="B16" s="1500"/>
      <c r="C16" s="1500"/>
      <c r="D16" s="1500"/>
      <c r="E16" s="1500"/>
      <c r="F16" s="1510" t="s">
        <v>927</v>
      </c>
      <c r="G16" s="1511"/>
      <c r="H16" s="161"/>
      <c r="I16" s="161">
        <v>1.3995655844469435</v>
      </c>
      <c r="J16" s="162">
        <v>0.57311291555947275</v>
      </c>
      <c r="K16" s="162">
        <v>8.1662130534210148E-2</v>
      </c>
      <c r="L16" s="162">
        <v>0.10407316915162398</v>
      </c>
      <c r="M16" s="162">
        <v>1.2410177939847864</v>
      </c>
      <c r="N16" s="162">
        <v>0.69329123979865026</v>
      </c>
      <c r="O16" s="162">
        <v>3.1193268707434019</v>
      </c>
      <c r="P16" s="163"/>
      <c r="Q16" s="141"/>
      <c r="R16" s="142"/>
      <c r="S16" s="164"/>
      <c r="T16" s="165"/>
      <c r="U16" s="165"/>
      <c r="V16" s="165"/>
      <c r="W16" s="165"/>
      <c r="X16" s="165"/>
      <c r="Y16" s="165"/>
      <c r="Z16" s="165"/>
      <c r="AA16" s="165"/>
      <c r="AC16" s="142"/>
      <c r="AD16" s="142"/>
      <c r="AK16" s="56"/>
      <c r="AL16" s="56"/>
      <c r="AM16" s="56"/>
      <c r="AN16" s="56"/>
      <c r="AO16" s="56"/>
      <c r="AP16" s="56"/>
      <c r="AQ16" s="56"/>
      <c r="AR16" s="56"/>
    </row>
    <row r="17" spans="1:44" s="129" customFormat="1" ht="14.25" customHeight="1">
      <c r="A17" s="1499" t="s">
        <v>928</v>
      </c>
      <c r="B17" s="1500"/>
      <c r="C17" s="1500"/>
      <c r="D17" s="1500"/>
      <c r="E17" s="1500"/>
      <c r="F17" s="1510" t="s">
        <v>927</v>
      </c>
      <c r="G17" s="1511"/>
      <c r="H17" s="161"/>
      <c r="I17" s="161">
        <v>2.0313805741600618E-2</v>
      </c>
      <c r="J17" s="162">
        <v>1.1043026018396298E-2</v>
      </c>
      <c r="K17" s="162">
        <v>1.3222621947984528E-3</v>
      </c>
      <c r="L17" s="162">
        <v>1.6560086795044365E-3</v>
      </c>
      <c r="M17" s="162">
        <v>1.7609876708861948E-2</v>
      </c>
      <c r="N17" s="162">
        <v>1.280388989011224E-2</v>
      </c>
      <c r="O17" s="162">
        <v>3.647044878434131E-2</v>
      </c>
      <c r="P17" s="163"/>
      <c r="Q17" s="141"/>
      <c r="R17" s="142"/>
      <c r="S17" s="165"/>
      <c r="T17" s="165"/>
      <c r="U17" s="165"/>
      <c r="V17" s="165"/>
      <c r="W17" s="165"/>
      <c r="X17" s="165"/>
      <c r="Y17" s="165"/>
      <c r="Z17" s="165"/>
      <c r="AA17" s="165"/>
      <c r="AC17" s="142"/>
      <c r="AD17" s="142"/>
      <c r="AK17" s="56"/>
      <c r="AL17" s="56"/>
      <c r="AM17" s="56"/>
      <c r="AN17" s="56"/>
      <c r="AO17" s="56"/>
      <c r="AP17" s="56"/>
      <c r="AQ17" s="56"/>
      <c r="AR17" s="56"/>
    </row>
    <row r="18" spans="1:44" s="129" customFormat="1" ht="14.25" customHeight="1">
      <c r="A18" s="1499" t="s">
        <v>929</v>
      </c>
      <c r="B18" s="1500"/>
      <c r="C18" s="1500"/>
      <c r="D18" s="1500"/>
      <c r="E18" s="1500"/>
      <c r="F18" s="1510" t="s">
        <v>927</v>
      </c>
      <c r="G18" s="1511"/>
      <c r="H18" s="161"/>
      <c r="I18" s="161">
        <v>2.0313805741600618E-2</v>
      </c>
      <c r="J18" s="162">
        <v>1.1043026018396298E-2</v>
      </c>
      <c r="K18" s="162">
        <v>1.3222621947984528E-3</v>
      </c>
      <c r="L18" s="162">
        <v>1.6560086795044365E-3</v>
      </c>
      <c r="M18" s="162">
        <v>1.7609876708861948E-2</v>
      </c>
      <c r="N18" s="162">
        <v>1.280388989011224E-2</v>
      </c>
      <c r="O18" s="162">
        <v>3.647044878434131E-2</v>
      </c>
      <c r="P18" s="163"/>
      <c r="Q18" s="141"/>
      <c r="R18" s="142"/>
      <c r="S18" s="165"/>
      <c r="T18" s="165"/>
      <c r="U18" s="166"/>
      <c r="V18" s="167"/>
      <c r="W18" s="166"/>
      <c r="X18" s="166"/>
      <c r="Y18" s="166"/>
      <c r="Z18" s="166"/>
      <c r="AA18" s="166"/>
      <c r="AC18" s="142"/>
      <c r="AD18" s="142"/>
      <c r="AK18" s="56"/>
      <c r="AL18" s="56"/>
      <c r="AM18" s="56"/>
      <c r="AN18" s="56"/>
      <c r="AO18" s="56"/>
      <c r="AP18" s="56"/>
      <c r="AQ18" s="56"/>
      <c r="AR18" s="56"/>
    </row>
    <row r="19" spans="1:44" s="129" customFormat="1" ht="14.25" customHeight="1">
      <c r="A19" s="168" t="s">
        <v>115</v>
      </c>
      <c r="B19" s="169"/>
      <c r="C19" s="169"/>
      <c r="D19" s="169"/>
      <c r="E19" s="169"/>
      <c r="F19" s="1510" t="s">
        <v>927</v>
      </c>
      <c r="G19" s="1511"/>
      <c r="H19" s="161"/>
      <c r="I19" s="161">
        <v>0.47204730289389535</v>
      </c>
      <c r="J19" s="162">
        <v>5.4562039822115112E-2</v>
      </c>
      <c r="K19" s="162">
        <v>0.87073307813046708</v>
      </c>
      <c r="L19" s="162">
        <v>1.8204253917518853</v>
      </c>
      <c r="M19" s="162">
        <v>0.13127952346495037</v>
      </c>
      <c r="N19" s="162">
        <v>0.38889413496266834</v>
      </c>
      <c r="O19" s="162">
        <v>0.91646514919393862</v>
      </c>
      <c r="P19" s="163"/>
      <c r="Q19" s="141"/>
      <c r="R19" s="142"/>
      <c r="S19" s="165"/>
      <c r="T19" s="165"/>
      <c r="U19" s="170"/>
      <c r="V19" s="170"/>
      <c r="W19" s="170"/>
      <c r="X19" s="170"/>
      <c r="Y19" s="170"/>
      <c r="Z19" s="170"/>
      <c r="AA19" s="170"/>
      <c r="AB19" s="142"/>
      <c r="AC19" s="142"/>
      <c r="AD19" s="142"/>
      <c r="AK19" s="56"/>
      <c r="AL19" s="56"/>
      <c r="AM19" s="56"/>
      <c r="AN19" s="56"/>
      <c r="AO19" s="56"/>
      <c r="AP19" s="56"/>
      <c r="AQ19" s="56"/>
      <c r="AR19" s="56"/>
    </row>
    <row r="20" spans="1:44" s="129" customFormat="1" ht="14.25" customHeight="1">
      <c r="A20" s="1499" t="s">
        <v>123</v>
      </c>
      <c r="B20" s="1500"/>
      <c r="C20" s="1500"/>
      <c r="D20" s="1500"/>
      <c r="E20" s="1500"/>
      <c r="F20" s="1510" t="s">
        <v>927</v>
      </c>
      <c r="G20" s="1511"/>
      <c r="H20" s="161"/>
      <c r="I20" s="161">
        <v>3.3364913254104213E-2</v>
      </c>
      <c r="J20" s="162">
        <v>1.1311740091851614E-2</v>
      </c>
      <c r="K20" s="162">
        <v>9.2099276588729545E-2</v>
      </c>
      <c r="L20" s="162">
        <v>7.8330551636094578E-2</v>
      </c>
      <c r="M20" s="162">
        <v>3.4171404100612229E-2</v>
      </c>
      <c r="N20" s="162">
        <v>2.5433488092787507E-2</v>
      </c>
      <c r="O20" s="162">
        <v>6.139028375304964E-2</v>
      </c>
      <c r="P20" s="163"/>
      <c r="Q20" s="141"/>
      <c r="R20" s="142"/>
      <c r="S20" s="165"/>
      <c r="T20" s="165"/>
      <c r="U20" s="170"/>
      <c r="V20" s="170"/>
      <c r="W20" s="170"/>
      <c r="X20" s="170"/>
      <c r="Y20" s="170"/>
      <c r="Z20" s="170"/>
      <c r="AA20" s="170"/>
      <c r="AB20" s="142"/>
      <c r="AC20" s="142"/>
      <c r="AD20" s="142"/>
      <c r="AK20" s="56"/>
      <c r="AL20" s="56"/>
      <c r="AM20" s="56"/>
      <c r="AN20" s="56"/>
      <c r="AO20" s="56"/>
      <c r="AP20" s="56"/>
      <c r="AQ20" s="56"/>
      <c r="AR20" s="56"/>
    </row>
    <row r="21" spans="1:44" s="129" customFormat="1" ht="14.25" customHeight="1">
      <c r="A21" s="1499" t="s">
        <v>930</v>
      </c>
      <c r="B21" s="1500"/>
      <c r="C21" s="1500"/>
      <c r="D21" s="1500"/>
      <c r="E21" s="1500"/>
      <c r="F21" s="1510" t="s">
        <v>927</v>
      </c>
      <c r="G21" s="1511"/>
      <c r="H21" s="161"/>
      <c r="I21" s="161">
        <v>8.5771777213667216E-3</v>
      </c>
      <c r="J21" s="162">
        <v>3.4100345879807489E-3</v>
      </c>
      <c r="K21" s="162">
        <v>1.5180476720067167E-2</v>
      </c>
      <c r="L21" s="162">
        <v>1.9904434670640549E-2</v>
      </c>
      <c r="M21" s="162">
        <v>2.9131526695321108E-3</v>
      </c>
      <c r="N21" s="162">
        <v>9.11494349489771E-3</v>
      </c>
      <c r="O21" s="162">
        <v>3.0000000000000018E-3</v>
      </c>
      <c r="P21" s="163"/>
      <c r="Q21" s="141"/>
      <c r="R21" s="142"/>
      <c r="S21" s="165"/>
      <c r="T21" s="165"/>
      <c r="U21" s="170"/>
      <c r="V21" s="170"/>
      <c r="W21" s="170"/>
      <c r="X21" s="170"/>
      <c r="Y21" s="170"/>
      <c r="Z21" s="170"/>
      <c r="AA21" s="170"/>
      <c r="AB21" s="142"/>
      <c r="AC21" s="142"/>
      <c r="AD21" s="142"/>
      <c r="AK21" s="56"/>
      <c r="AL21" s="56"/>
      <c r="AM21" s="56"/>
      <c r="AN21" s="56"/>
      <c r="AO21" s="56"/>
      <c r="AP21" s="56"/>
      <c r="AQ21" s="56"/>
      <c r="AR21" s="56"/>
    </row>
    <row r="22" spans="1:44" s="129" customFormat="1" ht="14.25" customHeight="1">
      <c r="A22" s="1499" t="s">
        <v>124</v>
      </c>
      <c r="B22" s="1500"/>
      <c r="C22" s="1500"/>
      <c r="D22" s="1500"/>
      <c r="E22" s="1500"/>
      <c r="F22" s="1510" t="s">
        <v>927</v>
      </c>
      <c r="G22" s="1511"/>
      <c r="H22" s="161"/>
      <c r="I22" s="161">
        <v>2.8872388529016307E-3</v>
      </c>
      <c r="J22" s="162">
        <v>7.7233887763002097E-4</v>
      </c>
      <c r="K22" s="162">
        <v>5.1978030995088133E-4</v>
      </c>
      <c r="L22" s="162">
        <v>6.90398144739874E-4</v>
      </c>
      <c r="M22" s="162">
        <v>1.1103907487404611E-3</v>
      </c>
      <c r="N22" s="162">
        <v>3.8508880991698509E-3</v>
      </c>
      <c r="O22" s="162">
        <v>3.9481707911946948E-3</v>
      </c>
      <c r="P22" s="163"/>
      <c r="Q22" s="141"/>
      <c r="R22" s="142"/>
      <c r="S22" s="1498"/>
      <c r="T22" s="1497"/>
      <c r="U22" s="1497"/>
      <c r="V22" s="1497"/>
      <c r="W22" s="1497"/>
      <c r="X22" s="1497"/>
      <c r="Y22" s="1497"/>
      <c r="Z22" s="1497"/>
      <c r="AA22" s="170"/>
      <c r="AB22" s="142"/>
      <c r="AC22" s="142"/>
      <c r="AD22" s="142"/>
      <c r="AK22" s="56"/>
      <c r="AL22" s="56"/>
      <c r="AM22" s="56"/>
      <c r="AN22" s="56"/>
      <c r="AO22" s="56"/>
      <c r="AP22" s="56"/>
      <c r="AQ22" s="56"/>
      <c r="AR22" s="56"/>
    </row>
    <row r="23" spans="1:44" s="129" customFormat="1" ht="14.25" customHeight="1">
      <c r="A23" s="168" t="s">
        <v>931</v>
      </c>
      <c r="B23" s="169"/>
      <c r="C23" s="169"/>
      <c r="D23" s="169"/>
      <c r="E23" s="169"/>
      <c r="F23" s="1510" t="s">
        <v>927</v>
      </c>
      <c r="G23" s="1511"/>
      <c r="H23" s="171"/>
      <c r="I23" s="161">
        <v>2.3355439277872865E-5</v>
      </c>
      <c r="J23" s="172">
        <v>2.2397245381866203E-4</v>
      </c>
      <c r="K23" s="162">
        <v>2.2273016511988957E-3</v>
      </c>
      <c r="L23" s="162">
        <v>2.289140891415911E-3</v>
      </c>
      <c r="M23" s="162">
        <v>6.7659380119212281E-4</v>
      </c>
      <c r="N23" s="162">
        <v>1.7803441664951247E-5</v>
      </c>
      <c r="O23" s="162">
        <v>4.2973198627134736E-5</v>
      </c>
      <c r="P23" s="163"/>
      <c r="Q23" s="141"/>
      <c r="R23" s="142"/>
      <c r="U23" s="56"/>
      <c r="V23" s="56"/>
      <c r="W23" s="56"/>
      <c r="X23" s="56"/>
      <c r="Y23" s="56"/>
      <c r="Z23" s="56"/>
      <c r="AA23" s="56"/>
      <c r="AB23" s="56"/>
    </row>
    <row r="24" spans="1:44" s="129" customFormat="1" ht="14.25" customHeight="1">
      <c r="A24" s="1499" t="s">
        <v>125</v>
      </c>
      <c r="B24" s="1500"/>
      <c r="C24" s="1500"/>
      <c r="D24" s="1500"/>
      <c r="E24" s="1500"/>
      <c r="F24" s="1510" t="s">
        <v>927</v>
      </c>
      <c r="G24" s="1511"/>
      <c r="H24" s="171"/>
      <c r="I24" s="161">
        <v>3.2967312874491145E-2</v>
      </c>
      <c r="J24" s="172">
        <v>6.5915432169879294E-3</v>
      </c>
      <c r="K24" s="162">
        <v>1.3902875823065917E-3</v>
      </c>
      <c r="L24" s="162">
        <v>2.4671266700036945E-3</v>
      </c>
      <c r="M24" s="162">
        <v>6.5824817617008155E-3</v>
      </c>
      <c r="N24" s="162">
        <v>5.552594559928959E-2</v>
      </c>
      <c r="O24" s="162">
        <v>3.2727021180293039E-2</v>
      </c>
      <c r="P24" s="163"/>
      <c r="Q24" s="141"/>
      <c r="R24" s="142"/>
      <c r="U24" s="56"/>
      <c r="V24" s="56"/>
      <c r="W24" s="56"/>
      <c r="X24" s="56"/>
      <c r="Y24" s="56"/>
      <c r="Z24" s="56"/>
      <c r="AA24" s="56"/>
      <c r="AB24" s="56"/>
    </row>
    <row r="25" spans="1:44" s="129" customFormat="1" ht="14.25" customHeight="1">
      <c r="A25" s="1499" t="s">
        <v>126</v>
      </c>
      <c r="B25" s="1500"/>
      <c r="C25" s="1500"/>
      <c r="D25" s="1500"/>
      <c r="E25" s="1500"/>
      <c r="F25" s="1510" t="s">
        <v>927</v>
      </c>
      <c r="G25" s="1511"/>
      <c r="H25" s="173"/>
      <c r="I25" s="174">
        <f>0.92249*1000</f>
        <v>922.49</v>
      </c>
      <c r="J25" s="172">
        <f>CO2eEF!A93</f>
        <v>3.2</v>
      </c>
      <c r="K25" s="172">
        <f>CO2eEF!A93</f>
        <v>3.2</v>
      </c>
      <c r="L25" s="162"/>
      <c r="M25" s="162"/>
      <c r="N25" s="162"/>
      <c r="O25" s="162"/>
      <c r="P25" s="163"/>
      <c r="Q25" s="141"/>
      <c r="R25" s="142"/>
      <c r="U25" s="56"/>
      <c r="V25" s="56"/>
      <c r="W25" s="56"/>
      <c r="X25" s="56"/>
      <c r="Y25" s="56"/>
      <c r="Z25" s="56"/>
      <c r="AA25" s="56"/>
      <c r="AB25" s="56"/>
    </row>
    <row r="26" spans="1:44" s="129" customFormat="1" ht="14.25" customHeight="1">
      <c r="A26" s="175"/>
      <c r="B26" s="176"/>
      <c r="C26" s="176"/>
      <c r="D26" s="176"/>
      <c r="E26" s="176"/>
      <c r="F26" s="177"/>
      <c r="G26" s="177"/>
      <c r="H26" s="178"/>
      <c r="I26" s="179"/>
      <c r="J26" s="180"/>
      <c r="K26" s="179"/>
      <c r="L26" s="179"/>
      <c r="M26" s="179"/>
      <c r="N26" s="179"/>
      <c r="O26" s="179"/>
      <c r="P26" s="179"/>
      <c r="Q26" s="141"/>
      <c r="R26" s="142"/>
      <c r="U26" s="56"/>
      <c r="V26" s="56"/>
      <c r="W26" s="56"/>
      <c r="X26" s="56"/>
      <c r="Y26" s="56"/>
      <c r="Z26" s="56"/>
      <c r="AA26" s="56"/>
      <c r="AB26" s="56"/>
    </row>
    <row r="27" spans="1:44" s="129" customFormat="1" ht="29.25" customHeight="1">
      <c r="A27" s="1512" t="s">
        <v>776</v>
      </c>
      <c r="B27" s="1513"/>
      <c r="C27" s="1513"/>
      <c r="D27" s="1513"/>
      <c r="E27" s="1513"/>
      <c r="F27" s="1513"/>
      <c r="G27" s="1514"/>
      <c r="H27" s="181" t="s">
        <v>932</v>
      </c>
      <c r="I27" s="182"/>
      <c r="J27" s="183" t="s">
        <v>921</v>
      </c>
      <c r="K27" s="183" t="s">
        <v>933</v>
      </c>
      <c r="L27" s="173"/>
      <c r="M27" s="183"/>
      <c r="N27" s="184"/>
      <c r="O27" s="182"/>
      <c r="P27" s="182" t="s">
        <v>663</v>
      </c>
      <c r="Q27" s="185"/>
      <c r="R27" s="186"/>
      <c r="S27" s="186"/>
      <c r="T27" s="186"/>
    </row>
    <row r="28" spans="1:44" s="129" customFormat="1" ht="14.25" customHeight="1">
      <c r="A28" s="1682"/>
      <c r="B28" s="1502"/>
      <c r="C28" s="1502"/>
      <c r="D28" s="1502"/>
      <c r="E28" s="1502"/>
      <c r="F28" s="1502"/>
      <c r="G28" s="1503"/>
      <c r="H28" s="187"/>
      <c r="I28" s="188"/>
      <c r="J28" s="173"/>
      <c r="K28" s="173"/>
      <c r="L28" s="173"/>
      <c r="M28" s="189"/>
      <c r="N28" s="190"/>
      <c r="O28" s="191"/>
      <c r="P28" s="191"/>
      <c r="Q28" s="192"/>
      <c r="R28" s="193"/>
      <c r="S28" s="193"/>
      <c r="T28" s="193"/>
      <c r="V28" s="56"/>
      <c r="W28" s="56"/>
      <c r="X28" s="56"/>
      <c r="Y28" s="56"/>
      <c r="Z28" s="56"/>
      <c r="AA28" s="56"/>
      <c r="AB28" s="56"/>
      <c r="AC28" s="56"/>
    </row>
    <row r="29" spans="1:44" s="129" customFormat="1" ht="14.25" customHeight="1">
      <c r="A29" s="1682" t="s">
        <v>934</v>
      </c>
      <c r="B29" s="1502"/>
      <c r="C29" s="1502"/>
      <c r="D29" s="1502"/>
      <c r="E29" s="1502"/>
      <c r="F29" s="1502" t="s">
        <v>935</v>
      </c>
      <c r="G29" s="1503"/>
      <c r="H29" s="194"/>
      <c r="I29" s="195"/>
      <c r="J29" s="195">
        <f>J30*365.25</f>
        <v>10957.5</v>
      </c>
      <c r="K29" s="195">
        <f>K30*365.25</f>
        <v>10957.5</v>
      </c>
      <c r="L29" s="195"/>
      <c r="M29" s="195"/>
      <c r="N29" s="195"/>
      <c r="O29" s="195"/>
      <c r="P29" s="191"/>
      <c r="Q29" s="192"/>
      <c r="R29" s="193"/>
      <c r="S29" s="193"/>
      <c r="T29" s="193"/>
      <c r="U29" s="142"/>
      <c r="V29" s="56"/>
      <c r="W29" s="56"/>
      <c r="X29" s="56"/>
      <c r="Y29" s="56"/>
      <c r="Z29" s="56"/>
      <c r="AA29" s="56"/>
      <c r="AB29" s="56"/>
      <c r="AC29" s="56"/>
    </row>
    <row r="30" spans="1:44" s="129" customFormat="1" ht="14.25" customHeight="1">
      <c r="A30" s="1682" t="s">
        <v>936</v>
      </c>
      <c r="B30" s="1502"/>
      <c r="C30" s="1502"/>
      <c r="D30" s="1502"/>
      <c r="E30" s="1502"/>
      <c r="F30" s="1502" t="s">
        <v>937</v>
      </c>
      <c r="G30" s="1503"/>
      <c r="H30" s="187"/>
      <c r="I30" s="196"/>
      <c r="J30" s="196">
        <f>60*0.5</f>
        <v>30</v>
      </c>
      <c r="K30" s="196">
        <f>60*0.5</f>
        <v>30</v>
      </c>
      <c r="L30" s="173"/>
      <c r="M30" s="196"/>
      <c r="N30" s="197"/>
      <c r="O30" s="196"/>
      <c r="P30" s="198"/>
      <c r="Q30" s="199"/>
      <c r="R30" s="200"/>
      <c r="S30" s="200"/>
      <c r="T30" s="200"/>
      <c r="U30" s="142"/>
      <c r="V30" s="56"/>
      <c r="W30" s="56"/>
      <c r="X30" s="56"/>
      <c r="Y30" s="56"/>
      <c r="Z30" s="56"/>
      <c r="AA30" s="56"/>
      <c r="AB30" s="56"/>
      <c r="AC30" s="56"/>
    </row>
    <row r="31" spans="1:44" s="129" customFormat="1" ht="14.25" customHeight="1">
      <c r="A31" s="1499" t="s">
        <v>393</v>
      </c>
      <c r="B31" s="1500"/>
      <c r="C31" s="1500"/>
      <c r="D31" s="1500"/>
      <c r="E31" s="1500"/>
      <c r="F31" s="1502" t="s">
        <v>332</v>
      </c>
      <c r="G31" s="1503"/>
      <c r="H31" s="201">
        <v>1</v>
      </c>
      <c r="I31" s="202"/>
      <c r="J31" s="202">
        <f>$H$31*J29*$J$16/1000000</f>
        <v>6.2798847722429227E-3</v>
      </c>
      <c r="K31" s="202">
        <f>$H$31*$K$29*$K$16/1000000</f>
        <v>8.948127953286077E-4</v>
      </c>
      <c r="L31" s="173"/>
      <c r="M31" s="202"/>
      <c r="N31" s="203"/>
      <c r="O31" s="202"/>
      <c r="P31" s="202">
        <f>SUM(I31:O31)</f>
        <v>7.1746975675715304E-3</v>
      </c>
      <c r="Q31" s="204"/>
      <c r="R31" s="205"/>
      <c r="S31" s="205"/>
      <c r="T31" s="205"/>
      <c r="U31" s="142"/>
      <c r="V31" s="56"/>
      <c r="W31" s="56"/>
      <c r="X31" s="56"/>
      <c r="Y31" s="56"/>
      <c r="Z31" s="56"/>
      <c r="AA31" s="56"/>
      <c r="AB31" s="56"/>
      <c r="AC31" s="56"/>
    </row>
    <row r="32" spans="1:44" s="129" customFormat="1" ht="14.25" customHeight="1">
      <c r="A32" s="168" t="s">
        <v>115</v>
      </c>
      <c r="B32" s="169"/>
      <c r="C32" s="169"/>
      <c r="D32" s="169"/>
      <c r="E32" s="169"/>
      <c r="F32" s="1502" t="s">
        <v>332</v>
      </c>
      <c r="G32" s="1503"/>
      <c r="H32" s="201">
        <v>1</v>
      </c>
      <c r="I32" s="206"/>
      <c r="J32" s="206">
        <f>$H$32*J29*$J$19/1000000</f>
        <v>5.9786355135082634E-4</v>
      </c>
      <c r="K32" s="202">
        <f>$H$31*$K$29*$K$19/1000000</f>
        <v>9.541057703614594E-3</v>
      </c>
      <c r="L32" s="173"/>
      <c r="M32" s="206"/>
      <c r="N32" s="207"/>
      <c r="O32" s="206"/>
      <c r="P32" s="202">
        <f t="shared" ref="P32:P38" si="0">SUM(I32:O32)</f>
        <v>1.0138921254965421E-2</v>
      </c>
      <c r="Q32" s="208"/>
      <c r="R32" s="209"/>
      <c r="S32" s="209"/>
      <c r="T32" s="209"/>
      <c r="U32" s="142"/>
      <c r="V32" s="56"/>
      <c r="W32" s="56"/>
      <c r="X32" s="56"/>
      <c r="Y32" s="56"/>
      <c r="Z32" s="56"/>
      <c r="AA32" s="56"/>
      <c r="AB32" s="56"/>
      <c r="AC32" s="56"/>
    </row>
    <row r="33" spans="1:44" s="129" customFormat="1" ht="14.25" customHeight="1">
      <c r="A33" s="1499" t="s">
        <v>928</v>
      </c>
      <c r="B33" s="1500"/>
      <c r="C33" s="1500"/>
      <c r="D33" s="1500"/>
      <c r="E33" s="1500"/>
      <c r="F33" s="1502" t="s">
        <v>332</v>
      </c>
      <c r="G33" s="1503"/>
      <c r="H33" s="201">
        <v>1</v>
      </c>
      <c r="I33" s="206"/>
      <c r="J33" s="206">
        <f>$H$33*J29*$J$17/1000000</f>
        <v>1.2100395759657744E-4</v>
      </c>
      <c r="K33" s="206">
        <f>$H$31*$K$29*$K$17/1000000</f>
        <v>1.4488687999504047E-5</v>
      </c>
      <c r="L33" s="173"/>
      <c r="M33" s="206"/>
      <c r="N33" s="207"/>
      <c r="O33" s="206"/>
      <c r="P33" s="202">
        <f t="shared" si="0"/>
        <v>1.3549264559608147E-4</v>
      </c>
      <c r="Q33" s="208"/>
      <c r="R33" s="209"/>
      <c r="S33" s="209"/>
      <c r="T33" s="209"/>
      <c r="U33" s="142"/>
      <c r="V33" s="56"/>
      <c r="W33" s="56"/>
      <c r="X33" s="56"/>
      <c r="Y33" s="56"/>
      <c r="Z33" s="56"/>
      <c r="AA33" s="56"/>
      <c r="AB33" s="56"/>
      <c r="AC33" s="56"/>
    </row>
    <row r="34" spans="1:44" s="129" customFormat="1" ht="14.25" customHeight="1">
      <c r="A34" s="168" t="s">
        <v>122</v>
      </c>
      <c r="B34" s="169"/>
      <c r="C34" s="169"/>
      <c r="D34" s="169"/>
      <c r="E34" s="169"/>
      <c r="F34" s="1502" t="s">
        <v>332</v>
      </c>
      <c r="G34" s="1503"/>
      <c r="H34" s="210" t="s">
        <v>132</v>
      </c>
      <c r="I34" s="211"/>
      <c r="J34" s="211" t="s">
        <v>132</v>
      </c>
      <c r="K34" s="202" t="s">
        <v>132</v>
      </c>
      <c r="L34" s="173"/>
      <c r="M34" s="211"/>
      <c r="N34" s="207"/>
      <c r="O34" s="211"/>
      <c r="P34" s="202">
        <f t="shared" si="0"/>
        <v>0</v>
      </c>
      <c r="Q34" s="208"/>
      <c r="R34" s="209"/>
      <c r="S34" s="209"/>
      <c r="T34" s="209"/>
      <c r="U34" s="142"/>
      <c r="V34" s="56"/>
      <c r="W34" s="56"/>
      <c r="X34" s="56"/>
      <c r="Y34" s="56"/>
      <c r="Z34" s="56"/>
      <c r="AA34" s="56"/>
      <c r="AB34" s="56"/>
      <c r="AC34" s="56"/>
    </row>
    <row r="35" spans="1:44" s="129" customFormat="1" ht="14.25" customHeight="1">
      <c r="A35" s="1499" t="s">
        <v>123</v>
      </c>
      <c r="B35" s="1500"/>
      <c r="C35" s="1500"/>
      <c r="D35" s="1500"/>
      <c r="E35" s="1500"/>
      <c r="F35" s="1502" t="s">
        <v>332</v>
      </c>
      <c r="G35" s="1503"/>
      <c r="H35" s="201">
        <v>1</v>
      </c>
      <c r="I35" s="206"/>
      <c r="J35" s="206">
        <f>$H$35*J29*$J$20/1000000</f>
        <v>1.2394839205646406E-4</v>
      </c>
      <c r="K35" s="202">
        <f>$H$31*$K$29*$K$20/1000000</f>
        <v>1.0091778232210039E-3</v>
      </c>
      <c r="L35" s="173"/>
      <c r="M35" s="206"/>
      <c r="N35" s="207"/>
      <c r="O35" s="206"/>
      <c r="P35" s="202">
        <f t="shared" si="0"/>
        <v>1.1331262152774681E-3</v>
      </c>
      <c r="Q35" s="208"/>
      <c r="R35" s="209"/>
      <c r="S35" s="209"/>
      <c r="T35" s="209"/>
      <c r="U35" s="142"/>
      <c r="V35" s="56"/>
      <c r="W35" s="56"/>
      <c r="X35" s="56"/>
      <c r="Y35" s="56"/>
      <c r="Z35" s="56"/>
      <c r="AA35" s="56"/>
      <c r="AB35" s="56"/>
      <c r="AC35" s="56"/>
    </row>
    <row r="36" spans="1:44" s="129" customFormat="1" ht="14.25" customHeight="1">
      <c r="A36" s="1499" t="s">
        <v>124</v>
      </c>
      <c r="B36" s="1500"/>
      <c r="C36" s="1500"/>
      <c r="D36" s="1500"/>
      <c r="E36" s="1500"/>
      <c r="F36" s="1502" t="s">
        <v>332</v>
      </c>
      <c r="G36" s="1503"/>
      <c r="H36" s="201">
        <v>1</v>
      </c>
      <c r="I36" s="206"/>
      <c r="J36" s="206">
        <f>$H$36*J29*$J$22/1000000</f>
        <v>8.4629032516309556E-6</v>
      </c>
      <c r="K36" s="206">
        <f>$H$31*$K$29*$K$22/1000000</f>
        <v>5.6954927462867822E-6</v>
      </c>
      <c r="L36" s="173"/>
      <c r="M36" s="206"/>
      <c r="N36" s="207"/>
      <c r="O36" s="206"/>
      <c r="P36" s="202">
        <f t="shared" si="0"/>
        <v>1.4158395997917738E-5</v>
      </c>
      <c r="Q36" s="208"/>
      <c r="R36" s="209"/>
      <c r="S36" s="209"/>
      <c r="T36" s="209"/>
      <c r="U36" s="142"/>
      <c r="V36" s="56"/>
      <c r="W36" s="56"/>
      <c r="X36" s="56"/>
      <c r="Y36" s="56"/>
      <c r="Z36" s="56"/>
      <c r="AA36" s="56"/>
      <c r="AB36" s="56"/>
      <c r="AC36" s="56"/>
    </row>
    <row r="37" spans="1:44" s="129" customFormat="1" ht="14.25" customHeight="1">
      <c r="A37" s="1499" t="s">
        <v>125</v>
      </c>
      <c r="B37" s="1500"/>
      <c r="C37" s="1500"/>
      <c r="D37" s="1500"/>
      <c r="E37" s="1500"/>
      <c r="F37" s="1502" t="s">
        <v>332</v>
      </c>
      <c r="G37" s="1503"/>
      <c r="H37" s="201">
        <v>1</v>
      </c>
      <c r="I37" s="206"/>
      <c r="J37" s="206">
        <f>$H$37*J29*$J$24/1000000</f>
        <v>7.2226834800145239E-5</v>
      </c>
      <c r="K37" s="206">
        <f>$H$31*$K$29*$K$24/1000000</f>
        <v>1.5234076183124477E-5</v>
      </c>
      <c r="L37" s="173"/>
      <c r="M37" s="206"/>
      <c r="N37" s="207"/>
      <c r="O37" s="206"/>
      <c r="P37" s="202">
        <f t="shared" si="0"/>
        <v>8.7460910983269715E-5</v>
      </c>
      <c r="Q37" s="208"/>
      <c r="R37" s="209"/>
      <c r="S37" s="209"/>
      <c r="T37" s="209"/>
      <c r="U37" s="142"/>
      <c r="V37" s="56"/>
      <c r="W37" s="56"/>
      <c r="X37" s="56"/>
      <c r="Y37" s="56"/>
      <c r="Z37" s="56"/>
      <c r="AA37" s="56"/>
      <c r="AB37" s="56"/>
      <c r="AC37" s="56"/>
    </row>
    <row r="38" spans="1:44" s="129" customFormat="1" ht="14.25" customHeight="1">
      <c r="A38" s="1499" t="s">
        <v>126</v>
      </c>
      <c r="B38" s="1500"/>
      <c r="C38" s="1500"/>
      <c r="D38" s="1500"/>
      <c r="E38" s="1500"/>
      <c r="F38" s="1502" t="s">
        <v>332</v>
      </c>
      <c r="G38" s="1503"/>
      <c r="H38" s="201">
        <v>1</v>
      </c>
      <c r="I38" s="212"/>
      <c r="J38" s="212">
        <f>$H$38*J29*$J$25/1000000</f>
        <v>3.5063999999999998E-2</v>
      </c>
      <c r="K38" s="202">
        <f>$H$31*$K$29*$K$25/1000000</f>
        <v>3.5063999999999998E-2</v>
      </c>
      <c r="L38" s="173"/>
      <c r="M38" s="212"/>
      <c r="N38" s="207"/>
      <c r="O38" s="212"/>
      <c r="P38" s="212">
        <f t="shared" si="0"/>
        <v>7.0127999999999996E-2</v>
      </c>
      <c r="Q38" s="208"/>
      <c r="R38" s="209"/>
      <c r="S38" s="209"/>
      <c r="T38" s="209"/>
      <c r="U38" s="142"/>
      <c r="V38" s="56"/>
      <c r="W38" s="56"/>
      <c r="X38" s="56"/>
      <c r="Y38" s="56"/>
      <c r="Z38" s="56"/>
      <c r="AA38" s="56"/>
      <c r="AB38" s="56"/>
      <c r="AC38" s="56"/>
    </row>
    <row r="39" spans="1:44" s="129" customFormat="1" ht="14.25" customHeight="1">
      <c r="A39" s="1508"/>
      <c r="B39" s="1509"/>
      <c r="C39" s="1509"/>
      <c r="D39" s="1509"/>
      <c r="E39" s="1509"/>
      <c r="F39" s="1495"/>
      <c r="G39" s="1495"/>
      <c r="H39" s="213"/>
      <c r="I39" s="214"/>
      <c r="J39" s="214"/>
      <c r="K39" s="214"/>
      <c r="L39" s="214"/>
      <c r="M39" s="214"/>
      <c r="N39" s="214"/>
      <c r="O39" s="214"/>
      <c r="P39" s="214"/>
      <c r="Q39" s="215"/>
      <c r="R39" s="216"/>
      <c r="S39" s="216"/>
      <c r="T39" s="216"/>
      <c r="U39" s="142"/>
      <c r="V39" s="56"/>
      <c r="W39" s="56"/>
      <c r="X39" s="56"/>
      <c r="Y39" s="56"/>
      <c r="Z39" s="56"/>
      <c r="AA39" s="56"/>
      <c r="AB39" s="56"/>
      <c r="AC39" s="56"/>
    </row>
    <row r="40" spans="1:44" s="129" customFormat="1" ht="14.25" customHeight="1">
      <c r="A40" s="217"/>
      <c r="B40" s="218"/>
      <c r="C40" s="218"/>
      <c r="D40" s="218"/>
      <c r="E40" s="218"/>
      <c r="F40" s="1495"/>
      <c r="G40" s="1495"/>
      <c r="H40" s="213"/>
      <c r="I40" s="214"/>
      <c r="J40" s="214"/>
      <c r="K40" s="214"/>
      <c r="L40" s="214"/>
      <c r="M40" s="214"/>
      <c r="N40" s="214"/>
      <c r="O40" s="214"/>
      <c r="P40" s="214"/>
      <c r="Q40" s="215"/>
      <c r="R40" s="216"/>
      <c r="S40" s="216"/>
      <c r="T40" s="216"/>
      <c r="U40" s="142"/>
      <c r="V40" s="56"/>
      <c r="W40" s="56"/>
      <c r="X40" s="56"/>
      <c r="Y40" s="56"/>
      <c r="Z40" s="56"/>
      <c r="AA40" s="56"/>
      <c r="AB40" s="56"/>
      <c r="AC40" s="56"/>
    </row>
    <row r="41" spans="1:44" s="129" customFormat="1" ht="14.25" customHeight="1">
      <c r="A41" s="219"/>
      <c r="B41" s="139"/>
      <c r="C41" s="139"/>
      <c r="D41" s="139"/>
      <c r="E41" s="31"/>
      <c r="F41" s="31"/>
      <c r="G41" s="31"/>
      <c r="H41" s="31"/>
      <c r="I41" s="156"/>
      <c r="J41" s="156"/>
      <c r="K41" s="156"/>
      <c r="L41" s="156"/>
      <c r="M41" s="156"/>
      <c r="N41" s="156"/>
      <c r="O41" s="156"/>
      <c r="P41" s="156"/>
      <c r="Q41" s="32"/>
      <c r="R41" s="220"/>
      <c r="S41" s="220"/>
      <c r="V41" s="220"/>
      <c r="W41" s="220"/>
      <c r="X41" s="150"/>
      <c r="Y41" s="150"/>
      <c r="AJ41" s="142"/>
      <c r="AK41" s="56"/>
      <c r="AL41" s="56"/>
      <c r="AM41" s="56"/>
      <c r="AN41" s="56"/>
      <c r="AO41" s="56"/>
      <c r="AP41" s="56"/>
      <c r="AQ41" s="56"/>
      <c r="AR41" s="56"/>
    </row>
    <row r="42" spans="1:44" s="129" customFormat="1" ht="14.25" customHeight="1">
      <c r="A42" s="221"/>
      <c r="B42" s="140"/>
      <c r="C42" s="140"/>
      <c r="D42" s="140"/>
      <c r="E42" s="140"/>
      <c r="F42" s="140"/>
      <c r="G42" s="140"/>
      <c r="H42" s="140"/>
      <c r="I42" s="140"/>
      <c r="J42" s="140"/>
      <c r="K42" s="31"/>
      <c r="L42" s="31"/>
      <c r="M42" s="31"/>
      <c r="N42" s="222"/>
      <c r="O42" s="222"/>
      <c r="P42" s="222"/>
      <c r="Q42" s="32"/>
      <c r="R42" s="220"/>
      <c r="S42" s="220"/>
      <c r="V42" s="220"/>
      <c r="W42" s="220"/>
      <c r="X42" s="150"/>
      <c r="Y42" s="150"/>
      <c r="AJ42" s="142"/>
      <c r="AK42" s="56"/>
      <c r="AL42" s="56"/>
      <c r="AM42" s="56"/>
      <c r="AN42" s="56"/>
      <c r="AO42" s="56"/>
      <c r="AP42" s="56"/>
      <c r="AQ42" s="56"/>
      <c r="AR42" s="56"/>
    </row>
    <row r="43" spans="1:44" s="129" customFormat="1" ht="14.25" customHeight="1">
      <c r="A43" s="1501"/>
      <c r="B43" s="1181"/>
      <c r="C43" s="1181"/>
      <c r="D43" s="1181"/>
      <c r="E43" s="1181"/>
      <c r="F43" s="1181"/>
      <c r="G43" s="1181"/>
      <c r="H43" s="1181"/>
      <c r="I43" s="1181"/>
      <c r="J43" s="1181"/>
      <c r="K43" s="31"/>
      <c r="L43" s="31"/>
      <c r="M43" s="31"/>
      <c r="N43" s="222"/>
      <c r="O43" s="222"/>
      <c r="P43" s="222"/>
      <c r="Q43" s="32"/>
      <c r="R43" s="1493"/>
      <c r="S43" s="1493"/>
      <c r="V43" s="1493"/>
      <c r="W43" s="1493"/>
      <c r="X43" s="1494"/>
      <c r="Y43" s="1494"/>
      <c r="AJ43" s="142"/>
      <c r="AK43" s="56"/>
      <c r="AL43" s="56"/>
      <c r="AM43" s="56"/>
      <c r="AN43" s="56"/>
      <c r="AO43" s="56"/>
      <c r="AP43" s="56"/>
      <c r="AQ43" s="56"/>
      <c r="AR43" s="56"/>
    </row>
    <row r="44" spans="1:44" s="129" customFormat="1" ht="14.25" customHeight="1">
      <c r="A44" s="223"/>
      <c r="B44" s="147"/>
      <c r="C44" s="31"/>
      <c r="D44" s="31"/>
      <c r="E44" s="31"/>
      <c r="F44" s="31"/>
      <c r="G44" s="31"/>
      <c r="H44" s="31"/>
      <c r="I44" s="31"/>
      <c r="J44" s="31"/>
      <c r="K44" s="31"/>
      <c r="L44" s="31"/>
      <c r="M44" s="31"/>
      <c r="N44" s="222"/>
      <c r="O44" s="222"/>
      <c r="P44" s="222"/>
      <c r="Q44" s="32"/>
      <c r="R44" s="220"/>
      <c r="S44" s="220"/>
      <c r="V44" s="220"/>
      <c r="W44" s="220"/>
      <c r="X44" s="150"/>
      <c r="Y44" s="150"/>
      <c r="AJ44" s="142"/>
      <c r="AK44" s="56"/>
      <c r="AL44" s="56"/>
      <c r="AM44" s="56"/>
      <c r="AN44" s="56"/>
      <c r="AO44" s="56"/>
      <c r="AP44" s="56"/>
      <c r="AQ44" s="56"/>
      <c r="AR44" s="56"/>
    </row>
    <row r="45" spans="1:44" s="129" customFormat="1" ht="14.25" customHeight="1">
      <c r="A45" s="224" t="s">
        <v>678</v>
      </c>
      <c r="B45" s="31"/>
      <c r="C45" s="27"/>
      <c r="D45" s="27"/>
      <c r="E45" s="27"/>
      <c r="F45" s="27"/>
      <c r="G45" s="27"/>
      <c r="H45" s="27"/>
      <c r="I45" s="27"/>
      <c r="J45" s="27"/>
      <c r="K45" s="27"/>
      <c r="L45" s="27"/>
      <c r="M45" s="27"/>
      <c r="N45" s="1491"/>
      <c r="O45" s="1491"/>
      <c r="P45" s="225"/>
      <c r="Q45" s="226"/>
      <c r="R45" s="220"/>
      <c r="S45" s="220"/>
      <c r="V45" s="220"/>
      <c r="W45" s="220"/>
      <c r="X45" s="150"/>
      <c r="Y45" s="150"/>
      <c r="AK45" s="56"/>
      <c r="AL45" s="56"/>
      <c r="AM45" s="56"/>
      <c r="AN45" s="56"/>
      <c r="AO45" s="56"/>
      <c r="AP45" s="56"/>
      <c r="AQ45" s="56"/>
      <c r="AR45" s="56"/>
    </row>
    <row r="46" spans="1:44" s="129" customFormat="1" ht="14.25" customHeight="1">
      <c r="A46" s="227" t="s">
        <v>31</v>
      </c>
      <c r="B46" s="31" t="s">
        <v>938</v>
      </c>
      <c r="C46" s="31"/>
      <c r="D46" s="31"/>
      <c r="E46" s="31"/>
      <c r="F46" s="31"/>
      <c r="G46" s="31"/>
      <c r="H46" s="31"/>
      <c r="I46" s="31"/>
      <c r="J46" s="31"/>
      <c r="K46" s="31"/>
      <c r="L46" s="31"/>
      <c r="M46" s="31"/>
      <c r="N46" s="222"/>
      <c r="O46" s="222"/>
      <c r="P46" s="222"/>
      <c r="Q46" s="32"/>
      <c r="R46" s="1492"/>
      <c r="S46" s="1492"/>
      <c r="V46" s="1493"/>
      <c r="W46" s="1493"/>
      <c r="X46" s="1494"/>
      <c r="Y46" s="1494"/>
      <c r="AK46" s="56"/>
      <c r="AL46" s="56"/>
      <c r="AM46" s="56"/>
      <c r="AN46" s="56"/>
      <c r="AO46" s="56"/>
      <c r="AP46" s="56"/>
      <c r="AQ46" s="56"/>
      <c r="AR46" s="56"/>
    </row>
    <row r="47" spans="1:44" s="129" customFormat="1" ht="14.25" customHeight="1">
      <c r="A47" s="227" t="s">
        <v>33</v>
      </c>
      <c r="B47" s="31" t="s">
        <v>939</v>
      </c>
      <c r="C47" s="31"/>
      <c r="D47" s="31"/>
      <c r="E47" s="31"/>
      <c r="F47" s="31"/>
      <c r="G47" s="31"/>
      <c r="H47" s="31"/>
      <c r="I47" s="31"/>
      <c r="J47" s="31"/>
      <c r="K47" s="31"/>
      <c r="L47" s="31"/>
      <c r="M47" s="31"/>
      <c r="N47" s="222"/>
      <c r="O47" s="222"/>
      <c r="P47" s="222"/>
      <c r="Q47" s="32"/>
      <c r="R47" s="228"/>
      <c r="S47" s="228"/>
      <c r="V47" s="220"/>
      <c r="W47" s="220"/>
      <c r="X47" s="150"/>
      <c r="Y47" s="150"/>
      <c r="AK47" s="56"/>
      <c r="AL47" s="56"/>
      <c r="AM47" s="56"/>
      <c r="AN47" s="56"/>
      <c r="AO47" s="56"/>
      <c r="AP47" s="56"/>
      <c r="AQ47" s="56"/>
      <c r="AR47" s="56"/>
    </row>
    <row r="48" spans="1:44" s="129" customFormat="1" ht="14.25" customHeight="1">
      <c r="A48" s="227" t="s">
        <v>752</v>
      </c>
      <c r="B48" s="229" t="s">
        <v>940</v>
      </c>
      <c r="C48" s="230"/>
      <c r="D48" s="230"/>
      <c r="E48" s="230"/>
      <c r="F48" s="230"/>
      <c r="G48" s="230"/>
      <c r="H48" s="230"/>
      <c r="I48" s="230"/>
      <c r="J48" s="230"/>
      <c r="K48" s="230"/>
      <c r="L48" s="230"/>
      <c r="M48" s="230"/>
      <c r="N48" s="230"/>
      <c r="O48" s="230"/>
      <c r="P48" s="230"/>
      <c r="Q48" s="231"/>
      <c r="R48" s="228"/>
      <c r="S48" s="228"/>
      <c r="V48" s="220"/>
      <c r="W48" s="220"/>
      <c r="X48" s="150"/>
      <c r="Y48" s="150"/>
      <c r="AK48" s="56"/>
      <c r="AL48" s="56"/>
      <c r="AM48" s="56"/>
      <c r="AN48" s="56"/>
      <c r="AO48" s="56"/>
      <c r="AP48" s="56"/>
      <c r="AQ48" s="56"/>
      <c r="AR48" s="56"/>
    </row>
    <row r="49" spans="1:44" s="129" customFormat="1" ht="14.25" customHeight="1">
      <c r="A49" s="227" t="s">
        <v>787</v>
      </c>
      <c r="B49" s="229"/>
      <c r="C49" s="230"/>
      <c r="D49" s="230"/>
      <c r="E49" s="230"/>
      <c r="F49" s="230"/>
      <c r="G49" s="230"/>
      <c r="H49" s="230"/>
      <c r="I49" s="230"/>
      <c r="J49" s="230"/>
      <c r="K49" s="230"/>
      <c r="L49" s="230"/>
      <c r="M49" s="230"/>
      <c r="N49" s="230"/>
      <c r="O49" s="230"/>
      <c r="P49" s="230"/>
      <c r="Q49" s="231"/>
      <c r="R49" s="228"/>
      <c r="S49" s="228"/>
      <c r="V49" s="220"/>
      <c r="W49" s="220"/>
      <c r="X49" s="150"/>
      <c r="Y49" s="150"/>
      <c r="AK49" s="56"/>
      <c r="AL49" s="56"/>
      <c r="AM49" s="56"/>
      <c r="AN49" s="56"/>
      <c r="AO49" s="56"/>
      <c r="AP49" s="56"/>
      <c r="AQ49" s="56"/>
      <c r="AR49" s="56"/>
    </row>
    <row r="50" spans="1:44" s="129" customFormat="1" ht="14.25" customHeight="1">
      <c r="A50" s="227" t="s">
        <v>787</v>
      </c>
      <c r="B50" s="229"/>
      <c r="C50" s="230"/>
      <c r="D50" s="230"/>
      <c r="E50" s="230"/>
      <c r="F50" s="230"/>
      <c r="G50" s="230"/>
      <c r="H50" s="230"/>
      <c r="I50" s="230"/>
      <c r="J50" s="230"/>
      <c r="K50" s="230"/>
      <c r="L50" s="230"/>
      <c r="M50" s="230"/>
      <c r="N50" s="230"/>
      <c r="O50" s="230"/>
      <c r="P50" s="230"/>
      <c r="Q50" s="231"/>
      <c r="R50" s="228"/>
      <c r="S50" s="228"/>
      <c r="V50" s="220"/>
      <c r="W50" s="220"/>
      <c r="X50" s="150"/>
      <c r="Y50" s="150"/>
      <c r="AK50" s="56"/>
      <c r="AL50" s="56"/>
      <c r="AM50" s="56"/>
      <c r="AN50" s="56"/>
      <c r="AO50" s="56"/>
      <c r="AP50" s="56"/>
      <c r="AQ50" s="56"/>
      <c r="AR50" s="56"/>
    </row>
    <row r="51" spans="1:44" s="129" customFormat="1" ht="14.25" customHeight="1">
      <c r="A51" s="227"/>
      <c r="B51" s="230"/>
      <c r="C51" s="230"/>
      <c r="D51" s="230"/>
      <c r="E51" s="230"/>
      <c r="F51" s="230"/>
      <c r="G51" s="230"/>
      <c r="H51" s="230"/>
      <c r="I51" s="230"/>
      <c r="J51" s="230"/>
      <c r="K51" s="230"/>
      <c r="L51" s="230"/>
      <c r="M51" s="230"/>
      <c r="N51" s="230"/>
      <c r="O51" s="230"/>
      <c r="P51" s="230"/>
      <c r="Q51" s="231"/>
      <c r="R51" s="228"/>
      <c r="S51" s="228"/>
      <c r="V51" s="220"/>
      <c r="W51" s="220"/>
      <c r="X51" s="150"/>
      <c r="Y51" s="150"/>
      <c r="AK51" s="56"/>
      <c r="AL51" s="56"/>
      <c r="AM51" s="56"/>
      <c r="AN51" s="56"/>
      <c r="AO51" s="56"/>
      <c r="AP51" s="56"/>
      <c r="AQ51" s="56"/>
      <c r="AR51" s="56"/>
    </row>
    <row r="52" spans="1:44" s="129" customFormat="1" ht="14.25" customHeight="1">
      <c r="A52" s="227" t="s">
        <v>41</v>
      </c>
      <c r="B52" s="1489"/>
      <c r="C52" s="1489"/>
      <c r="D52" s="1489"/>
      <c r="E52" s="1489"/>
      <c r="F52" s="1489"/>
      <c r="G52" s="1489"/>
      <c r="H52" s="1489"/>
      <c r="I52" s="1489"/>
      <c r="J52" s="1489"/>
      <c r="K52" s="1489"/>
      <c r="L52" s="1489"/>
      <c r="M52" s="1489"/>
      <c r="N52" s="1489"/>
      <c r="O52" s="1489"/>
      <c r="P52" s="1489"/>
      <c r="Q52" s="1672"/>
      <c r="R52" s="228"/>
      <c r="S52" s="228"/>
      <c r="V52" s="220"/>
      <c r="W52" s="220"/>
      <c r="X52" s="150"/>
      <c r="Y52" s="150"/>
      <c r="AK52" s="56"/>
      <c r="AL52" s="56"/>
      <c r="AM52" s="56"/>
      <c r="AN52" s="56"/>
      <c r="AO52" s="56"/>
      <c r="AP52" s="56"/>
      <c r="AQ52" s="56"/>
      <c r="AR52" s="56"/>
    </row>
    <row r="53" spans="1:44" s="129" customFormat="1" ht="14.25" customHeight="1">
      <c r="A53" s="227"/>
      <c r="B53" s="1489"/>
      <c r="C53" s="1489"/>
      <c r="D53" s="1489"/>
      <c r="E53" s="1489"/>
      <c r="F53" s="1489"/>
      <c r="G53" s="1489"/>
      <c r="H53" s="1489"/>
      <c r="I53" s="1489"/>
      <c r="J53" s="1489"/>
      <c r="K53" s="1489"/>
      <c r="L53" s="1489"/>
      <c r="M53" s="1489"/>
      <c r="N53" s="1489"/>
      <c r="O53" s="1489"/>
      <c r="P53" s="1489"/>
      <c r="Q53" s="1672"/>
      <c r="R53" s="228"/>
      <c r="S53" s="228"/>
      <c r="V53" s="220"/>
      <c r="W53" s="220"/>
      <c r="X53" s="150"/>
      <c r="Y53" s="150"/>
      <c r="AK53" s="56"/>
      <c r="AL53" s="56"/>
      <c r="AM53" s="56"/>
      <c r="AN53" s="56"/>
      <c r="AO53" s="56"/>
      <c r="AP53" s="56"/>
      <c r="AQ53" s="56"/>
      <c r="AR53" s="56"/>
    </row>
    <row r="54" spans="1:44" s="129" customFormat="1" ht="14.25" customHeight="1">
      <c r="A54" s="227" t="s">
        <v>44</v>
      </c>
      <c r="B54" s="31"/>
      <c r="C54" s="31"/>
      <c r="D54" s="31"/>
      <c r="E54" s="31"/>
      <c r="F54" s="31"/>
      <c r="G54" s="31"/>
      <c r="H54" s="31"/>
      <c r="I54" s="31"/>
      <c r="J54" s="31"/>
      <c r="K54" s="31"/>
      <c r="L54" s="31"/>
      <c r="M54" s="31"/>
      <c r="N54" s="222"/>
      <c r="O54" s="222"/>
      <c r="P54" s="222"/>
      <c r="Q54" s="32"/>
      <c r="R54" s="228"/>
      <c r="S54" s="228"/>
      <c r="V54" s="220"/>
      <c r="W54" s="220"/>
      <c r="X54" s="150"/>
      <c r="Y54" s="150"/>
      <c r="AK54" s="56"/>
      <c r="AL54" s="56"/>
      <c r="AM54" s="56"/>
      <c r="AN54" s="56"/>
      <c r="AO54" s="56"/>
      <c r="AP54" s="56"/>
      <c r="AQ54" s="56"/>
      <c r="AR54" s="56"/>
    </row>
    <row r="55" spans="1:44" ht="14.25" customHeight="1">
      <c r="A55" s="232"/>
      <c r="B55" s="233"/>
      <c r="C55" s="233"/>
      <c r="D55" s="233"/>
      <c r="E55" s="233"/>
      <c r="F55" s="233"/>
      <c r="G55" s="233"/>
      <c r="H55" s="233"/>
      <c r="I55" s="233"/>
      <c r="J55" s="233"/>
      <c r="K55" s="233"/>
      <c r="L55" s="233"/>
      <c r="M55" s="233"/>
      <c r="N55" s="233"/>
      <c r="O55" s="233"/>
      <c r="P55" s="233"/>
      <c r="Q55" s="234"/>
      <c r="R55" s="136"/>
      <c r="S55" s="136"/>
      <c r="T55" s="136"/>
      <c r="U55" s="136"/>
      <c r="V55" s="136"/>
      <c r="W55" s="136"/>
      <c r="X55" s="235"/>
      <c r="Y55" s="136"/>
      <c r="Z55" s="136"/>
      <c r="AA55" s="136"/>
      <c r="AB55" s="136"/>
      <c r="AC55" s="136"/>
      <c r="AD55" s="136"/>
      <c r="AK55" s="105"/>
      <c r="AL55" s="105"/>
      <c r="AM55" s="105"/>
      <c r="AN55" s="105"/>
      <c r="AO55" s="105"/>
      <c r="AP55" s="105"/>
      <c r="AQ55" s="105"/>
      <c r="AR55" s="105"/>
    </row>
    <row r="56" spans="1:44">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7"/>
      <c r="Y56" s="236"/>
      <c r="Z56" s="236"/>
      <c r="AA56" s="236"/>
      <c r="AB56" s="236"/>
      <c r="AC56" s="136"/>
      <c r="AD56" s="136"/>
      <c r="AK56" s="105"/>
      <c r="AL56" s="105"/>
      <c r="AM56" s="105"/>
      <c r="AN56" s="105"/>
      <c r="AO56" s="105"/>
      <c r="AP56" s="105"/>
      <c r="AQ56" s="105"/>
      <c r="AR56" s="105"/>
    </row>
    <row r="57" spans="1:44">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7"/>
      <c r="Y57" s="236"/>
      <c r="Z57" s="236"/>
      <c r="AA57" s="236"/>
      <c r="AB57" s="236"/>
      <c r="AC57" s="236"/>
      <c r="AD57" s="236"/>
      <c r="AE57" s="105"/>
      <c r="AF57" s="105"/>
      <c r="AG57" s="105"/>
      <c r="AH57" s="105"/>
      <c r="AI57" s="105"/>
      <c r="AJ57" s="105"/>
      <c r="AK57" s="105"/>
      <c r="AL57" s="105"/>
      <c r="AM57" s="105"/>
      <c r="AN57" s="105"/>
      <c r="AO57" s="105"/>
      <c r="AP57" s="105"/>
      <c r="AQ57" s="105"/>
      <c r="AR57" s="105"/>
    </row>
    <row r="58" spans="1:44">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7"/>
      <c r="Y58" s="236"/>
      <c r="Z58" s="236"/>
      <c r="AA58" s="236"/>
      <c r="AB58" s="236"/>
      <c r="AC58" s="236"/>
      <c r="AD58" s="105"/>
      <c r="AE58" s="105"/>
      <c r="AF58" s="105"/>
      <c r="AG58" s="105"/>
      <c r="AH58" s="105"/>
      <c r="AI58" s="105"/>
      <c r="AJ58" s="105"/>
      <c r="AK58" s="105"/>
      <c r="AL58" s="105"/>
      <c r="AM58" s="105"/>
      <c r="AN58" s="105"/>
      <c r="AO58" s="105"/>
      <c r="AP58" s="105"/>
      <c r="AQ58" s="105"/>
      <c r="AR58" s="105"/>
    </row>
    <row r="59" spans="1:44">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7"/>
      <c r="Y59" s="236"/>
      <c r="Z59" s="236"/>
      <c r="AA59" s="236"/>
      <c r="AB59" s="236"/>
      <c r="AC59" s="236"/>
      <c r="AD59" s="105"/>
      <c r="AE59" s="105"/>
      <c r="AF59" s="105"/>
      <c r="AG59" s="105"/>
      <c r="AH59" s="105"/>
      <c r="AI59" s="105"/>
      <c r="AJ59" s="105"/>
      <c r="AK59" s="105"/>
      <c r="AL59" s="105"/>
      <c r="AM59" s="105"/>
      <c r="AN59" s="105"/>
      <c r="AO59" s="105"/>
      <c r="AP59" s="105"/>
      <c r="AQ59" s="105"/>
      <c r="AR59" s="105"/>
    </row>
    <row r="60" spans="1:44">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7"/>
      <c r="Y60" s="236"/>
      <c r="Z60" s="236"/>
      <c r="AA60" s="236"/>
      <c r="AB60" s="236"/>
      <c r="AC60" s="236"/>
      <c r="AD60" s="105"/>
      <c r="AE60" s="105"/>
      <c r="AF60" s="105"/>
      <c r="AG60" s="105"/>
      <c r="AH60" s="105"/>
      <c r="AI60" s="105"/>
      <c r="AJ60" s="105"/>
      <c r="AK60" s="105"/>
      <c r="AL60" s="105"/>
      <c r="AM60" s="105"/>
      <c r="AN60" s="105"/>
      <c r="AO60" s="105"/>
      <c r="AP60" s="105"/>
      <c r="AQ60" s="105"/>
      <c r="AR60" s="105"/>
    </row>
    <row r="61" spans="1:44">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7"/>
      <c r="Y61" s="236"/>
      <c r="Z61" s="236"/>
      <c r="AA61" s="236"/>
      <c r="AB61" s="236"/>
      <c r="AC61" s="236"/>
      <c r="AD61" s="105"/>
      <c r="AE61" s="105"/>
      <c r="AF61" s="105"/>
      <c r="AG61" s="105"/>
      <c r="AH61" s="105"/>
      <c r="AI61" s="105"/>
      <c r="AJ61" s="105"/>
      <c r="AK61" s="105"/>
      <c r="AL61" s="105"/>
      <c r="AM61" s="105"/>
      <c r="AN61" s="105"/>
      <c r="AO61" s="105"/>
      <c r="AP61" s="105"/>
      <c r="AQ61" s="105"/>
      <c r="AR61" s="105"/>
    </row>
    <row r="62" spans="1:44">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7"/>
      <c r="Y62" s="236"/>
      <c r="Z62" s="236"/>
      <c r="AA62" s="236"/>
      <c r="AB62" s="236"/>
      <c r="AC62" s="236"/>
      <c r="AD62" s="105"/>
      <c r="AE62" s="105"/>
      <c r="AF62" s="105"/>
      <c r="AG62" s="105"/>
      <c r="AH62" s="105"/>
      <c r="AI62" s="105"/>
      <c r="AJ62" s="105"/>
      <c r="AK62" s="105"/>
      <c r="AL62" s="105"/>
      <c r="AM62" s="105"/>
      <c r="AN62" s="105"/>
      <c r="AO62" s="105"/>
      <c r="AP62" s="105"/>
      <c r="AQ62" s="105"/>
      <c r="AR62" s="105"/>
    </row>
    <row r="63" spans="1:44">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7"/>
      <c r="Y63" s="236"/>
      <c r="Z63" s="236"/>
      <c r="AA63" s="236"/>
      <c r="AB63" s="236"/>
      <c r="AC63" s="236"/>
      <c r="AD63" s="105"/>
      <c r="AE63" s="105"/>
      <c r="AF63" s="105"/>
      <c r="AG63" s="105"/>
      <c r="AH63" s="105"/>
      <c r="AI63" s="105"/>
      <c r="AJ63" s="105"/>
      <c r="AK63" s="105"/>
      <c r="AL63" s="105"/>
      <c r="AM63" s="105"/>
      <c r="AN63" s="105"/>
      <c r="AO63" s="105"/>
      <c r="AP63" s="105"/>
      <c r="AQ63" s="105"/>
      <c r="AR63" s="105"/>
    </row>
    <row r="64" spans="1:44">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7"/>
      <c r="Y64" s="236"/>
      <c r="Z64" s="236"/>
      <c r="AA64" s="236"/>
      <c r="AB64" s="236"/>
      <c r="AC64" s="236"/>
      <c r="AD64" s="105"/>
      <c r="AE64" s="105"/>
      <c r="AF64" s="105"/>
      <c r="AG64" s="105"/>
      <c r="AH64" s="105"/>
      <c r="AI64" s="105"/>
      <c r="AJ64" s="105"/>
      <c r="AK64" s="105"/>
      <c r="AL64" s="105"/>
      <c r="AM64" s="105"/>
      <c r="AN64" s="105"/>
      <c r="AO64" s="105"/>
      <c r="AP64" s="105"/>
      <c r="AQ64" s="105"/>
      <c r="AR64" s="105"/>
    </row>
    <row r="65" spans="1:44">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7"/>
      <c r="Y65" s="236"/>
      <c r="Z65" s="236"/>
      <c r="AA65" s="236"/>
      <c r="AB65" s="236"/>
      <c r="AC65" s="236"/>
      <c r="AD65" s="105"/>
      <c r="AE65" s="105"/>
      <c r="AF65" s="105"/>
      <c r="AG65" s="105"/>
      <c r="AH65" s="105"/>
      <c r="AI65" s="105"/>
      <c r="AJ65" s="105"/>
      <c r="AK65" s="105"/>
      <c r="AL65" s="105"/>
      <c r="AM65" s="105"/>
      <c r="AN65" s="105"/>
      <c r="AO65" s="105"/>
      <c r="AP65" s="105"/>
      <c r="AQ65" s="105"/>
      <c r="AR65" s="105"/>
    </row>
    <row r="66" spans="1:44" s="137" customFormat="1">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7"/>
      <c r="Y66" s="236"/>
      <c r="Z66" s="236"/>
      <c r="AA66" s="236"/>
      <c r="AB66" s="236"/>
      <c r="AC66" s="236"/>
      <c r="AD66" s="105"/>
      <c r="AE66" s="105"/>
      <c r="AF66" s="105"/>
      <c r="AG66" s="105"/>
      <c r="AH66" s="105"/>
      <c r="AI66" s="105"/>
      <c r="AJ66" s="105"/>
      <c r="AK66" s="105"/>
      <c r="AL66" s="105"/>
      <c r="AM66" s="105"/>
      <c r="AN66" s="105"/>
      <c r="AO66" s="105"/>
      <c r="AP66" s="105"/>
      <c r="AQ66" s="105"/>
      <c r="AR66" s="105"/>
    </row>
    <row r="67" spans="1:44" s="137" customFormat="1">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7"/>
      <c r="Y67" s="236"/>
      <c r="Z67" s="236"/>
      <c r="AA67" s="236"/>
      <c r="AB67" s="236"/>
      <c r="AC67" s="236"/>
      <c r="AD67" s="105"/>
      <c r="AE67" s="105"/>
      <c r="AF67" s="105"/>
      <c r="AG67" s="105"/>
      <c r="AH67" s="105"/>
      <c r="AI67" s="105"/>
      <c r="AJ67" s="105"/>
      <c r="AK67" s="105"/>
      <c r="AL67" s="105"/>
      <c r="AM67" s="105"/>
      <c r="AN67" s="105"/>
      <c r="AO67" s="105"/>
      <c r="AP67" s="105"/>
      <c r="AQ67" s="105"/>
      <c r="AR67" s="105"/>
    </row>
    <row r="68" spans="1:44" s="137" customFormat="1">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7"/>
      <c r="Y68" s="236"/>
      <c r="Z68" s="236"/>
      <c r="AA68" s="236"/>
      <c r="AB68" s="236"/>
      <c r="AC68" s="236"/>
      <c r="AD68" s="105"/>
      <c r="AE68" s="105"/>
      <c r="AF68" s="105"/>
      <c r="AG68" s="105"/>
      <c r="AH68" s="105"/>
      <c r="AI68" s="105"/>
      <c r="AJ68" s="105"/>
      <c r="AK68" s="105"/>
      <c r="AL68" s="105"/>
      <c r="AM68" s="105"/>
      <c r="AN68" s="105"/>
      <c r="AO68" s="105"/>
      <c r="AP68" s="105"/>
      <c r="AQ68" s="105"/>
      <c r="AR68" s="105"/>
    </row>
    <row r="69" spans="1:44" s="137" customFormat="1">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7"/>
      <c r="Y69" s="236"/>
      <c r="Z69" s="236"/>
      <c r="AA69" s="236"/>
      <c r="AB69" s="236"/>
      <c r="AC69" s="236"/>
      <c r="AD69" s="105"/>
      <c r="AE69" s="105"/>
      <c r="AF69" s="105"/>
      <c r="AG69" s="105"/>
      <c r="AH69" s="105"/>
      <c r="AI69" s="105"/>
      <c r="AJ69" s="105"/>
      <c r="AK69" s="105"/>
      <c r="AL69" s="105"/>
      <c r="AM69" s="105"/>
      <c r="AN69" s="105"/>
      <c r="AO69" s="105"/>
      <c r="AP69" s="105"/>
      <c r="AQ69" s="105"/>
      <c r="AR69" s="105"/>
    </row>
    <row r="70" spans="1:44" s="137" customFormat="1">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7"/>
      <c r="Y70" s="236"/>
      <c r="Z70" s="236"/>
      <c r="AA70" s="236"/>
      <c r="AB70" s="236"/>
      <c r="AC70" s="236"/>
      <c r="AD70" s="105"/>
      <c r="AE70" s="105"/>
      <c r="AF70" s="105"/>
      <c r="AG70" s="105"/>
      <c r="AH70" s="105"/>
      <c r="AI70" s="105"/>
      <c r="AJ70" s="105"/>
      <c r="AK70" s="105"/>
      <c r="AL70" s="105"/>
      <c r="AM70" s="105"/>
      <c r="AN70" s="105"/>
      <c r="AO70" s="105"/>
      <c r="AP70" s="105"/>
      <c r="AQ70" s="105"/>
      <c r="AR70" s="105"/>
    </row>
    <row r="71" spans="1:44" s="137" customFormat="1">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7"/>
      <c r="Y71" s="236"/>
      <c r="Z71" s="236"/>
      <c r="AA71" s="236"/>
      <c r="AB71" s="236"/>
      <c r="AC71" s="236"/>
      <c r="AD71" s="105"/>
      <c r="AE71" s="105"/>
      <c r="AF71" s="105"/>
      <c r="AG71" s="105"/>
      <c r="AH71" s="105"/>
      <c r="AI71" s="105"/>
      <c r="AJ71" s="105"/>
      <c r="AK71" s="105"/>
      <c r="AL71" s="105"/>
      <c r="AM71" s="105"/>
      <c r="AN71" s="105"/>
      <c r="AO71" s="105"/>
      <c r="AP71" s="105"/>
      <c r="AQ71" s="105"/>
      <c r="AR71" s="105"/>
    </row>
    <row r="72" spans="1:44" s="137" customFormat="1">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7"/>
      <c r="Y72" s="236"/>
      <c r="Z72" s="236"/>
      <c r="AA72" s="236"/>
      <c r="AB72" s="236"/>
      <c r="AC72" s="236"/>
      <c r="AD72" s="105"/>
      <c r="AE72" s="105"/>
      <c r="AF72" s="105"/>
      <c r="AG72" s="105"/>
      <c r="AH72" s="105"/>
      <c r="AI72" s="105"/>
      <c r="AJ72" s="105"/>
      <c r="AK72" s="105"/>
      <c r="AL72" s="105"/>
      <c r="AM72" s="105"/>
      <c r="AN72" s="105"/>
      <c r="AO72" s="105"/>
      <c r="AP72" s="105"/>
      <c r="AQ72" s="105"/>
      <c r="AR72" s="105"/>
    </row>
    <row r="73" spans="1:44" s="137" customFormat="1">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7"/>
      <c r="Y73" s="236"/>
      <c r="Z73" s="236"/>
      <c r="AA73" s="236"/>
      <c r="AB73" s="236"/>
      <c r="AC73" s="236"/>
      <c r="AD73" s="105"/>
      <c r="AE73" s="105"/>
      <c r="AF73" s="105"/>
      <c r="AG73" s="105"/>
      <c r="AH73" s="105"/>
      <c r="AI73" s="105"/>
      <c r="AJ73" s="105"/>
      <c r="AK73" s="105"/>
      <c r="AL73" s="105"/>
      <c r="AM73" s="105"/>
      <c r="AN73" s="105"/>
      <c r="AO73" s="105"/>
      <c r="AP73" s="105"/>
      <c r="AQ73" s="105"/>
      <c r="AR73" s="105"/>
    </row>
    <row r="74" spans="1:44" s="137" customFormat="1">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7"/>
      <c r="Y74" s="236"/>
      <c r="Z74" s="236"/>
      <c r="AA74" s="236"/>
      <c r="AB74" s="236"/>
      <c r="AC74" s="236"/>
      <c r="AD74" s="105"/>
      <c r="AE74" s="105"/>
      <c r="AF74" s="105"/>
      <c r="AG74" s="105"/>
      <c r="AH74" s="105"/>
      <c r="AI74" s="105"/>
      <c r="AJ74" s="105"/>
      <c r="AK74" s="105"/>
      <c r="AL74" s="105"/>
      <c r="AM74" s="105"/>
      <c r="AN74" s="105"/>
      <c r="AO74" s="105"/>
      <c r="AP74" s="105"/>
      <c r="AQ74" s="105"/>
      <c r="AR74" s="105"/>
    </row>
    <row r="75" spans="1:44" s="137" customFormat="1">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7"/>
      <c r="Y75" s="236"/>
      <c r="Z75" s="236"/>
      <c r="AA75" s="236"/>
      <c r="AB75" s="236"/>
      <c r="AC75" s="236"/>
      <c r="AD75" s="105"/>
      <c r="AE75" s="105"/>
      <c r="AF75" s="105"/>
      <c r="AG75" s="105"/>
      <c r="AH75" s="105"/>
      <c r="AI75" s="105"/>
      <c r="AJ75" s="105"/>
      <c r="AK75" s="105"/>
      <c r="AL75" s="105"/>
      <c r="AM75" s="105"/>
      <c r="AN75" s="105"/>
      <c r="AO75" s="105"/>
      <c r="AP75" s="105"/>
      <c r="AQ75" s="105"/>
      <c r="AR75" s="105"/>
    </row>
    <row r="76" spans="1:44" s="137" customFormat="1">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7"/>
      <c r="Y76" s="236"/>
      <c r="Z76" s="236"/>
      <c r="AA76" s="236"/>
      <c r="AB76" s="236"/>
      <c r="AC76" s="236"/>
      <c r="AD76" s="105"/>
      <c r="AE76" s="105"/>
      <c r="AF76" s="105"/>
      <c r="AG76" s="105"/>
      <c r="AH76" s="105"/>
      <c r="AI76" s="105"/>
      <c r="AJ76" s="105"/>
      <c r="AK76" s="105"/>
      <c r="AL76" s="105"/>
      <c r="AM76" s="105"/>
      <c r="AN76" s="105"/>
      <c r="AO76" s="105"/>
      <c r="AP76" s="105"/>
      <c r="AQ76" s="105"/>
      <c r="AR76" s="105"/>
    </row>
    <row r="77" spans="1:44" s="137" customFormat="1">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7"/>
      <c r="Y77" s="236"/>
      <c r="Z77" s="236"/>
      <c r="AA77" s="236"/>
      <c r="AB77" s="236"/>
      <c r="AC77" s="236"/>
      <c r="AD77" s="105"/>
      <c r="AE77" s="105"/>
      <c r="AF77" s="105"/>
      <c r="AG77" s="105"/>
      <c r="AH77" s="105"/>
      <c r="AI77" s="105"/>
      <c r="AJ77" s="105"/>
      <c r="AK77" s="105"/>
      <c r="AL77" s="105"/>
      <c r="AM77" s="105"/>
      <c r="AN77" s="105"/>
      <c r="AO77" s="105"/>
      <c r="AP77" s="105"/>
      <c r="AQ77" s="105"/>
      <c r="AR77" s="105"/>
    </row>
    <row r="78" spans="1:44" s="137" customFormat="1">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7"/>
      <c r="Y78" s="236"/>
      <c r="Z78" s="236"/>
      <c r="AA78" s="236"/>
      <c r="AB78" s="236"/>
      <c r="AC78" s="236"/>
      <c r="AD78" s="105"/>
      <c r="AE78" s="105"/>
      <c r="AF78" s="105"/>
      <c r="AG78" s="105"/>
      <c r="AH78" s="105"/>
      <c r="AI78" s="105"/>
      <c r="AJ78" s="105"/>
      <c r="AK78" s="105"/>
      <c r="AL78" s="105"/>
      <c r="AM78" s="105"/>
      <c r="AN78" s="105"/>
      <c r="AO78" s="105"/>
      <c r="AP78" s="105"/>
      <c r="AQ78" s="105"/>
      <c r="AR78" s="105"/>
    </row>
    <row r="79" spans="1:44" s="137" customFormat="1">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7"/>
      <c r="Y79" s="236"/>
      <c r="Z79" s="236"/>
      <c r="AA79" s="236"/>
      <c r="AB79" s="236"/>
      <c r="AC79" s="236"/>
      <c r="AD79" s="105"/>
      <c r="AE79" s="105"/>
      <c r="AF79" s="105"/>
      <c r="AG79" s="105"/>
      <c r="AH79" s="105"/>
      <c r="AI79" s="105"/>
      <c r="AJ79" s="105"/>
      <c r="AK79" s="105"/>
      <c r="AL79" s="105"/>
      <c r="AM79" s="105"/>
      <c r="AN79" s="105"/>
      <c r="AO79" s="105"/>
      <c r="AP79" s="105"/>
      <c r="AQ79" s="105"/>
      <c r="AR79" s="105"/>
    </row>
    <row r="80" spans="1:44" s="137" customFormat="1">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7"/>
      <c r="Y80" s="236"/>
      <c r="Z80" s="236"/>
      <c r="AA80" s="236"/>
      <c r="AB80" s="236"/>
      <c r="AC80" s="236"/>
      <c r="AD80" s="105"/>
      <c r="AE80" s="105"/>
      <c r="AF80" s="105"/>
      <c r="AG80" s="105"/>
      <c r="AH80" s="105"/>
      <c r="AI80" s="105"/>
      <c r="AJ80" s="105"/>
      <c r="AK80" s="105"/>
      <c r="AL80" s="105"/>
      <c r="AM80" s="105"/>
      <c r="AN80" s="105"/>
      <c r="AO80" s="105"/>
      <c r="AP80" s="105"/>
      <c r="AQ80" s="105"/>
      <c r="AR80" s="105"/>
    </row>
    <row r="81" spans="1:44" s="137" customFormat="1">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7"/>
      <c r="Y81" s="236"/>
      <c r="Z81" s="236"/>
      <c r="AA81" s="236"/>
      <c r="AB81" s="236"/>
      <c r="AC81" s="236"/>
      <c r="AD81" s="105"/>
      <c r="AE81" s="105"/>
      <c r="AF81" s="105"/>
      <c r="AG81" s="105"/>
      <c r="AH81" s="105"/>
      <c r="AI81" s="105"/>
      <c r="AJ81" s="105"/>
      <c r="AK81" s="105"/>
      <c r="AL81" s="105"/>
      <c r="AM81" s="105"/>
      <c r="AN81" s="105"/>
      <c r="AO81" s="105"/>
      <c r="AP81" s="105"/>
      <c r="AQ81" s="105"/>
      <c r="AR81" s="105"/>
    </row>
    <row r="82" spans="1:44">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7"/>
      <c r="Y82" s="236"/>
      <c r="Z82" s="236"/>
      <c r="AA82" s="236"/>
      <c r="AB82" s="236"/>
      <c r="AC82" s="236"/>
      <c r="AD82" s="105"/>
      <c r="AE82" s="105"/>
      <c r="AF82" s="105"/>
      <c r="AG82" s="105"/>
      <c r="AH82" s="105"/>
      <c r="AI82" s="105"/>
      <c r="AJ82" s="105"/>
      <c r="AK82" s="105"/>
      <c r="AL82" s="105"/>
      <c r="AM82" s="105"/>
      <c r="AN82" s="105"/>
      <c r="AO82" s="105"/>
      <c r="AP82" s="105"/>
      <c r="AQ82" s="105"/>
      <c r="AR82" s="105"/>
    </row>
    <row r="83" spans="1:44">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7"/>
      <c r="Y83" s="236"/>
      <c r="Z83" s="236"/>
      <c r="AA83" s="236"/>
      <c r="AB83" s="236"/>
      <c r="AC83" s="236"/>
      <c r="AD83" s="105"/>
      <c r="AE83" s="105"/>
      <c r="AF83" s="105"/>
      <c r="AG83" s="105"/>
      <c r="AH83" s="105"/>
      <c r="AI83" s="105"/>
      <c r="AJ83" s="105"/>
      <c r="AK83" s="105"/>
      <c r="AL83" s="105"/>
      <c r="AM83" s="105"/>
      <c r="AN83" s="105"/>
      <c r="AO83" s="105"/>
      <c r="AP83" s="105"/>
      <c r="AQ83" s="105"/>
      <c r="AR83" s="105"/>
    </row>
    <row r="84" spans="1:44">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7"/>
      <c r="Y84" s="236"/>
      <c r="Z84" s="236"/>
      <c r="AA84" s="236"/>
      <c r="AB84" s="236"/>
      <c r="AC84" s="236"/>
      <c r="AD84" s="105"/>
      <c r="AE84" s="105"/>
      <c r="AF84" s="105"/>
      <c r="AG84" s="105"/>
      <c r="AH84" s="105"/>
      <c r="AI84" s="105"/>
      <c r="AJ84" s="105"/>
      <c r="AK84" s="105"/>
      <c r="AL84" s="105"/>
      <c r="AM84" s="105"/>
      <c r="AN84" s="105"/>
      <c r="AO84" s="105"/>
      <c r="AP84" s="105"/>
      <c r="AQ84" s="105"/>
      <c r="AR84" s="105"/>
    </row>
    <row r="85" spans="1:44">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7"/>
      <c r="Y85" s="236"/>
      <c r="Z85" s="236"/>
      <c r="AA85" s="236"/>
      <c r="AB85" s="236"/>
      <c r="AC85" s="236"/>
      <c r="AD85" s="105"/>
      <c r="AE85" s="105"/>
      <c r="AF85" s="105"/>
      <c r="AG85" s="105"/>
      <c r="AH85" s="105"/>
      <c r="AI85" s="105"/>
      <c r="AJ85" s="105"/>
      <c r="AK85" s="105"/>
      <c r="AL85" s="105"/>
      <c r="AM85" s="105"/>
      <c r="AN85" s="105"/>
      <c r="AO85" s="105"/>
      <c r="AP85" s="105"/>
      <c r="AQ85" s="105"/>
      <c r="AR85" s="105"/>
    </row>
    <row r="86" spans="1:44">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7"/>
      <c r="Y86" s="236"/>
      <c r="Z86" s="236"/>
      <c r="AA86" s="236"/>
      <c r="AB86" s="236"/>
      <c r="AC86" s="236"/>
      <c r="AD86" s="105"/>
      <c r="AE86" s="105"/>
      <c r="AF86" s="105"/>
      <c r="AG86" s="105"/>
      <c r="AH86" s="105"/>
      <c r="AI86" s="105"/>
      <c r="AJ86" s="105"/>
      <c r="AK86" s="105"/>
      <c r="AL86" s="105"/>
      <c r="AM86" s="105"/>
      <c r="AN86" s="105"/>
      <c r="AO86" s="105"/>
      <c r="AP86" s="105"/>
      <c r="AQ86" s="105"/>
      <c r="AR86" s="105"/>
    </row>
    <row r="87" spans="1:44">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7"/>
      <c r="Y87" s="236"/>
      <c r="Z87" s="236"/>
      <c r="AA87" s="236"/>
      <c r="AB87" s="236"/>
      <c r="AC87" s="236"/>
      <c r="AD87" s="105"/>
      <c r="AE87" s="105"/>
      <c r="AF87" s="105"/>
      <c r="AG87" s="105"/>
      <c r="AH87" s="105"/>
      <c r="AI87" s="105"/>
      <c r="AJ87" s="105"/>
      <c r="AK87" s="105"/>
      <c r="AL87" s="105"/>
      <c r="AM87" s="105"/>
      <c r="AN87" s="105"/>
      <c r="AO87" s="105"/>
      <c r="AP87" s="105"/>
      <c r="AQ87" s="105"/>
      <c r="AR87" s="105"/>
    </row>
    <row r="88" spans="1:44">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7"/>
      <c r="Y88" s="236"/>
      <c r="Z88" s="236"/>
      <c r="AA88" s="236"/>
      <c r="AB88" s="236"/>
      <c r="AC88" s="236"/>
      <c r="AD88" s="105"/>
      <c r="AE88" s="105"/>
      <c r="AF88" s="105"/>
      <c r="AG88" s="105"/>
      <c r="AH88" s="105"/>
      <c r="AI88" s="105"/>
      <c r="AJ88" s="105"/>
      <c r="AK88" s="105"/>
      <c r="AL88" s="105"/>
      <c r="AM88" s="105"/>
      <c r="AN88" s="105"/>
      <c r="AO88" s="105"/>
      <c r="AP88" s="105"/>
      <c r="AQ88" s="105"/>
      <c r="AR88" s="105"/>
    </row>
    <row r="89" spans="1:44">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7"/>
      <c r="Y89" s="236"/>
      <c r="Z89" s="236"/>
      <c r="AA89" s="236"/>
      <c r="AB89" s="236"/>
      <c r="AC89" s="236"/>
      <c r="AD89" s="105"/>
      <c r="AE89" s="105"/>
      <c r="AF89" s="105"/>
      <c r="AG89" s="105"/>
      <c r="AH89" s="105"/>
      <c r="AI89" s="105"/>
      <c r="AJ89" s="105"/>
      <c r="AK89" s="105"/>
      <c r="AL89" s="105"/>
      <c r="AM89" s="105"/>
      <c r="AN89" s="105"/>
      <c r="AO89" s="105"/>
      <c r="AP89" s="105"/>
      <c r="AQ89" s="105"/>
      <c r="AR89" s="105"/>
    </row>
    <row r="90" spans="1:44">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7"/>
      <c r="Y90" s="236"/>
      <c r="Z90" s="236"/>
      <c r="AA90" s="236"/>
      <c r="AB90" s="236"/>
      <c r="AC90" s="236"/>
      <c r="AD90" s="105"/>
      <c r="AE90" s="105"/>
      <c r="AF90" s="105"/>
      <c r="AG90" s="105"/>
      <c r="AH90" s="105"/>
      <c r="AI90" s="105"/>
      <c r="AJ90" s="105"/>
      <c r="AK90" s="105"/>
      <c r="AL90" s="105"/>
      <c r="AM90" s="105"/>
      <c r="AN90" s="105"/>
      <c r="AO90" s="105"/>
      <c r="AP90" s="105"/>
      <c r="AQ90" s="105"/>
      <c r="AR90" s="105"/>
    </row>
    <row r="91" spans="1:44">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7"/>
      <c r="Y91" s="236"/>
      <c r="Z91" s="236"/>
      <c r="AA91" s="236"/>
      <c r="AB91" s="236"/>
      <c r="AC91" s="236"/>
      <c r="AD91" s="105"/>
      <c r="AE91" s="105"/>
      <c r="AF91" s="105"/>
      <c r="AG91" s="105"/>
      <c r="AH91" s="105"/>
      <c r="AI91" s="105"/>
      <c r="AJ91" s="105"/>
      <c r="AK91" s="105"/>
      <c r="AL91" s="105"/>
      <c r="AM91" s="105"/>
      <c r="AN91" s="105"/>
      <c r="AO91" s="105"/>
      <c r="AP91" s="105"/>
      <c r="AQ91" s="105"/>
      <c r="AR91" s="105"/>
    </row>
    <row r="92" spans="1:44">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7"/>
      <c r="Y92" s="236"/>
      <c r="Z92" s="236"/>
      <c r="AA92" s="236"/>
      <c r="AB92" s="236"/>
      <c r="AC92" s="236"/>
      <c r="AD92" s="105"/>
      <c r="AE92" s="105"/>
      <c r="AF92" s="105"/>
      <c r="AG92" s="105"/>
      <c r="AH92" s="105"/>
      <c r="AI92" s="105"/>
      <c r="AJ92" s="105"/>
      <c r="AK92" s="105"/>
      <c r="AL92" s="105"/>
      <c r="AM92" s="105"/>
      <c r="AN92" s="105"/>
      <c r="AO92" s="105"/>
      <c r="AP92" s="105"/>
      <c r="AQ92" s="105"/>
      <c r="AR92" s="105"/>
    </row>
    <row r="93" spans="1:44">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7"/>
      <c r="Y93" s="236"/>
      <c r="Z93" s="236"/>
      <c r="AA93" s="236"/>
      <c r="AB93" s="236"/>
      <c r="AC93" s="236"/>
      <c r="AD93" s="105"/>
      <c r="AE93" s="105"/>
      <c r="AF93" s="105"/>
      <c r="AG93" s="105"/>
      <c r="AH93" s="105"/>
      <c r="AI93" s="105"/>
      <c r="AJ93" s="105"/>
      <c r="AK93" s="105"/>
      <c r="AL93" s="105"/>
      <c r="AM93" s="105"/>
      <c r="AN93" s="105"/>
      <c r="AO93" s="105"/>
      <c r="AP93" s="105"/>
      <c r="AQ93" s="105"/>
      <c r="AR93" s="105"/>
    </row>
    <row r="94" spans="1:44">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7"/>
      <c r="Y94" s="236"/>
      <c r="Z94" s="236"/>
      <c r="AA94" s="236"/>
      <c r="AB94" s="236"/>
      <c r="AC94" s="236"/>
      <c r="AD94" s="105"/>
      <c r="AE94" s="105"/>
      <c r="AF94" s="105"/>
      <c r="AG94" s="105"/>
      <c r="AH94" s="105"/>
      <c r="AI94" s="105"/>
      <c r="AJ94" s="105"/>
      <c r="AK94" s="105"/>
      <c r="AL94" s="105"/>
      <c r="AM94" s="105"/>
      <c r="AN94" s="105"/>
      <c r="AO94" s="105"/>
      <c r="AP94" s="105"/>
      <c r="AQ94" s="105"/>
      <c r="AR94" s="105"/>
    </row>
    <row r="95" spans="1:44">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7"/>
      <c r="Y95" s="236"/>
      <c r="Z95" s="236"/>
      <c r="AA95" s="236"/>
      <c r="AB95" s="236"/>
      <c r="AC95" s="236"/>
      <c r="AD95" s="105"/>
      <c r="AE95" s="105"/>
      <c r="AF95" s="105"/>
      <c r="AG95" s="105"/>
      <c r="AH95" s="105"/>
      <c r="AI95" s="105"/>
      <c r="AJ95" s="105"/>
      <c r="AK95" s="105"/>
      <c r="AL95" s="105"/>
      <c r="AM95" s="105"/>
      <c r="AN95" s="105"/>
      <c r="AO95" s="105"/>
      <c r="AP95" s="105"/>
      <c r="AQ95" s="105"/>
      <c r="AR95" s="105"/>
    </row>
    <row r="96" spans="1:44">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7"/>
      <c r="Y96" s="236"/>
      <c r="Z96" s="236"/>
      <c r="AA96" s="236"/>
      <c r="AB96" s="236"/>
      <c r="AC96" s="236"/>
      <c r="AD96" s="105"/>
      <c r="AE96" s="105"/>
      <c r="AF96" s="105"/>
      <c r="AG96" s="105"/>
      <c r="AH96" s="105"/>
      <c r="AI96" s="105"/>
      <c r="AJ96" s="105"/>
      <c r="AK96" s="105"/>
      <c r="AL96" s="105"/>
      <c r="AM96" s="105"/>
      <c r="AN96" s="105"/>
      <c r="AO96" s="105"/>
      <c r="AP96" s="105"/>
      <c r="AQ96" s="105"/>
      <c r="AR96" s="105"/>
    </row>
    <row r="97" spans="1:44">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7"/>
      <c r="Y97" s="236"/>
      <c r="Z97" s="236"/>
      <c r="AA97" s="236"/>
      <c r="AB97" s="236"/>
      <c r="AC97" s="236"/>
      <c r="AD97" s="105"/>
      <c r="AE97" s="105"/>
      <c r="AF97" s="105"/>
      <c r="AG97" s="105"/>
      <c r="AH97" s="105"/>
      <c r="AI97" s="105"/>
      <c r="AJ97" s="105"/>
      <c r="AK97" s="105"/>
      <c r="AL97" s="105"/>
      <c r="AM97" s="105"/>
      <c r="AN97" s="105"/>
      <c r="AO97" s="105"/>
      <c r="AP97" s="105"/>
      <c r="AQ97" s="105"/>
      <c r="AR97" s="105"/>
    </row>
    <row r="98" spans="1:44">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7"/>
      <c r="Y98" s="236"/>
      <c r="Z98" s="236"/>
      <c r="AA98" s="236"/>
      <c r="AB98" s="236"/>
      <c r="AC98" s="236"/>
      <c r="AD98" s="105"/>
      <c r="AE98" s="105"/>
      <c r="AF98" s="105"/>
      <c r="AG98" s="105"/>
      <c r="AH98" s="105"/>
      <c r="AI98" s="105"/>
      <c r="AJ98" s="105"/>
      <c r="AK98" s="105"/>
      <c r="AL98" s="105"/>
      <c r="AM98" s="105"/>
      <c r="AN98" s="105"/>
      <c r="AO98" s="105"/>
      <c r="AP98" s="105"/>
      <c r="AQ98" s="105"/>
      <c r="AR98" s="105"/>
    </row>
    <row r="99" spans="1:44">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7"/>
      <c r="Y99" s="236"/>
      <c r="Z99" s="236"/>
      <c r="AA99" s="236"/>
      <c r="AB99" s="236"/>
      <c r="AC99" s="236"/>
      <c r="AD99" s="105"/>
      <c r="AE99" s="105"/>
      <c r="AF99" s="105"/>
      <c r="AG99" s="105"/>
      <c r="AH99" s="105"/>
      <c r="AI99" s="105"/>
      <c r="AJ99" s="105"/>
      <c r="AK99" s="105"/>
      <c r="AL99" s="105"/>
      <c r="AM99" s="105"/>
      <c r="AN99" s="105"/>
      <c r="AO99" s="105"/>
      <c r="AP99" s="105"/>
      <c r="AQ99" s="105"/>
      <c r="AR99" s="105"/>
    </row>
    <row r="100" spans="1:44">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7"/>
      <c r="Y100" s="236"/>
      <c r="Z100" s="236"/>
      <c r="AA100" s="236"/>
      <c r="AB100" s="236"/>
      <c r="AC100" s="236"/>
      <c r="AD100" s="105"/>
      <c r="AE100" s="105"/>
      <c r="AF100" s="105"/>
      <c r="AG100" s="105"/>
      <c r="AH100" s="105"/>
      <c r="AI100" s="105"/>
      <c r="AJ100" s="105"/>
      <c r="AK100" s="105"/>
      <c r="AL100" s="105"/>
      <c r="AM100" s="105"/>
      <c r="AN100" s="105"/>
      <c r="AO100" s="105"/>
      <c r="AP100" s="105"/>
      <c r="AQ100" s="105"/>
      <c r="AR100" s="105"/>
    </row>
    <row r="101" spans="1:44">
      <c r="A101" s="236"/>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7"/>
      <c r="Y101" s="236"/>
      <c r="Z101" s="236"/>
      <c r="AA101" s="236"/>
      <c r="AB101" s="236"/>
      <c r="AC101" s="236"/>
      <c r="AD101" s="105"/>
      <c r="AE101" s="105"/>
      <c r="AF101" s="105"/>
      <c r="AG101" s="105"/>
      <c r="AH101" s="105"/>
      <c r="AI101" s="105"/>
      <c r="AJ101" s="105"/>
      <c r="AK101" s="105"/>
      <c r="AL101" s="105"/>
      <c r="AM101" s="105"/>
      <c r="AN101" s="105"/>
      <c r="AO101" s="105"/>
      <c r="AP101" s="105"/>
      <c r="AQ101" s="105"/>
      <c r="AR101" s="105"/>
    </row>
    <row r="102" spans="1:44">
      <c r="A102" s="236"/>
      <c r="B102" s="236"/>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7"/>
      <c r="Y102" s="236"/>
      <c r="Z102" s="236"/>
      <c r="AA102" s="236"/>
      <c r="AB102" s="236"/>
      <c r="AC102" s="236"/>
      <c r="AD102" s="105"/>
      <c r="AE102" s="105"/>
      <c r="AF102" s="105"/>
      <c r="AG102" s="105"/>
      <c r="AH102" s="105"/>
      <c r="AI102" s="105"/>
      <c r="AJ102" s="105"/>
      <c r="AK102" s="105"/>
      <c r="AL102" s="105"/>
      <c r="AM102" s="105"/>
      <c r="AN102" s="105"/>
      <c r="AO102" s="105"/>
      <c r="AP102" s="105"/>
      <c r="AQ102" s="105"/>
      <c r="AR102" s="105"/>
    </row>
    <row r="103" spans="1:44">
      <c r="A103" s="236"/>
      <c r="B103" s="236"/>
      <c r="C103" s="236"/>
      <c r="D103" s="236"/>
      <c r="E103" s="236"/>
      <c r="F103" s="236"/>
      <c r="G103" s="236"/>
      <c r="H103" s="236"/>
      <c r="I103" s="236"/>
      <c r="J103" s="236"/>
      <c r="K103" s="236"/>
      <c r="L103" s="236"/>
      <c r="M103" s="236"/>
      <c r="N103" s="236"/>
      <c r="O103" s="236"/>
      <c r="P103" s="236"/>
      <c r="Q103" s="236"/>
      <c r="R103" s="236"/>
      <c r="S103" s="236"/>
      <c r="T103" s="236"/>
      <c r="U103" s="236"/>
      <c r="V103" s="236"/>
      <c r="W103" s="236"/>
      <c r="X103" s="237"/>
      <c r="Y103" s="236"/>
      <c r="Z103" s="236"/>
      <c r="AA103" s="236"/>
      <c r="AB103" s="236"/>
      <c r="AC103" s="236"/>
      <c r="AD103" s="105"/>
      <c r="AE103" s="105"/>
      <c r="AF103" s="105"/>
      <c r="AG103" s="105"/>
      <c r="AH103" s="105"/>
      <c r="AI103" s="105"/>
      <c r="AJ103" s="105"/>
      <c r="AK103" s="105"/>
      <c r="AL103" s="105"/>
      <c r="AM103" s="105"/>
      <c r="AN103" s="105"/>
      <c r="AO103" s="105"/>
      <c r="AP103" s="105"/>
      <c r="AQ103" s="105"/>
      <c r="AR103" s="105"/>
    </row>
    <row r="104" spans="1:44">
      <c r="A104" s="236"/>
      <c r="B104" s="236"/>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7"/>
      <c r="Y104" s="236"/>
      <c r="Z104" s="236"/>
      <c r="AA104" s="236"/>
      <c r="AB104" s="236"/>
      <c r="AC104" s="236"/>
      <c r="AD104" s="105"/>
      <c r="AE104" s="105"/>
      <c r="AF104" s="105"/>
      <c r="AG104" s="105"/>
      <c r="AH104" s="105"/>
      <c r="AI104" s="105"/>
      <c r="AJ104" s="105"/>
      <c r="AK104" s="105"/>
      <c r="AL104" s="105"/>
      <c r="AM104" s="105"/>
      <c r="AN104" s="105"/>
      <c r="AO104" s="105"/>
      <c r="AP104" s="105"/>
      <c r="AQ104" s="105"/>
      <c r="AR104" s="105"/>
    </row>
    <row r="105" spans="1:44">
      <c r="A105" s="236"/>
      <c r="B105" s="236"/>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7"/>
      <c r="Y105" s="236"/>
      <c r="Z105" s="236"/>
      <c r="AA105" s="236"/>
      <c r="AB105" s="236"/>
      <c r="AC105" s="236"/>
      <c r="AD105" s="105"/>
      <c r="AE105" s="105"/>
      <c r="AF105" s="105"/>
      <c r="AG105" s="105"/>
      <c r="AH105" s="105"/>
      <c r="AI105" s="105"/>
      <c r="AJ105" s="105"/>
      <c r="AK105" s="105"/>
      <c r="AL105" s="105"/>
      <c r="AM105" s="105"/>
      <c r="AN105" s="105"/>
      <c r="AO105" s="105"/>
      <c r="AP105" s="105"/>
      <c r="AQ105" s="105"/>
      <c r="AR105" s="105"/>
    </row>
    <row r="106" spans="1:44">
      <c r="A106" s="236"/>
      <c r="B106" s="236"/>
      <c r="C106" s="236"/>
      <c r="D106" s="236"/>
      <c r="E106" s="236"/>
      <c r="F106" s="236"/>
      <c r="G106" s="236"/>
      <c r="H106" s="236"/>
      <c r="I106" s="236"/>
      <c r="J106" s="236"/>
      <c r="K106" s="236"/>
      <c r="L106" s="236"/>
      <c r="M106" s="236"/>
      <c r="N106" s="236"/>
      <c r="O106" s="236"/>
      <c r="P106" s="236"/>
      <c r="Q106" s="236"/>
      <c r="R106" s="236"/>
      <c r="S106" s="236"/>
      <c r="T106" s="236"/>
      <c r="U106" s="236"/>
      <c r="V106" s="236"/>
      <c r="W106" s="236"/>
      <c r="X106" s="237"/>
      <c r="Y106" s="236"/>
      <c r="Z106" s="236"/>
      <c r="AA106" s="236"/>
      <c r="AB106" s="236"/>
      <c r="AC106" s="236"/>
      <c r="AD106" s="105"/>
      <c r="AE106" s="105"/>
      <c r="AF106" s="105"/>
      <c r="AG106" s="105"/>
      <c r="AH106" s="105"/>
      <c r="AI106" s="105"/>
      <c r="AJ106" s="105"/>
      <c r="AK106" s="105"/>
      <c r="AL106" s="105"/>
      <c r="AM106" s="105"/>
      <c r="AN106" s="105"/>
      <c r="AO106" s="105"/>
      <c r="AP106" s="105"/>
      <c r="AQ106" s="105"/>
      <c r="AR106" s="105"/>
    </row>
    <row r="107" spans="1:44">
      <c r="A107" s="236"/>
      <c r="B107" s="236"/>
      <c r="C107" s="236"/>
      <c r="D107" s="236"/>
      <c r="E107" s="236"/>
      <c r="F107" s="236"/>
      <c r="G107" s="236"/>
      <c r="H107" s="236"/>
      <c r="I107" s="236"/>
      <c r="J107" s="236"/>
      <c r="K107" s="236"/>
      <c r="L107" s="236"/>
      <c r="M107" s="236"/>
      <c r="N107" s="236"/>
      <c r="O107" s="236"/>
      <c r="P107" s="236"/>
      <c r="Q107" s="236"/>
      <c r="R107" s="236"/>
      <c r="S107" s="236"/>
      <c r="T107" s="236"/>
      <c r="U107" s="236"/>
      <c r="V107" s="236"/>
      <c r="W107" s="236"/>
      <c r="X107" s="237"/>
      <c r="Y107" s="236"/>
      <c r="Z107" s="236"/>
      <c r="AA107" s="236"/>
      <c r="AB107" s="236"/>
      <c r="AC107" s="236"/>
      <c r="AD107" s="105"/>
      <c r="AE107" s="105"/>
      <c r="AF107" s="105"/>
      <c r="AG107" s="105"/>
      <c r="AH107" s="105"/>
      <c r="AI107" s="105"/>
      <c r="AJ107" s="105"/>
      <c r="AK107" s="105"/>
      <c r="AL107" s="105"/>
      <c r="AM107" s="105"/>
      <c r="AN107" s="105"/>
      <c r="AO107" s="105"/>
      <c r="AP107" s="105"/>
      <c r="AQ107" s="105"/>
      <c r="AR107" s="105"/>
    </row>
    <row r="108" spans="1:44">
      <c r="A108" s="236"/>
      <c r="B108" s="236"/>
      <c r="C108" s="236"/>
      <c r="D108" s="236"/>
      <c r="E108" s="236"/>
      <c r="F108" s="236"/>
      <c r="G108" s="236"/>
      <c r="H108" s="236"/>
      <c r="I108" s="236"/>
      <c r="J108" s="236"/>
      <c r="K108" s="236"/>
      <c r="L108" s="236"/>
      <c r="M108" s="236"/>
      <c r="N108" s="236"/>
      <c r="O108" s="236"/>
      <c r="P108" s="236"/>
      <c r="Q108" s="236"/>
      <c r="R108" s="236"/>
      <c r="S108" s="236"/>
      <c r="T108" s="236"/>
      <c r="U108" s="236"/>
      <c r="V108" s="236"/>
      <c r="W108" s="236"/>
      <c r="X108" s="237"/>
      <c r="Y108" s="236"/>
      <c r="Z108" s="236"/>
      <c r="AA108" s="236"/>
      <c r="AB108" s="236"/>
      <c r="AC108" s="236"/>
      <c r="AD108" s="105"/>
      <c r="AE108" s="105"/>
      <c r="AF108" s="105"/>
      <c r="AG108" s="105"/>
      <c r="AH108" s="105"/>
      <c r="AI108" s="105"/>
      <c r="AJ108" s="105"/>
      <c r="AK108" s="105"/>
      <c r="AL108" s="105"/>
      <c r="AM108" s="105"/>
      <c r="AN108" s="105"/>
      <c r="AO108" s="105"/>
      <c r="AP108" s="105"/>
      <c r="AQ108" s="105"/>
      <c r="AR108" s="105"/>
    </row>
    <row r="109" spans="1:44">
      <c r="A109" s="236"/>
      <c r="B109" s="236"/>
      <c r="C109" s="236"/>
      <c r="D109" s="236"/>
      <c r="E109" s="236"/>
      <c r="F109" s="236"/>
      <c r="G109" s="236"/>
      <c r="H109" s="236"/>
      <c r="I109" s="236"/>
      <c r="J109" s="236"/>
      <c r="K109" s="236"/>
      <c r="L109" s="236"/>
      <c r="M109" s="236"/>
      <c r="N109" s="236"/>
      <c r="O109" s="236"/>
      <c r="P109" s="236"/>
      <c r="Q109" s="236"/>
      <c r="R109" s="236"/>
      <c r="S109" s="236"/>
      <c r="T109" s="236"/>
      <c r="U109" s="236"/>
      <c r="V109" s="236"/>
      <c r="W109" s="236"/>
      <c r="X109" s="237"/>
      <c r="Y109" s="236"/>
      <c r="Z109" s="236"/>
      <c r="AA109" s="236"/>
      <c r="AB109" s="236"/>
      <c r="AC109" s="236"/>
      <c r="AD109" s="105"/>
      <c r="AE109" s="105"/>
      <c r="AF109" s="105"/>
      <c r="AG109" s="105"/>
      <c r="AH109" s="105"/>
      <c r="AI109" s="105"/>
      <c r="AJ109" s="105"/>
      <c r="AK109" s="105"/>
      <c r="AL109" s="105"/>
      <c r="AM109" s="105"/>
      <c r="AN109" s="105"/>
      <c r="AO109" s="105"/>
      <c r="AP109" s="105"/>
      <c r="AQ109" s="105"/>
      <c r="AR109" s="105"/>
    </row>
    <row r="110" spans="1:44">
      <c r="A110" s="236"/>
      <c r="B110" s="236"/>
      <c r="C110" s="236"/>
      <c r="D110" s="236"/>
      <c r="E110" s="236"/>
      <c r="F110" s="236"/>
      <c r="G110" s="236"/>
      <c r="H110" s="236"/>
      <c r="I110" s="236"/>
      <c r="J110" s="236"/>
      <c r="K110" s="236"/>
      <c r="L110" s="236"/>
      <c r="M110" s="236"/>
      <c r="N110" s="236"/>
      <c r="O110" s="236"/>
      <c r="P110" s="236"/>
      <c r="Q110" s="236"/>
      <c r="R110" s="236"/>
      <c r="S110" s="236"/>
      <c r="T110" s="236"/>
      <c r="U110" s="236"/>
      <c r="V110" s="236"/>
      <c r="W110" s="236"/>
      <c r="X110" s="237"/>
      <c r="Y110" s="236"/>
      <c r="Z110" s="236"/>
      <c r="AA110" s="236"/>
      <c r="AB110" s="236"/>
      <c r="AC110" s="236"/>
      <c r="AD110" s="105"/>
      <c r="AE110" s="105"/>
      <c r="AF110" s="105"/>
      <c r="AG110" s="105"/>
      <c r="AH110" s="105"/>
      <c r="AI110" s="105"/>
      <c r="AJ110" s="105"/>
      <c r="AK110" s="105"/>
      <c r="AL110" s="105"/>
      <c r="AM110" s="105"/>
      <c r="AN110" s="105"/>
      <c r="AO110" s="105"/>
      <c r="AP110" s="105"/>
      <c r="AQ110" s="105"/>
      <c r="AR110" s="105"/>
    </row>
    <row r="111" spans="1:44">
      <c r="A111" s="236"/>
      <c r="B111" s="236"/>
      <c r="C111" s="236"/>
      <c r="D111" s="236"/>
      <c r="E111" s="236"/>
      <c r="F111" s="236"/>
      <c r="G111" s="236"/>
      <c r="H111" s="236"/>
      <c r="I111" s="236"/>
      <c r="J111" s="236"/>
      <c r="K111" s="236"/>
      <c r="L111" s="236"/>
      <c r="M111" s="236"/>
      <c r="N111" s="236"/>
      <c r="O111" s="236"/>
      <c r="P111" s="236"/>
      <c r="Q111" s="236"/>
      <c r="R111" s="236"/>
      <c r="S111" s="236"/>
      <c r="T111" s="236"/>
      <c r="U111" s="236"/>
      <c r="V111" s="236"/>
      <c r="W111" s="236"/>
      <c r="X111" s="237"/>
      <c r="Y111" s="236"/>
      <c r="Z111" s="236"/>
      <c r="AA111" s="236"/>
      <c r="AB111" s="236"/>
      <c r="AC111" s="236"/>
      <c r="AD111" s="105"/>
      <c r="AE111" s="105"/>
      <c r="AF111" s="105"/>
      <c r="AG111" s="105"/>
      <c r="AH111" s="105"/>
      <c r="AI111" s="105"/>
      <c r="AJ111" s="105"/>
      <c r="AK111" s="105"/>
      <c r="AL111" s="105"/>
      <c r="AM111" s="105"/>
      <c r="AN111" s="105"/>
      <c r="AO111" s="105"/>
      <c r="AP111" s="105"/>
      <c r="AQ111" s="105"/>
      <c r="AR111" s="105"/>
    </row>
    <row r="112" spans="1:44">
      <c r="A112" s="236"/>
      <c r="B112" s="236"/>
      <c r="C112" s="236"/>
      <c r="D112" s="236"/>
      <c r="E112" s="236"/>
      <c r="F112" s="236"/>
      <c r="G112" s="236"/>
      <c r="H112" s="236"/>
      <c r="I112" s="236"/>
      <c r="J112" s="236"/>
      <c r="K112" s="236"/>
      <c r="L112" s="236"/>
      <c r="M112" s="236"/>
      <c r="N112" s="236"/>
      <c r="O112" s="236"/>
      <c r="P112" s="236"/>
      <c r="Q112" s="236"/>
      <c r="R112" s="236"/>
      <c r="S112" s="236"/>
      <c r="T112" s="236"/>
      <c r="U112" s="236"/>
      <c r="V112" s="236"/>
      <c r="W112" s="236"/>
      <c r="X112" s="237"/>
      <c r="Y112" s="236"/>
      <c r="Z112" s="236"/>
      <c r="AA112" s="236"/>
      <c r="AB112" s="236"/>
      <c r="AC112" s="236"/>
      <c r="AD112" s="105"/>
      <c r="AE112" s="105"/>
      <c r="AF112" s="105"/>
      <c r="AG112" s="105"/>
      <c r="AH112" s="105"/>
      <c r="AI112" s="105"/>
      <c r="AJ112" s="105"/>
      <c r="AK112" s="105"/>
      <c r="AL112" s="105"/>
      <c r="AM112" s="105"/>
      <c r="AN112" s="105"/>
      <c r="AO112" s="105"/>
      <c r="AP112" s="105"/>
      <c r="AQ112" s="105"/>
      <c r="AR112" s="105"/>
    </row>
    <row r="113" spans="1:44">
      <c r="A113" s="236"/>
      <c r="B113" s="236"/>
      <c r="C113" s="236"/>
      <c r="D113" s="236"/>
      <c r="E113" s="236"/>
      <c r="F113" s="236"/>
      <c r="G113" s="236"/>
      <c r="H113" s="236"/>
      <c r="I113" s="236"/>
      <c r="J113" s="236"/>
      <c r="K113" s="236"/>
      <c r="L113" s="236"/>
      <c r="M113" s="236"/>
      <c r="N113" s="236"/>
      <c r="O113" s="236"/>
      <c r="P113" s="236"/>
      <c r="R113" s="236"/>
      <c r="S113" s="236"/>
      <c r="T113" s="236"/>
      <c r="U113" s="236"/>
      <c r="V113" s="236"/>
      <c r="W113" s="236"/>
      <c r="X113" s="237"/>
      <c r="Y113" s="236"/>
      <c r="Z113" s="236"/>
      <c r="AA113" s="236"/>
      <c r="AB113" s="236"/>
      <c r="AC113" s="236"/>
      <c r="AD113" s="105"/>
      <c r="AE113" s="105"/>
      <c r="AF113" s="105"/>
      <c r="AG113" s="105"/>
      <c r="AH113" s="105"/>
      <c r="AI113" s="105"/>
      <c r="AJ113" s="105"/>
      <c r="AK113" s="105"/>
      <c r="AL113" s="105"/>
      <c r="AM113" s="105"/>
      <c r="AN113" s="105"/>
      <c r="AO113" s="105"/>
      <c r="AP113" s="105"/>
      <c r="AQ113" s="105"/>
      <c r="AR113" s="105"/>
    </row>
    <row r="114" spans="1:44">
      <c r="A114" s="236"/>
      <c r="B114" s="236"/>
      <c r="C114" s="236"/>
      <c r="D114" s="236"/>
      <c r="E114" s="236"/>
      <c r="F114" s="236"/>
      <c r="G114" s="236"/>
      <c r="H114" s="236"/>
      <c r="I114" s="236"/>
      <c r="J114" s="236"/>
      <c r="K114" s="236"/>
      <c r="L114" s="236"/>
      <c r="M114" s="236"/>
      <c r="N114" s="236"/>
      <c r="O114" s="236"/>
      <c r="P114" s="236"/>
      <c r="R114" s="236"/>
      <c r="S114" s="236"/>
      <c r="T114" s="236"/>
      <c r="U114" s="236"/>
      <c r="V114" s="236"/>
      <c r="W114" s="236"/>
      <c r="X114" s="237"/>
      <c r="Y114" s="236"/>
      <c r="Z114" s="236"/>
      <c r="AA114" s="236"/>
      <c r="AB114" s="236"/>
      <c r="AC114" s="236"/>
      <c r="AD114" s="105"/>
      <c r="AE114" s="105"/>
      <c r="AF114" s="105"/>
      <c r="AG114" s="105"/>
      <c r="AH114" s="105"/>
      <c r="AI114" s="105"/>
      <c r="AJ114" s="105"/>
      <c r="AK114" s="105"/>
      <c r="AL114" s="105"/>
      <c r="AM114" s="105"/>
      <c r="AN114" s="105"/>
      <c r="AO114" s="105"/>
      <c r="AP114" s="105"/>
      <c r="AQ114" s="105"/>
      <c r="AR114" s="105"/>
    </row>
  </sheetData>
  <sheetProtection algorithmName="SHA-512" hashValue="aA8PlpWakvH7a4hTePylMuvbB/uGsKe/jvuvPGCzVCSBZ3dYKpWFY79wFDv0H4jsPV9D7yxVS59CmDWa48Ao2g==" saltValue="k12OvIck9qaztXJ5CeIK3A==" spinCount="100000" sheet="1" objects="1" scenarios="1" selectLockedCells="1" selectUnlockedCells="1"/>
  <mergeCells count="66">
    <mergeCell ref="S22:Z22"/>
    <mergeCell ref="B52:Q53"/>
    <mergeCell ref="R43:S43"/>
    <mergeCell ref="V43:W43"/>
    <mergeCell ref="X43:Y43"/>
    <mergeCell ref="N45:O45"/>
    <mergeCell ref="R46:S46"/>
    <mergeCell ref="V46:W46"/>
    <mergeCell ref="X46:Y46"/>
    <mergeCell ref="A38:E38"/>
    <mergeCell ref="F38:G38"/>
    <mergeCell ref="A39:E39"/>
    <mergeCell ref="F39:G39"/>
    <mergeCell ref="F40:G40"/>
    <mergeCell ref="A43:J43"/>
    <mergeCell ref="A35:E35"/>
    <mergeCell ref="F35:G35"/>
    <mergeCell ref="A36:E36"/>
    <mergeCell ref="F36:G36"/>
    <mergeCell ref="A37:E37"/>
    <mergeCell ref="F37:G37"/>
    <mergeCell ref="F34:G34"/>
    <mergeCell ref="A28:E28"/>
    <mergeCell ref="F28:G28"/>
    <mergeCell ref="A29:E29"/>
    <mergeCell ref="F29:G29"/>
    <mergeCell ref="A30:E30"/>
    <mergeCell ref="F30:G30"/>
    <mergeCell ref="A31:E31"/>
    <mergeCell ref="F31:G31"/>
    <mergeCell ref="F32:G32"/>
    <mergeCell ref="A33:E33"/>
    <mergeCell ref="F33:G33"/>
    <mergeCell ref="A27:G27"/>
    <mergeCell ref="F19:G19"/>
    <mergeCell ref="A20:E20"/>
    <mergeCell ref="F20:G20"/>
    <mergeCell ref="A21:E21"/>
    <mergeCell ref="F21:G21"/>
    <mergeCell ref="A22:E22"/>
    <mergeCell ref="F22:G22"/>
    <mergeCell ref="F23:G23"/>
    <mergeCell ref="A24:E24"/>
    <mergeCell ref="F24:G24"/>
    <mergeCell ref="A25:E25"/>
    <mergeCell ref="F25:G25"/>
    <mergeCell ref="A16:E16"/>
    <mergeCell ref="F16:G16"/>
    <mergeCell ref="A17:E17"/>
    <mergeCell ref="F17:G17"/>
    <mergeCell ref="A18:E18"/>
    <mergeCell ref="F18:G18"/>
    <mergeCell ref="A14:G15"/>
    <mergeCell ref="H14:O14"/>
    <mergeCell ref="A1:Q4"/>
    <mergeCell ref="A5:E5"/>
    <mergeCell ref="AB5:AJ5"/>
    <mergeCell ref="A6:E6"/>
    <mergeCell ref="AB6:AJ6"/>
    <mergeCell ref="A7:E7"/>
    <mergeCell ref="AB7:AJ7"/>
    <mergeCell ref="A8:E8"/>
    <mergeCell ref="AB10:AD10"/>
    <mergeCell ref="AE10:AG10"/>
    <mergeCell ref="AH10:AJ10"/>
    <mergeCell ref="A11:O12"/>
  </mergeCells>
  <conditionalFormatting sqref="R41:R54 V41:W54 N45:N47 N54">
    <cfRule type="expression" dxfId="0" priority="1" stopIfTrue="1">
      <formula>N41=0</formula>
    </cfRule>
  </conditionalFormatting>
  <pageMargins left="0.74803149606299213" right="0.19685039370078741" top="0.39370078740157483" bottom="0.39370078740157483" header="0.19685039370078741" footer="0.19685039370078741"/>
  <pageSetup paperSize="9" scale="91" orientation="portrait" horizontalDpi="1200" r:id="rId1"/>
  <headerFooter alignWithMargins="0">
    <oddFooter>&amp;L&amp;6 002-000-PDF-566 (015311) EPF-0027
Rev 8 (1-Sept-11)&amp;C&amp;"Arial,Bold"&amp;6Corporate Base_x000D_&amp;1#&amp;"Calibri"&amp;10&amp;K000000 Internal&amp;R&amp;6Page &amp;P of &amp;N</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Y93"/>
  <sheetViews>
    <sheetView showGridLines="0" view="pageBreakPreview" zoomScale="85" zoomScaleNormal="75" zoomScaleSheetLayoutView="85" workbookViewId="0">
      <selection activeCell="B2" sqref="B2"/>
    </sheetView>
  </sheetViews>
  <sheetFormatPr defaultColWidth="11.42578125" defaultRowHeight="13.5" customHeight="1"/>
  <cols>
    <col min="1" max="1" width="5.28515625" style="45" customWidth="1"/>
    <col min="2" max="2" width="21.28515625" style="45" customWidth="1"/>
    <col min="3" max="4" width="10.5703125" style="47" customWidth="1"/>
    <col min="5" max="8" width="10.5703125" style="45" customWidth="1"/>
    <col min="9" max="9" width="14.7109375" style="45" customWidth="1"/>
    <col min="10" max="10" width="14.5703125" style="45" customWidth="1"/>
    <col min="11" max="11" width="1.5703125" style="47" customWidth="1"/>
    <col min="12" max="12" width="22.28515625" style="118" customWidth="1"/>
    <col min="13" max="14" width="11.28515625" style="53" customWidth="1"/>
    <col min="15" max="15" width="1.28515625" style="50" customWidth="1"/>
    <col min="16" max="17" width="11.28515625" style="53" customWidth="1"/>
    <col min="18" max="18" width="1.28515625" style="50" customWidth="1"/>
    <col min="19" max="20" width="11.28515625" style="53" customWidth="1"/>
    <col min="21" max="21" width="1.28515625" style="50" customWidth="1"/>
    <col min="22" max="22" width="8.42578125" style="45" customWidth="1"/>
    <col min="23" max="23" width="11.5703125" style="45" customWidth="1"/>
    <col min="24" max="27" width="5.42578125" style="45" customWidth="1"/>
    <col min="28" max="237" width="11.42578125" style="45"/>
    <col min="238" max="238" width="5.28515625" style="45" customWidth="1"/>
    <col min="239" max="239" width="21.28515625" style="45" customWidth="1"/>
    <col min="240" max="245" width="10.5703125" style="45" customWidth="1"/>
    <col min="246" max="246" width="14.7109375" style="45" customWidth="1"/>
    <col min="247" max="247" width="14.5703125" style="45" customWidth="1"/>
    <col min="248" max="248" width="15" style="45" customWidth="1"/>
    <col min="249" max="249" width="11.42578125" style="45"/>
    <col min="250" max="250" width="17.7109375" style="45" customWidth="1"/>
    <col min="251" max="251" width="8.28515625" style="45" customWidth="1"/>
    <col min="252" max="252" width="11.42578125" style="45"/>
    <col min="253" max="253" width="14.7109375" style="45" customWidth="1"/>
    <col min="254" max="493" width="11.42578125" style="45"/>
    <col min="494" max="494" width="5.28515625" style="45" customWidth="1"/>
    <col min="495" max="495" width="21.28515625" style="45" customWidth="1"/>
    <col min="496" max="501" width="10.5703125" style="45" customWidth="1"/>
    <col min="502" max="502" width="14.7109375" style="45" customWidth="1"/>
    <col min="503" max="503" width="14.5703125" style="45" customWidth="1"/>
    <col min="504" max="504" width="15" style="45" customWidth="1"/>
    <col min="505" max="505" width="11.42578125" style="45"/>
    <col min="506" max="506" width="17.7109375" style="45" customWidth="1"/>
    <col min="507" max="507" width="8.28515625" style="45" customWidth="1"/>
    <col min="508" max="508" width="11.42578125" style="45"/>
    <col min="509" max="509" width="14.7109375" style="45" customWidth="1"/>
    <col min="510" max="749" width="11.42578125" style="45"/>
    <col min="750" max="750" width="5.28515625" style="45" customWidth="1"/>
    <col min="751" max="751" width="21.28515625" style="45" customWidth="1"/>
    <col min="752" max="757" width="10.5703125" style="45" customWidth="1"/>
    <col min="758" max="758" width="14.7109375" style="45" customWidth="1"/>
    <col min="759" max="759" width="14.5703125" style="45" customWidth="1"/>
    <col min="760" max="760" width="15" style="45" customWidth="1"/>
    <col min="761" max="761" width="11.42578125" style="45"/>
    <col min="762" max="762" width="17.7109375" style="45" customWidth="1"/>
    <col min="763" max="763" width="8.28515625" style="45" customWidth="1"/>
    <col min="764" max="764" width="11.42578125" style="45"/>
    <col min="765" max="765" width="14.7109375" style="45" customWidth="1"/>
    <col min="766" max="1005" width="11.42578125" style="45"/>
    <col min="1006" max="1006" width="5.28515625" style="45" customWidth="1"/>
    <col min="1007" max="1007" width="21.28515625" style="45" customWidth="1"/>
    <col min="1008" max="1013" width="10.5703125" style="45" customWidth="1"/>
    <col min="1014" max="1014" width="14.7109375" style="45" customWidth="1"/>
    <col min="1015" max="1015" width="14.5703125" style="45" customWidth="1"/>
    <col min="1016" max="1016" width="15" style="45" customWidth="1"/>
    <col min="1017" max="1017" width="11.42578125" style="45"/>
    <col min="1018" max="1018" width="17.7109375" style="45" customWidth="1"/>
    <col min="1019" max="1019" width="8.28515625" style="45" customWidth="1"/>
    <col min="1020" max="1020" width="11.42578125" style="45"/>
    <col min="1021" max="1021" width="14.7109375" style="45" customWidth="1"/>
    <col min="1022" max="1261" width="11.42578125" style="45"/>
    <col min="1262" max="1262" width="5.28515625" style="45" customWidth="1"/>
    <col min="1263" max="1263" width="21.28515625" style="45" customWidth="1"/>
    <col min="1264" max="1269" width="10.5703125" style="45" customWidth="1"/>
    <col min="1270" max="1270" width="14.7109375" style="45" customWidth="1"/>
    <col min="1271" max="1271" width="14.5703125" style="45" customWidth="1"/>
    <col min="1272" max="1272" width="15" style="45" customWidth="1"/>
    <col min="1273" max="1273" width="11.42578125" style="45"/>
    <col min="1274" max="1274" width="17.7109375" style="45" customWidth="1"/>
    <col min="1275" max="1275" width="8.28515625" style="45" customWidth="1"/>
    <col min="1276" max="1276" width="11.42578125" style="45"/>
    <col min="1277" max="1277" width="14.7109375" style="45" customWidth="1"/>
    <col min="1278" max="1517" width="11.42578125" style="45"/>
    <col min="1518" max="1518" width="5.28515625" style="45" customWidth="1"/>
    <col min="1519" max="1519" width="21.28515625" style="45" customWidth="1"/>
    <col min="1520" max="1525" width="10.5703125" style="45" customWidth="1"/>
    <col min="1526" max="1526" width="14.7109375" style="45" customWidth="1"/>
    <col min="1527" max="1527" width="14.5703125" style="45" customWidth="1"/>
    <col min="1528" max="1528" width="15" style="45" customWidth="1"/>
    <col min="1529" max="1529" width="11.42578125" style="45"/>
    <col min="1530" max="1530" width="17.7109375" style="45" customWidth="1"/>
    <col min="1531" max="1531" width="8.28515625" style="45" customWidth="1"/>
    <col min="1532" max="1532" width="11.42578125" style="45"/>
    <col min="1533" max="1533" width="14.7109375" style="45" customWidth="1"/>
    <col min="1534" max="1773" width="11.42578125" style="45"/>
    <col min="1774" max="1774" width="5.28515625" style="45" customWidth="1"/>
    <col min="1775" max="1775" width="21.28515625" style="45" customWidth="1"/>
    <col min="1776" max="1781" width="10.5703125" style="45" customWidth="1"/>
    <col min="1782" max="1782" width="14.7109375" style="45" customWidth="1"/>
    <col min="1783" max="1783" width="14.5703125" style="45" customWidth="1"/>
    <col min="1784" max="1784" width="15" style="45" customWidth="1"/>
    <col min="1785" max="1785" width="11.42578125" style="45"/>
    <col min="1786" max="1786" width="17.7109375" style="45" customWidth="1"/>
    <col min="1787" max="1787" width="8.28515625" style="45" customWidth="1"/>
    <col min="1788" max="1788" width="11.42578125" style="45"/>
    <col min="1789" max="1789" width="14.7109375" style="45" customWidth="1"/>
    <col min="1790" max="2029" width="11.42578125" style="45"/>
    <col min="2030" max="2030" width="5.28515625" style="45" customWidth="1"/>
    <col min="2031" max="2031" width="21.28515625" style="45" customWidth="1"/>
    <col min="2032" max="2037" width="10.5703125" style="45" customWidth="1"/>
    <col min="2038" max="2038" width="14.7109375" style="45" customWidth="1"/>
    <col min="2039" max="2039" width="14.5703125" style="45" customWidth="1"/>
    <col min="2040" max="2040" width="15" style="45" customWidth="1"/>
    <col min="2041" max="2041" width="11.42578125" style="45"/>
    <col min="2042" max="2042" width="17.7109375" style="45" customWidth="1"/>
    <col min="2043" max="2043" width="8.28515625" style="45" customWidth="1"/>
    <col min="2044" max="2044" width="11.42578125" style="45"/>
    <col min="2045" max="2045" width="14.7109375" style="45" customWidth="1"/>
    <col min="2046" max="2285" width="11.42578125" style="45"/>
    <col min="2286" max="2286" width="5.28515625" style="45" customWidth="1"/>
    <col min="2287" max="2287" width="21.28515625" style="45" customWidth="1"/>
    <col min="2288" max="2293" width="10.5703125" style="45" customWidth="1"/>
    <col min="2294" max="2294" width="14.7109375" style="45" customWidth="1"/>
    <col min="2295" max="2295" width="14.5703125" style="45" customWidth="1"/>
    <col min="2296" max="2296" width="15" style="45" customWidth="1"/>
    <col min="2297" max="2297" width="11.42578125" style="45"/>
    <col min="2298" max="2298" width="17.7109375" style="45" customWidth="1"/>
    <col min="2299" max="2299" width="8.28515625" style="45" customWidth="1"/>
    <col min="2300" max="2300" width="11.42578125" style="45"/>
    <col min="2301" max="2301" width="14.7109375" style="45" customWidth="1"/>
    <col min="2302" max="2541" width="11.42578125" style="45"/>
    <col min="2542" max="2542" width="5.28515625" style="45" customWidth="1"/>
    <col min="2543" max="2543" width="21.28515625" style="45" customWidth="1"/>
    <col min="2544" max="2549" width="10.5703125" style="45" customWidth="1"/>
    <col min="2550" max="2550" width="14.7109375" style="45" customWidth="1"/>
    <col min="2551" max="2551" width="14.5703125" style="45" customWidth="1"/>
    <col min="2552" max="2552" width="15" style="45" customWidth="1"/>
    <col min="2553" max="2553" width="11.42578125" style="45"/>
    <col min="2554" max="2554" width="17.7109375" style="45" customWidth="1"/>
    <col min="2555" max="2555" width="8.28515625" style="45" customWidth="1"/>
    <col min="2556" max="2556" width="11.42578125" style="45"/>
    <col min="2557" max="2557" width="14.7109375" style="45" customWidth="1"/>
    <col min="2558" max="2797" width="11.42578125" style="45"/>
    <col min="2798" max="2798" width="5.28515625" style="45" customWidth="1"/>
    <col min="2799" max="2799" width="21.28515625" style="45" customWidth="1"/>
    <col min="2800" max="2805" width="10.5703125" style="45" customWidth="1"/>
    <col min="2806" max="2806" width="14.7109375" style="45" customWidth="1"/>
    <col min="2807" max="2807" width="14.5703125" style="45" customWidth="1"/>
    <col min="2808" max="2808" width="15" style="45" customWidth="1"/>
    <col min="2809" max="2809" width="11.42578125" style="45"/>
    <col min="2810" max="2810" width="17.7109375" style="45" customWidth="1"/>
    <col min="2811" max="2811" width="8.28515625" style="45" customWidth="1"/>
    <col min="2812" max="2812" width="11.42578125" style="45"/>
    <col min="2813" max="2813" width="14.7109375" style="45" customWidth="1"/>
    <col min="2814" max="3053" width="11.42578125" style="45"/>
    <col min="3054" max="3054" width="5.28515625" style="45" customWidth="1"/>
    <col min="3055" max="3055" width="21.28515625" style="45" customWidth="1"/>
    <col min="3056" max="3061" width="10.5703125" style="45" customWidth="1"/>
    <col min="3062" max="3062" width="14.7109375" style="45" customWidth="1"/>
    <col min="3063" max="3063" width="14.5703125" style="45" customWidth="1"/>
    <col min="3064" max="3064" width="15" style="45" customWidth="1"/>
    <col min="3065" max="3065" width="11.42578125" style="45"/>
    <col min="3066" max="3066" width="17.7109375" style="45" customWidth="1"/>
    <col min="3067" max="3067" width="8.28515625" style="45" customWidth="1"/>
    <col min="3068" max="3068" width="11.42578125" style="45"/>
    <col min="3069" max="3069" width="14.7109375" style="45" customWidth="1"/>
    <col min="3070" max="3309" width="11.42578125" style="45"/>
    <col min="3310" max="3310" width="5.28515625" style="45" customWidth="1"/>
    <col min="3311" max="3311" width="21.28515625" style="45" customWidth="1"/>
    <col min="3312" max="3317" width="10.5703125" style="45" customWidth="1"/>
    <col min="3318" max="3318" width="14.7109375" style="45" customWidth="1"/>
    <col min="3319" max="3319" width="14.5703125" style="45" customWidth="1"/>
    <col min="3320" max="3320" width="15" style="45" customWidth="1"/>
    <col min="3321" max="3321" width="11.42578125" style="45"/>
    <col min="3322" max="3322" width="17.7109375" style="45" customWidth="1"/>
    <col min="3323" max="3323" width="8.28515625" style="45" customWidth="1"/>
    <col min="3324" max="3324" width="11.42578125" style="45"/>
    <col min="3325" max="3325" width="14.7109375" style="45" customWidth="1"/>
    <col min="3326" max="3565" width="11.42578125" style="45"/>
    <col min="3566" max="3566" width="5.28515625" style="45" customWidth="1"/>
    <col min="3567" max="3567" width="21.28515625" style="45" customWidth="1"/>
    <col min="3568" max="3573" width="10.5703125" style="45" customWidth="1"/>
    <col min="3574" max="3574" width="14.7109375" style="45" customWidth="1"/>
    <col min="3575" max="3575" width="14.5703125" style="45" customWidth="1"/>
    <col min="3576" max="3576" width="15" style="45" customWidth="1"/>
    <col min="3577" max="3577" width="11.42578125" style="45"/>
    <col min="3578" max="3578" width="17.7109375" style="45" customWidth="1"/>
    <col min="3579" max="3579" width="8.28515625" style="45" customWidth="1"/>
    <col min="3580" max="3580" width="11.42578125" style="45"/>
    <col min="3581" max="3581" width="14.7109375" style="45" customWidth="1"/>
    <col min="3582" max="3821" width="11.42578125" style="45"/>
    <col min="3822" max="3822" width="5.28515625" style="45" customWidth="1"/>
    <col min="3823" max="3823" width="21.28515625" style="45" customWidth="1"/>
    <col min="3824" max="3829" width="10.5703125" style="45" customWidth="1"/>
    <col min="3830" max="3830" width="14.7109375" style="45" customWidth="1"/>
    <col min="3831" max="3831" width="14.5703125" style="45" customWidth="1"/>
    <col min="3832" max="3832" width="15" style="45" customWidth="1"/>
    <col min="3833" max="3833" width="11.42578125" style="45"/>
    <col min="3834" max="3834" width="17.7109375" style="45" customWidth="1"/>
    <col min="3835" max="3835" width="8.28515625" style="45" customWidth="1"/>
    <col min="3836" max="3836" width="11.42578125" style="45"/>
    <col min="3837" max="3837" width="14.7109375" style="45" customWidth="1"/>
    <col min="3838" max="4077" width="11.42578125" style="45"/>
    <col min="4078" max="4078" width="5.28515625" style="45" customWidth="1"/>
    <col min="4079" max="4079" width="21.28515625" style="45" customWidth="1"/>
    <col min="4080" max="4085" width="10.5703125" style="45" customWidth="1"/>
    <col min="4086" max="4086" width="14.7109375" style="45" customWidth="1"/>
    <col min="4087" max="4087" width="14.5703125" style="45" customWidth="1"/>
    <col min="4088" max="4088" width="15" style="45" customWidth="1"/>
    <col min="4089" max="4089" width="11.42578125" style="45"/>
    <col min="4090" max="4090" width="17.7109375" style="45" customWidth="1"/>
    <col min="4091" max="4091" width="8.28515625" style="45" customWidth="1"/>
    <col min="4092" max="4092" width="11.42578125" style="45"/>
    <col min="4093" max="4093" width="14.7109375" style="45" customWidth="1"/>
    <col min="4094" max="4333" width="11.42578125" style="45"/>
    <col min="4334" max="4334" width="5.28515625" style="45" customWidth="1"/>
    <col min="4335" max="4335" width="21.28515625" style="45" customWidth="1"/>
    <col min="4336" max="4341" width="10.5703125" style="45" customWidth="1"/>
    <col min="4342" max="4342" width="14.7109375" style="45" customWidth="1"/>
    <col min="4343" max="4343" width="14.5703125" style="45" customWidth="1"/>
    <col min="4344" max="4344" width="15" style="45" customWidth="1"/>
    <col min="4345" max="4345" width="11.42578125" style="45"/>
    <col min="4346" max="4346" width="17.7109375" style="45" customWidth="1"/>
    <col min="4347" max="4347" width="8.28515625" style="45" customWidth="1"/>
    <col min="4348" max="4348" width="11.42578125" style="45"/>
    <col min="4349" max="4349" width="14.7109375" style="45" customWidth="1"/>
    <col min="4350" max="4589" width="11.42578125" style="45"/>
    <col min="4590" max="4590" width="5.28515625" style="45" customWidth="1"/>
    <col min="4591" max="4591" width="21.28515625" style="45" customWidth="1"/>
    <col min="4592" max="4597" width="10.5703125" style="45" customWidth="1"/>
    <col min="4598" max="4598" width="14.7109375" style="45" customWidth="1"/>
    <col min="4599" max="4599" width="14.5703125" style="45" customWidth="1"/>
    <col min="4600" max="4600" width="15" style="45" customWidth="1"/>
    <col min="4601" max="4601" width="11.42578125" style="45"/>
    <col min="4602" max="4602" width="17.7109375" style="45" customWidth="1"/>
    <col min="4603" max="4603" width="8.28515625" style="45" customWidth="1"/>
    <col min="4604" max="4604" width="11.42578125" style="45"/>
    <col min="4605" max="4605" width="14.7109375" style="45" customWidth="1"/>
    <col min="4606" max="4845" width="11.42578125" style="45"/>
    <col min="4846" max="4846" width="5.28515625" style="45" customWidth="1"/>
    <col min="4847" max="4847" width="21.28515625" style="45" customWidth="1"/>
    <col min="4848" max="4853" width="10.5703125" style="45" customWidth="1"/>
    <col min="4854" max="4854" width="14.7109375" style="45" customWidth="1"/>
    <col min="4855" max="4855" width="14.5703125" style="45" customWidth="1"/>
    <col min="4856" max="4856" width="15" style="45" customWidth="1"/>
    <col min="4857" max="4857" width="11.42578125" style="45"/>
    <col min="4858" max="4858" width="17.7109375" style="45" customWidth="1"/>
    <col min="4859" max="4859" width="8.28515625" style="45" customWidth="1"/>
    <col min="4860" max="4860" width="11.42578125" style="45"/>
    <col min="4861" max="4861" width="14.7109375" style="45" customWidth="1"/>
    <col min="4862" max="5101" width="11.42578125" style="45"/>
    <col min="5102" max="5102" width="5.28515625" style="45" customWidth="1"/>
    <col min="5103" max="5103" width="21.28515625" style="45" customWidth="1"/>
    <col min="5104" max="5109" width="10.5703125" style="45" customWidth="1"/>
    <col min="5110" max="5110" width="14.7109375" style="45" customWidth="1"/>
    <col min="5111" max="5111" width="14.5703125" style="45" customWidth="1"/>
    <col min="5112" max="5112" width="15" style="45" customWidth="1"/>
    <col min="5113" max="5113" width="11.42578125" style="45"/>
    <col min="5114" max="5114" width="17.7109375" style="45" customWidth="1"/>
    <col min="5115" max="5115" width="8.28515625" style="45" customWidth="1"/>
    <col min="5116" max="5116" width="11.42578125" style="45"/>
    <col min="5117" max="5117" width="14.7109375" style="45" customWidth="1"/>
    <col min="5118" max="5357" width="11.42578125" style="45"/>
    <col min="5358" max="5358" width="5.28515625" style="45" customWidth="1"/>
    <col min="5359" max="5359" width="21.28515625" style="45" customWidth="1"/>
    <col min="5360" max="5365" width="10.5703125" style="45" customWidth="1"/>
    <col min="5366" max="5366" width="14.7109375" style="45" customWidth="1"/>
    <col min="5367" max="5367" width="14.5703125" style="45" customWidth="1"/>
    <col min="5368" max="5368" width="15" style="45" customWidth="1"/>
    <col min="5369" max="5369" width="11.42578125" style="45"/>
    <col min="5370" max="5370" width="17.7109375" style="45" customWidth="1"/>
    <col min="5371" max="5371" width="8.28515625" style="45" customWidth="1"/>
    <col min="5372" max="5372" width="11.42578125" style="45"/>
    <col min="5373" max="5373" width="14.7109375" style="45" customWidth="1"/>
    <col min="5374" max="5613" width="11.42578125" style="45"/>
    <col min="5614" max="5614" width="5.28515625" style="45" customWidth="1"/>
    <col min="5615" max="5615" width="21.28515625" style="45" customWidth="1"/>
    <col min="5616" max="5621" width="10.5703125" style="45" customWidth="1"/>
    <col min="5622" max="5622" width="14.7109375" style="45" customWidth="1"/>
    <col min="5623" max="5623" width="14.5703125" style="45" customWidth="1"/>
    <col min="5624" max="5624" width="15" style="45" customWidth="1"/>
    <col min="5625" max="5625" width="11.42578125" style="45"/>
    <col min="5626" max="5626" width="17.7109375" style="45" customWidth="1"/>
    <col min="5627" max="5627" width="8.28515625" style="45" customWidth="1"/>
    <col min="5628" max="5628" width="11.42578125" style="45"/>
    <col min="5629" max="5629" width="14.7109375" style="45" customWidth="1"/>
    <col min="5630" max="5869" width="11.42578125" style="45"/>
    <col min="5870" max="5870" width="5.28515625" style="45" customWidth="1"/>
    <col min="5871" max="5871" width="21.28515625" style="45" customWidth="1"/>
    <col min="5872" max="5877" width="10.5703125" style="45" customWidth="1"/>
    <col min="5878" max="5878" width="14.7109375" style="45" customWidth="1"/>
    <col min="5879" max="5879" width="14.5703125" style="45" customWidth="1"/>
    <col min="5880" max="5880" width="15" style="45" customWidth="1"/>
    <col min="5881" max="5881" width="11.42578125" style="45"/>
    <col min="5882" max="5882" width="17.7109375" style="45" customWidth="1"/>
    <col min="5883" max="5883" width="8.28515625" style="45" customWidth="1"/>
    <col min="5884" max="5884" width="11.42578125" style="45"/>
    <col min="5885" max="5885" width="14.7109375" style="45" customWidth="1"/>
    <col min="5886" max="6125" width="11.42578125" style="45"/>
    <col min="6126" max="6126" width="5.28515625" style="45" customWidth="1"/>
    <col min="6127" max="6127" width="21.28515625" style="45" customWidth="1"/>
    <col min="6128" max="6133" width="10.5703125" style="45" customWidth="1"/>
    <col min="6134" max="6134" width="14.7109375" style="45" customWidth="1"/>
    <col min="6135" max="6135" width="14.5703125" style="45" customWidth="1"/>
    <col min="6136" max="6136" width="15" style="45" customWidth="1"/>
    <col min="6137" max="6137" width="11.42578125" style="45"/>
    <col min="6138" max="6138" width="17.7109375" style="45" customWidth="1"/>
    <col min="6139" max="6139" width="8.28515625" style="45" customWidth="1"/>
    <col min="6140" max="6140" width="11.42578125" style="45"/>
    <col min="6141" max="6141" width="14.7109375" style="45" customWidth="1"/>
    <col min="6142" max="6381" width="11.42578125" style="45"/>
    <col min="6382" max="6382" width="5.28515625" style="45" customWidth="1"/>
    <col min="6383" max="6383" width="21.28515625" style="45" customWidth="1"/>
    <col min="6384" max="6389" width="10.5703125" style="45" customWidth="1"/>
    <col min="6390" max="6390" width="14.7109375" style="45" customWidth="1"/>
    <col min="6391" max="6391" width="14.5703125" style="45" customWidth="1"/>
    <col min="6392" max="6392" width="15" style="45" customWidth="1"/>
    <col min="6393" max="6393" width="11.42578125" style="45"/>
    <col min="6394" max="6394" width="17.7109375" style="45" customWidth="1"/>
    <col min="6395" max="6395" width="8.28515625" style="45" customWidth="1"/>
    <col min="6396" max="6396" width="11.42578125" style="45"/>
    <col min="6397" max="6397" width="14.7109375" style="45" customWidth="1"/>
    <col min="6398" max="6637" width="11.42578125" style="45"/>
    <col min="6638" max="6638" width="5.28515625" style="45" customWidth="1"/>
    <col min="6639" max="6639" width="21.28515625" style="45" customWidth="1"/>
    <col min="6640" max="6645" width="10.5703125" style="45" customWidth="1"/>
    <col min="6646" max="6646" width="14.7109375" style="45" customWidth="1"/>
    <col min="6647" max="6647" width="14.5703125" style="45" customWidth="1"/>
    <col min="6648" max="6648" width="15" style="45" customWidth="1"/>
    <col min="6649" max="6649" width="11.42578125" style="45"/>
    <col min="6650" max="6650" width="17.7109375" style="45" customWidth="1"/>
    <col min="6651" max="6651" width="8.28515625" style="45" customWidth="1"/>
    <col min="6652" max="6652" width="11.42578125" style="45"/>
    <col min="6653" max="6653" width="14.7109375" style="45" customWidth="1"/>
    <col min="6654" max="6893" width="11.42578125" style="45"/>
    <col min="6894" max="6894" width="5.28515625" style="45" customWidth="1"/>
    <col min="6895" max="6895" width="21.28515625" style="45" customWidth="1"/>
    <col min="6896" max="6901" width="10.5703125" style="45" customWidth="1"/>
    <col min="6902" max="6902" width="14.7109375" style="45" customWidth="1"/>
    <col min="6903" max="6903" width="14.5703125" style="45" customWidth="1"/>
    <col min="6904" max="6904" width="15" style="45" customWidth="1"/>
    <col min="6905" max="6905" width="11.42578125" style="45"/>
    <col min="6906" max="6906" width="17.7109375" style="45" customWidth="1"/>
    <col min="6907" max="6907" width="8.28515625" style="45" customWidth="1"/>
    <col min="6908" max="6908" width="11.42578125" style="45"/>
    <col min="6909" max="6909" width="14.7109375" style="45" customWidth="1"/>
    <col min="6910" max="7149" width="11.42578125" style="45"/>
    <col min="7150" max="7150" width="5.28515625" style="45" customWidth="1"/>
    <col min="7151" max="7151" width="21.28515625" style="45" customWidth="1"/>
    <col min="7152" max="7157" width="10.5703125" style="45" customWidth="1"/>
    <col min="7158" max="7158" width="14.7109375" style="45" customWidth="1"/>
    <col min="7159" max="7159" width="14.5703125" style="45" customWidth="1"/>
    <col min="7160" max="7160" width="15" style="45" customWidth="1"/>
    <col min="7161" max="7161" width="11.42578125" style="45"/>
    <col min="7162" max="7162" width="17.7109375" style="45" customWidth="1"/>
    <col min="7163" max="7163" width="8.28515625" style="45" customWidth="1"/>
    <col min="7164" max="7164" width="11.42578125" style="45"/>
    <col min="7165" max="7165" width="14.7109375" style="45" customWidth="1"/>
    <col min="7166" max="7405" width="11.42578125" style="45"/>
    <col min="7406" max="7406" width="5.28515625" style="45" customWidth="1"/>
    <col min="7407" max="7407" width="21.28515625" style="45" customWidth="1"/>
    <col min="7408" max="7413" width="10.5703125" style="45" customWidth="1"/>
    <col min="7414" max="7414" width="14.7109375" style="45" customWidth="1"/>
    <col min="7415" max="7415" width="14.5703125" style="45" customWidth="1"/>
    <col min="7416" max="7416" width="15" style="45" customWidth="1"/>
    <col min="7417" max="7417" width="11.42578125" style="45"/>
    <col min="7418" max="7418" width="17.7109375" style="45" customWidth="1"/>
    <col min="7419" max="7419" width="8.28515625" style="45" customWidth="1"/>
    <col min="7420" max="7420" width="11.42578125" style="45"/>
    <col min="7421" max="7421" width="14.7109375" style="45" customWidth="1"/>
    <col min="7422" max="7661" width="11.42578125" style="45"/>
    <col min="7662" max="7662" width="5.28515625" style="45" customWidth="1"/>
    <col min="7663" max="7663" width="21.28515625" style="45" customWidth="1"/>
    <col min="7664" max="7669" width="10.5703125" style="45" customWidth="1"/>
    <col min="7670" max="7670" width="14.7109375" style="45" customWidth="1"/>
    <col min="7671" max="7671" width="14.5703125" style="45" customWidth="1"/>
    <col min="7672" max="7672" width="15" style="45" customWidth="1"/>
    <col min="7673" max="7673" width="11.42578125" style="45"/>
    <col min="7674" max="7674" width="17.7109375" style="45" customWidth="1"/>
    <col min="7675" max="7675" width="8.28515625" style="45" customWidth="1"/>
    <col min="7676" max="7676" width="11.42578125" style="45"/>
    <col min="7677" max="7677" width="14.7109375" style="45" customWidth="1"/>
    <col min="7678" max="7917" width="11.42578125" style="45"/>
    <col min="7918" max="7918" width="5.28515625" style="45" customWidth="1"/>
    <col min="7919" max="7919" width="21.28515625" style="45" customWidth="1"/>
    <col min="7920" max="7925" width="10.5703125" style="45" customWidth="1"/>
    <col min="7926" max="7926" width="14.7109375" style="45" customWidth="1"/>
    <col min="7927" max="7927" width="14.5703125" style="45" customWidth="1"/>
    <col min="7928" max="7928" width="15" style="45" customWidth="1"/>
    <col min="7929" max="7929" width="11.42578125" style="45"/>
    <col min="7930" max="7930" width="17.7109375" style="45" customWidth="1"/>
    <col min="7931" max="7931" width="8.28515625" style="45" customWidth="1"/>
    <col min="7932" max="7932" width="11.42578125" style="45"/>
    <col min="7933" max="7933" width="14.7109375" style="45" customWidth="1"/>
    <col min="7934" max="8173" width="11.42578125" style="45"/>
    <col min="8174" max="8174" width="5.28515625" style="45" customWidth="1"/>
    <col min="8175" max="8175" width="21.28515625" style="45" customWidth="1"/>
    <col min="8176" max="8181" width="10.5703125" style="45" customWidth="1"/>
    <col min="8182" max="8182" width="14.7109375" style="45" customWidth="1"/>
    <col min="8183" max="8183" width="14.5703125" style="45" customWidth="1"/>
    <col min="8184" max="8184" width="15" style="45" customWidth="1"/>
    <col min="8185" max="8185" width="11.42578125" style="45"/>
    <col min="8186" max="8186" width="17.7109375" style="45" customWidth="1"/>
    <col min="8187" max="8187" width="8.28515625" style="45" customWidth="1"/>
    <col min="8188" max="8188" width="11.42578125" style="45"/>
    <col min="8189" max="8189" width="14.7109375" style="45" customWidth="1"/>
    <col min="8190" max="8429" width="11.42578125" style="45"/>
    <col min="8430" max="8430" width="5.28515625" style="45" customWidth="1"/>
    <col min="8431" max="8431" width="21.28515625" style="45" customWidth="1"/>
    <col min="8432" max="8437" width="10.5703125" style="45" customWidth="1"/>
    <col min="8438" max="8438" width="14.7109375" style="45" customWidth="1"/>
    <col min="8439" max="8439" width="14.5703125" style="45" customWidth="1"/>
    <col min="8440" max="8440" width="15" style="45" customWidth="1"/>
    <col min="8441" max="8441" width="11.42578125" style="45"/>
    <col min="8442" max="8442" width="17.7109375" style="45" customWidth="1"/>
    <col min="8443" max="8443" width="8.28515625" style="45" customWidth="1"/>
    <col min="8444" max="8444" width="11.42578125" style="45"/>
    <col min="8445" max="8445" width="14.7109375" style="45" customWidth="1"/>
    <col min="8446" max="8685" width="11.42578125" style="45"/>
    <col min="8686" max="8686" width="5.28515625" style="45" customWidth="1"/>
    <col min="8687" max="8687" width="21.28515625" style="45" customWidth="1"/>
    <col min="8688" max="8693" width="10.5703125" style="45" customWidth="1"/>
    <col min="8694" max="8694" width="14.7109375" style="45" customWidth="1"/>
    <col min="8695" max="8695" width="14.5703125" style="45" customWidth="1"/>
    <col min="8696" max="8696" width="15" style="45" customWidth="1"/>
    <col min="8697" max="8697" width="11.42578125" style="45"/>
    <col min="8698" max="8698" width="17.7109375" style="45" customWidth="1"/>
    <col min="8699" max="8699" width="8.28515625" style="45" customWidth="1"/>
    <col min="8700" max="8700" width="11.42578125" style="45"/>
    <col min="8701" max="8701" width="14.7109375" style="45" customWidth="1"/>
    <col min="8702" max="8941" width="11.42578125" style="45"/>
    <col min="8942" max="8942" width="5.28515625" style="45" customWidth="1"/>
    <col min="8943" max="8943" width="21.28515625" style="45" customWidth="1"/>
    <col min="8944" max="8949" width="10.5703125" style="45" customWidth="1"/>
    <col min="8950" max="8950" width="14.7109375" style="45" customWidth="1"/>
    <col min="8951" max="8951" width="14.5703125" style="45" customWidth="1"/>
    <col min="8952" max="8952" width="15" style="45" customWidth="1"/>
    <col min="8953" max="8953" width="11.42578125" style="45"/>
    <col min="8954" max="8954" width="17.7109375" style="45" customWidth="1"/>
    <col min="8955" max="8955" width="8.28515625" style="45" customWidth="1"/>
    <col min="8956" max="8956" width="11.42578125" style="45"/>
    <col min="8957" max="8957" width="14.7109375" style="45" customWidth="1"/>
    <col min="8958" max="9197" width="11.42578125" style="45"/>
    <col min="9198" max="9198" width="5.28515625" style="45" customWidth="1"/>
    <col min="9199" max="9199" width="21.28515625" style="45" customWidth="1"/>
    <col min="9200" max="9205" width="10.5703125" style="45" customWidth="1"/>
    <col min="9206" max="9206" width="14.7109375" style="45" customWidth="1"/>
    <col min="9207" max="9207" width="14.5703125" style="45" customWidth="1"/>
    <col min="9208" max="9208" width="15" style="45" customWidth="1"/>
    <col min="9209" max="9209" width="11.42578125" style="45"/>
    <col min="9210" max="9210" width="17.7109375" style="45" customWidth="1"/>
    <col min="9211" max="9211" width="8.28515625" style="45" customWidth="1"/>
    <col min="9212" max="9212" width="11.42578125" style="45"/>
    <col min="9213" max="9213" width="14.7109375" style="45" customWidth="1"/>
    <col min="9214" max="9453" width="11.42578125" style="45"/>
    <col min="9454" max="9454" width="5.28515625" style="45" customWidth="1"/>
    <col min="9455" max="9455" width="21.28515625" style="45" customWidth="1"/>
    <col min="9456" max="9461" width="10.5703125" style="45" customWidth="1"/>
    <col min="9462" max="9462" width="14.7109375" style="45" customWidth="1"/>
    <col min="9463" max="9463" width="14.5703125" style="45" customWidth="1"/>
    <col min="9464" max="9464" width="15" style="45" customWidth="1"/>
    <col min="9465" max="9465" width="11.42578125" style="45"/>
    <col min="9466" max="9466" width="17.7109375" style="45" customWidth="1"/>
    <col min="9467" max="9467" width="8.28515625" style="45" customWidth="1"/>
    <col min="9468" max="9468" width="11.42578125" style="45"/>
    <col min="9469" max="9469" width="14.7109375" style="45" customWidth="1"/>
    <col min="9470" max="9709" width="11.42578125" style="45"/>
    <col min="9710" max="9710" width="5.28515625" style="45" customWidth="1"/>
    <col min="9711" max="9711" width="21.28515625" style="45" customWidth="1"/>
    <col min="9712" max="9717" width="10.5703125" style="45" customWidth="1"/>
    <col min="9718" max="9718" width="14.7109375" style="45" customWidth="1"/>
    <col min="9719" max="9719" width="14.5703125" style="45" customWidth="1"/>
    <col min="9720" max="9720" width="15" style="45" customWidth="1"/>
    <col min="9721" max="9721" width="11.42578125" style="45"/>
    <col min="9722" max="9722" width="17.7109375" style="45" customWidth="1"/>
    <col min="9723" max="9723" width="8.28515625" style="45" customWidth="1"/>
    <col min="9724" max="9724" width="11.42578125" style="45"/>
    <col min="9725" max="9725" width="14.7109375" style="45" customWidth="1"/>
    <col min="9726" max="9965" width="11.42578125" style="45"/>
    <col min="9966" max="9966" width="5.28515625" style="45" customWidth="1"/>
    <col min="9967" max="9967" width="21.28515625" style="45" customWidth="1"/>
    <col min="9968" max="9973" width="10.5703125" style="45" customWidth="1"/>
    <col min="9974" max="9974" width="14.7109375" style="45" customWidth="1"/>
    <col min="9975" max="9975" width="14.5703125" style="45" customWidth="1"/>
    <col min="9976" max="9976" width="15" style="45" customWidth="1"/>
    <col min="9977" max="9977" width="11.42578125" style="45"/>
    <col min="9978" max="9978" width="17.7109375" style="45" customWidth="1"/>
    <col min="9979" max="9979" width="8.28515625" style="45" customWidth="1"/>
    <col min="9980" max="9980" width="11.42578125" style="45"/>
    <col min="9981" max="9981" width="14.7109375" style="45" customWidth="1"/>
    <col min="9982" max="10221" width="11.42578125" style="45"/>
    <col min="10222" max="10222" width="5.28515625" style="45" customWidth="1"/>
    <col min="10223" max="10223" width="21.28515625" style="45" customWidth="1"/>
    <col min="10224" max="10229" width="10.5703125" style="45" customWidth="1"/>
    <col min="10230" max="10230" width="14.7109375" style="45" customWidth="1"/>
    <col min="10231" max="10231" width="14.5703125" style="45" customWidth="1"/>
    <col min="10232" max="10232" width="15" style="45" customWidth="1"/>
    <col min="10233" max="10233" width="11.42578125" style="45"/>
    <col min="10234" max="10234" width="17.7109375" style="45" customWidth="1"/>
    <col min="10235" max="10235" width="8.28515625" style="45" customWidth="1"/>
    <col min="10236" max="10236" width="11.42578125" style="45"/>
    <col min="10237" max="10237" width="14.7109375" style="45" customWidth="1"/>
    <col min="10238" max="10477" width="11.42578125" style="45"/>
    <col min="10478" max="10478" width="5.28515625" style="45" customWidth="1"/>
    <col min="10479" max="10479" width="21.28515625" style="45" customWidth="1"/>
    <col min="10480" max="10485" width="10.5703125" style="45" customWidth="1"/>
    <col min="10486" max="10486" width="14.7109375" style="45" customWidth="1"/>
    <col min="10487" max="10487" width="14.5703125" style="45" customWidth="1"/>
    <col min="10488" max="10488" width="15" style="45" customWidth="1"/>
    <col min="10489" max="10489" width="11.42578125" style="45"/>
    <col min="10490" max="10490" width="17.7109375" style="45" customWidth="1"/>
    <col min="10491" max="10491" width="8.28515625" style="45" customWidth="1"/>
    <col min="10492" max="10492" width="11.42578125" style="45"/>
    <col min="10493" max="10493" width="14.7109375" style="45" customWidth="1"/>
    <col min="10494" max="10733" width="11.42578125" style="45"/>
    <col min="10734" max="10734" width="5.28515625" style="45" customWidth="1"/>
    <col min="10735" max="10735" width="21.28515625" style="45" customWidth="1"/>
    <col min="10736" max="10741" width="10.5703125" style="45" customWidth="1"/>
    <col min="10742" max="10742" width="14.7109375" style="45" customWidth="1"/>
    <col min="10743" max="10743" width="14.5703125" style="45" customWidth="1"/>
    <col min="10744" max="10744" width="15" style="45" customWidth="1"/>
    <col min="10745" max="10745" width="11.42578125" style="45"/>
    <col min="10746" max="10746" width="17.7109375" style="45" customWidth="1"/>
    <col min="10747" max="10747" width="8.28515625" style="45" customWidth="1"/>
    <col min="10748" max="10748" width="11.42578125" style="45"/>
    <col min="10749" max="10749" width="14.7109375" style="45" customWidth="1"/>
    <col min="10750" max="10989" width="11.42578125" style="45"/>
    <col min="10990" max="10990" width="5.28515625" style="45" customWidth="1"/>
    <col min="10991" max="10991" width="21.28515625" style="45" customWidth="1"/>
    <col min="10992" max="10997" width="10.5703125" style="45" customWidth="1"/>
    <col min="10998" max="10998" width="14.7109375" style="45" customWidth="1"/>
    <col min="10999" max="10999" width="14.5703125" style="45" customWidth="1"/>
    <col min="11000" max="11000" width="15" style="45" customWidth="1"/>
    <col min="11001" max="11001" width="11.42578125" style="45"/>
    <col min="11002" max="11002" width="17.7109375" style="45" customWidth="1"/>
    <col min="11003" max="11003" width="8.28515625" style="45" customWidth="1"/>
    <col min="11004" max="11004" width="11.42578125" style="45"/>
    <col min="11005" max="11005" width="14.7109375" style="45" customWidth="1"/>
    <col min="11006" max="11245" width="11.42578125" style="45"/>
    <col min="11246" max="11246" width="5.28515625" style="45" customWidth="1"/>
    <col min="11247" max="11247" width="21.28515625" style="45" customWidth="1"/>
    <col min="11248" max="11253" width="10.5703125" style="45" customWidth="1"/>
    <col min="11254" max="11254" width="14.7109375" style="45" customWidth="1"/>
    <col min="11255" max="11255" width="14.5703125" style="45" customWidth="1"/>
    <col min="11256" max="11256" width="15" style="45" customWidth="1"/>
    <col min="11257" max="11257" width="11.42578125" style="45"/>
    <col min="11258" max="11258" width="17.7109375" style="45" customWidth="1"/>
    <col min="11259" max="11259" width="8.28515625" style="45" customWidth="1"/>
    <col min="11260" max="11260" width="11.42578125" style="45"/>
    <col min="11261" max="11261" width="14.7109375" style="45" customWidth="1"/>
    <col min="11262" max="11501" width="11.42578125" style="45"/>
    <col min="11502" max="11502" width="5.28515625" style="45" customWidth="1"/>
    <col min="11503" max="11503" width="21.28515625" style="45" customWidth="1"/>
    <col min="11504" max="11509" width="10.5703125" style="45" customWidth="1"/>
    <col min="11510" max="11510" width="14.7109375" style="45" customWidth="1"/>
    <col min="11511" max="11511" width="14.5703125" style="45" customWidth="1"/>
    <col min="11512" max="11512" width="15" style="45" customWidth="1"/>
    <col min="11513" max="11513" width="11.42578125" style="45"/>
    <col min="11514" max="11514" width="17.7109375" style="45" customWidth="1"/>
    <col min="11515" max="11515" width="8.28515625" style="45" customWidth="1"/>
    <col min="11516" max="11516" width="11.42578125" style="45"/>
    <col min="11517" max="11517" width="14.7109375" style="45" customWidth="1"/>
    <col min="11518" max="11757" width="11.42578125" style="45"/>
    <col min="11758" max="11758" width="5.28515625" style="45" customWidth="1"/>
    <col min="11759" max="11759" width="21.28515625" style="45" customWidth="1"/>
    <col min="11760" max="11765" width="10.5703125" style="45" customWidth="1"/>
    <col min="11766" max="11766" width="14.7109375" style="45" customWidth="1"/>
    <col min="11767" max="11767" width="14.5703125" style="45" customWidth="1"/>
    <col min="11768" max="11768" width="15" style="45" customWidth="1"/>
    <col min="11769" max="11769" width="11.42578125" style="45"/>
    <col min="11770" max="11770" width="17.7109375" style="45" customWidth="1"/>
    <col min="11771" max="11771" width="8.28515625" style="45" customWidth="1"/>
    <col min="11772" max="11772" width="11.42578125" style="45"/>
    <col min="11773" max="11773" width="14.7109375" style="45" customWidth="1"/>
    <col min="11774" max="12013" width="11.42578125" style="45"/>
    <col min="12014" max="12014" width="5.28515625" style="45" customWidth="1"/>
    <col min="12015" max="12015" width="21.28515625" style="45" customWidth="1"/>
    <col min="12016" max="12021" width="10.5703125" style="45" customWidth="1"/>
    <col min="12022" max="12022" width="14.7109375" style="45" customWidth="1"/>
    <col min="12023" max="12023" width="14.5703125" style="45" customWidth="1"/>
    <col min="12024" max="12024" width="15" style="45" customWidth="1"/>
    <col min="12025" max="12025" width="11.42578125" style="45"/>
    <col min="12026" max="12026" width="17.7109375" style="45" customWidth="1"/>
    <col min="12027" max="12027" width="8.28515625" style="45" customWidth="1"/>
    <col min="12028" max="12028" width="11.42578125" style="45"/>
    <col min="12029" max="12029" width="14.7109375" style="45" customWidth="1"/>
    <col min="12030" max="12269" width="11.42578125" style="45"/>
    <col min="12270" max="12270" width="5.28515625" style="45" customWidth="1"/>
    <col min="12271" max="12271" width="21.28515625" style="45" customWidth="1"/>
    <col min="12272" max="12277" width="10.5703125" style="45" customWidth="1"/>
    <col min="12278" max="12278" width="14.7109375" style="45" customWidth="1"/>
    <col min="12279" max="12279" width="14.5703125" style="45" customWidth="1"/>
    <col min="12280" max="12280" width="15" style="45" customWidth="1"/>
    <col min="12281" max="12281" width="11.42578125" style="45"/>
    <col min="12282" max="12282" width="17.7109375" style="45" customWidth="1"/>
    <col min="12283" max="12283" width="8.28515625" style="45" customWidth="1"/>
    <col min="12284" max="12284" width="11.42578125" style="45"/>
    <col min="12285" max="12285" width="14.7109375" style="45" customWidth="1"/>
    <col min="12286" max="12525" width="11.42578125" style="45"/>
    <col min="12526" max="12526" width="5.28515625" style="45" customWidth="1"/>
    <col min="12527" max="12527" width="21.28515625" style="45" customWidth="1"/>
    <col min="12528" max="12533" width="10.5703125" style="45" customWidth="1"/>
    <col min="12534" max="12534" width="14.7109375" style="45" customWidth="1"/>
    <col min="12535" max="12535" width="14.5703125" style="45" customWidth="1"/>
    <col min="12536" max="12536" width="15" style="45" customWidth="1"/>
    <col min="12537" max="12537" width="11.42578125" style="45"/>
    <col min="12538" max="12538" width="17.7109375" style="45" customWidth="1"/>
    <col min="12539" max="12539" width="8.28515625" style="45" customWidth="1"/>
    <col min="12540" max="12540" width="11.42578125" style="45"/>
    <col min="12541" max="12541" width="14.7109375" style="45" customWidth="1"/>
    <col min="12542" max="12781" width="11.42578125" style="45"/>
    <col min="12782" max="12782" width="5.28515625" style="45" customWidth="1"/>
    <col min="12783" max="12783" width="21.28515625" style="45" customWidth="1"/>
    <col min="12784" max="12789" width="10.5703125" style="45" customWidth="1"/>
    <col min="12790" max="12790" width="14.7109375" style="45" customWidth="1"/>
    <col min="12791" max="12791" width="14.5703125" style="45" customWidth="1"/>
    <col min="12792" max="12792" width="15" style="45" customWidth="1"/>
    <col min="12793" max="12793" width="11.42578125" style="45"/>
    <col min="12794" max="12794" width="17.7109375" style="45" customWidth="1"/>
    <col min="12795" max="12795" width="8.28515625" style="45" customWidth="1"/>
    <col min="12796" max="12796" width="11.42578125" style="45"/>
    <col min="12797" max="12797" width="14.7109375" style="45" customWidth="1"/>
    <col min="12798" max="13037" width="11.42578125" style="45"/>
    <col min="13038" max="13038" width="5.28515625" style="45" customWidth="1"/>
    <col min="13039" max="13039" width="21.28515625" style="45" customWidth="1"/>
    <col min="13040" max="13045" width="10.5703125" style="45" customWidth="1"/>
    <col min="13046" max="13046" width="14.7109375" style="45" customWidth="1"/>
    <col min="13047" max="13047" width="14.5703125" style="45" customWidth="1"/>
    <col min="13048" max="13048" width="15" style="45" customWidth="1"/>
    <col min="13049" max="13049" width="11.42578125" style="45"/>
    <col min="13050" max="13050" width="17.7109375" style="45" customWidth="1"/>
    <col min="13051" max="13051" width="8.28515625" style="45" customWidth="1"/>
    <col min="13052" max="13052" width="11.42578125" style="45"/>
    <col min="13053" max="13053" width="14.7109375" style="45" customWidth="1"/>
    <col min="13054" max="13293" width="11.42578125" style="45"/>
    <col min="13294" max="13294" width="5.28515625" style="45" customWidth="1"/>
    <col min="13295" max="13295" width="21.28515625" style="45" customWidth="1"/>
    <col min="13296" max="13301" width="10.5703125" style="45" customWidth="1"/>
    <col min="13302" max="13302" width="14.7109375" style="45" customWidth="1"/>
    <col min="13303" max="13303" width="14.5703125" style="45" customWidth="1"/>
    <col min="13304" max="13304" width="15" style="45" customWidth="1"/>
    <col min="13305" max="13305" width="11.42578125" style="45"/>
    <col min="13306" max="13306" width="17.7109375" style="45" customWidth="1"/>
    <col min="13307" max="13307" width="8.28515625" style="45" customWidth="1"/>
    <col min="13308" max="13308" width="11.42578125" style="45"/>
    <col min="13309" max="13309" width="14.7109375" style="45" customWidth="1"/>
    <col min="13310" max="13549" width="11.42578125" style="45"/>
    <col min="13550" max="13550" width="5.28515625" style="45" customWidth="1"/>
    <col min="13551" max="13551" width="21.28515625" style="45" customWidth="1"/>
    <col min="13552" max="13557" width="10.5703125" style="45" customWidth="1"/>
    <col min="13558" max="13558" width="14.7109375" style="45" customWidth="1"/>
    <col min="13559" max="13559" width="14.5703125" style="45" customWidth="1"/>
    <col min="13560" max="13560" width="15" style="45" customWidth="1"/>
    <col min="13561" max="13561" width="11.42578125" style="45"/>
    <col min="13562" max="13562" width="17.7109375" style="45" customWidth="1"/>
    <col min="13563" max="13563" width="8.28515625" style="45" customWidth="1"/>
    <col min="13564" max="13564" width="11.42578125" style="45"/>
    <col min="13565" max="13565" width="14.7109375" style="45" customWidth="1"/>
    <col min="13566" max="13805" width="11.42578125" style="45"/>
    <col min="13806" max="13806" width="5.28515625" style="45" customWidth="1"/>
    <col min="13807" max="13807" width="21.28515625" style="45" customWidth="1"/>
    <col min="13808" max="13813" width="10.5703125" style="45" customWidth="1"/>
    <col min="13814" max="13814" width="14.7109375" style="45" customWidth="1"/>
    <col min="13815" max="13815" width="14.5703125" style="45" customWidth="1"/>
    <col min="13816" max="13816" width="15" style="45" customWidth="1"/>
    <col min="13817" max="13817" width="11.42578125" style="45"/>
    <col min="13818" max="13818" width="17.7109375" style="45" customWidth="1"/>
    <col min="13819" max="13819" width="8.28515625" style="45" customWidth="1"/>
    <col min="13820" max="13820" width="11.42578125" style="45"/>
    <col min="13821" max="13821" width="14.7109375" style="45" customWidth="1"/>
    <col min="13822" max="14061" width="11.42578125" style="45"/>
    <col min="14062" max="14062" width="5.28515625" style="45" customWidth="1"/>
    <col min="14063" max="14063" width="21.28515625" style="45" customWidth="1"/>
    <col min="14064" max="14069" width="10.5703125" style="45" customWidth="1"/>
    <col min="14070" max="14070" width="14.7109375" style="45" customWidth="1"/>
    <col min="14071" max="14071" width="14.5703125" style="45" customWidth="1"/>
    <col min="14072" max="14072" width="15" style="45" customWidth="1"/>
    <col min="14073" max="14073" width="11.42578125" style="45"/>
    <col min="14074" max="14074" width="17.7109375" style="45" customWidth="1"/>
    <col min="14075" max="14075" width="8.28515625" style="45" customWidth="1"/>
    <col min="14076" max="14076" width="11.42578125" style="45"/>
    <col min="14077" max="14077" width="14.7109375" style="45" customWidth="1"/>
    <col min="14078" max="14317" width="11.42578125" style="45"/>
    <col min="14318" max="14318" width="5.28515625" style="45" customWidth="1"/>
    <col min="14319" max="14319" width="21.28515625" style="45" customWidth="1"/>
    <col min="14320" max="14325" width="10.5703125" style="45" customWidth="1"/>
    <col min="14326" max="14326" width="14.7109375" style="45" customWidth="1"/>
    <col min="14327" max="14327" width="14.5703125" style="45" customWidth="1"/>
    <col min="14328" max="14328" width="15" style="45" customWidth="1"/>
    <col min="14329" max="14329" width="11.42578125" style="45"/>
    <col min="14330" max="14330" width="17.7109375" style="45" customWidth="1"/>
    <col min="14331" max="14331" width="8.28515625" style="45" customWidth="1"/>
    <col min="14332" max="14332" width="11.42578125" style="45"/>
    <col min="14333" max="14333" width="14.7109375" style="45" customWidth="1"/>
    <col min="14334" max="14573" width="11.42578125" style="45"/>
    <col min="14574" max="14574" width="5.28515625" style="45" customWidth="1"/>
    <col min="14575" max="14575" width="21.28515625" style="45" customWidth="1"/>
    <col min="14576" max="14581" width="10.5703125" style="45" customWidth="1"/>
    <col min="14582" max="14582" width="14.7109375" style="45" customWidth="1"/>
    <col min="14583" max="14583" width="14.5703125" style="45" customWidth="1"/>
    <col min="14584" max="14584" width="15" style="45" customWidth="1"/>
    <col min="14585" max="14585" width="11.42578125" style="45"/>
    <col min="14586" max="14586" width="17.7109375" style="45" customWidth="1"/>
    <col min="14587" max="14587" width="8.28515625" style="45" customWidth="1"/>
    <col min="14588" max="14588" width="11.42578125" style="45"/>
    <col min="14589" max="14589" width="14.7109375" style="45" customWidth="1"/>
    <col min="14590" max="14829" width="11.42578125" style="45"/>
    <col min="14830" max="14830" width="5.28515625" style="45" customWidth="1"/>
    <col min="14831" max="14831" width="21.28515625" style="45" customWidth="1"/>
    <col min="14832" max="14837" width="10.5703125" style="45" customWidth="1"/>
    <col min="14838" max="14838" width="14.7109375" style="45" customWidth="1"/>
    <col min="14839" max="14839" width="14.5703125" style="45" customWidth="1"/>
    <col min="14840" max="14840" width="15" style="45" customWidth="1"/>
    <col min="14841" max="14841" width="11.42578125" style="45"/>
    <col min="14842" max="14842" width="17.7109375" style="45" customWidth="1"/>
    <col min="14843" max="14843" width="8.28515625" style="45" customWidth="1"/>
    <col min="14844" max="14844" width="11.42578125" style="45"/>
    <col min="14845" max="14845" width="14.7109375" style="45" customWidth="1"/>
    <col min="14846" max="15085" width="11.42578125" style="45"/>
    <col min="15086" max="15086" width="5.28515625" style="45" customWidth="1"/>
    <col min="15087" max="15087" width="21.28515625" style="45" customWidth="1"/>
    <col min="15088" max="15093" width="10.5703125" style="45" customWidth="1"/>
    <col min="15094" max="15094" width="14.7109375" style="45" customWidth="1"/>
    <col min="15095" max="15095" width="14.5703125" style="45" customWidth="1"/>
    <col min="15096" max="15096" width="15" style="45" customWidth="1"/>
    <col min="15097" max="15097" width="11.42578125" style="45"/>
    <col min="15098" max="15098" width="17.7109375" style="45" customWidth="1"/>
    <col min="15099" max="15099" width="8.28515625" style="45" customWidth="1"/>
    <col min="15100" max="15100" width="11.42578125" style="45"/>
    <col min="15101" max="15101" width="14.7109375" style="45" customWidth="1"/>
    <col min="15102" max="15341" width="11.42578125" style="45"/>
    <col min="15342" max="15342" width="5.28515625" style="45" customWidth="1"/>
    <col min="15343" max="15343" width="21.28515625" style="45" customWidth="1"/>
    <col min="15344" max="15349" width="10.5703125" style="45" customWidth="1"/>
    <col min="15350" max="15350" width="14.7109375" style="45" customWidth="1"/>
    <col min="15351" max="15351" width="14.5703125" style="45" customWidth="1"/>
    <col min="15352" max="15352" width="15" style="45" customWidth="1"/>
    <col min="15353" max="15353" width="11.42578125" style="45"/>
    <col min="15354" max="15354" width="17.7109375" style="45" customWidth="1"/>
    <col min="15355" max="15355" width="8.28515625" style="45" customWidth="1"/>
    <col min="15356" max="15356" width="11.42578125" style="45"/>
    <col min="15357" max="15357" width="14.7109375" style="45" customWidth="1"/>
    <col min="15358" max="15597" width="11.42578125" style="45"/>
    <col min="15598" max="15598" width="5.28515625" style="45" customWidth="1"/>
    <col min="15599" max="15599" width="21.28515625" style="45" customWidth="1"/>
    <col min="15600" max="15605" width="10.5703125" style="45" customWidth="1"/>
    <col min="15606" max="15606" width="14.7109375" style="45" customWidth="1"/>
    <col min="15607" max="15607" width="14.5703125" style="45" customWidth="1"/>
    <col min="15608" max="15608" width="15" style="45" customWidth="1"/>
    <col min="15609" max="15609" width="11.42578125" style="45"/>
    <col min="15610" max="15610" width="17.7109375" style="45" customWidth="1"/>
    <col min="15611" max="15611" width="8.28515625" style="45" customWidth="1"/>
    <col min="15612" max="15612" width="11.42578125" style="45"/>
    <col min="15613" max="15613" width="14.7109375" style="45" customWidth="1"/>
    <col min="15614" max="15853" width="11.42578125" style="45"/>
    <col min="15854" max="15854" width="5.28515625" style="45" customWidth="1"/>
    <col min="15855" max="15855" width="21.28515625" style="45" customWidth="1"/>
    <col min="15856" max="15861" width="10.5703125" style="45" customWidth="1"/>
    <col min="15862" max="15862" width="14.7109375" style="45" customWidth="1"/>
    <col min="15863" max="15863" width="14.5703125" style="45" customWidth="1"/>
    <col min="15864" max="15864" width="15" style="45" customWidth="1"/>
    <col min="15865" max="15865" width="11.42578125" style="45"/>
    <col min="15866" max="15866" width="17.7109375" style="45" customWidth="1"/>
    <col min="15867" max="15867" width="8.28515625" style="45" customWidth="1"/>
    <col min="15868" max="15868" width="11.42578125" style="45"/>
    <col min="15869" max="15869" width="14.7109375" style="45" customWidth="1"/>
    <col min="15870" max="16109" width="11.42578125" style="45"/>
    <col min="16110" max="16110" width="5.28515625" style="45" customWidth="1"/>
    <col min="16111" max="16111" width="21.28515625" style="45" customWidth="1"/>
    <col min="16112" max="16117" width="10.5703125" style="45" customWidth="1"/>
    <col min="16118" max="16118" width="14.7109375" style="45" customWidth="1"/>
    <col min="16119" max="16119" width="14.5703125" style="45" customWidth="1"/>
    <col min="16120" max="16120" width="15" style="45" customWidth="1"/>
    <col min="16121" max="16121" width="11.42578125" style="45"/>
    <col min="16122" max="16122" width="17.7109375" style="45" customWidth="1"/>
    <col min="16123" max="16123" width="8.28515625" style="45" customWidth="1"/>
    <col min="16124" max="16124" width="11.42578125" style="45"/>
    <col min="16125" max="16125" width="14.7109375" style="45" customWidth="1"/>
    <col min="16126" max="16384" width="11.42578125" style="45"/>
  </cols>
  <sheetData>
    <row r="1" spans="1:25" ht="13.5" customHeight="1">
      <c r="A1" s="44" t="s">
        <v>941</v>
      </c>
      <c r="C1" s="46"/>
      <c r="H1" s="48"/>
      <c r="I1" s="49" t="s">
        <v>942</v>
      </c>
      <c r="L1" s="1692"/>
      <c r="M1" s="1691" t="s">
        <v>943</v>
      </c>
      <c r="N1" s="1691"/>
      <c r="P1" s="1691" t="s">
        <v>944</v>
      </c>
      <c r="Q1" s="1691"/>
      <c r="S1" s="1691" t="s">
        <v>945</v>
      </c>
      <c r="T1" s="1691"/>
    </row>
    <row r="2" spans="1:25" ht="13.5" customHeight="1">
      <c r="C2" s="45"/>
      <c r="H2" s="51"/>
      <c r="I2" s="52" t="s">
        <v>946</v>
      </c>
      <c r="L2" s="1693"/>
      <c r="P2" s="1691" t="s">
        <v>947</v>
      </c>
      <c r="Q2" s="1691"/>
      <c r="S2" s="1691"/>
      <c r="T2" s="1691"/>
    </row>
    <row r="3" spans="1:25" ht="15.75" customHeight="1">
      <c r="A3" s="44" t="s">
        <v>948</v>
      </c>
      <c r="C3" s="45"/>
      <c r="L3" s="54" t="s">
        <v>949</v>
      </c>
      <c r="M3" s="1683" t="s">
        <v>950</v>
      </c>
      <c r="N3" s="1684"/>
      <c r="O3" s="55"/>
      <c r="P3" s="1683" t="s">
        <v>951</v>
      </c>
      <c r="Q3" s="1684"/>
      <c r="R3" s="55"/>
      <c r="S3" s="1683" t="s">
        <v>952</v>
      </c>
      <c r="T3" s="1684"/>
      <c r="U3" s="55"/>
      <c r="X3" s="56"/>
      <c r="Y3" s="56"/>
    </row>
    <row r="4" spans="1:25" ht="13.5" customHeight="1">
      <c r="B4" s="57" t="s">
        <v>953</v>
      </c>
      <c r="C4" s="58"/>
      <c r="D4" s="57" t="s">
        <v>954</v>
      </c>
      <c r="E4" s="57" t="s">
        <v>413</v>
      </c>
      <c r="F4" s="57" t="s">
        <v>414</v>
      </c>
      <c r="G4" s="57" t="s">
        <v>415</v>
      </c>
      <c r="H4" s="59" t="s">
        <v>416</v>
      </c>
      <c r="I4" s="59" t="s">
        <v>417</v>
      </c>
      <c r="L4" s="60" t="s">
        <v>955</v>
      </c>
      <c r="M4" s="1683" t="s">
        <v>956</v>
      </c>
      <c r="N4" s="1684"/>
      <c r="O4" s="55"/>
      <c r="P4" s="1689" t="s">
        <v>957</v>
      </c>
      <c r="Q4" s="1690"/>
      <c r="R4" s="55"/>
      <c r="S4" s="1683" t="s">
        <v>958</v>
      </c>
      <c r="T4" s="1684"/>
      <c r="U4" s="55"/>
      <c r="X4" s="56"/>
      <c r="Y4" s="56"/>
    </row>
    <row r="5" spans="1:25" ht="13.5" customHeight="1">
      <c r="B5" s="61" t="s">
        <v>959</v>
      </c>
      <c r="C5" s="62" t="s">
        <v>638</v>
      </c>
      <c r="D5" s="63">
        <v>0</v>
      </c>
      <c r="E5" s="64">
        <v>2.016</v>
      </c>
      <c r="F5" s="65">
        <f t="shared" ref="F5:F27" si="0">E5*D5/100</f>
        <v>0</v>
      </c>
      <c r="G5" s="66">
        <f t="shared" ref="G5:G27" si="1">IF($F$28&lt;1,0,F5/$F$28)</f>
        <v>0</v>
      </c>
      <c r="H5" s="65">
        <v>0</v>
      </c>
      <c r="I5" s="65">
        <f>H5*G5</f>
        <v>0</v>
      </c>
      <c r="L5" s="54" t="s">
        <v>960</v>
      </c>
      <c r="M5" s="1683">
        <v>1</v>
      </c>
      <c r="N5" s="1684"/>
      <c r="O5" s="55"/>
      <c r="P5" s="1689">
        <v>1</v>
      </c>
      <c r="Q5" s="1690"/>
      <c r="R5" s="55"/>
      <c r="S5" s="1683">
        <v>1</v>
      </c>
      <c r="T5" s="1684"/>
      <c r="U5" s="55"/>
      <c r="X5" s="56"/>
      <c r="Y5" s="56"/>
    </row>
    <row r="6" spans="1:25" ht="13.5" customHeight="1">
      <c r="B6" s="67" t="s">
        <v>961</v>
      </c>
      <c r="C6" s="68" t="s">
        <v>429</v>
      </c>
      <c r="D6" s="69">
        <f>N24</f>
        <v>0.15</v>
      </c>
      <c r="E6" s="70">
        <v>28.013000000000002</v>
      </c>
      <c r="F6" s="71">
        <f t="shared" si="0"/>
        <v>4.2019500000000001E-2</v>
      </c>
      <c r="G6" s="72">
        <f t="shared" si="1"/>
        <v>2.6048877475297384E-3</v>
      </c>
      <c r="H6" s="71">
        <v>0</v>
      </c>
      <c r="I6" s="71">
        <f t="shared" ref="I6:I27" si="2">H6*G6</f>
        <v>0</v>
      </c>
      <c r="L6" s="54" t="s">
        <v>962</v>
      </c>
      <c r="M6" s="1683">
        <v>24.98</v>
      </c>
      <c r="N6" s="1684"/>
      <c r="O6" s="55"/>
      <c r="P6" s="1683">
        <v>26.18</v>
      </c>
      <c r="Q6" s="1684"/>
      <c r="R6" s="55"/>
      <c r="S6" s="1683">
        <v>147.1</v>
      </c>
      <c r="T6" s="1684"/>
      <c r="U6" s="55"/>
      <c r="X6" s="56"/>
      <c r="Y6" s="56"/>
    </row>
    <row r="7" spans="1:25" ht="13.5" customHeight="1">
      <c r="B7" s="67" t="s">
        <v>963</v>
      </c>
      <c r="C7" s="73" t="s">
        <v>428</v>
      </c>
      <c r="D7" s="69">
        <v>0</v>
      </c>
      <c r="E7" s="70">
        <v>31.998999999999999</v>
      </c>
      <c r="F7" s="71">
        <f t="shared" si="0"/>
        <v>0</v>
      </c>
      <c r="G7" s="72">
        <f t="shared" si="1"/>
        <v>0</v>
      </c>
      <c r="H7" s="71">
        <v>0</v>
      </c>
      <c r="I7" s="71">
        <f t="shared" si="2"/>
        <v>0</v>
      </c>
      <c r="K7" s="74"/>
      <c r="L7" s="54" t="s">
        <v>964</v>
      </c>
      <c r="M7" s="1683">
        <v>82</v>
      </c>
      <c r="N7" s="1684"/>
      <c r="O7" s="55"/>
      <c r="P7" s="1683">
        <v>85.29</v>
      </c>
      <c r="Q7" s="1684"/>
      <c r="R7" s="55"/>
      <c r="S7" s="1683">
        <v>25</v>
      </c>
      <c r="T7" s="1684"/>
      <c r="U7" s="55"/>
      <c r="X7" s="56"/>
      <c r="Y7" s="56"/>
    </row>
    <row r="8" spans="1:25" ht="13.5" customHeight="1">
      <c r="B8" s="67" t="s">
        <v>965</v>
      </c>
      <c r="C8" s="73" t="s">
        <v>431</v>
      </c>
      <c r="D8" s="69">
        <f>(N47)/99.9</f>
        <v>0</v>
      </c>
      <c r="E8" s="70">
        <v>18.015000000000001</v>
      </c>
      <c r="F8" s="71">
        <f t="shared" si="0"/>
        <v>0</v>
      </c>
      <c r="G8" s="72">
        <f t="shared" si="1"/>
        <v>0</v>
      </c>
      <c r="H8" s="71">
        <v>0</v>
      </c>
      <c r="I8" s="71">
        <f t="shared" si="2"/>
        <v>0</v>
      </c>
      <c r="K8" s="74"/>
      <c r="L8" s="75" t="s">
        <v>966</v>
      </c>
      <c r="M8" s="1683">
        <v>39205.75</v>
      </c>
      <c r="N8" s="1684"/>
      <c r="O8" s="55"/>
      <c r="P8" s="1689">
        <v>39345.35</v>
      </c>
      <c r="Q8" s="1690"/>
      <c r="R8" s="55"/>
      <c r="S8" s="1683"/>
      <c r="T8" s="1684"/>
      <c r="U8" s="55"/>
      <c r="X8" s="56"/>
      <c r="Y8" s="56"/>
    </row>
    <row r="9" spans="1:25" ht="13.5" customHeight="1">
      <c r="B9" s="67" t="s">
        <v>967</v>
      </c>
      <c r="C9" s="73" t="s">
        <v>115</v>
      </c>
      <c r="D9" s="69">
        <v>0</v>
      </c>
      <c r="E9" s="70">
        <v>28.01</v>
      </c>
      <c r="F9" s="71">
        <f t="shared" si="0"/>
        <v>0</v>
      </c>
      <c r="G9" s="72">
        <f t="shared" si="1"/>
        <v>0</v>
      </c>
      <c r="H9" s="71">
        <v>0</v>
      </c>
      <c r="I9" s="71">
        <f t="shared" si="2"/>
        <v>0</v>
      </c>
      <c r="K9" s="74"/>
      <c r="L9" s="75" t="s">
        <v>968</v>
      </c>
      <c r="M9" s="1683">
        <v>632146.15</v>
      </c>
      <c r="N9" s="1684"/>
      <c r="O9" s="55"/>
      <c r="P9" s="1689">
        <v>634397.17000000004</v>
      </c>
      <c r="Q9" s="1690"/>
      <c r="R9" s="55"/>
      <c r="S9" s="1683">
        <v>151.80000000000001</v>
      </c>
      <c r="T9" s="1684"/>
      <c r="U9" s="55"/>
      <c r="X9" s="56"/>
      <c r="Y9" s="56"/>
    </row>
    <row r="10" spans="1:25" ht="13.5" customHeight="1">
      <c r="B10" s="67" t="s">
        <v>969</v>
      </c>
      <c r="C10" s="73" t="s">
        <v>126</v>
      </c>
      <c r="D10" s="69">
        <f>N25</f>
        <v>0.08</v>
      </c>
      <c r="E10" s="70">
        <v>44.01</v>
      </c>
      <c r="F10" s="71">
        <f t="shared" si="0"/>
        <v>3.5207999999999996E-2</v>
      </c>
      <c r="G10" s="72">
        <f t="shared" si="1"/>
        <v>2.1826268236182491E-3</v>
      </c>
      <c r="H10" s="71">
        <f>44/E10</f>
        <v>0.99977277891388328</v>
      </c>
      <c r="I10" s="71">
        <f t="shared" si="2"/>
        <v>2.182130884780799E-3</v>
      </c>
      <c r="J10" s="76"/>
      <c r="K10" s="74"/>
      <c r="L10" s="54" t="s">
        <v>970</v>
      </c>
      <c r="M10" s="1683"/>
      <c r="N10" s="1684"/>
      <c r="O10" s="55"/>
      <c r="P10" s="1689"/>
      <c r="Q10" s="1690"/>
      <c r="R10" s="55"/>
      <c r="S10" s="1683"/>
      <c r="T10" s="1684"/>
      <c r="U10" s="55"/>
      <c r="X10" s="56"/>
      <c r="Y10" s="56"/>
    </row>
    <row r="11" spans="1:25" ht="13.5" customHeight="1">
      <c r="B11" s="67" t="s">
        <v>971</v>
      </c>
      <c r="C11" s="73" t="s">
        <v>427</v>
      </c>
      <c r="D11" s="69">
        <v>0</v>
      </c>
      <c r="E11" s="70">
        <v>34.076000000000001</v>
      </c>
      <c r="F11" s="71">
        <f t="shared" si="0"/>
        <v>0</v>
      </c>
      <c r="G11" s="72">
        <f t="shared" si="1"/>
        <v>0</v>
      </c>
      <c r="H11" s="71">
        <v>0</v>
      </c>
      <c r="I11" s="71">
        <f t="shared" si="2"/>
        <v>0</v>
      </c>
      <c r="K11" s="74"/>
      <c r="L11" s="54" t="s">
        <v>972</v>
      </c>
      <c r="M11" s="1683"/>
      <c r="N11" s="1684"/>
      <c r="O11" s="55"/>
      <c r="P11" s="1683"/>
      <c r="Q11" s="1684"/>
      <c r="R11" s="55"/>
      <c r="S11" s="1683"/>
      <c r="T11" s="1684"/>
      <c r="U11" s="55"/>
      <c r="X11" s="56"/>
      <c r="Y11" s="56"/>
    </row>
    <row r="12" spans="1:25" ht="13.5" customHeight="1">
      <c r="B12" s="67" t="s">
        <v>973</v>
      </c>
      <c r="C12" s="73" t="s">
        <v>124</v>
      </c>
      <c r="D12" s="69">
        <v>0</v>
      </c>
      <c r="E12" s="70">
        <v>64.063000000000002</v>
      </c>
      <c r="F12" s="71">
        <f t="shared" si="0"/>
        <v>0</v>
      </c>
      <c r="G12" s="72">
        <f t="shared" si="1"/>
        <v>0</v>
      </c>
      <c r="H12" s="71">
        <v>0</v>
      </c>
      <c r="I12" s="71">
        <f t="shared" si="2"/>
        <v>0</v>
      </c>
      <c r="K12" s="74"/>
      <c r="L12" s="54" t="s">
        <v>974</v>
      </c>
      <c r="M12" s="1685">
        <v>0.68300000000000005</v>
      </c>
      <c r="N12" s="1686"/>
      <c r="O12" s="55"/>
      <c r="P12" s="1685">
        <v>0.69899999999999995</v>
      </c>
      <c r="Q12" s="1686"/>
      <c r="R12" s="55"/>
      <c r="S12" s="1687">
        <v>0.76100000000000001</v>
      </c>
      <c r="T12" s="1688"/>
      <c r="U12" s="55"/>
      <c r="V12" s="45" t="s">
        <v>975</v>
      </c>
      <c r="X12" s="56"/>
      <c r="Y12" s="56"/>
    </row>
    <row r="13" spans="1:25" ht="13.5" customHeight="1">
      <c r="B13" s="67" t="s">
        <v>976</v>
      </c>
      <c r="C13" s="73" t="s">
        <v>930</v>
      </c>
      <c r="D13" s="69">
        <v>0</v>
      </c>
      <c r="E13" s="70">
        <v>17.030999999999999</v>
      </c>
      <c r="F13" s="71">
        <f t="shared" si="0"/>
        <v>0</v>
      </c>
      <c r="G13" s="72">
        <f t="shared" si="1"/>
        <v>0</v>
      </c>
      <c r="H13" s="71">
        <v>0</v>
      </c>
      <c r="I13" s="71">
        <f t="shared" si="2"/>
        <v>0</v>
      </c>
      <c r="K13" s="74"/>
      <c r="L13" s="54" t="s">
        <v>968</v>
      </c>
      <c r="M13" s="1683"/>
      <c r="N13" s="1684"/>
      <c r="O13" s="55"/>
      <c r="P13" s="1689"/>
      <c r="Q13" s="1690"/>
      <c r="R13" s="55"/>
      <c r="S13" s="1683"/>
      <c r="T13" s="1684"/>
      <c r="U13" s="55"/>
      <c r="X13" s="56"/>
      <c r="Y13" s="56"/>
    </row>
    <row r="14" spans="1:25" ht="13.5" customHeight="1">
      <c r="B14" s="67" t="s">
        <v>977</v>
      </c>
      <c r="C14" s="73" t="s">
        <v>978</v>
      </c>
      <c r="D14" s="69">
        <f>N26</f>
        <v>99.63</v>
      </c>
      <c r="E14" s="70">
        <v>16.042999999999999</v>
      </c>
      <c r="F14" s="71">
        <f t="shared" si="0"/>
        <v>15.983640899999997</v>
      </c>
      <c r="G14" s="72">
        <f t="shared" si="1"/>
        <v>0.9908635357708967</v>
      </c>
      <c r="H14" s="71">
        <f>44/E14</f>
        <v>2.7426291840678179</v>
      </c>
      <c r="I14" s="71">
        <f t="shared" si="2"/>
        <v>2.7175712506338874</v>
      </c>
      <c r="K14" s="74"/>
      <c r="L14" s="54" t="s">
        <v>979</v>
      </c>
      <c r="M14" s="1683"/>
      <c r="N14" s="1684"/>
      <c r="O14" s="55"/>
      <c r="P14" s="1683"/>
      <c r="Q14" s="1684"/>
      <c r="R14" s="55"/>
      <c r="S14" s="1683"/>
      <c r="T14" s="1684"/>
      <c r="U14" s="55"/>
      <c r="X14" s="56"/>
      <c r="Y14" s="56"/>
    </row>
    <row r="15" spans="1:25" ht="13.5" customHeight="1">
      <c r="B15" s="67" t="s">
        <v>980</v>
      </c>
      <c r="C15" s="73" t="s">
        <v>981</v>
      </c>
      <c r="D15" s="69">
        <f>N27</f>
        <v>7.0000000000000007E-2</v>
      </c>
      <c r="E15" s="70">
        <v>30.07</v>
      </c>
      <c r="F15" s="71">
        <f t="shared" si="0"/>
        <v>2.1049000000000002E-2</v>
      </c>
      <c r="G15" s="72">
        <f t="shared" si="1"/>
        <v>1.3048770736861092E-3</v>
      </c>
      <c r="H15" s="71">
        <f>2*44/E15</f>
        <v>2.9265048220818093</v>
      </c>
      <c r="I15" s="71">
        <f>H15*G15</f>
        <v>3.8187290483663989E-3</v>
      </c>
      <c r="K15" s="74"/>
      <c r="L15" s="54" t="s">
        <v>982</v>
      </c>
      <c r="M15" s="1683"/>
      <c r="N15" s="1684"/>
      <c r="O15" s="55"/>
      <c r="P15" s="1683"/>
      <c r="Q15" s="1684"/>
      <c r="R15" s="55"/>
      <c r="S15" s="1683"/>
      <c r="T15" s="1684"/>
      <c r="U15" s="55"/>
      <c r="X15" s="56"/>
      <c r="Y15" s="56"/>
    </row>
    <row r="16" spans="1:25" ht="13.5" customHeight="1">
      <c r="B16" s="67" t="s">
        <v>983</v>
      </c>
      <c r="C16" s="73" t="s">
        <v>984</v>
      </c>
      <c r="D16" s="69">
        <f>N28</f>
        <v>0.02</v>
      </c>
      <c r="E16" s="70">
        <v>44.097000000000001</v>
      </c>
      <c r="F16" s="71">
        <f t="shared" si="0"/>
        <v>8.8193999999999998E-3</v>
      </c>
      <c r="G16" s="72">
        <f t="shared" si="1"/>
        <v>5.4673537287601643E-4</v>
      </c>
      <c r="H16" s="71">
        <f>3*44/E16</f>
        <v>2.9934009116266411</v>
      </c>
      <c r="I16" s="71">
        <f t="shared" si="2"/>
        <v>1.6365981635855992E-3</v>
      </c>
      <c r="K16" s="74"/>
      <c r="L16" s="77" t="s">
        <v>985</v>
      </c>
      <c r="M16" s="1683">
        <v>16.2</v>
      </c>
      <c r="N16" s="1684"/>
      <c r="O16" s="55"/>
      <c r="P16" s="1683">
        <v>16.12</v>
      </c>
      <c r="Q16" s="1684"/>
      <c r="R16" s="55"/>
      <c r="S16" s="1683">
        <v>17.98</v>
      </c>
      <c r="T16" s="1684"/>
      <c r="U16" s="55"/>
      <c r="X16" s="56"/>
      <c r="Y16" s="56"/>
    </row>
    <row r="17" spans="1:25" ht="13.5" customHeight="1">
      <c r="B17" s="67" t="s">
        <v>986</v>
      </c>
      <c r="C17" s="73" t="s">
        <v>987</v>
      </c>
      <c r="D17" s="69">
        <f>N30</f>
        <v>0</v>
      </c>
      <c r="E17" s="70">
        <v>58.124000000000002</v>
      </c>
      <c r="F17" s="71">
        <f t="shared" si="0"/>
        <v>0</v>
      </c>
      <c r="G17" s="72">
        <f t="shared" si="1"/>
        <v>0</v>
      </c>
      <c r="H17" s="71">
        <f>4*44/E17</f>
        <v>3.0280090840272518</v>
      </c>
      <c r="I17" s="71">
        <f t="shared" si="2"/>
        <v>0</v>
      </c>
      <c r="K17" s="74"/>
      <c r="L17" s="78" t="s">
        <v>988</v>
      </c>
      <c r="M17" s="1687">
        <v>2.87</v>
      </c>
      <c r="N17" s="1688"/>
      <c r="O17" s="55"/>
      <c r="P17" s="1687">
        <v>2.89</v>
      </c>
      <c r="Q17" s="1688"/>
      <c r="R17" s="55"/>
      <c r="S17" s="1687">
        <v>2.23</v>
      </c>
      <c r="T17" s="1688"/>
      <c r="U17" s="55"/>
      <c r="X17" s="56"/>
      <c r="Y17" s="56"/>
    </row>
    <row r="18" spans="1:25" ht="13.5" customHeight="1">
      <c r="B18" s="67" t="s">
        <v>989</v>
      </c>
      <c r="C18" s="73" t="s">
        <v>990</v>
      </c>
      <c r="D18" s="69">
        <f>N29</f>
        <v>0.01</v>
      </c>
      <c r="E18" s="70">
        <v>58.124000000000002</v>
      </c>
      <c r="F18" s="71">
        <f t="shared" si="0"/>
        <v>5.8124000000000006E-3</v>
      </c>
      <c r="G18" s="72">
        <f t="shared" si="1"/>
        <v>3.6032436234942946E-4</v>
      </c>
      <c r="H18" s="71">
        <f>4*44/E18</f>
        <v>3.0280090840272518</v>
      </c>
      <c r="I18" s="71">
        <f t="shared" si="2"/>
        <v>1.0910654423903995E-3</v>
      </c>
      <c r="K18" s="74"/>
      <c r="L18" s="54" t="s">
        <v>991</v>
      </c>
      <c r="M18" s="1683">
        <v>63.59</v>
      </c>
      <c r="N18" s="1684"/>
      <c r="O18" s="55"/>
      <c r="P18" s="1683">
        <v>65.98</v>
      </c>
      <c r="Q18" s="1684"/>
      <c r="R18" s="55"/>
      <c r="S18" s="1683">
        <v>0.99</v>
      </c>
      <c r="T18" s="1684"/>
      <c r="U18" s="55"/>
      <c r="X18" s="56"/>
      <c r="Y18" s="56"/>
    </row>
    <row r="19" spans="1:25" ht="13.5" customHeight="1">
      <c r="B19" s="67" t="s">
        <v>992</v>
      </c>
      <c r="C19" s="73" t="s">
        <v>993</v>
      </c>
      <c r="D19" s="69">
        <f>N33</f>
        <v>0.01</v>
      </c>
      <c r="E19" s="70">
        <v>72.150999999999996</v>
      </c>
      <c r="F19" s="71">
        <f t="shared" si="0"/>
        <v>7.2150999999999995E-3</v>
      </c>
      <c r="G19" s="72">
        <f t="shared" si="1"/>
        <v>4.4728103826085065E-4</v>
      </c>
      <c r="H19" s="71">
        <f>5*44/E19</f>
        <v>3.0491607877922693</v>
      </c>
      <c r="I19" s="71">
        <f t="shared" si="2"/>
        <v>1.3638318029879995E-3</v>
      </c>
      <c r="K19" s="74"/>
      <c r="L19" s="77" t="s">
        <v>994</v>
      </c>
      <c r="M19" s="1683">
        <v>49.78</v>
      </c>
      <c r="N19" s="1684"/>
      <c r="O19" s="55"/>
      <c r="P19" s="1683">
        <v>49.78</v>
      </c>
      <c r="Q19" s="1684"/>
      <c r="R19" s="55"/>
      <c r="S19" s="1687">
        <v>0.70299999999999996</v>
      </c>
      <c r="T19" s="1688"/>
      <c r="U19" s="55"/>
      <c r="X19" s="56"/>
      <c r="Y19" s="56"/>
    </row>
    <row r="20" spans="1:25" ht="13.5" customHeight="1">
      <c r="B20" s="67" t="s">
        <v>995</v>
      </c>
      <c r="C20" s="73" t="s">
        <v>996</v>
      </c>
      <c r="D20" s="69">
        <f>N31</f>
        <v>0.01</v>
      </c>
      <c r="E20" s="70">
        <v>72.150999999999996</v>
      </c>
      <c r="F20" s="71">
        <f t="shared" si="0"/>
        <v>7.2150999999999995E-3</v>
      </c>
      <c r="G20" s="72">
        <f t="shared" si="1"/>
        <v>4.4728103826085065E-4</v>
      </c>
      <c r="H20" s="71">
        <f>5*44/E20</f>
        <v>3.0491607877922693</v>
      </c>
      <c r="I20" s="71">
        <f t="shared" si="2"/>
        <v>1.3638318029879995E-3</v>
      </c>
      <c r="L20" s="78" t="s">
        <v>997</v>
      </c>
      <c r="M20" s="1683">
        <v>0.04</v>
      </c>
      <c r="N20" s="1684"/>
      <c r="O20" s="55"/>
      <c r="P20" s="1683">
        <v>0.04</v>
      </c>
      <c r="Q20" s="1684"/>
      <c r="R20" s="55"/>
      <c r="S20" s="1687">
        <v>0.03</v>
      </c>
      <c r="T20" s="1688"/>
      <c r="U20" s="55"/>
      <c r="X20" s="56"/>
      <c r="Y20" s="56"/>
    </row>
    <row r="21" spans="1:25" ht="13.5" customHeight="1">
      <c r="B21" s="67" t="s">
        <v>998</v>
      </c>
      <c r="C21" s="73" t="s">
        <v>999</v>
      </c>
      <c r="D21" s="69">
        <v>0</v>
      </c>
      <c r="E21" s="70">
        <v>78</v>
      </c>
      <c r="F21" s="71">
        <f t="shared" si="0"/>
        <v>0</v>
      </c>
      <c r="G21" s="72">
        <f t="shared" si="1"/>
        <v>0</v>
      </c>
      <c r="H21" s="71">
        <f>5*44/E21</f>
        <v>2.8205128205128207</v>
      </c>
      <c r="I21" s="71">
        <f t="shared" si="2"/>
        <v>0</v>
      </c>
      <c r="L21" s="77" t="s">
        <v>1000</v>
      </c>
      <c r="M21" s="1683">
        <v>37.770000000000003</v>
      </c>
      <c r="N21" s="1684"/>
      <c r="O21" s="55"/>
      <c r="P21" s="1683">
        <v>37.770000000000003</v>
      </c>
      <c r="Q21" s="1684"/>
      <c r="R21" s="55"/>
      <c r="S21" s="1687">
        <v>2.641</v>
      </c>
      <c r="T21" s="1688"/>
      <c r="U21" s="55"/>
      <c r="X21" s="56"/>
      <c r="Y21" s="56"/>
    </row>
    <row r="22" spans="1:25" ht="13.5" customHeight="1">
      <c r="B22" s="67" t="s">
        <v>1001</v>
      </c>
      <c r="C22" s="73" t="s">
        <v>1002</v>
      </c>
      <c r="D22" s="69">
        <v>0</v>
      </c>
      <c r="E22" s="70">
        <v>86.177999999999997</v>
      </c>
      <c r="F22" s="71">
        <f t="shared" si="0"/>
        <v>0</v>
      </c>
      <c r="G22" s="72">
        <f t="shared" si="1"/>
        <v>0</v>
      </c>
      <c r="H22" s="71">
        <f>6*44/E22</f>
        <v>3.0634268606837014</v>
      </c>
      <c r="I22" s="71">
        <f t="shared" si="2"/>
        <v>0</v>
      </c>
      <c r="L22" s="78" t="s">
        <v>1003</v>
      </c>
      <c r="M22" s="1687">
        <v>0.01</v>
      </c>
      <c r="N22" s="1688"/>
      <c r="O22" s="55"/>
      <c r="P22" s="1687">
        <v>0.01</v>
      </c>
      <c r="Q22" s="1688"/>
      <c r="R22" s="55"/>
      <c r="S22" s="1687">
        <v>0.01</v>
      </c>
      <c r="T22" s="1688"/>
      <c r="U22" s="55"/>
      <c r="X22" s="56"/>
      <c r="Y22" s="56"/>
    </row>
    <row r="23" spans="1:25" ht="13.5" customHeight="1">
      <c r="B23" s="67" t="s">
        <v>1004</v>
      </c>
      <c r="C23" s="73" t="s">
        <v>1005</v>
      </c>
      <c r="D23" s="69">
        <f>N34</f>
        <v>0</v>
      </c>
      <c r="E23" s="70">
        <v>86.177999999999997</v>
      </c>
      <c r="F23" s="71">
        <f t="shared" si="0"/>
        <v>0</v>
      </c>
      <c r="G23" s="72">
        <f t="shared" si="1"/>
        <v>0</v>
      </c>
      <c r="H23" s="71">
        <f>6*44/E23</f>
        <v>3.0634268606837014</v>
      </c>
      <c r="I23" s="71">
        <f t="shared" si="2"/>
        <v>0</v>
      </c>
      <c r="L23" s="79" t="s">
        <v>1006</v>
      </c>
      <c r="M23" s="80" t="s">
        <v>1007</v>
      </c>
      <c r="N23" s="80" t="s">
        <v>1008</v>
      </c>
      <c r="O23" s="81"/>
      <c r="P23" s="80" t="s">
        <v>1007</v>
      </c>
      <c r="Q23" s="80" t="s">
        <v>1008</v>
      </c>
      <c r="R23" s="81"/>
      <c r="S23" s="80" t="s">
        <v>1007</v>
      </c>
      <c r="T23" s="80" t="s">
        <v>1008</v>
      </c>
      <c r="U23" s="81"/>
      <c r="V23" s="56"/>
      <c r="W23" s="56"/>
      <c r="X23" s="56"/>
      <c r="Y23" s="56"/>
    </row>
    <row r="24" spans="1:25" ht="13.5" customHeight="1">
      <c r="B24" s="67" t="s">
        <v>1009</v>
      </c>
      <c r="C24" s="73" t="s">
        <v>1005</v>
      </c>
      <c r="D24" s="69">
        <f>N32</f>
        <v>0</v>
      </c>
      <c r="E24" s="70">
        <v>86.177999999999997</v>
      </c>
      <c r="F24" s="71">
        <f t="shared" si="0"/>
        <v>0</v>
      </c>
      <c r="G24" s="72">
        <f t="shared" si="1"/>
        <v>0</v>
      </c>
      <c r="H24" s="71">
        <f>6*44/E24</f>
        <v>3.0634268606837014</v>
      </c>
      <c r="I24" s="71">
        <f t="shared" si="2"/>
        <v>0</v>
      </c>
      <c r="L24" s="82" t="s">
        <v>639</v>
      </c>
      <c r="M24" s="83">
        <f>N24/100</f>
        <v>1.5E-3</v>
      </c>
      <c r="N24" s="84">
        <v>0.15</v>
      </c>
      <c r="P24" s="83">
        <f>Q24/100</f>
        <v>1.5E-3</v>
      </c>
      <c r="Q24" s="84">
        <v>0.15</v>
      </c>
      <c r="S24" s="83">
        <v>0</v>
      </c>
      <c r="T24" s="84">
        <f>S24*100</f>
        <v>0</v>
      </c>
      <c r="V24" s="56"/>
      <c r="W24" s="56"/>
      <c r="X24" s="56"/>
      <c r="Y24" s="56"/>
    </row>
    <row r="25" spans="1:25" ht="13.5" customHeight="1">
      <c r="B25" s="67" t="s">
        <v>1010</v>
      </c>
      <c r="C25" s="73" t="s">
        <v>1011</v>
      </c>
      <c r="D25" s="69">
        <f>N39</f>
        <v>0.02</v>
      </c>
      <c r="E25" s="70">
        <v>100.21</v>
      </c>
      <c r="F25" s="71">
        <f t="shared" si="0"/>
        <v>2.0042000000000001E-2</v>
      </c>
      <c r="G25" s="72">
        <f t="shared" si="1"/>
        <v>1.2424507725220676E-3</v>
      </c>
      <c r="H25" s="71">
        <f>7*44/E25</f>
        <v>3.0735455543358947</v>
      </c>
      <c r="I25" s="71">
        <f t="shared" si="2"/>
        <v>3.8187290483663989E-3</v>
      </c>
      <c r="L25" s="82" t="s">
        <v>126</v>
      </c>
      <c r="M25" s="83">
        <f t="shared" ref="M25:M47" si="3">N25/100</f>
        <v>8.0000000000000004E-4</v>
      </c>
      <c r="N25" s="84">
        <v>0.08</v>
      </c>
      <c r="P25" s="83">
        <f t="shared" ref="P25:P47" si="4">Q25/100</f>
        <v>8.0000000000000004E-4</v>
      </c>
      <c r="Q25" s="84">
        <v>0.08</v>
      </c>
      <c r="S25" s="83">
        <v>0</v>
      </c>
      <c r="T25" s="84">
        <f t="shared" ref="T25:T48" si="5">S25*100</f>
        <v>0</v>
      </c>
      <c r="V25" s="56"/>
      <c r="W25" s="56"/>
      <c r="X25" s="56"/>
      <c r="Y25" s="56"/>
    </row>
    <row r="26" spans="1:25" ht="13.5" customHeight="1">
      <c r="B26" s="67" t="s">
        <v>1012</v>
      </c>
      <c r="C26" s="73" t="s">
        <v>1013</v>
      </c>
      <c r="D26" s="69">
        <f>N40</f>
        <v>0</v>
      </c>
      <c r="E26" s="70">
        <v>128</v>
      </c>
      <c r="F26" s="71">
        <f t="shared" si="0"/>
        <v>0</v>
      </c>
      <c r="G26" s="72">
        <f t="shared" si="1"/>
        <v>0</v>
      </c>
      <c r="H26" s="71">
        <f>9*44/E26</f>
        <v>3.09375</v>
      </c>
      <c r="I26" s="71">
        <f t="shared" si="2"/>
        <v>0</v>
      </c>
      <c r="L26" s="82" t="s">
        <v>642</v>
      </c>
      <c r="M26" s="83">
        <f t="shared" si="3"/>
        <v>0.99629999999999996</v>
      </c>
      <c r="N26" s="84">
        <v>99.63</v>
      </c>
      <c r="P26" s="83">
        <f t="shared" si="4"/>
        <v>0.99629999999999996</v>
      </c>
      <c r="Q26" s="84">
        <v>99.63</v>
      </c>
      <c r="S26" s="83">
        <v>0.98140000000000005</v>
      </c>
      <c r="T26" s="84">
        <f t="shared" si="5"/>
        <v>98.14</v>
      </c>
      <c r="V26" s="56"/>
      <c r="W26" s="56"/>
      <c r="X26" s="56"/>
      <c r="Y26" s="56"/>
    </row>
    <row r="27" spans="1:25" ht="13.5" customHeight="1">
      <c r="B27" s="85" t="s">
        <v>1014</v>
      </c>
      <c r="C27" s="86" t="s">
        <v>1015</v>
      </c>
      <c r="D27" s="69">
        <f>N41</f>
        <v>0</v>
      </c>
      <c r="E27" s="87">
        <v>198</v>
      </c>
      <c r="F27" s="88">
        <f t="shared" si="0"/>
        <v>0</v>
      </c>
      <c r="G27" s="89">
        <f t="shared" si="1"/>
        <v>0</v>
      </c>
      <c r="H27" s="88">
        <f>14*44/E27</f>
        <v>3.1111111111111112</v>
      </c>
      <c r="I27" s="88">
        <f t="shared" si="2"/>
        <v>0</v>
      </c>
      <c r="L27" s="82" t="s">
        <v>644</v>
      </c>
      <c r="M27" s="83">
        <f t="shared" si="3"/>
        <v>7.000000000000001E-4</v>
      </c>
      <c r="N27" s="84">
        <v>7.0000000000000007E-2</v>
      </c>
      <c r="P27" s="83">
        <f t="shared" si="4"/>
        <v>7.000000000000001E-4</v>
      </c>
      <c r="Q27" s="84">
        <v>7.0000000000000007E-2</v>
      </c>
      <c r="S27" s="83">
        <v>0</v>
      </c>
      <c r="T27" s="84">
        <f t="shared" si="5"/>
        <v>0</v>
      </c>
      <c r="V27" s="56"/>
      <c r="W27" s="56"/>
      <c r="X27" s="56"/>
      <c r="Y27" s="56"/>
    </row>
    <row r="28" spans="1:25" ht="13.5" customHeight="1">
      <c r="B28" s="90" t="s">
        <v>432</v>
      </c>
      <c r="C28" s="91"/>
      <c r="D28" s="92">
        <f>SUM(D5:D27)</f>
        <v>100</v>
      </c>
      <c r="E28" s="93"/>
      <c r="F28" s="94">
        <f>SUM(F5:F27)</f>
        <v>16.131021399999998</v>
      </c>
      <c r="G28" s="93" t="s">
        <v>1016</v>
      </c>
      <c r="H28" s="95"/>
      <c r="I28" s="96">
        <f>SUM(I5:I27)</f>
        <v>2.7328461668273527</v>
      </c>
      <c r="J28" s="97" t="s">
        <v>1017</v>
      </c>
      <c r="L28" s="82" t="s">
        <v>645</v>
      </c>
      <c r="M28" s="83">
        <f t="shared" si="3"/>
        <v>2.0000000000000001E-4</v>
      </c>
      <c r="N28" s="84">
        <v>0.02</v>
      </c>
      <c r="P28" s="83">
        <f t="shared" si="4"/>
        <v>2.0000000000000001E-4</v>
      </c>
      <c r="Q28" s="84">
        <v>0.02</v>
      </c>
      <c r="S28" s="83">
        <v>0</v>
      </c>
      <c r="T28" s="84">
        <f t="shared" si="5"/>
        <v>0</v>
      </c>
      <c r="V28" s="56"/>
      <c r="W28" s="56"/>
      <c r="X28" s="56"/>
      <c r="Y28" s="56"/>
    </row>
    <row r="29" spans="1:25" ht="13.5" customHeight="1">
      <c r="B29" s="98" t="s">
        <v>1018</v>
      </c>
      <c r="C29" s="99"/>
      <c r="D29" s="100">
        <f>SUMPRODUCT($D$5:$D$27,E5:E27)/100</f>
        <v>16.131021399999998</v>
      </c>
      <c r="H29" s="101"/>
      <c r="I29" s="101"/>
      <c r="L29" s="82" t="s">
        <v>646</v>
      </c>
      <c r="M29" s="83">
        <f t="shared" si="3"/>
        <v>1E-4</v>
      </c>
      <c r="N29" s="84">
        <v>0.01</v>
      </c>
      <c r="P29" s="83">
        <f t="shared" si="4"/>
        <v>1E-4</v>
      </c>
      <c r="Q29" s="84">
        <v>0.01</v>
      </c>
      <c r="S29" s="83">
        <v>0</v>
      </c>
      <c r="T29" s="84">
        <f t="shared" si="5"/>
        <v>0</v>
      </c>
      <c r="V29" s="56"/>
      <c r="W29" s="56"/>
      <c r="X29" s="56"/>
      <c r="Y29" s="56"/>
    </row>
    <row r="30" spans="1:25" ht="13.5" customHeight="1">
      <c r="B30" s="102" t="s">
        <v>1019</v>
      </c>
      <c r="C30" s="103"/>
      <c r="D30" s="104">
        <f>D29/22.414/1000</f>
        <v>7.1968508075310057E-4</v>
      </c>
      <c r="H30" s="101"/>
      <c r="I30" s="101"/>
      <c r="L30" s="82" t="s">
        <v>647</v>
      </c>
      <c r="M30" s="83">
        <f t="shared" si="3"/>
        <v>0</v>
      </c>
      <c r="N30" s="84">
        <v>0</v>
      </c>
      <c r="P30" s="83">
        <f t="shared" si="4"/>
        <v>0</v>
      </c>
      <c r="Q30" s="84">
        <v>0</v>
      </c>
      <c r="S30" s="83">
        <v>0</v>
      </c>
      <c r="T30" s="84">
        <f t="shared" si="5"/>
        <v>0</v>
      </c>
      <c r="V30" s="56"/>
      <c r="W30" s="56"/>
      <c r="X30" s="105"/>
      <c r="Y30" s="105"/>
    </row>
    <row r="31" spans="1:25" ht="13.5" customHeight="1">
      <c r="C31" s="106"/>
      <c r="D31" s="107"/>
      <c r="H31" s="101"/>
      <c r="I31" s="101"/>
      <c r="L31" s="82" t="s">
        <v>648</v>
      </c>
      <c r="M31" s="83">
        <f t="shared" si="3"/>
        <v>1E-4</v>
      </c>
      <c r="N31" s="84">
        <v>0.01</v>
      </c>
      <c r="P31" s="83">
        <f t="shared" si="4"/>
        <v>1E-4</v>
      </c>
      <c r="Q31" s="84">
        <v>0.01</v>
      </c>
      <c r="S31" s="83">
        <v>0</v>
      </c>
      <c r="T31" s="84">
        <f t="shared" si="5"/>
        <v>0</v>
      </c>
      <c r="V31" s="56"/>
      <c r="W31" s="56"/>
      <c r="X31" s="105"/>
      <c r="Y31" s="105"/>
    </row>
    <row r="32" spans="1:25" ht="13.5" customHeight="1">
      <c r="A32" s="44" t="s">
        <v>1020</v>
      </c>
      <c r="L32" s="82" t="s">
        <v>1009</v>
      </c>
      <c r="M32" s="83">
        <f t="shared" si="3"/>
        <v>0</v>
      </c>
      <c r="N32" s="84">
        <v>0</v>
      </c>
      <c r="P32" s="83">
        <f t="shared" si="4"/>
        <v>0</v>
      </c>
      <c r="Q32" s="84">
        <v>0</v>
      </c>
      <c r="S32" s="83">
        <v>0</v>
      </c>
      <c r="T32" s="84">
        <f t="shared" si="5"/>
        <v>0</v>
      </c>
      <c r="V32" s="56"/>
      <c r="W32" s="56"/>
      <c r="X32" s="105"/>
      <c r="Y32" s="105"/>
    </row>
    <row r="33" spans="2:25" ht="13.5" customHeight="1">
      <c r="B33" s="57" t="s">
        <v>1021</v>
      </c>
      <c r="C33" s="58"/>
      <c r="D33" s="57" t="s">
        <v>954</v>
      </c>
      <c r="E33" s="57" t="s">
        <v>413</v>
      </c>
      <c r="F33" s="57" t="s">
        <v>414</v>
      </c>
      <c r="G33" s="57" t="s">
        <v>415</v>
      </c>
      <c r="H33" s="59" t="s">
        <v>416</v>
      </c>
      <c r="I33" s="59" t="s">
        <v>417</v>
      </c>
      <c r="L33" s="82" t="s">
        <v>650</v>
      </c>
      <c r="M33" s="83">
        <f t="shared" si="3"/>
        <v>1E-4</v>
      </c>
      <c r="N33" s="84">
        <v>0.01</v>
      </c>
      <c r="P33" s="83">
        <f t="shared" si="4"/>
        <v>1E-4</v>
      </c>
      <c r="Q33" s="84">
        <v>0.01</v>
      </c>
      <c r="S33" s="83">
        <v>0</v>
      </c>
      <c r="T33" s="84">
        <f t="shared" si="5"/>
        <v>0</v>
      </c>
      <c r="V33" s="56"/>
      <c r="W33" s="56"/>
      <c r="X33" s="105"/>
      <c r="Y33" s="105"/>
    </row>
    <row r="34" spans="2:25" ht="13.5" customHeight="1">
      <c r="B34" s="61" t="s">
        <v>959</v>
      </c>
      <c r="C34" s="62" t="s">
        <v>638</v>
      </c>
      <c r="D34" s="69">
        <v>0</v>
      </c>
      <c r="E34" s="64">
        <v>2.016</v>
      </c>
      <c r="F34" s="65">
        <f t="shared" ref="F34:F56" si="6">E34*D34/100</f>
        <v>0</v>
      </c>
      <c r="G34" s="66">
        <f>IF($F$57&lt;1,0,F34/$F$57)</f>
        <v>0</v>
      </c>
      <c r="H34" s="65">
        <v>0</v>
      </c>
      <c r="I34" s="65">
        <f>H34*G34</f>
        <v>0</v>
      </c>
      <c r="L34" s="82" t="s">
        <v>651</v>
      </c>
      <c r="M34" s="83">
        <f t="shared" si="3"/>
        <v>0</v>
      </c>
      <c r="N34" s="84">
        <v>0</v>
      </c>
      <c r="P34" s="83">
        <f t="shared" si="4"/>
        <v>0</v>
      </c>
      <c r="Q34" s="84">
        <v>0</v>
      </c>
      <c r="S34" s="83">
        <v>0</v>
      </c>
      <c r="T34" s="84">
        <f t="shared" si="5"/>
        <v>0</v>
      </c>
      <c r="V34" s="56"/>
      <c r="W34" s="56"/>
      <c r="X34" s="105"/>
      <c r="Y34" s="105"/>
    </row>
    <row r="35" spans="2:25" ht="13.5" customHeight="1">
      <c r="B35" s="67" t="s">
        <v>961</v>
      </c>
      <c r="C35" s="68" t="s">
        <v>429</v>
      </c>
      <c r="D35" s="69">
        <f>Q24</f>
        <v>0.15</v>
      </c>
      <c r="E35" s="70">
        <v>28.013000000000002</v>
      </c>
      <c r="F35" s="71">
        <f t="shared" si="6"/>
        <v>4.2019500000000001E-2</v>
      </c>
      <c r="G35" s="72">
        <f t="shared" ref="G35:G56" si="7">IF($F$57&lt;1,0,F35/$F$57)</f>
        <v>2.6053410126291106E-3</v>
      </c>
      <c r="H35" s="71">
        <v>0</v>
      </c>
      <c r="I35" s="71">
        <f t="shared" ref="I35:I56" si="8">H35*G35</f>
        <v>0</v>
      </c>
      <c r="L35" s="82" t="s">
        <v>652</v>
      </c>
      <c r="M35" s="83">
        <f t="shared" si="3"/>
        <v>0</v>
      </c>
      <c r="N35" s="84">
        <v>0</v>
      </c>
      <c r="P35" s="83">
        <f t="shared" si="4"/>
        <v>0</v>
      </c>
      <c r="Q35" s="84">
        <v>0</v>
      </c>
      <c r="S35" s="83">
        <v>0</v>
      </c>
      <c r="T35" s="84">
        <f t="shared" si="5"/>
        <v>0</v>
      </c>
      <c r="V35" s="56"/>
      <c r="W35" s="56"/>
      <c r="X35" s="105"/>
      <c r="Y35" s="105"/>
    </row>
    <row r="36" spans="2:25" ht="13.5" customHeight="1">
      <c r="B36" s="67" t="s">
        <v>963</v>
      </c>
      <c r="C36" s="73" t="s">
        <v>428</v>
      </c>
      <c r="D36" s="69">
        <v>0</v>
      </c>
      <c r="E36" s="70">
        <v>31.998999999999999</v>
      </c>
      <c r="F36" s="71">
        <f t="shared" si="6"/>
        <v>0</v>
      </c>
      <c r="G36" s="72">
        <f t="shared" si="7"/>
        <v>0</v>
      </c>
      <c r="H36" s="71">
        <v>0</v>
      </c>
      <c r="I36" s="71">
        <f t="shared" si="8"/>
        <v>0</v>
      </c>
      <c r="L36" s="82" t="s">
        <v>653</v>
      </c>
      <c r="M36" s="83">
        <f t="shared" si="3"/>
        <v>0</v>
      </c>
      <c r="N36" s="84">
        <v>0</v>
      </c>
      <c r="P36" s="83">
        <f t="shared" si="4"/>
        <v>0</v>
      </c>
      <c r="Q36" s="84">
        <v>0</v>
      </c>
      <c r="S36" s="83">
        <v>0</v>
      </c>
      <c r="T36" s="84">
        <f t="shared" si="5"/>
        <v>0</v>
      </c>
      <c r="V36" s="56"/>
      <c r="W36" s="56"/>
      <c r="X36" s="105"/>
      <c r="Y36" s="105"/>
    </row>
    <row r="37" spans="2:25" ht="13.5" customHeight="1">
      <c r="B37" s="67" t="s">
        <v>965</v>
      </c>
      <c r="C37" s="73" t="s">
        <v>431</v>
      </c>
      <c r="D37" s="69">
        <f>Q47</f>
        <v>0</v>
      </c>
      <c r="E37" s="70">
        <v>18.015000000000001</v>
      </c>
      <c r="F37" s="71">
        <f t="shared" si="6"/>
        <v>0</v>
      </c>
      <c r="G37" s="72">
        <f t="shared" si="7"/>
        <v>0</v>
      </c>
      <c r="H37" s="71">
        <v>0</v>
      </c>
      <c r="I37" s="71">
        <f t="shared" si="8"/>
        <v>0</v>
      </c>
      <c r="L37" s="82" t="s">
        <v>1022</v>
      </c>
      <c r="M37" s="83">
        <f t="shared" si="3"/>
        <v>0</v>
      </c>
      <c r="N37" s="84">
        <v>0</v>
      </c>
      <c r="P37" s="83">
        <f t="shared" si="4"/>
        <v>0</v>
      </c>
      <c r="Q37" s="84">
        <v>0</v>
      </c>
      <c r="S37" s="83">
        <v>0</v>
      </c>
      <c r="T37" s="84">
        <f t="shared" si="5"/>
        <v>0</v>
      </c>
      <c r="V37" s="56"/>
      <c r="W37" s="56"/>
      <c r="X37" s="105"/>
      <c r="Y37" s="105"/>
    </row>
    <row r="38" spans="2:25" ht="13.5" customHeight="1">
      <c r="B38" s="67" t="s">
        <v>967</v>
      </c>
      <c r="C38" s="73" t="s">
        <v>115</v>
      </c>
      <c r="D38" s="69">
        <v>0</v>
      </c>
      <c r="E38" s="70">
        <v>28.01</v>
      </c>
      <c r="F38" s="71">
        <f t="shared" si="6"/>
        <v>0</v>
      </c>
      <c r="G38" s="72">
        <f t="shared" si="7"/>
        <v>0</v>
      </c>
      <c r="H38" s="71">
        <f>44/E38</f>
        <v>1.5708675473045339</v>
      </c>
      <c r="I38" s="71">
        <f t="shared" si="8"/>
        <v>0</v>
      </c>
      <c r="L38" s="82" t="s">
        <v>655</v>
      </c>
      <c r="M38" s="83">
        <f t="shared" si="3"/>
        <v>0</v>
      </c>
      <c r="N38" s="84">
        <v>0</v>
      </c>
      <c r="P38" s="83">
        <f t="shared" si="4"/>
        <v>0</v>
      </c>
      <c r="Q38" s="84">
        <v>0</v>
      </c>
      <c r="S38" s="83">
        <v>0</v>
      </c>
      <c r="T38" s="84">
        <f t="shared" si="5"/>
        <v>0</v>
      </c>
      <c r="V38" s="56"/>
      <c r="W38" s="56"/>
      <c r="X38" s="105"/>
      <c r="Y38" s="105"/>
    </row>
    <row r="39" spans="2:25" ht="13.5" customHeight="1">
      <c r="B39" s="67" t="s">
        <v>969</v>
      </c>
      <c r="C39" s="73" t="s">
        <v>126</v>
      </c>
      <c r="D39" s="69">
        <f>Q25</f>
        <v>0.08</v>
      </c>
      <c r="E39" s="70">
        <v>44.01</v>
      </c>
      <c r="F39" s="71">
        <f t="shared" si="6"/>
        <v>3.5207999999999996E-2</v>
      </c>
      <c r="G39" s="72">
        <f t="shared" si="7"/>
        <v>2.1830066129450779E-3</v>
      </c>
      <c r="H39" s="71">
        <f>44/E39</f>
        <v>0.99977277891388328</v>
      </c>
      <c r="I39" s="71">
        <f t="shared" si="8"/>
        <v>2.1825105878114843E-3</v>
      </c>
      <c r="J39" s="76"/>
      <c r="L39" s="82" t="s">
        <v>1023</v>
      </c>
      <c r="M39" s="83">
        <f t="shared" si="3"/>
        <v>2.0000000000000001E-4</v>
      </c>
      <c r="N39" s="84">
        <v>0.02</v>
      </c>
      <c r="P39" s="83">
        <f t="shared" si="4"/>
        <v>2.0000000000000001E-4</v>
      </c>
      <c r="Q39" s="84">
        <v>0.02</v>
      </c>
      <c r="S39" s="83">
        <v>0</v>
      </c>
      <c r="T39" s="84">
        <f t="shared" si="5"/>
        <v>0</v>
      </c>
      <c r="V39" s="56"/>
      <c r="W39" s="56"/>
      <c r="X39" s="105"/>
      <c r="Y39" s="105"/>
    </row>
    <row r="40" spans="2:25" ht="13.5" customHeight="1">
      <c r="B40" s="67" t="s">
        <v>971</v>
      </c>
      <c r="C40" s="73" t="s">
        <v>427</v>
      </c>
      <c r="D40" s="69">
        <v>0</v>
      </c>
      <c r="E40" s="70">
        <v>34.076000000000001</v>
      </c>
      <c r="F40" s="71">
        <f t="shared" si="6"/>
        <v>0</v>
      </c>
      <c r="G40" s="72">
        <f t="shared" si="7"/>
        <v>0</v>
      </c>
      <c r="H40" s="71">
        <v>0</v>
      </c>
      <c r="I40" s="71">
        <f t="shared" si="8"/>
        <v>0</v>
      </c>
      <c r="L40" s="82" t="s">
        <v>1024</v>
      </c>
      <c r="M40" s="83">
        <f t="shared" si="3"/>
        <v>0</v>
      </c>
      <c r="N40" s="84">
        <v>0</v>
      </c>
      <c r="P40" s="83">
        <f t="shared" si="4"/>
        <v>0</v>
      </c>
      <c r="Q40" s="84">
        <v>0</v>
      </c>
      <c r="S40" s="83">
        <v>0</v>
      </c>
      <c r="T40" s="84">
        <f t="shared" si="5"/>
        <v>0</v>
      </c>
      <c r="V40" s="56"/>
      <c r="W40" s="56"/>
      <c r="X40" s="105"/>
      <c r="Y40" s="105"/>
    </row>
    <row r="41" spans="2:25" ht="13.5" customHeight="1">
      <c r="B41" s="67" t="s">
        <v>973</v>
      </c>
      <c r="C41" s="73" t="s">
        <v>124</v>
      </c>
      <c r="D41" s="69">
        <v>0</v>
      </c>
      <c r="E41" s="70">
        <v>64.063000000000002</v>
      </c>
      <c r="F41" s="71">
        <f t="shared" si="6"/>
        <v>0</v>
      </c>
      <c r="G41" s="72">
        <f t="shared" si="7"/>
        <v>0</v>
      </c>
      <c r="H41" s="71">
        <v>0</v>
      </c>
      <c r="I41" s="71">
        <f t="shared" si="8"/>
        <v>0</v>
      </c>
      <c r="L41" s="82" t="s">
        <v>1025</v>
      </c>
      <c r="M41" s="83">
        <f t="shared" si="3"/>
        <v>0</v>
      </c>
      <c r="N41" s="84">
        <v>0</v>
      </c>
      <c r="P41" s="83">
        <f t="shared" si="4"/>
        <v>0</v>
      </c>
      <c r="Q41" s="84">
        <v>0</v>
      </c>
      <c r="S41" s="83">
        <v>0</v>
      </c>
      <c r="T41" s="84">
        <f t="shared" si="5"/>
        <v>0</v>
      </c>
      <c r="V41" s="56"/>
      <c r="W41" s="56"/>
      <c r="X41" s="105"/>
      <c r="Y41" s="105"/>
    </row>
    <row r="42" spans="2:25" ht="13.5" customHeight="1">
      <c r="B42" s="67" t="s">
        <v>976</v>
      </c>
      <c r="C42" s="73" t="s">
        <v>930</v>
      </c>
      <c r="D42" s="69">
        <v>0</v>
      </c>
      <c r="E42" s="70">
        <v>17.030999999999999</v>
      </c>
      <c r="F42" s="71">
        <f t="shared" si="6"/>
        <v>0</v>
      </c>
      <c r="G42" s="72">
        <f t="shared" si="7"/>
        <v>0</v>
      </c>
      <c r="H42" s="71">
        <v>0</v>
      </c>
      <c r="I42" s="71">
        <f t="shared" si="8"/>
        <v>0</v>
      </c>
      <c r="L42" s="82" t="s">
        <v>1026</v>
      </c>
      <c r="M42" s="83">
        <f t="shared" si="3"/>
        <v>0</v>
      </c>
      <c r="N42" s="84">
        <v>0</v>
      </c>
      <c r="P42" s="83">
        <f t="shared" si="4"/>
        <v>0</v>
      </c>
      <c r="Q42" s="84">
        <v>0</v>
      </c>
      <c r="S42" s="83">
        <v>0</v>
      </c>
      <c r="T42" s="84">
        <f t="shared" si="5"/>
        <v>0</v>
      </c>
      <c r="V42" s="56"/>
      <c r="W42" s="56"/>
    </row>
    <row r="43" spans="2:25" ht="13.5" customHeight="1">
      <c r="B43" s="67" t="s">
        <v>977</v>
      </c>
      <c r="C43" s="73" t="s">
        <v>978</v>
      </c>
      <c r="D43" s="69">
        <f>Q26</f>
        <v>99.63</v>
      </c>
      <c r="E43" s="70">
        <v>16.042999999999999</v>
      </c>
      <c r="F43" s="71">
        <f t="shared" si="6"/>
        <v>15.983640899999997</v>
      </c>
      <c r="G43" s="72">
        <f t="shared" si="7"/>
        <v>0.99103595159166713</v>
      </c>
      <c r="H43" s="71">
        <f>44/E43</f>
        <v>2.7426291840678179</v>
      </c>
      <c r="I43" s="71">
        <f t="shared" si="8"/>
        <v>2.7180441232957273</v>
      </c>
      <c r="L43" s="82" t="s">
        <v>1027</v>
      </c>
      <c r="M43" s="83">
        <f t="shared" si="3"/>
        <v>0</v>
      </c>
      <c r="N43" s="84">
        <v>0</v>
      </c>
      <c r="P43" s="83">
        <f t="shared" si="4"/>
        <v>0</v>
      </c>
      <c r="Q43" s="84">
        <v>0</v>
      </c>
      <c r="S43" s="83">
        <v>0</v>
      </c>
      <c r="T43" s="84">
        <f t="shared" si="5"/>
        <v>0</v>
      </c>
      <c r="V43" s="56"/>
      <c r="W43" s="56"/>
    </row>
    <row r="44" spans="2:25" ht="13.5" customHeight="1">
      <c r="B44" s="67" t="s">
        <v>980</v>
      </c>
      <c r="C44" s="73" t="s">
        <v>981</v>
      </c>
      <c r="D44" s="69">
        <f>Q27</f>
        <v>7.0000000000000007E-2</v>
      </c>
      <c r="E44" s="70">
        <v>30.07</v>
      </c>
      <c r="F44" s="71">
        <f t="shared" si="6"/>
        <v>2.1049000000000002E-2</v>
      </c>
      <c r="G44" s="72">
        <f t="shared" si="7"/>
        <v>1.3051041296262484E-3</v>
      </c>
      <c r="H44" s="71">
        <f>2*44/E44</f>
        <v>2.9265048220818093</v>
      </c>
      <c r="I44" s="71">
        <f t="shared" si="8"/>
        <v>3.8193935286700985E-3</v>
      </c>
      <c r="L44" s="82" t="s">
        <v>1028</v>
      </c>
      <c r="M44" s="83">
        <f t="shared" si="3"/>
        <v>0</v>
      </c>
      <c r="N44" s="84">
        <v>0</v>
      </c>
      <c r="P44" s="83">
        <f t="shared" si="4"/>
        <v>0</v>
      </c>
      <c r="Q44" s="84">
        <v>0</v>
      </c>
      <c r="S44" s="83">
        <v>0</v>
      </c>
      <c r="T44" s="84">
        <f t="shared" si="5"/>
        <v>0</v>
      </c>
      <c r="V44" s="56"/>
      <c r="W44" s="56"/>
    </row>
    <row r="45" spans="2:25" ht="13.5" customHeight="1">
      <c r="B45" s="67" t="s">
        <v>983</v>
      </c>
      <c r="C45" s="73" t="s">
        <v>984</v>
      </c>
      <c r="D45" s="69">
        <f>Q28</f>
        <v>0.02</v>
      </c>
      <c r="E45" s="70">
        <v>44.097000000000001</v>
      </c>
      <c r="F45" s="71">
        <f t="shared" si="6"/>
        <v>8.8193999999999998E-3</v>
      </c>
      <c r="G45" s="72">
        <f t="shared" si="7"/>
        <v>5.4683050790183549E-4</v>
      </c>
      <c r="H45" s="71">
        <f>3*44/E45</f>
        <v>2.9934009116266411</v>
      </c>
      <c r="I45" s="71">
        <f t="shared" si="8"/>
        <v>1.6368829408586136E-3</v>
      </c>
      <c r="L45" s="82" t="s">
        <v>1029</v>
      </c>
      <c r="M45" s="83">
        <f t="shared" si="3"/>
        <v>0</v>
      </c>
      <c r="N45" s="84">
        <v>0</v>
      </c>
      <c r="P45" s="83">
        <f t="shared" si="4"/>
        <v>0</v>
      </c>
      <c r="Q45" s="84">
        <v>0</v>
      </c>
      <c r="S45" s="83">
        <v>0</v>
      </c>
      <c r="T45" s="84">
        <f t="shared" si="5"/>
        <v>0</v>
      </c>
      <c r="V45" s="56"/>
      <c r="W45" s="56"/>
    </row>
    <row r="46" spans="2:25" ht="13.5" customHeight="1">
      <c r="B46" s="67" t="s">
        <v>986</v>
      </c>
      <c r="C46" s="73" t="s">
        <v>987</v>
      </c>
      <c r="D46" s="69">
        <f>Q30</f>
        <v>0</v>
      </c>
      <c r="E46" s="70">
        <v>58.124000000000002</v>
      </c>
      <c r="F46" s="71">
        <f t="shared" si="6"/>
        <v>0</v>
      </c>
      <c r="G46" s="72">
        <f t="shared" si="7"/>
        <v>0</v>
      </c>
      <c r="H46" s="71">
        <f>4*44/E46</f>
        <v>3.0280090840272518</v>
      </c>
      <c r="I46" s="71">
        <f t="shared" si="8"/>
        <v>0</v>
      </c>
      <c r="L46" s="82" t="s">
        <v>1030</v>
      </c>
      <c r="M46" s="83">
        <f t="shared" si="3"/>
        <v>0</v>
      </c>
      <c r="N46" s="84">
        <v>0</v>
      </c>
      <c r="P46" s="83">
        <f t="shared" si="4"/>
        <v>0</v>
      </c>
      <c r="Q46" s="84">
        <v>0</v>
      </c>
      <c r="S46" s="83">
        <v>0</v>
      </c>
      <c r="T46" s="84">
        <f t="shared" si="5"/>
        <v>0</v>
      </c>
      <c r="V46" s="56"/>
      <c r="W46" s="56"/>
    </row>
    <row r="47" spans="2:25" ht="13.5" customHeight="1">
      <c r="B47" s="67" t="s">
        <v>989</v>
      </c>
      <c r="C47" s="73" t="s">
        <v>990</v>
      </c>
      <c r="D47" s="69">
        <f>Q29</f>
        <v>0.01</v>
      </c>
      <c r="E47" s="70">
        <v>58.124000000000002</v>
      </c>
      <c r="F47" s="71">
        <f t="shared" si="6"/>
        <v>5.8124000000000006E-3</v>
      </c>
      <c r="G47" s="72">
        <f t="shared" si="7"/>
        <v>3.6038706081237146E-4</v>
      </c>
      <c r="H47" s="71">
        <f>4*44/E47</f>
        <v>3.0280090840272518</v>
      </c>
      <c r="I47" s="71">
        <f t="shared" si="8"/>
        <v>1.0912552939057424E-3</v>
      </c>
      <c r="L47" s="82" t="s">
        <v>431</v>
      </c>
      <c r="M47" s="83">
        <f t="shared" si="3"/>
        <v>0</v>
      </c>
      <c r="N47" s="84">
        <v>0</v>
      </c>
      <c r="P47" s="83">
        <f t="shared" si="4"/>
        <v>0</v>
      </c>
      <c r="Q47" s="84">
        <v>0</v>
      </c>
      <c r="S47" s="83">
        <v>1.8599999999999998E-2</v>
      </c>
      <c r="T47" s="84">
        <f t="shared" si="5"/>
        <v>1.8599999999999999</v>
      </c>
      <c r="V47" s="56"/>
      <c r="W47" s="56"/>
    </row>
    <row r="48" spans="2:25" ht="13.5" customHeight="1">
      <c r="B48" s="67" t="s">
        <v>992</v>
      </c>
      <c r="C48" s="73" t="s">
        <v>993</v>
      </c>
      <c r="D48" s="69">
        <f>Q33</f>
        <v>0.01</v>
      </c>
      <c r="E48" s="70">
        <v>72.150999999999996</v>
      </c>
      <c r="F48" s="71">
        <f t="shared" si="6"/>
        <v>7.2150999999999995E-3</v>
      </c>
      <c r="G48" s="72">
        <f t="shared" si="7"/>
        <v>4.4735886767382506E-4</v>
      </c>
      <c r="H48" s="71">
        <f>5*44/E48</f>
        <v>3.0491607877922693</v>
      </c>
      <c r="I48" s="71">
        <f t="shared" si="8"/>
        <v>1.3640691173821781E-3</v>
      </c>
      <c r="L48" s="108" t="s">
        <v>1031</v>
      </c>
      <c r="M48" s="109">
        <f>SUM(M24:M47)</f>
        <v>0.99999999999999989</v>
      </c>
      <c r="N48" s="110">
        <f>M48*100</f>
        <v>99.999999999999986</v>
      </c>
      <c r="O48" s="81"/>
      <c r="P48" s="109">
        <f>SUM(P24:P47)</f>
        <v>0.99999999999999989</v>
      </c>
      <c r="Q48" s="111">
        <f>P48*100</f>
        <v>99.999999999999986</v>
      </c>
      <c r="R48" s="81"/>
      <c r="S48" s="112">
        <f>SUM(S24:S47)</f>
        <v>1</v>
      </c>
      <c r="T48" s="113">
        <f t="shared" si="5"/>
        <v>100</v>
      </c>
      <c r="U48" s="81"/>
      <c r="V48" s="56"/>
      <c r="W48" s="56"/>
      <c r="X48" s="105"/>
      <c r="Y48" s="105"/>
    </row>
    <row r="49" spans="1:23" ht="13.5" customHeight="1">
      <c r="B49" s="67" t="s">
        <v>995</v>
      </c>
      <c r="C49" s="73" t="s">
        <v>996</v>
      </c>
      <c r="D49" s="69">
        <f>Q31</f>
        <v>0.01</v>
      </c>
      <c r="E49" s="70">
        <v>72.150999999999996</v>
      </c>
      <c r="F49" s="71">
        <f t="shared" si="6"/>
        <v>7.2150999999999995E-3</v>
      </c>
      <c r="G49" s="72">
        <f t="shared" si="7"/>
        <v>4.4735886767382506E-4</v>
      </c>
      <c r="H49" s="71">
        <f>5*44/E49</f>
        <v>3.0491607877922693</v>
      </c>
      <c r="I49" s="71">
        <f t="shared" si="8"/>
        <v>1.3640691173821781E-3</v>
      </c>
      <c r="L49" s="82"/>
      <c r="M49" s="84"/>
      <c r="N49" s="84"/>
      <c r="P49" s="84"/>
      <c r="Q49" s="84"/>
      <c r="S49" s="84"/>
      <c r="T49" s="84"/>
      <c r="V49" s="56"/>
      <c r="W49" s="56"/>
    </row>
    <row r="50" spans="1:23" ht="13.5" customHeight="1">
      <c r="B50" s="67" t="s">
        <v>998</v>
      </c>
      <c r="C50" s="73" t="s">
        <v>999</v>
      </c>
      <c r="D50" s="69">
        <f>Q32</f>
        <v>0</v>
      </c>
      <c r="E50" s="70">
        <v>72.150999999999996</v>
      </c>
      <c r="F50" s="71">
        <f t="shared" si="6"/>
        <v>0</v>
      </c>
      <c r="G50" s="72">
        <f t="shared" si="7"/>
        <v>0</v>
      </c>
      <c r="H50" s="71">
        <f>5*44/E50</f>
        <v>3.0491607877922693</v>
      </c>
      <c r="I50" s="71">
        <f t="shared" si="8"/>
        <v>0</v>
      </c>
      <c r="L50" s="82" t="s">
        <v>656</v>
      </c>
      <c r="M50" s="84"/>
      <c r="N50" s="84"/>
      <c r="P50" s="84"/>
      <c r="Q50" s="84"/>
      <c r="S50" s="84"/>
      <c r="T50" s="84"/>
      <c r="V50" s="56"/>
      <c r="W50" s="56"/>
    </row>
    <row r="51" spans="1:23" ht="13.5" customHeight="1">
      <c r="B51" s="67" t="s">
        <v>1001</v>
      </c>
      <c r="C51" s="73" t="s">
        <v>1002</v>
      </c>
      <c r="D51" s="69">
        <f>Q39</f>
        <v>0.02</v>
      </c>
      <c r="E51" s="70">
        <v>86.177999999999997</v>
      </c>
      <c r="F51" s="71">
        <f t="shared" si="6"/>
        <v>1.72356E-2</v>
      </c>
      <c r="G51" s="72">
        <f t="shared" si="7"/>
        <v>1.0686613490705577E-3</v>
      </c>
      <c r="H51" s="71">
        <f>6*44/E51</f>
        <v>3.0634268606837014</v>
      </c>
      <c r="I51" s="71">
        <f t="shared" si="8"/>
        <v>3.2737658817172275E-3</v>
      </c>
      <c r="L51" s="82" t="s">
        <v>657</v>
      </c>
      <c r="M51" s="84"/>
      <c r="N51" s="84"/>
      <c r="P51" s="84"/>
      <c r="Q51" s="84"/>
      <c r="S51" s="84"/>
      <c r="T51" s="84"/>
      <c r="V51" s="56"/>
      <c r="W51" s="56"/>
    </row>
    <row r="52" spans="1:23" ht="13.5" customHeight="1">
      <c r="B52" s="67" t="s">
        <v>1004</v>
      </c>
      <c r="C52" s="73" t="s">
        <v>1005</v>
      </c>
      <c r="D52" s="69">
        <f>Q34</f>
        <v>0</v>
      </c>
      <c r="E52" s="70">
        <v>86.177999999999997</v>
      </c>
      <c r="F52" s="71">
        <f t="shared" si="6"/>
        <v>0</v>
      </c>
      <c r="G52" s="72">
        <f t="shared" si="7"/>
        <v>0</v>
      </c>
      <c r="H52" s="71">
        <f>6*44/E52</f>
        <v>3.0634268606837014</v>
      </c>
      <c r="I52" s="71">
        <f t="shared" si="8"/>
        <v>0</v>
      </c>
      <c r="L52" s="82" t="s">
        <v>658</v>
      </c>
      <c r="M52" s="84"/>
      <c r="N52" s="84"/>
      <c r="P52" s="84"/>
      <c r="Q52" s="84"/>
      <c r="S52" s="84"/>
      <c r="T52" s="84"/>
      <c r="V52" s="56"/>
      <c r="W52" s="56"/>
    </row>
    <row r="53" spans="1:23" ht="13.5" customHeight="1">
      <c r="B53" s="67" t="s">
        <v>1032</v>
      </c>
      <c r="C53" s="73" t="s">
        <v>1005</v>
      </c>
      <c r="D53" s="69">
        <v>0</v>
      </c>
      <c r="E53" s="70">
        <v>86.177999999999997</v>
      </c>
      <c r="F53" s="71">
        <f t="shared" si="6"/>
        <v>0</v>
      </c>
      <c r="G53" s="72">
        <f t="shared" si="7"/>
        <v>0</v>
      </c>
      <c r="H53" s="71">
        <f>6*44/E53</f>
        <v>3.0634268606837014</v>
      </c>
      <c r="I53" s="71">
        <f t="shared" si="8"/>
        <v>0</v>
      </c>
      <c r="L53" s="82" t="s">
        <v>659</v>
      </c>
      <c r="M53" s="84"/>
      <c r="N53" s="84"/>
      <c r="P53" s="84"/>
      <c r="Q53" s="84"/>
      <c r="S53" s="84"/>
      <c r="T53" s="84"/>
      <c r="V53" s="56"/>
      <c r="W53" s="56"/>
    </row>
    <row r="54" spans="1:23" ht="13.5" customHeight="1">
      <c r="B54" s="67" t="s">
        <v>1033</v>
      </c>
      <c r="C54" s="73" t="s">
        <v>1005</v>
      </c>
      <c r="D54" s="69">
        <v>0</v>
      </c>
      <c r="E54" s="70">
        <v>86.177999999999997</v>
      </c>
      <c r="F54" s="71">
        <f t="shared" si="6"/>
        <v>0</v>
      </c>
      <c r="G54" s="72">
        <f t="shared" si="7"/>
        <v>0</v>
      </c>
      <c r="H54" s="71">
        <f>6*44/E54</f>
        <v>3.0634268606837014</v>
      </c>
      <c r="I54" s="71">
        <f t="shared" si="8"/>
        <v>0</v>
      </c>
      <c r="L54" s="82" t="s">
        <v>660</v>
      </c>
      <c r="M54" s="84"/>
      <c r="N54" s="84"/>
      <c r="P54" s="84"/>
      <c r="Q54" s="84"/>
      <c r="S54" s="84"/>
      <c r="T54" s="84"/>
      <c r="V54" s="56"/>
      <c r="W54" s="56"/>
    </row>
    <row r="55" spans="1:23" ht="13.5" customHeight="1">
      <c r="B55" s="67" t="s">
        <v>1034</v>
      </c>
      <c r="C55" s="73" t="s">
        <v>1005</v>
      </c>
      <c r="D55" s="69">
        <v>0</v>
      </c>
      <c r="E55" s="70">
        <v>86.177999999999997</v>
      </c>
      <c r="F55" s="71">
        <f t="shared" si="6"/>
        <v>0</v>
      </c>
      <c r="G55" s="72">
        <f t="shared" si="7"/>
        <v>0</v>
      </c>
      <c r="H55" s="71">
        <f>6*44/E55</f>
        <v>3.0634268606837014</v>
      </c>
      <c r="I55" s="71">
        <f t="shared" si="8"/>
        <v>0</v>
      </c>
      <c r="L55" s="82" t="s">
        <v>661</v>
      </c>
      <c r="M55" s="84"/>
      <c r="N55" s="84"/>
      <c r="P55" s="84"/>
      <c r="Q55" s="84"/>
      <c r="S55" s="84"/>
      <c r="T55" s="84"/>
      <c r="V55" s="56"/>
      <c r="W55" s="56"/>
    </row>
    <row r="56" spans="1:23" ht="13.5" customHeight="1">
      <c r="B56" s="67" t="s">
        <v>1010</v>
      </c>
      <c r="C56" s="86" t="s">
        <v>1011</v>
      </c>
      <c r="D56" s="69">
        <f>Q40</f>
        <v>0</v>
      </c>
      <c r="E56" s="87">
        <v>100.21</v>
      </c>
      <c r="F56" s="71">
        <f t="shared" si="6"/>
        <v>0</v>
      </c>
      <c r="G56" s="72">
        <f t="shared" si="7"/>
        <v>0</v>
      </c>
      <c r="H56" s="88">
        <f>7*44/E56</f>
        <v>3.0735455543358947</v>
      </c>
      <c r="I56" s="88">
        <f t="shared" si="8"/>
        <v>0</v>
      </c>
      <c r="L56" s="82" t="s">
        <v>662</v>
      </c>
      <c r="M56" s="84"/>
      <c r="N56" s="84"/>
      <c r="P56" s="84"/>
      <c r="Q56" s="84"/>
      <c r="S56" s="84"/>
      <c r="T56" s="84"/>
      <c r="V56" s="105"/>
      <c r="W56" s="105"/>
    </row>
    <row r="57" spans="1:23" ht="13.5" customHeight="1">
      <c r="B57" s="90" t="s">
        <v>663</v>
      </c>
      <c r="C57" s="91"/>
      <c r="D57" s="95">
        <f>SUM(D34:D56)</f>
        <v>100</v>
      </c>
      <c r="E57" s="114"/>
      <c r="F57" s="96">
        <f>SUM(F34:F56)</f>
        <v>16.128214999999997</v>
      </c>
      <c r="G57" s="114" t="s">
        <v>1016</v>
      </c>
      <c r="H57" s="95"/>
      <c r="I57" s="96">
        <f>SUM(I34:I56)</f>
        <v>2.7327760697634549</v>
      </c>
      <c r="J57" s="115" t="s">
        <v>1035</v>
      </c>
      <c r="L57" s="82" t="s">
        <v>664</v>
      </c>
      <c r="M57" s="84"/>
      <c r="N57" s="84"/>
      <c r="P57" s="84"/>
      <c r="Q57" s="84"/>
      <c r="S57" s="84"/>
      <c r="T57" s="84"/>
      <c r="V57" s="105"/>
      <c r="W57" s="105"/>
    </row>
    <row r="58" spans="1:23" ht="13.5" customHeight="1">
      <c r="B58" s="98" t="s">
        <v>1018</v>
      </c>
      <c r="C58" s="99"/>
      <c r="D58" s="100">
        <f>SUMPRODUCT($D$34:$D$56,E34:E56)/100</f>
        <v>16.128214999999997</v>
      </c>
      <c r="G58" s="76"/>
      <c r="H58" s="101"/>
      <c r="I58" s="101"/>
      <c r="J58" s="115"/>
      <c r="L58" s="82" t="s">
        <v>667</v>
      </c>
      <c r="M58" s="84"/>
      <c r="N58" s="84"/>
      <c r="P58" s="84"/>
      <c r="Q58" s="84"/>
      <c r="S58" s="84"/>
      <c r="T58" s="84"/>
      <c r="V58" s="105"/>
      <c r="W58" s="105"/>
    </row>
    <row r="59" spans="1:23" ht="13.5" customHeight="1">
      <c r="B59" s="102" t="s">
        <v>1019</v>
      </c>
      <c r="C59" s="116"/>
      <c r="D59" s="104">
        <f>D58/22.414/1000</f>
        <v>7.1955987329347718E-4</v>
      </c>
      <c r="H59" s="101"/>
      <c r="I59" s="101"/>
      <c r="J59" s="115"/>
      <c r="L59" s="82" t="s">
        <v>669</v>
      </c>
      <c r="M59" s="84"/>
      <c r="N59" s="84"/>
      <c r="P59" s="84"/>
      <c r="Q59" s="84"/>
      <c r="S59" s="84"/>
      <c r="T59" s="84"/>
      <c r="V59" s="105"/>
      <c r="W59" s="105"/>
    </row>
    <row r="60" spans="1:23" ht="13.5" customHeight="1">
      <c r="B60" s="115"/>
      <c r="C60" s="106"/>
      <c r="D60" s="115"/>
      <c r="E60" s="115"/>
      <c r="F60" s="117"/>
      <c r="G60" s="115"/>
      <c r="H60" s="117"/>
      <c r="I60" s="117"/>
      <c r="J60" s="115"/>
      <c r="L60" s="82" t="s">
        <v>674</v>
      </c>
      <c r="M60" s="84"/>
      <c r="N60" s="84"/>
      <c r="P60" s="84"/>
      <c r="Q60" s="84"/>
      <c r="S60" s="84"/>
      <c r="T60" s="84"/>
      <c r="V60" s="105"/>
      <c r="W60" s="105"/>
    </row>
    <row r="61" spans="1:23" ht="13.5" customHeight="1">
      <c r="A61" s="44" t="s">
        <v>1036</v>
      </c>
      <c r="L61" s="82" t="s">
        <v>679</v>
      </c>
      <c r="M61" s="84"/>
      <c r="N61" s="84"/>
      <c r="P61" s="84"/>
      <c r="Q61" s="84"/>
      <c r="S61" s="84"/>
      <c r="T61" s="84"/>
      <c r="V61" s="105"/>
      <c r="W61" s="105"/>
    </row>
    <row r="62" spans="1:23" ht="13.5" customHeight="1">
      <c r="B62" s="57" t="s">
        <v>1037</v>
      </c>
      <c r="C62" s="58"/>
      <c r="D62" s="57" t="s">
        <v>954</v>
      </c>
      <c r="E62" s="57" t="s">
        <v>413</v>
      </c>
      <c r="F62" s="57" t="s">
        <v>414</v>
      </c>
      <c r="G62" s="57" t="s">
        <v>415</v>
      </c>
      <c r="H62" s="59" t="s">
        <v>416</v>
      </c>
      <c r="I62" s="59" t="s">
        <v>417</v>
      </c>
      <c r="L62" s="82" t="s">
        <v>681</v>
      </c>
      <c r="M62" s="84"/>
      <c r="N62" s="84"/>
      <c r="P62" s="84"/>
      <c r="Q62" s="84"/>
      <c r="S62" s="84"/>
      <c r="T62" s="84"/>
      <c r="V62" s="105"/>
      <c r="W62" s="105"/>
    </row>
    <row r="63" spans="1:23" ht="13.5" customHeight="1">
      <c r="B63" s="61" t="s">
        <v>959</v>
      </c>
      <c r="C63" s="62" t="s">
        <v>638</v>
      </c>
      <c r="D63" s="69">
        <v>0</v>
      </c>
      <c r="E63" s="64">
        <v>2.016</v>
      </c>
      <c r="F63" s="65">
        <f t="shared" ref="F63:F85" si="9">E63*D63/100</f>
        <v>0</v>
      </c>
      <c r="G63" s="66">
        <f>IF($F$86&lt;1,0,F63/$F$86)</f>
        <v>0</v>
      </c>
      <c r="H63" s="65">
        <v>0</v>
      </c>
      <c r="I63" s="65">
        <f>H63*G63</f>
        <v>0</v>
      </c>
      <c r="L63" s="82" t="s">
        <v>684</v>
      </c>
      <c r="M63" s="84"/>
      <c r="N63" s="84"/>
      <c r="P63" s="84"/>
      <c r="Q63" s="84"/>
      <c r="S63" s="84"/>
      <c r="T63" s="84"/>
      <c r="V63" s="105"/>
      <c r="W63" s="105"/>
    </row>
    <row r="64" spans="1:23" ht="13.5" customHeight="1">
      <c r="B64" s="67" t="s">
        <v>961</v>
      </c>
      <c r="C64" s="68" t="s">
        <v>429</v>
      </c>
      <c r="D64" s="69">
        <f>T24</f>
        <v>0</v>
      </c>
      <c r="E64" s="70">
        <v>28.013000000000002</v>
      </c>
      <c r="F64" s="71">
        <f t="shared" si="9"/>
        <v>0</v>
      </c>
      <c r="G64" s="72">
        <f>IF($F$86&lt;1,0,F64/$F$86)</f>
        <v>0</v>
      </c>
      <c r="H64" s="71">
        <v>0</v>
      </c>
      <c r="I64" s="71">
        <f t="shared" ref="I64:I85" si="10">H64*G64</f>
        <v>0</v>
      </c>
      <c r="L64" s="82" t="s">
        <v>686</v>
      </c>
      <c r="M64" s="84"/>
      <c r="N64" s="84"/>
      <c r="P64" s="84"/>
      <c r="Q64" s="84"/>
      <c r="S64" s="84"/>
      <c r="T64" s="84"/>
      <c r="V64" s="105"/>
      <c r="W64" s="105"/>
    </row>
    <row r="65" spans="2:23" ht="13.5" customHeight="1">
      <c r="B65" s="67" t="s">
        <v>963</v>
      </c>
      <c r="C65" s="73" t="s">
        <v>428</v>
      </c>
      <c r="D65" s="69">
        <v>0</v>
      </c>
      <c r="E65" s="70">
        <v>31.998999999999999</v>
      </c>
      <c r="F65" s="71">
        <f t="shared" si="9"/>
        <v>0</v>
      </c>
      <c r="G65" s="72">
        <f t="shared" ref="G65:G85" si="11">IF($F$86&lt;1,0,F65/$F$86)</f>
        <v>0</v>
      </c>
      <c r="H65" s="71">
        <v>0</v>
      </c>
      <c r="I65" s="71">
        <f t="shared" si="10"/>
        <v>0</v>
      </c>
      <c r="L65" s="82" t="s">
        <v>688</v>
      </c>
      <c r="M65" s="84"/>
      <c r="N65" s="84"/>
      <c r="P65" s="84"/>
      <c r="Q65" s="84"/>
      <c r="S65" s="84"/>
      <c r="T65" s="84"/>
      <c r="V65" s="105"/>
      <c r="W65" s="105"/>
    </row>
    <row r="66" spans="2:23" ht="13.5" customHeight="1">
      <c r="B66" s="67" t="s">
        <v>965</v>
      </c>
      <c r="C66" s="73" t="s">
        <v>431</v>
      </c>
      <c r="D66" s="69">
        <f>T47</f>
        <v>1.8599999999999999</v>
      </c>
      <c r="E66" s="70">
        <v>18.015000000000001</v>
      </c>
      <c r="F66" s="71">
        <f t="shared" si="9"/>
        <v>0.33507900000000002</v>
      </c>
      <c r="G66" s="72">
        <f t="shared" si="11"/>
        <v>2.0838662005147467E-2</v>
      </c>
      <c r="H66" s="71">
        <v>0</v>
      </c>
      <c r="I66" s="71">
        <f t="shared" si="10"/>
        <v>0</v>
      </c>
      <c r="L66" s="82" t="s">
        <v>690</v>
      </c>
      <c r="M66" s="84"/>
      <c r="N66" s="84"/>
      <c r="P66" s="84"/>
      <c r="Q66" s="84"/>
      <c r="S66" s="84"/>
      <c r="T66" s="84"/>
      <c r="V66" s="105"/>
      <c r="W66" s="105"/>
    </row>
    <row r="67" spans="2:23" ht="13.5" customHeight="1">
      <c r="B67" s="67" t="s">
        <v>967</v>
      </c>
      <c r="C67" s="73" t="s">
        <v>115</v>
      </c>
      <c r="D67" s="69">
        <v>0</v>
      </c>
      <c r="E67" s="70">
        <v>28.01</v>
      </c>
      <c r="F67" s="71">
        <f t="shared" si="9"/>
        <v>0</v>
      </c>
      <c r="G67" s="72">
        <f t="shared" si="11"/>
        <v>0</v>
      </c>
      <c r="H67" s="71">
        <f>44/E67</f>
        <v>1.5708675473045339</v>
      </c>
      <c r="I67" s="71">
        <f t="shared" si="10"/>
        <v>0</v>
      </c>
      <c r="L67" s="82" t="s">
        <v>691</v>
      </c>
      <c r="M67" s="84"/>
      <c r="N67" s="84"/>
      <c r="P67" s="84"/>
      <c r="Q67" s="84"/>
      <c r="S67" s="84"/>
      <c r="T67" s="84"/>
      <c r="V67" s="105"/>
      <c r="W67" s="105"/>
    </row>
    <row r="68" spans="2:23" ht="13.5" customHeight="1">
      <c r="B68" s="67" t="s">
        <v>969</v>
      </c>
      <c r="C68" s="73" t="s">
        <v>126</v>
      </c>
      <c r="D68" s="69">
        <f>T25</f>
        <v>0</v>
      </c>
      <c r="E68" s="70">
        <v>44.01</v>
      </c>
      <c r="F68" s="71">
        <f t="shared" si="9"/>
        <v>0</v>
      </c>
      <c r="G68" s="72">
        <f t="shared" si="11"/>
        <v>0</v>
      </c>
      <c r="H68" s="71">
        <f>44/E68</f>
        <v>0.99977277891388328</v>
      </c>
      <c r="I68" s="71">
        <f t="shared" si="10"/>
        <v>0</v>
      </c>
      <c r="J68" s="76"/>
      <c r="L68" s="82" t="s">
        <v>692</v>
      </c>
      <c r="M68" s="84"/>
      <c r="N68" s="84"/>
      <c r="P68" s="84"/>
      <c r="Q68" s="84"/>
      <c r="S68" s="84"/>
      <c r="T68" s="84"/>
      <c r="V68" s="105"/>
      <c r="W68" s="105"/>
    </row>
    <row r="69" spans="2:23" ht="13.5" customHeight="1">
      <c r="B69" s="67" t="s">
        <v>971</v>
      </c>
      <c r="C69" s="73" t="s">
        <v>427</v>
      </c>
      <c r="D69" s="69">
        <v>0</v>
      </c>
      <c r="E69" s="70">
        <v>34.076000000000001</v>
      </c>
      <c r="F69" s="71">
        <f t="shared" si="9"/>
        <v>0</v>
      </c>
      <c r="G69" s="72">
        <f t="shared" si="11"/>
        <v>0</v>
      </c>
      <c r="H69" s="71">
        <v>0</v>
      </c>
      <c r="I69" s="71">
        <f t="shared" si="10"/>
        <v>0</v>
      </c>
      <c r="L69" s="82" t="s">
        <v>693</v>
      </c>
      <c r="M69" s="84"/>
      <c r="N69" s="84"/>
      <c r="P69" s="84"/>
      <c r="Q69" s="84"/>
      <c r="S69" s="84"/>
      <c r="T69" s="84"/>
    </row>
    <row r="70" spans="2:23" ht="13.5" customHeight="1">
      <c r="B70" s="67" t="s">
        <v>973</v>
      </c>
      <c r="C70" s="73" t="s">
        <v>124</v>
      </c>
      <c r="D70" s="69">
        <v>0</v>
      </c>
      <c r="E70" s="70">
        <v>64.063000000000002</v>
      </c>
      <c r="F70" s="71">
        <f t="shared" si="9"/>
        <v>0</v>
      </c>
      <c r="G70" s="72">
        <f t="shared" si="11"/>
        <v>0</v>
      </c>
      <c r="H70" s="71">
        <v>0</v>
      </c>
      <c r="I70" s="71">
        <f t="shared" si="10"/>
        <v>0</v>
      </c>
      <c r="L70" s="82" t="s">
        <v>694</v>
      </c>
      <c r="M70" s="84"/>
      <c r="N70" s="84"/>
      <c r="P70" s="84"/>
      <c r="Q70" s="84"/>
      <c r="S70" s="84"/>
      <c r="T70" s="84"/>
    </row>
    <row r="71" spans="2:23" ht="13.5" customHeight="1">
      <c r="B71" s="67" t="s">
        <v>976</v>
      </c>
      <c r="C71" s="73" t="s">
        <v>930</v>
      </c>
      <c r="D71" s="69">
        <v>0</v>
      </c>
      <c r="E71" s="70">
        <v>17.030999999999999</v>
      </c>
      <c r="F71" s="71">
        <f t="shared" si="9"/>
        <v>0</v>
      </c>
      <c r="G71" s="72">
        <f t="shared" si="11"/>
        <v>0</v>
      </c>
      <c r="H71" s="71">
        <v>0</v>
      </c>
      <c r="I71" s="71">
        <f t="shared" si="10"/>
        <v>0</v>
      </c>
      <c r="L71" s="82" t="s">
        <v>695</v>
      </c>
      <c r="M71" s="84"/>
      <c r="N71" s="84"/>
      <c r="P71" s="84"/>
      <c r="Q71" s="84"/>
      <c r="S71" s="84"/>
      <c r="T71" s="84"/>
    </row>
    <row r="72" spans="2:23" ht="13.5" customHeight="1">
      <c r="B72" s="67" t="s">
        <v>977</v>
      </c>
      <c r="C72" s="73" t="s">
        <v>978</v>
      </c>
      <c r="D72" s="69">
        <f>T26</f>
        <v>98.14</v>
      </c>
      <c r="E72" s="70">
        <v>16.042999999999999</v>
      </c>
      <c r="F72" s="71">
        <f t="shared" si="9"/>
        <v>15.744600200000001</v>
      </c>
      <c r="G72" s="72">
        <f t="shared" si="11"/>
        <v>0.9791613379948525</v>
      </c>
      <c r="H72" s="71">
        <f>44/E72</f>
        <v>2.7426291840678179</v>
      </c>
      <c r="I72" s="71">
        <f t="shared" si="10"/>
        <v>2.6854764614955751</v>
      </c>
      <c r="L72" s="82" t="s">
        <v>696</v>
      </c>
      <c r="M72" s="84"/>
      <c r="N72" s="84"/>
      <c r="P72" s="84"/>
      <c r="Q72" s="84"/>
      <c r="S72" s="84"/>
      <c r="T72" s="84"/>
    </row>
    <row r="73" spans="2:23" ht="13.5" customHeight="1">
      <c r="B73" s="67" t="s">
        <v>980</v>
      </c>
      <c r="C73" s="73" t="s">
        <v>981</v>
      </c>
      <c r="D73" s="69">
        <f>T27</f>
        <v>0</v>
      </c>
      <c r="E73" s="70">
        <v>30.07</v>
      </c>
      <c r="F73" s="71">
        <f t="shared" si="9"/>
        <v>0</v>
      </c>
      <c r="G73" s="72">
        <f t="shared" si="11"/>
        <v>0</v>
      </c>
      <c r="H73" s="71">
        <f>2*44/E73</f>
        <v>2.9265048220818093</v>
      </c>
      <c r="I73" s="71">
        <f t="shared" si="10"/>
        <v>0</v>
      </c>
      <c r="L73" s="82" t="s">
        <v>697</v>
      </c>
      <c r="M73" s="84"/>
      <c r="N73" s="84"/>
      <c r="P73" s="84"/>
      <c r="Q73" s="84"/>
      <c r="S73" s="84"/>
      <c r="T73" s="84"/>
    </row>
    <row r="74" spans="2:23" ht="13.5" customHeight="1">
      <c r="B74" s="67" t="s">
        <v>983</v>
      </c>
      <c r="C74" s="73" t="s">
        <v>984</v>
      </c>
      <c r="D74" s="69">
        <f>T28</f>
        <v>0</v>
      </c>
      <c r="E74" s="70">
        <v>44.097000000000001</v>
      </c>
      <c r="F74" s="71">
        <f t="shared" si="9"/>
        <v>0</v>
      </c>
      <c r="G74" s="72">
        <f t="shared" si="11"/>
        <v>0</v>
      </c>
      <c r="H74" s="71">
        <f>3*44/E74</f>
        <v>2.9934009116266411</v>
      </c>
      <c r="I74" s="71">
        <f t="shared" si="10"/>
        <v>0</v>
      </c>
      <c r="P74" s="119"/>
    </row>
    <row r="75" spans="2:23" ht="13.5" customHeight="1">
      <c r="B75" s="67" t="s">
        <v>986</v>
      </c>
      <c r="C75" s="73" t="s">
        <v>987</v>
      </c>
      <c r="D75" s="69">
        <f>T30</f>
        <v>0</v>
      </c>
      <c r="E75" s="70">
        <v>58.124000000000002</v>
      </c>
      <c r="F75" s="71">
        <f t="shared" si="9"/>
        <v>0</v>
      </c>
      <c r="G75" s="72">
        <f t="shared" si="11"/>
        <v>0</v>
      </c>
      <c r="H75" s="71">
        <f>4*44/E75</f>
        <v>3.0280090840272518</v>
      </c>
      <c r="I75" s="71">
        <f t="shared" si="10"/>
        <v>0</v>
      </c>
      <c r="L75" s="120"/>
      <c r="M75" s="121"/>
      <c r="N75" s="121"/>
      <c r="P75" s="121"/>
      <c r="Q75" s="121"/>
      <c r="S75" s="121"/>
      <c r="T75" s="121"/>
    </row>
    <row r="76" spans="2:23" ht="13.5" customHeight="1">
      <c r="B76" s="67" t="s">
        <v>989</v>
      </c>
      <c r="C76" s="73" t="s">
        <v>990</v>
      </c>
      <c r="D76" s="69">
        <f>T29</f>
        <v>0</v>
      </c>
      <c r="E76" s="70">
        <v>58.124000000000002</v>
      </c>
      <c r="F76" s="71">
        <f t="shared" si="9"/>
        <v>0</v>
      </c>
      <c r="G76" s="72">
        <f t="shared" si="11"/>
        <v>0</v>
      </c>
      <c r="H76" s="71">
        <f>4*44/E76</f>
        <v>3.0280090840272518</v>
      </c>
      <c r="I76" s="71">
        <f t="shared" si="10"/>
        <v>0</v>
      </c>
      <c r="M76" s="121"/>
      <c r="N76" s="121"/>
      <c r="P76" s="121"/>
      <c r="Q76" s="121"/>
      <c r="S76" s="121"/>
      <c r="T76" s="121"/>
    </row>
    <row r="77" spans="2:23" ht="13.5" customHeight="1">
      <c r="B77" s="67" t="s">
        <v>992</v>
      </c>
      <c r="C77" s="73" t="s">
        <v>993</v>
      </c>
      <c r="D77" s="69">
        <f>T33</f>
        <v>0</v>
      </c>
      <c r="E77" s="70">
        <v>72.150999999999996</v>
      </c>
      <c r="F77" s="71">
        <f t="shared" si="9"/>
        <v>0</v>
      </c>
      <c r="G77" s="72">
        <f t="shared" si="11"/>
        <v>0</v>
      </c>
      <c r="H77" s="71">
        <f>5*44/E77</f>
        <v>3.0491607877922693</v>
      </c>
      <c r="I77" s="71">
        <f t="shared" si="10"/>
        <v>0</v>
      </c>
      <c r="M77" s="122"/>
      <c r="N77" s="122"/>
      <c r="P77" s="122"/>
      <c r="Q77" s="122"/>
      <c r="S77" s="122"/>
      <c r="T77" s="122"/>
    </row>
    <row r="78" spans="2:23" ht="13.5" customHeight="1">
      <c r="B78" s="67" t="s">
        <v>995</v>
      </c>
      <c r="C78" s="73" t="s">
        <v>996</v>
      </c>
      <c r="D78" s="69">
        <f>T31</f>
        <v>0</v>
      </c>
      <c r="E78" s="70">
        <v>72.150999999999996</v>
      </c>
      <c r="F78" s="71">
        <f t="shared" si="9"/>
        <v>0</v>
      </c>
      <c r="G78" s="72">
        <f t="shared" si="11"/>
        <v>0</v>
      </c>
      <c r="H78" s="71">
        <f>5*44/E78</f>
        <v>3.0491607877922693</v>
      </c>
      <c r="I78" s="71">
        <f t="shared" si="10"/>
        <v>0</v>
      </c>
    </row>
    <row r="79" spans="2:23" ht="13.5" customHeight="1">
      <c r="B79" s="67" t="s">
        <v>998</v>
      </c>
      <c r="C79" s="73" t="s">
        <v>999</v>
      </c>
      <c r="D79" s="69">
        <f>T32</f>
        <v>0</v>
      </c>
      <c r="E79" s="70">
        <v>72.150999999999996</v>
      </c>
      <c r="F79" s="71">
        <f t="shared" si="9"/>
        <v>0</v>
      </c>
      <c r="G79" s="72">
        <f t="shared" si="11"/>
        <v>0</v>
      </c>
      <c r="H79" s="71">
        <f>5*44/E79</f>
        <v>3.0491607877922693</v>
      </c>
      <c r="I79" s="71">
        <f t="shared" si="10"/>
        <v>0</v>
      </c>
      <c r="L79" s="123"/>
    </row>
    <row r="80" spans="2:23" ht="13.5" customHeight="1">
      <c r="B80" s="67" t="s">
        <v>1001</v>
      </c>
      <c r="C80" s="73" t="s">
        <v>1002</v>
      </c>
      <c r="D80" s="69">
        <f>T39</f>
        <v>0</v>
      </c>
      <c r="E80" s="70">
        <v>86.177999999999997</v>
      </c>
      <c r="F80" s="71">
        <f t="shared" si="9"/>
        <v>0</v>
      </c>
      <c r="G80" s="72">
        <f t="shared" si="11"/>
        <v>0</v>
      </c>
      <c r="H80" s="71">
        <f>6*44/E80</f>
        <v>3.0634268606837014</v>
      </c>
      <c r="I80" s="71">
        <f t="shared" si="10"/>
        <v>0</v>
      </c>
      <c r="L80" s="115"/>
    </row>
    <row r="81" spans="1:12" ht="13.5" customHeight="1">
      <c r="B81" s="67" t="s">
        <v>1004</v>
      </c>
      <c r="C81" s="73" t="s">
        <v>1005</v>
      </c>
      <c r="D81" s="69">
        <f>T34</f>
        <v>0</v>
      </c>
      <c r="E81" s="70">
        <v>86.177999999999997</v>
      </c>
      <c r="F81" s="71">
        <f t="shared" si="9"/>
        <v>0</v>
      </c>
      <c r="G81" s="72">
        <f t="shared" si="11"/>
        <v>0</v>
      </c>
      <c r="H81" s="71">
        <f>6*44/E81</f>
        <v>3.0634268606837014</v>
      </c>
      <c r="I81" s="71">
        <f t="shared" si="10"/>
        <v>0</v>
      </c>
      <c r="L81" s="47"/>
    </row>
    <row r="82" spans="1:12" ht="13.5" customHeight="1">
      <c r="B82" s="67" t="s">
        <v>1032</v>
      </c>
      <c r="C82" s="73" t="s">
        <v>1005</v>
      </c>
      <c r="D82" s="69">
        <f>T37+T38+T41+T35+T36</f>
        <v>0</v>
      </c>
      <c r="E82" s="70">
        <v>86.177999999999997</v>
      </c>
      <c r="F82" s="71">
        <f t="shared" si="9"/>
        <v>0</v>
      </c>
      <c r="G82" s="72">
        <f t="shared" si="11"/>
        <v>0</v>
      </c>
      <c r="H82" s="71">
        <f>6*44/E82</f>
        <v>3.0634268606837014</v>
      </c>
      <c r="I82" s="71">
        <f t="shared" si="10"/>
        <v>0</v>
      </c>
      <c r="L82" s="47"/>
    </row>
    <row r="83" spans="1:12" ht="13.5" customHeight="1">
      <c r="B83" s="67" t="s">
        <v>1033</v>
      </c>
      <c r="C83" s="73" t="s">
        <v>1005</v>
      </c>
      <c r="D83" s="69">
        <v>0</v>
      </c>
      <c r="E83" s="70">
        <v>86.177999999999997</v>
      </c>
      <c r="F83" s="71">
        <f t="shared" si="9"/>
        <v>0</v>
      </c>
      <c r="G83" s="72">
        <f t="shared" si="11"/>
        <v>0</v>
      </c>
      <c r="H83" s="71">
        <f>6*44/E83</f>
        <v>3.0634268606837014</v>
      </c>
      <c r="I83" s="71">
        <f t="shared" si="10"/>
        <v>0</v>
      </c>
      <c r="L83" s="124"/>
    </row>
    <row r="84" spans="1:12" ht="13.5" customHeight="1">
      <c r="B84" s="67" t="s">
        <v>1034</v>
      </c>
      <c r="C84" s="73" t="s">
        <v>1005</v>
      </c>
      <c r="D84" s="69">
        <v>0</v>
      </c>
      <c r="E84" s="70">
        <v>86.177999999999997</v>
      </c>
      <c r="F84" s="71">
        <f t="shared" si="9"/>
        <v>0</v>
      </c>
      <c r="G84" s="72">
        <f t="shared" si="11"/>
        <v>0</v>
      </c>
      <c r="H84" s="71">
        <f>6*44/E84</f>
        <v>3.0634268606837014</v>
      </c>
      <c r="I84" s="71">
        <f t="shared" si="10"/>
        <v>0</v>
      </c>
      <c r="L84" s="124"/>
    </row>
    <row r="85" spans="1:12" ht="13.5" customHeight="1">
      <c r="B85" s="67" t="s">
        <v>1010</v>
      </c>
      <c r="C85" s="86" t="s">
        <v>1011</v>
      </c>
      <c r="D85" s="69">
        <f>T40</f>
        <v>0</v>
      </c>
      <c r="E85" s="87">
        <v>100.21</v>
      </c>
      <c r="F85" s="71">
        <f t="shared" si="9"/>
        <v>0</v>
      </c>
      <c r="G85" s="72">
        <f t="shared" si="11"/>
        <v>0</v>
      </c>
      <c r="H85" s="88">
        <f>7*44/E85</f>
        <v>3.0735455543358947</v>
      </c>
      <c r="I85" s="88">
        <f t="shared" si="10"/>
        <v>0</v>
      </c>
      <c r="L85" s="124"/>
    </row>
    <row r="86" spans="1:12" ht="13.5" customHeight="1">
      <c r="B86" s="90" t="s">
        <v>663</v>
      </c>
      <c r="C86" s="91"/>
      <c r="D86" s="95">
        <f>SUM(D63:D85)</f>
        <v>100</v>
      </c>
      <c r="E86" s="114"/>
      <c r="F86" s="96">
        <f>SUM(F63:F85)</f>
        <v>16.079679200000001</v>
      </c>
      <c r="G86" s="114" t="s">
        <v>1016</v>
      </c>
      <c r="H86" s="95"/>
      <c r="I86" s="96">
        <f>SUM(I63:I85)</f>
        <v>2.6854764614955751</v>
      </c>
      <c r="J86" s="115" t="s">
        <v>1035</v>
      </c>
    </row>
    <row r="87" spans="1:12" ht="13.5" customHeight="1">
      <c r="B87" s="98" t="s">
        <v>1018</v>
      </c>
      <c r="C87" s="99"/>
      <c r="D87" s="100">
        <f>SUMPRODUCT($D$63:$D$85,E63:E85)/100</f>
        <v>16.079679200000001</v>
      </c>
      <c r="G87" s="76"/>
      <c r="H87" s="101"/>
      <c r="I87" s="101"/>
      <c r="J87" s="115"/>
    </row>
    <row r="88" spans="1:12" ht="13.5" customHeight="1">
      <c r="B88" s="102" t="s">
        <v>1019</v>
      </c>
      <c r="C88" s="116"/>
      <c r="D88" s="104">
        <f>D87/22.414/1000</f>
        <v>7.1739444989738551E-4</v>
      </c>
      <c r="H88" s="101"/>
      <c r="I88" s="101"/>
      <c r="J88" s="115"/>
    </row>
    <row r="89" spans="1:12" ht="13.5" customHeight="1">
      <c r="B89" s="115"/>
      <c r="C89" s="106"/>
      <c r="D89" s="115"/>
      <c r="E89" s="115"/>
      <c r="F89" s="117"/>
      <c r="G89" s="115"/>
      <c r="H89" s="117"/>
      <c r="I89" s="117"/>
      <c r="J89" s="115"/>
    </row>
    <row r="92" spans="1:12" ht="13.5" customHeight="1">
      <c r="A92" s="44" t="s">
        <v>1038</v>
      </c>
    </row>
    <row r="93" spans="1:12" ht="13.5" customHeight="1">
      <c r="A93" s="125">
        <v>3.2</v>
      </c>
      <c r="B93" s="45" t="s">
        <v>1039</v>
      </c>
      <c r="C93" s="126" t="s">
        <v>1040</v>
      </c>
    </row>
  </sheetData>
  <sheetProtection algorithmName="SHA-512" hashValue="UAOiL7EA6FySMfRhbDm93qKcmw+a2emIetvm+LeJGFRRgiJa77pc/SNeCSVCsHd8a1D9aDaKmbH6bDvDMPcVKQ==" saltValue="h2eQZ+9sIr+Nlm4Cw4yudQ==" spinCount="100000" sheet="1" objects="1" scenarios="1" selectLockedCells="1" selectUnlockedCells="1"/>
  <mergeCells count="66">
    <mergeCell ref="P2:Q2"/>
    <mergeCell ref="S19:T19"/>
    <mergeCell ref="S20:T20"/>
    <mergeCell ref="P19:Q19"/>
    <mergeCell ref="L1:L2"/>
    <mergeCell ref="M1:N1"/>
    <mergeCell ref="P1:Q1"/>
    <mergeCell ref="S1:T1"/>
    <mergeCell ref="S2:T2"/>
    <mergeCell ref="M5:N5"/>
    <mergeCell ref="P20:Q20"/>
    <mergeCell ref="S16:T16"/>
    <mergeCell ref="S17:T17"/>
    <mergeCell ref="S12:T12"/>
    <mergeCell ref="S13:T13"/>
    <mergeCell ref="S14:T14"/>
    <mergeCell ref="P21:Q21"/>
    <mergeCell ref="P22:Q22"/>
    <mergeCell ref="S3:T3"/>
    <mergeCell ref="S4:T4"/>
    <mergeCell ref="S5:T5"/>
    <mergeCell ref="S6:T6"/>
    <mergeCell ref="S7:T7"/>
    <mergeCell ref="P12:Q12"/>
    <mergeCell ref="P13:Q13"/>
    <mergeCell ref="P14:Q14"/>
    <mergeCell ref="P15:Q15"/>
    <mergeCell ref="P16:Q16"/>
    <mergeCell ref="P17:Q17"/>
    <mergeCell ref="S21:T21"/>
    <mergeCell ref="S22:T22"/>
    <mergeCell ref="S15:T15"/>
    <mergeCell ref="M22:N22"/>
    <mergeCell ref="P3:Q3"/>
    <mergeCell ref="P4:Q4"/>
    <mergeCell ref="P5:Q5"/>
    <mergeCell ref="P6:Q6"/>
    <mergeCell ref="P7:Q7"/>
    <mergeCell ref="P8:Q8"/>
    <mergeCell ref="P9:Q9"/>
    <mergeCell ref="P10:Q10"/>
    <mergeCell ref="P11:Q11"/>
    <mergeCell ref="M16:N16"/>
    <mergeCell ref="M17:N17"/>
    <mergeCell ref="M18:N18"/>
    <mergeCell ref="M19:N19"/>
    <mergeCell ref="M20:N20"/>
    <mergeCell ref="M21:N21"/>
    <mergeCell ref="M15:N15"/>
    <mergeCell ref="M3:N3"/>
    <mergeCell ref="M4:N4"/>
    <mergeCell ref="M6:N6"/>
    <mergeCell ref="M7:N7"/>
    <mergeCell ref="M8:N8"/>
    <mergeCell ref="M9:N9"/>
    <mergeCell ref="M10:N10"/>
    <mergeCell ref="M11:N11"/>
    <mergeCell ref="M12:N12"/>
    <mergeCell ref="M13:N13"/>
    <mergeCell ref="M14:N14"/>
    <mergeCell ref="P18:Q18"/>
    <mergeCell ref="S18:T18"/>
    <mergeCell ref="S8:T8"/>
    <mergeCell ref="S9:T9"/>
    <mergeCell ref="S10:T10"/>
    <mergeCell ref="S11:T11"/>
  </mergeCells>
  <dataValidations count="4">
    <dataValidation allowBlank="1" showInputMessage="1" showErrorMessage="1" error="Please enter a number" sqref="D28:D29 IG29:IG30 SC29:SC30 ABY29:ABY30 ALU29:ALU30 AVQ29:AVQ30 BFM29:BFM30 BPI29:BPI30 BZE29:BZE30 CJA29:CJA30 CSW29:CSW30 DCS29:DCS30 DMO29:DMO30 DWK29:DWK30 EGG29:EGG30 EQC29:EQC30 EZY29:EZY30 FJU29:FJU30 FTQ29:FTQ30 GDM29:GDM30 GNI29:GNI30 GXE29:GXE30 HHA29:HHA30 HQW29:HQW30 IAS29:IAS30 IKO29:IKO30 IUK29:IUK30 JEG29:JEG30 JOC29:JOC30 JXY29:JXY30 KHU29:KHU30 KRQ29:KRQ30 LBM29:LBM30 LLI29:LLI30 LVE29:LVE30 MFA29:MFA30 MOW29:MOW30 MYS29:MYS30 NIO29:NIO30 NSK29:NSK30 OCG29:OCG30 OMC29:OMC30 OVY29:OVY30 PFU29:PFU30 PPQ29:PPQ30 PZM29:PZM30 QJI29:QJI30 QTE29:QTE30 RDA29:RDA30 RMW29:RMW30 RWS29:RWS30 SGO29:SGO30 SQK29:SQK30 TAG29:TAG30 TKC29:TKC30 TTY29:TTY30 UDU29:UDU30 UNQ29:UNQ30 UXM29:UXM30 VHI29:VHI30 VRE29:VRE30 WBA29:WBA30 WKW29:WKW30 WUS29:WUS30 D65519:D65520 IG65465:IG65466 SC65465:SC65466 ABY65465:ABY65466 ALU65465:ALU65466 AVQ65465:AVQ65466 BFM65465:BFM65466 BPI65465:BPI65466 BZE65465:BZE65466 CJA65465:CJA65466 CSW65465:CSW65466 DCS65465:DCS65466 DMO65465:DMO65466 DWK65465:DWK65466 EGG65465:EGG65466 EQC65465:EQC65466 EZY65465:EZY65466 FJU65465:FJU65466 FTQ65465:FTQ65466 GDM65465:GDM65466 GNI65465:GNI65466 GXE65465:GXE65466 HHA65465:HHA65466 HQW65465:HQW65466 IAS65465:IAS65466 IKO65465:IKO65466 IUK65465:IUK65466 JEG65465:JEG65466 JOC65465:JOC65466 JXY65465:JXY65466 KHU65465:KHU65466 KRQ65465:KRQ65466 LBM65465:LBM65466 LLI65465:LLI65466 LVE65465:LVE65466 MFA65465:MFA65466 MOW65465:MOW65466 MYS65465:MYS65466 NIO65465:NIO65466 NSK65465:NSK65466 OCG65465:OCG65466 OMC65465:OMC65466 OVY65465:OVY65466 PFU65465:PFU65466 PPQ65465:PPQ65466 PZM65465:PZM65466 QJI65465:QJI65466 QTE65465:QTE65466 RDA65465:RDA65466 RMW65465:RMW65466 RWS65465:RWS65466 SGO65465:SGO65466 SQK65465:SQK65466 TAG65465:TAG65466 TKC65465:TKC65466 TTY65465:TTY65466 UDU65465:UDU65466 UNQ65465:UNQ65466 UXM65465:UXM65466 VHI65465:VHI65466 VRE65465:VRE65466 WBA65465:WBA65466 WKW65465:WKW65466 WUS65465:WUS65466 D131055:D131056 IG131001:IG131002 SC131001:SC131002 ABY131001:ABY131002 ALU131001:ALU131002 AVQ131001:AVQ131002 BFM131001:BFM131002 BPI131001:BPI131002 BZE131001:BZE131002 CJA131001:CJA131002 CSW131001:CSW131002 DCS131001:DCS131002 DMO131001:DMO131002 DWK131001:DWK131002 EGG131001:EGG131002 EQC131001:EQC131002 EZY131001:EZY131002 FJU131001:FJU131002 FTQ131001:FTQ131002 GDM131001:GDM131002 GNI131001:GNI131002 GXE131001:GXE131002 HHA131001:HHA131002 HQW131001:HQW131002 IAS131001:IAS131002 IKO131001:IKO131002 IUK131001:IUK131002 JEG131001:JEG131002 JOC131001:JOC131002 JXY131001:JXY131002 KHU131001:KHU131002 KRQ131001:KRQ131002 LBM131001:LBM131002 LLI131001:LLI131002 LVE131001:LVE131002 MFA131001:MFA131002 MOW131001:MOW131002 MYS131001:MYS131002 NIO131001:NIO131002 NSK131001:NSK131002 OCG131001:OCG131002 OMC131001:OMC131002 OVY131001:OVY131002 PFU131001:PFU131002 PPQ131001:PPQ131002 PZM131001:PZM131002 QJI131001:QJI131002 QTE131001:QTE131002 RDA131001:RDA131002 RMW131001:RMW131002 RWS131001:RWS131002 SGO131001:SGO131002 SQK131001:SQK131002 TAG131001:TAG131002 TKC131001:TKC131002 TTY131001:TTY131002 UDU131001:UDU131002 UNQ131001:UNQ131002 UXM131001:UXM131002 VHI131001:VHI131002 VRE131001:VRE131002 WBA131001:WBA131002 WKW131001:WKW131002 WUS131001:WUS131002 D196591:D196592 IG196537:IG196538 SC196537:SC196538 ABY196537:ABY196538 ALU196537:ALU196538 AVQ196537:AVQ196538 BFM196537:BFM196538 BPI196537:BPI196538 BZE196537:BZE196538 CJA196537:CJA196538 CSW196537:CSW196538 DCS196537:DCS196538 DMO196537:DMO196538 DWK196537:DWK196538 EGG196537:EGG196538 EQC196537:EQC196538 EZY196537:EZY196538 FJU196537:FJU196538 FTQ196537:FTQ196538 GDM196537:GDM196538 GNI196537:GNI196538 GXE196537:GXE196538 HHA196537:HHA196538 HQW196537:HQW196538 IAS196537:IAS196538 IKO196537:IKO196538 IUK196537:IUK196538 JEG196537:JEG196538 JOC196537:JOC196538 JXY196537:JXY196538 KHU196537:KHU196538 KRQ196537:KRQ196538 LBM196537:LBM196538 LLI196537:LLI196538 LVE196537:LVE196538 MFA196537:MFA196538 MOW196537:MOW196538 MYS196537:MYS196538 NIO196537:NIO196538 NSK196537:NSK196538 OCG196537:OCG196538 OMC196537:OMC196538 OVY196537:OVY196538 PFU196537:PFU196538 PPQ196537:PPQ196538 PZM196537:PZM196538 QJI196537:QJI196538 QTE196537:QTE196538 RDA196537:RDA196538 RMW196537:RMW196538 RWS196537:RWS196538 SGO196537:SGO196538 SQK196537:SQK196538 TAG196537:TAG196538 TKC196537:TKC196538 TTY196537:TTY196538 UDU196537:UDU196538 UNQ196537:UNQ196538 UXM196537:UXM196538 VHI196537:VHI196538 VRE196537:VRE196538 WBA196537:WBA196538 WKW196537:WKW196538 WUS196537:WUS196538 D262127:D262128 IG262073:IG262074 SC262073:SC262074 ABY262073:ABY262074 ALU262073:ALU262074 AVQ262073:AVQ262074 BFM262073:BFM262074 BPI262073:BPI262074 BZE262073:BZE262074 CJA262073:CJA262074 CSW262073:CSW262074 DCS262073:DCS262074 DMO262073:DMO262074 DWK262073:DWK262074 EGG262073:EGG262074 EQC262073:EQC262074 EZY262073:EZY262074 FJU262073:FJU262074 FTQ262073:FTQ262074 GDM262073:GDM262074 GNI262073:GNI262074 GXE262073:GXE262074 HHA262073:HHA262074 HQW262073:HQW262074 IAS262073:IAS262074 IKO262073:IKO262074 IUK262073:IUK262074 JEG262073:JEG262074 JOC262073:JOC262074 JXY262073:JXY262074 KHU262073:KHU262074 KRQ262073:KRQ262074 LBM262073:LBM262074 LLI262073:LLI262074 LVE262073:LVE262074 MFA262073:MFA262074 MOW262073:MOW262074 MYS262073:MYS262074 NIO262073:NIO262074 NSK262073:NSK262074 OCG262073:OCG262074 OMC262073:OMC262074 OVY262073:OVY262074 PFU262073:PFU262074 PPQ262073:PPQ262074 PZM262073:PZM262074 QJI262073:QJI262074 QTE262073:QTE262074 RDA262073:RDA262074 RMW262073:RMW262074 RWS262073:RWS262074 SGO262073:SGO262074 SQK262073:SQK262074 TAG262073:TAG262074 TKC262073:TKC262074 TTY262073:TTY262074 UDU262073:UDU262074 UNQ262073:UNQ262074 UXM262073:UXM262074 VHI262073:VHI262074 VRE262073:VRE262074 WBA262073:WBA262074 WKW262073:WKW262074 WUS262073:WUS262074 D327663:D327664 IG327609:IG327610 SC327609:SC327610 ABY327609:ABY327610 ALU327609:ALU327610 AVQ327609:AVQ327610 BFM327609:BFM327610 BPI327609:BPI327610 BZE327609:BZE327610 CJA327609:CJA327610 CSW327609:CSW327610 DCS327609:DCS327610 DMO327609:DMO327610 DWK327609:DWK327610 EGG327609:EGG327610 EQC327609:EQC327610 EZY327609:EZY327610 FJU327609:FJU327610 FTQ327609:FTQ327610 GDM327609:GDM327610 GNI327609:GNI327610 GXE327609:GXE327610 HHA327609:HHA327610 HQW327609:HQW327610 IAS327609:IAS327610 IKO327609:IKO327610 IUK327609:IUK327610 JEG327609:JEG327610 JOC327609:JOC327610 JXY327609:JXY327610 KHU327609:KHU327610 KRQ327609:KRQ327610 LBM327609:LBM327610 LLI327609:LLI327610 LVE327609:LVE327610 MFA327609:MFA327610 MOW327609:MOW327610 MYS327609:MYS327610 NIO327609:NIO327610 NSK327609:NSK327610 OCG327609:OCG327610 OMC327609:OMC327610 OVY327609:OVY327610 PFU327609:PFU327610 PPQ327609:PPQ327610 PZM327609:PZM327610 QJI327609:QJI327610 QTE327609:QTE327610 RDA327609:RDA327610 RMW327609:RMW327610 RWS327609:RWS327610 SGO327609:SGO327610 SQK327609:SQK327610 TAG327609:TAG327610 TKC327609:TKC327610 TTY327609:TTY327610 UDU327609:UDU327610 UNQ327609:UNQ327610 UXM327609:UXM327610 VHI327609:VHI327610 VRE327609:VRE327610 WBA327609:WBA327610 WKW327609:WKW327610 WUS327609:WUS327610 D393199:D393200 IG393145:IG393146 SC393145:SC393146 ABY393145:ABY393146 ALU393145:ALU393146 AVQ393145:AVQ393146 BFM393145:BFM393146 BPI393145:BPI393146 BZE393145:BZE393146 CJA393145:CJA393146 CSW393145:CSW393146 DCS393145:DCS393146 DMO393145:DMO393146 DWK393145:DWK393146 EGG393145:EGG393146 EQC393145:EQC393146 EZY393145:EZY393146 FJU393145:FJU393146 FTQ393145:FTQ393146 GDM393145:GDM393146 GNI393145:GNI393146 GXE393145:GXE393146 HHA393145:HHA393146 HQW393145:HQW393146 IAS393145:IAS393146 IKO393145:IKO393146 IUK393145:IUK393146 JEG393145:JEG393146 JOC393145:JOC393146 JXY393145:JXY393146 KHU393145:KHU393146 KRQ393145:KRQ393146 LBM393145:LBM393146 LLI393145:LLI393146 LVE393145:LVE393146 MFA393145:MFA393146 MOW393145:MOW393146 MYS393145:MYS393146 NIO393145:NIO393146 NSK393145:NSK393146 OCG393145:OCG393146 OMC393145:OMC393146 OVY393145:OVY393146 PFU393145:PFU393146 PPQ393145:PPQ393146 PZM393145:PZM393146 QJI393145:QJI393146 QTE393145:QTE393146 RDA393145:RDA393146 RMW393145:RMW393146 RWS393145:RWS393146 SGO393145:SGO393146 SQK393145:SQK393146 TAG393145:TAG393146 TKC393145:TKC393146 TTY393145:TTY393146 UDU393145:UDU393146 UNQ393145:UNQ393146 UXM393145:UXM393146 VHI393145:VHI393146 VRE393145:VRE393146 WBA393145:WBA393146 WKW393145:WKW393146 WUS393145:WUS393146 D458735:D458736 IG458681:IG458682 SC458681:SC458682 ABY458681:ABY458682 ALU458681:ALU458682 AVQ458681:AVQ458682 BFM458681:BFM458682 BPI458681:BPI458682 BZE458681:BZE458682 CJA458681:CJA458682 CSW458681:CSW458682 DCS458681:DCS458682 DMO458681:DMO458682 DWK458681:DWK458682 EGG458681:EGG458682 EQC458681:EQC458682 EZY458681:EZY458682 FJU458681:FJU458682 FTQ458681:FTQ458682 GDM458681:GDM458682 GNI458681:GNI458682 GXE458681:GXE458682 HHA458681:HHA458682 HQW458681:HQW458682 IAS458681:IAS458682 IKO458681:IKO458682 IUK458681:IUK458682 JEG458681:JEG458682 JOC458681:JOC458682 JXY458681:JXY458682 KHU458681:KHU458682 KRQ458681:KRQ458682 LBM458681:LBM458682 LLI458681:LLI458682 LVE458681:LVE458682 MFA458681:MFA458682 MOW458681:MOW458682 MYS458681:MYS458682 NIO458681:NIO458682 NSK458681:NSK458682 OCG458681:OCG458682 OMC458681:OMC458682 OVY458681:OVY458682 PFU458681:PFU458682 PPQ458681:PPQ458682 PZM458681:PZM458682 QJI458681:QJI458682 QTE458681:QTE458682 RDA458681:RDA458682 RMW458681:RMW458682 RWS458681:RWS458682 SGO458681:SGO458682 SQK458681:SQK458682 TAG458681:TAG458682 TKC458681:TKC458682 TTY458681:TTY458682 UDU458681:UDU458682 UNQ458681:UNQ458682 UXM458681:UXM458682 VHI458681:VHI458682 VRE458681:VRE458682 WBA458681:WBA458682 WKW458681:WKW458682 WUS458681:WUS458682 D524271:D524272 IG524217:IG524218 SC524217:SC524218 ABY524217:ABY524218 ALU524217:ALU524218 AVQ524217:AVQ524218 BFM524217:BFM524218 BPI524217:BPI524218 BZE524217:BZE524218 CJA524217:CJA524218 CSW524217:CSW524218 DCS524217:DCS524218 DMO524217:DMO524218 DWK524217:DWK524218 EGG524217:EGG524218 EQC524217:EQC524218 EZY524217:EZY524218 FJU524217:FJU524218 FTQ524217:FTQ524218 GDM524217:GDM524218 GNI524217:GNI524218 GXE524217:GXE524218 HHA524217:HHA524218 HQW524217:HQW524218 IAS524217:IAS524218 IKO524217:IKO524218 IUK524217:IUK524218 JEG524217:JEG524218 JOC524217:JOC524218 JXY524217:JXY524218 KHU524217:KHU524218 KRQ524217:KRQ524218 LBM524217:LBM524218 LLI524217:LLI524218 LVE524217:LVE524218 MFA524217:MFA524218 MOW524217:MOW524218 MYS524217:MYS524218 NIO524217:NIO524218 NSK524217:NSK524218 OCG524217:OCG524218 OMC524217:OMC524218 OVY524217:OVY524218 PFU524217:PFU524218 PPQ524217:PPQ524218 PZM524217:PZM524218 QJI524217:QJI524218 QTE524217:QTE524218 RDA524217:RDA524218 RMW524217:RMW524218 RWS524217:RWS524218 SGO524217:SGO524218 SQK524217:SQK524218 TAG524217:TAG524218 TKC524217:TKC524218 TTY524217:TTY524218 UDU524217:UDU524218 UNQ524217:UNQ524218 UXM524217:UXM524218 VHI524217:VHI524218 VRE524217:VRE524218 WBA524217:WBA524218 WKW524217:WKW524218 WUS524217:WUS524218 D589807:D589808 IG589753:IG589754 SC589753:SC589754 ABY589753:ABY589754 ALU589753:ALU589754 AVQ589753:AVQ589754 BFM589753:BFM589754 BPI589753:BPI589754 BZE589753:BZE589754 CJA589753:CJA589754 CSW589753:CSW589754 DCS589753:DCS589754 DMO589753:DMO589754 DWK589753:DWK589754 EGG589753:EGG589754 EQC589753:EQC589754 EZY589753:EZY589754 FJU589753:FJU589754 FTQ589753:FTQ589754 GDM589753:GDM589754 GNI589753:GNI589754 GXE589753:GXE589754 HHA589753:HHA589754 HQW589753:HQW589754 IAS589753:IAS589754 IKO589753:IKO589754 IUK589753:IUK589754 JEG589753:JEG589754 JOC589753:JOC589754 JXY589753:JXY589754 KHU589753:KHU589754 KRQ589753:KRQ589754 LBM589753:LBM589754 LLI589753:LLI589754 LVE589753:LVE589754 MFA589753:MFA589754 MOW589753:MOW589754 MYS589753:MYS589754 NIO589753:NIO589754 NSK589753:NSK589754 OCG589753:OCG589754 OMC589753:OMC589754 OVY589753:OVY589754 PFU589753:PFU589754 PPQ589753:PPQ589754 PZM589753:PZM589754 QJI589753:QJI589754 QTE589753:QTE589754 RDA589753:RDA589754 RMW589753:RMW589754 RWS589753:RWS589754 SGO589753:SGO589754 SQK589753:SQK589754 TAG589753:TAG589754 TKC589753:TKC589754 TTY589753:TTY589754 UDU589753:UDU589754 UNQ589753:UNQ589754 UXM589753:UXM589754 VHI589753:VHI589754 VRE589753:VRE589754 WBA589753:WBA589754 WKW589753:WKW589754 WUS589753:WUS589754 D655343:D655344 IG655289:IG655290 SC655289:SC655290 ABY655289:ABY655290 ALU655289:ALU655290 AVQ655289:AVQ655290 BFM655289:BFM655290 BPI655289:BPI655290 BZE655289:BZE655290 CJA655289:CJA655290 CSW655289:CSW655290 DCS655289:DCS655290 DMO655289:DMO655290 DWK655289:DWK655290 EGG655289:EGG655290 EQC655289:EQC655290 EZY655289:EZY655290 FJU655289:FJU655290 FTQ655289:FTQ655290 GDM655289:GDM655290 GNI655289:GNI655290 GXE655289:GXE655290 HHA655289:HHA655290 HQW655289:HQW655290 IAS655289:IAS655290 IKO655289:IKO655290 IUK655289:IUK655290 JEG655289:JEG655290 JOC655289:JOC655290 JXY655289:JXY655290 KHU655289:KHU655290 KRQ655289:KRQ655290 LBM655289:LBM655290 LLI655289:LLI655290 LVE655289:LVE655290 MFA655289:MFA655290 MOW655289:MOW655290 MYS655289:MYS655290 NIO655289:NIO655290 NSK655289:NSK655290 OCG655289:OCG655290 OMC655289:OMC655290 OVY655289:OVY655290 PFU655289:PFU655290 PPQ655289:PPQ655290 PZM655289:PZM655290 QJI655289:QJI655290 QTE655289:QTE655290 RDA655289:RDA655290 RMW655289:RMW655290 RWS655289:RWS655290 SGO655289:SGO655290 SQK655289:SQK655290 TAG655289:TAG655290 TKC655289:TKC655290 TTY655289:TTY655290 UDU655289:UDU655290 UNQ655289:UNQ655290 UXM655289:UXM655290 VHI655289:VHI655290 VRE655289:VRE655290 WBA655289:WBA655290 WKW655289:WKW655290 WUS655289:WUS655290 D720879:D720880 IG720825:IG720826 SC720825:SC720826 ABY720825:ABY720826 ALU720825:ALU720826 AVQ720825:AVQ720826 BFM720825:BFM720826 BPI720825:BPI720826 BZE720825:BZE720826 CJA720825:CJA720826 CSW720825:CSW720826 DCS720825:DCS720826 DMO720825:DMO720826 DWK720825:DWK720826 EGG720825:EGG720826 EQC720825:EQC720826 EZY720825:EZY720826 FJU720825:FJU720826 FTQ720825:FTQ720826 GDM720825:GDM720826 GNI720825:GNI720826 GXE720825:GXE720826 HHA720825:HHA720826 HQW720825:HQW720826 IAS720825:IAS720826 IKO720825:IKO720826 IUK720825:IUK720826 JEG720825:JEG720826 JOC720825:JOC720826 JXY720825:JXY720826 KHU720825:KHU720826 KRQ720825:KRQ720826 LBM720825:LBM720826 LLI720825:LLI720826 LVE720825:LVE720826 MFA720825:MFA720826 MOW720825:MOW720826 MYS720825:MYS720826 NIO720825:NIO720826 NSK720825:NSK720826 OCG720825:OCG720826 OMC720825:OMC720826 OVY720825:OVY720826 PFU720825:PFU720826 PPQ720825:PPQ720826 PZM720825:PZM720826 QJI720825:QJI720826 QTE720825:QTE720826 RDA720825:RDA720826 RMW720825:RMW720826 RWS720825:RWS720826 SGO720825:SGO720826 SQK720825:SQK720826 TAG720825:TAG720826 TKC720825:TKC720826 TTY720825:TTY720826 UDU720825:UDU720826 UNQ720825:UNQ720826 UXM720825:UXM720826 VHI720825:VHI720826 VRE720825:VRE720826 WBA720825:WBA720826 WKW720825:WKW720826 WUS720825:WUS720826 D786415:D786416 IG786361:IG786362 SC786361:SC786362 ABY786361:ABY786362 ALU786361:ALU786362 AVQ786361:AVQ786362 BFM786361:BFM786362 BPI786361:BPI786362 BZE786361:BZE786362 CJA786361:CJA786362 CSW786361:CSW786362 DCS786361:DCS786362 DMO786361:DMO786362 DWK786361:DWK786362 EGG786361:EGG786362 EQC786361:EQC786362 EZY786361:EZY786362 FJU786361:FJU786362 FTQ786361:FTQ786362 GDM786361:GDM786362 GNI786361:GNI786362 GXE786361:GXE786362 HHA786361:HHA786362 HQW786361:HQW786362 IAS786361:IAS786362 IKO786361:IKO786362 IUK786361:IUK786362 JEG786361:JEG786362 JOC786361:JOC786362 JXY786361:JXY786362 KHU786361:KHU786362 KRQ786361:KRQ786362 LBM786361:LBM786362 LLI786361:LLI786362 LVE786361:LVE786362 MFA786361:MFA786362 MOW786361:MOW786362 MYS786361:MYS786362 NIO786361:NIO786362 NSK786361:NSK786362 OCG786361:OCG786362 OMC786361:OMC786362 OVY786361:OVY786362 PFU786361:PFU786362 PPQ786361:PPQ786362 PZM786361:PZM786362 QJI786361:QJI786362 QTE786361:QTE786362 RDA786361:RDA786362 RMW786361:RMW786362 RWS786361:RWS786362 SGO786361:SGO786362 SQK786361:SQK786362 TAG786361:TAG786362 TKC786361:TKC786362 TTY786361:TTY786362 UDU786361:UDU786362 UNQ786361:UNQ786362 UXM786361:UXM786362 VHI786361:VHI786362 VRE786361:VRE786362 WBA786361:WBA786362 WKW786361:WKW786362 WUS786361:WUS786362 D851951:D851952 IG851897:IG851898 SC851897:SC851898 ABY851897:ABY851898 ALU851897:ALU851898 AVQ851897:AVQ851898 BFM851897:BFM851898 BPI851897:BPI851898 BZE851897:BZE851898 CJA851897:CJA851898 CSW851897:CSW851898 DCS851897:DCS851898 DMO851897:DMO851898 DWK851897:DWK851898 EGG851897:EGG851898 EQC851897:EQC851898 EZY851897:EZY851898 FJU851897:FJU851898 FTQ851897:FTQ851898 GDM851897:GDM851898 GNI851897:GNI851898 GXE851897:GXE851898 HHA851897:HHA851898 HQW851897:HQW851898 IAS851897:IAS851898 IKO851897:IKO851898 IUK851897:IUK851898 JEG851897:JEG851898 JOC851897:JOC851898 JXY851897:JXY851898 KHU851897:KHU851898 KRQ851897:KRQ851898 LBM851897:LBM851898 LLI851897:LLI851898 LVE851897:LVE851898 MFA851897:MFA851898 MOW851897:MOW851898 MYS851897:MYS851898 NIO851897:NIO851898 NSK851897:NSK851898 OCG851897:OCG851898 OMC851897:OMC851898 OVY851897:OVY851898 PFU851897:PFU851898 PPQ851897:PPQ851898 PZM851897:PZM851898 QJI851897:QJI851898 QTE851897:QTE851898 RDA851897:RDA851898 RMW851897:RMW851898 RWS851897:RWS851898 SGO851897:SGO851898 SQK851897:SQK851898 TAG851897:TAG851898 TKC851897:TKC851898 TTY851897:TTY851898 UDU851897:UDU851898 UNQ851897:UNQ851898 UXM851897:UXM851898 VHI851897:VHI851898 VRE851897:VRE851898 WBA851897:WBA851898 WKW851897:WKW851898 WUS851897:WUS851898 D917487:D917488 IG917433:IG917434 SC917433:SC917434 ABY917433:ABY917434 ALU917433:ALU917434 AVQ917433:AVQ917434 BFM917433:BFM917434 BPI917433:BPI917434 BZE917433:BZE917434 CJA917433:CJA917434 CSW917433:CSW917434 DCS917433:DCS917434 DMO917433:DMO917434 DWK917433:DWK917434 EGG917433:EGG917434 EQC917433:EQC917434 EZY917433:EZY917434 FJU917433:FJU917434 FTQ917433:FTQ917434 GDM917433:GDM917434 GNI917433:GNI917434 GXE917433:GXE917434 HHA917433:HHA917434 HQW917433:HQW917434 IAS917433:IAS917434 IKO917433:IKO917434 IUK917433:IUK917434 JEG917433:JEG917434 JOC917433:JOC917434 JXY917433:JXY917434 KHU917433:KHU917434 KRQ917433:KRQ917434 LBM917433:LBM917434 LLI917433:LLI917434 LVE917433:LVE917434 MFA917433:MFA917434 MOW917433:MOW917434 MYS917433:MYS917434 NIO917433:NIO917434 NSK917433:NSK917434 OCG917433:OCG917434 OMC917433:OMC917434 OVY917433:OVY917434 PFU917433:PFU917434 PPQ917433:PPQ917434 PZM917433:PZM917434 QJI917433:QJI917434 QTE917433:QTE917434 RDA917433:RDA917434 RMW917433:RMW917434 RWS917433:RWS917434 SGO917433:SGO917434 SQK917433:SQK917434 TAG917433:TAG917434 TKC917433:TKC917434 TTY917433:TTY917434 UDU917433:UDU917434 UNQ917433:UNQ917434 UXM917433:UXM917434 VHI917433:VHI917434 VRE917433:VRE917434 WBA917433:WBA917434 WKW917433:WKW917434 WUS917433:WUS917434 D983023:D983024 IG982969:IG982970 SC982969:SC982970 ABY982969:ABY982970 ALU982969:ALU982970 AVQ982969:AVQ982970 BFM982969:BFM982970 BPI982969:BPI982970 BZE982969:BZE982970 CJA982969:CJA982970 CSW982969:CSW982970 DCS982969:DCS982970 DMO982969:DMO982970 DWK982969:DWK982970 EGG982969:EGG982970 EQC982969:EQC982970 EZY982969:EZY982970 FJU982969:FJU982970 FTQ982969:FTQ982970 GDM982969:GDM982970 GNI982969:GNI982970 GXE982969:GXE982970 HHA982969:HHA982970 HQW982969:HQW982970 IAS982969:IAS982970 IKO982969:IKO982970 IUK982969:IUK982970 JEG982969:JEG982970 JOC982969:JOC982970 JXY982969:JXY982970 KHU982969:KHU982970 KRQ982969:KRQ982970 LBM982969:LBM982970 LLI982969:LLI982970 LVE982969:LVE982970 MFA982969:MFA982970 MOW982969:MOW982970 MYS982969:MYS982970 NIO982969:NIO982970 NSK982969:NSK982970 OCG982969:OCG982970 OMC982969:OMC982970 OVY982969:OVY982970 PFU982969:PFU982970 PPQ982969:PPQ982970 PZM982969:PZM982970 QJI982969:QJI982970 QTE982969:QTE982970 RDA982969:RDA982970 RMW982969:RMW982970 RWS982969:RWS982970 SGO982969:SGO982970 SQK982969:SQK982970 TAG982969:TAG982970 TKC982969:TKC982970 TTY982969:TTY982970 UDU982969:UDU982970 UNQ982969:UNQ982970 UXM982969:UXM982970 VHI982969:VHI982970 VRE982969:VRE982970 WBA982969:WBA982970 WKW982969:WKW982970 WUS982969:WUS982970 D31 IG32 SC32 ABY32 ALU32 AVQ32 BFM32 BPI32 BZE32 CJA32 CSW32 DCS32 DMO32 DWK32 EGG32 EQC32 EZY32 FJU32 FTQ32 GDM32 GNI32 GXE32 HHA32 HQW32 IAS32 IKO32 IUK32 JEG32 JOC32 JXY32 KHU32 KRQ32 LBM32 LLI32 LVE32 MFA32 MOW32 MYS32 NIO32 NSK32 OCG32 OMC32 OVY32 PFU32 PPQ32 PZM32 QJI32 QTE32 RDA32 RMW32 RWS32 SGO32 SQK32 TAG32 TKC32 TTY32 UDU32 UNQ32 UXM32 VHI32 VRE32 WBA32 WKW32 WUS32 D65522 IG65468 SC65468 ABY65468 ALU65468 AVQ65468 BFM65468 BPI65468 BZE65468 CJA65468 CSW65468 DCS65468 DMO65468 DWK65468 EGG65468 EQC65468 EZY65468 FJU65468 FTQ65468 GDM65468 GNI65468 GXE65468 HHA65468 HQW65468 IAS65468 IKO65468 IUK65468 JEG65468 JOC65468 JXY65468 KHU65468 KRQ65468 LBM65468 LLI65468 LVE65468 MFA65468 MOW65468 MYS65468 NIO65468 NSK65468 OCG65468 OMC65468 OVY65468 PFU65468 PPQ65468 PZM65468 QJI65468 QTE65468 RDA65468 RMW65468 RWS65468 SGO65468 SQK65468 TAG65468 TKC65468 TTY65468 UDU65468 UNQ65468 UXM65468 VHI65468 VRE65468 WBA65468 WKW65468 WUS65468 D131058 IG131004 SC131004 ABY131004 ALU131004 AVQ131004 BFM131004 BPI131004 BZE131004 CJA131004 CSW131004 DCS131004 DMO131004 DWK131004 EGG131004 EQC131004 EZY131004 FJU131004 FTQ131004 GDM131004 GNI131004 GXE131004 HHA131004 HQW131004 IAS131004 IKO131004 IUK131004 JEG131004 JOC131004 JXY131004 KHU131004 KRQ131004 LBM131004 LLI131004 LVE131004 MFA131004 MOW131004 MYS131004 NIO131004 NSK131004 OCG131004 OMC131004 OVY131004 PFU131004 PPQ131004 PZM131004 QJI131004 QTE131004 RDA131004 RMW131004 RWS131004 SGO131004 SQK131004 TAG131004 TKC131004 TTY131004 UDU131004 UNQ131004 UXM131004 VHI131004 VRE131004 WBA131004 WKW131004 WUS131004 D196594 IG196540 SC196540 ABY196540 ALU196540 AVQ196540 BFM196540 BPI196540 BZE196540 CJA196540 CSW196540 DCS196540 DMO196540 DWK196540 EGG196540 EQC196540 EZY196540 FJU196540 FTQ196540 GDM196540 GNI196540 GXE196540 HHA196540 HQW196540 IAS196540 IKO196540 IUK196540 JEG196540 JOC196540 JXY196540 KHU196540 KRQ196540 LBM196540 LLI196540 LVE196540 MFA196540 MOW196540 MYS196540 NIO196540 NSK196540 OCG196540 OMC196540 OVY196540 PFU196540 PPQ196540 PZM196540 QJI196540 QTE196540 RDA196540 RMW196540 RWS196540 SGO196540 SQK196540 TAG196540 TKC196540 TTY196540 UDU196540 UNQ196540 UXM196540 VHI196540 VRE196540 WBA196540 WKW196540 WUS196540 D262130 IG262076 SC262076 ABY262076 ALU262076 AVQ262076 BFM262076 BPI262076 BZE262076 CJA262076 CSW262076 DCS262076 DMO262076 DWK262076 EGG262076 EQC262076 EZY262076 FJU262076 FTQ262076 GDM262076 GNI262076 GXE262076 HHA262076 HQW262076 IAS262076 IKO262076 IUK262076 JEG262076 JOC262076 JXY262076 KHU262076 KRQ262076 LBM262076 LLI262076 LVE262076 MFA262076 MOW262076 MYS262076 NIO262076 NSK262076 OCG262076 OMC262076 OVY262076 PFU262076 PPQ262076 PZM262076 QJI262076 QTE262076 RDA262076 RMW262076 RWS262076 SGO262076 SQK262076 TAG262076 TKC262076 TTY262076 UDU262076 UNQ262076 UXM262076 VHI262076 VRE262076 WBA262076 WKW262076 WUS262076 D327666 IG327612 SC327612 ABY327612 ALU327612 AVQ327612 BFM327612 BPI327612 BZE327612 CJA327612 CSW327612 DCS327612 DMO327612 DWK327612 EGG327612 EQC327612 EZY327612 FJU327612 FTQ327612 GDM327612 GNI327612 GXE327612 HHA327612 HQW327612 IAS327612 IKO327612 IUK327612 JEG327612 JOC327612 JXY327612 KHU327612 KRQ327612 LBM327612 LLI327612 LVE327612 MFA327612 MOW327612 MYS327612 NIO327612 NSK327612 OCG327612 OMC327612 OVY327612 PFU327612 PPQ327612 PZM327612 QJI327612 QTE327612 RDA327612 RMW327612 RWS327612 SGO327612 SQK327612 TAG327612 TKC327612 TTY327612 UDU327612 UNQ327612 UXM327612 VHI327612 VRE327612 WBA327612 WKW327612 WUS327612 D393202 IG393148 SC393148 ABY393148 ALU393148 AVQ393148 BFM393148 BPI393148 BZE393148 CJA393148 CSW393148 DCS393148 DMO393148 DWK393148 EGG393148 EQC393148 EZY393148 FJU393148 FTQ393148 GDM393148 GNI393148 GXE393148 HHA393148 HQW393148 IAS393148 IKO393148 IUK393148 JEG393148 JOC393148 JXY393148 KHU393148 KRQ393148 LBM393148 LLI393148 LVE393148 MFA393148 MOW393148 MYS393148 NIO393148 NSK393148 OCG393148 OMC393148 OVY393148 PFU393148 PPQ393148 PZM393148 QJI393148 QTE393148 RDA393148 RMW393148 RWS393148 SGO393148 SQK393148 TAG393148 TKC393148 TTY393148 UDU393148 UNQ393148 UXM393148 VHI393148 VRE393148 WBA393148 WKW393148 WUS393148 D458738 IG458684 SC458684 ABY458684 ALU458684 AVQ458684 BFM458684 BPI458684 BZE458684 CJA458684 CSW458684 DCS458684 DMO458684 DWK458684 EGG458684 EQC458684 EZY458684 FJU458684 FTQ458684 GDM458684 GNI458684 GXE458684 HHA458684 HQW458684 IAS458684 IKO458684 IUK458684 JEG458684 JOC458684 JXY458684 KHU458684 KRQ458684 LBM458684 LLI458684 LVE458684 MFA458684 MOW458684 MYS458684 NIO458684 NSK458684 OCG458684 OMC458684 OVY458684 PFU458684 PPQ458684 PZM458684 QJI458684 QTE458684 RDA458684 RMW458684 RWS458684 SGO458684 SQK458684 TAG458684 TKC458684 TTY458684 UDU458684 UNQ458684 UXM458684 VHI458684 VRE458684 WBA458684 WKW458684 WUS458684 D524274 IG524220 SC524220 ABY524220 ALU524220 AVQ524220 BFM524220 BPI524220 BZE524220 CJA524220 CSW524220 DCS524220 DMO524220 DWK524220 EGG524220 EQC524220 EZY524220 FJU524220 FTQ524220 GDM524220 GNI524220 GXE524220 HHA524220 HQW524220 IAS524220 IKO524220 IUK524220 JEG524220 JOC524220 JXY524220 KHU524220 KRQ524220 LBM524220 LLI524220 LVE524220 MFA524220 MOW524220 MYS524220 NIO524220 NSK524220 OCG524220 OMC524220 OVY524220 PFU524220 PPQ524220 PZM524220 QJI524220 QTE524220 RDA524220 RMW524220 RWS524220 SGO524220 SQK524220 TAG524220 TKC524220 TTY524220 UDU524220 UNQ524220 UXM524220 VHI524220 VRE524220 WBA524220 WKW524220 WUS524220 D589810 IG589756 SC589756 ABY589756 ALU589756 AVQ589756 BFM589756 BPI589756 BZE589756 CJA589756 CSW589756 DCS589756 DMO589756 DWK589756 EGG589756 EQC589756 EZY589756 FJU589756 FTQ589756 GDM589756 GNI589756 GXE589756 HHA589756 HQW589756 IAS589756 IKO589756 IUK589756 JEG589756 JOC589756 JXY589756 KHU589756 KRQ589756 LBM589756 LLI589756 LVE589756 MFA589756 MOW589756 MYS589756 NIO589756 NSK589756 OCG589756 OMC589756 OVY589756 PFU589756 PPQ589756 PZM589756 QJI589756 QTE589756 RDA589756 RMW589756 RWS589756 SGO589756 SQK589756 TAG589756 TKC589756 TTY589756 UDU589756 UNQ589756 UXM589756 VHI589756 VRE589756 WBA589756 WKW589756 WUS589756 D655346 IG655292 SC655292 ABY655292 ALU655292 AVQ655292 BFM655292 BPI655292 BZE655292 CJA655292 CSW655292 DCS655292 DMO655292 DWK655292 EGG655292 EQC655292 EZY655292 FJU655292 FTQ655292 GDM655292 GNI655292 GXE655292 HHA655292 HQW655292 IAS655292 IKO655292 IUK655292 JEG655292 JOC655292 JXY655292 KHU655292 KRQ655292 LBM655292 LLI655292 LVE655292 MFA655292 MOW655292 MYS655292 NIO655292 NSK655292 OCG655292 OMC655292 OVY655292 PFU655292 PPQ655292 PZM655292 QJI655292 QTE655292 RDA655292 RMW655292 RWS655292 SGO655292 SQK655292 TAG655292 TKC655292 TTY655292 UDU655292 UNQ655292 UXM655292 VHI655292 VRE655292 WBA655292 WKW655292 WUS655292 D720882 IG720828 SC720828 ABY720828 ALU720828 AVQ720828 BFM720828 BPI720828 BZE720828 CJA720828 CSW720828 DCS720828 DMO720828 DWK720828 EGG720828 EQC720828 EZY720828 FJU720828 FTQ720828 GDM720828 GNI720828 GXE720828 HHA720828 HQW720828 IAS720828 IKO720828 IUK720828 JEG720828 JOC720828 JXY720828 KHU720828 KRQ720828 LBM720828 LLI720828 LVE720828 MFA720828 MOW720828 MYS720828 NIO720828 NSK720828 OCG720828 OMC720828 OVY720828 PFU720828 PPQ720828 PZM720828 QJI720828 QTE720828 RDA720828 RMW720828 RWS720828 SGO720828 SQK720828 TAG720828 TKC720828 TTY720828 UDU720828 UNQ720828 UXM720828 VHI720828 VRE720828 WBA720828 WKW720828 WUS720828 D786418 IG786364 SC786364 ABY786364 ALU786364 AVQ786364 BFM786364 BPI786364 BZE786364 CJA786364 CSW786364 DCS786364 DMO786364 DWK786364 EGG786364 EQC786364 EZY786364 FJU786364 FTQ786364 GDM786364 GNI786364 GXE786364 HHA786364 HQW786364 IAS786364 IKO786364 IUK786364 JEG786364 JOC786364 JXY786364 KHU786364 KRQ786364 LBM786364 LLI786364 LVE786364 MFA786364 MOW786364 MYS786364 NIO786364 NSK786364 OCG786364 OMC786364 OVY786364 PFU786364 PPQ786364 PZM786364 QJI786364 QTE786364 RDA786364 RMW786364 RWS786364 SGO786364 SQK786364 TAG786364 TKC786364 TTY786364 UDU786364 UNQ786364 UXM786364 VHI786364 VRE786364 WBA786364 WKW786364 WUS786364 D851954 IG851900 SC851900 ABY851900 ALU851900 AVQ851900 BFM851900 BPI851900 BZE851900 CJA851900 CSW851900 DCS851900 DMO851900 DWK851900 EGG851900 EQC851900 EZY851900 FJU851900 FTQ851900 GDM851900 GNI851900 GXE851900 HHA851900 HQW851900 IAS851900 IKO851900 IUK851900 JEG851900 JOC851900 JXY851900 KHU851900 KRQ851900 LBM851900 LLI851900 LVE851900 MFA851900 MOW851900 MYS851900 NIO851900 NSK851900 OCG851900 OMC851900 OVY851900 PFU851900 PPQ851900 PZM851900 QJI851900 QTE851900 RDA851900 RMW851900 RWS851900 SGO851900 SQK851900 TAG851900 TKC851900 TTY851900 UDU851900 UNQ851900 UXM851900 VHI851900 VRE851900 WBA851900 WKW851900 WUS851900 D917490 IG917436 SC917436 ABY917436 ALU917436 AVQ917436 BFM917436 BPI917436 BZE917436 CJA917436 CSW917436 DCS917436 DMO917436 DWK917436 EGG917436 EQC917436 EZY917436 FJU917436 FTQ917436 GDM917436 GNI917436 GXE917436 HHA917436 HQW917436 IAS917436 IKO917436 IUK917436 JEG917436 JOC917436 JXY917436 KHU917436 KRQ917436 LBM917436 LLI917436 LVE917436 MFA917436 MOW917436 MYS917436 NIO917436 NSK917436 OCG917436 OMC917436 OVY917436 PFU917436 PPQ917436 PZM917436 QJI917436 QTE917436 RDA917436 RMW917436 RWS917436 SGO917436 SQK917436 TAG917436 TKC917436 TTY917436 UDU917436 UNQ917436 UXM917436 VHI917436 VRE917436 WBA917436 WKW917436 WUS917436 D983026 IG982972 SC982972 ABY982972 ALU982972 AVQ982972 BFM982972 BPI982972 BZE982972 CJA982972 CSW982972 DCS982972 DMO982972 DWK982972 EGG982972 EQC982972 EZY982972 FJU982972 FTQ982972 GDM982972 GNI982972 GXE982972 HHA982972 HQW982972 IAS982972 IKO982972 IUK982972 JEG982972 JOC982972 JXY982972 KHU982972 KRQ982972 LBM982972 LLI982972 LVE982972 MFA982972 MOW982972 MYS982972 NIO982972 NSK982972 OCG982972 OMC982972 OVY982972 PFU982972 PPQ982972 PZM982972 QJI982972 QTE982972 RDA982972 RMW982972 RWS982972 SGO982972 SQK982972 TAG982972 TKC982972 TTY982972 UDU982972 UNQ982972 UXM982972 VHI982972 VRE982972 WBA982972 WKW982972 WUS982972 D58 IG60 SC60 ABY60 ALU60 AVQ60 BFM60 BPI60 BZE60 CJA60 CSW60 DCS60 DMO60 DWK60 EGG60 EQC60 EZY60 FJU60 FTQ60 GDM60 GNI60 GXE60 HHA60 HQW60 IAS60 IKO60 IUK60 JEG60 JOC60 JXY60 KHU60 KRQ60 LBM60 LLI60 LVE60 MFA60 MOW60 MYS60 NIO60 NSK60 OCG60 OMC60 OVY60 PFU60 PPQ60 PZM60 QJI60 QTE60 RDA60 RMW60 RWS60 SGO60 SQK60 TAG60 TKC60 TTY60 UDU60 UNQ60 UXM60 VHI60 VRE60 WBA60 WKW60 WUS60 D65550 IG65496 SC65496 ABY65496 ALU65496 AVQ65496 BFM65496 BPI65496 BZE65496 CJA65496 CSW65496 DCS65496 DMO65496 DWK65496 EGG65496 EQC65496 EZY65496 FJU65496 FTQ65496 GDM65496 GNI65496 GXE65496 HHA65496 HQW65496 IAS65496 IKO65496 IUK65496 JEG65496 JOC65496 JXY65496 KHU65496 KRQ65496 LBM65496 LLI65496 LVE65496 MFA65496 MOW65496 MYS65496 NIO65496 NSK65496 OCG65496 OMC65496 OVY65496 PFU65496 PPQ65496 PZM65496 QJI65496 QTE65496 RDA65496 RMW65496 RWS65496 SGO65496 SQK65496 TAG65496 TKC65496 TTY65496 UDU65496 UNQ65496 UXM65496 VHI65496 VRE65496 WBA65496 WKW65496 WUS65496 D131086 IG131032 SC131032 ABY131032 ALU131032 AVQ131032 BFM131032 BPI131032 BZE131032 CJA131032 CSW131032 DCS131032 DMO131032 DWK131032 EGG131032 EQC131032 EZY131032 FJU131032 FTQ131032 GDM131032 GNI131032 GXE131032 HHA131032 HQW131032 IAS131032 IKO131032 IUK131032 JEG131032 JOC131032 JXY131032 KHU131032 KRQ131032 LBM131032 LLI131032 LVE131032 MFA131032 MOW131032 MYS131032 NIO131032 NSK131032 OCG131032 OMC131032 OVY131032 PFU131032 PPQ131032 PZM131032 QJI131032 QTE131032 RDA131032 RMW131032 RWS131032 SGO131032 SQK131032 TAG131032 TKC131032 TTY131032 UDU131032 UNQ131032 UXM131032 VHI131032 VRE131032 WBA131032 WKW131032 WUS131032 D196622 IG196568 SC196568 ABY196568 ALU196568 AVQ196568 BFM196568 BPI196568 BZE196568 CJA196568 CSW196568 DCS196568 DMO196568 DWK196568 EGG196568 EQC196568 EZY196568 FJU196568 FTQ196568 GDM196568 GNI196568 GXE196568 HHA196568 HQW196568 IAS196568 IKO196568 IUK196568 JEG196568 JOC196568 JXY196568 KHU196568 KRQ196568 LBM196568 LLI196568 LVE196568 MFA196568 MOW196568 MYS196568 NIO196568 NSK196568 OCG196568 OMC196568 OVY196568 PFU196568 PPQ196568 PZM196568 QJI196568 QTE196568 RDA196568 RMW196568 RWS196568 SGO196568 SQK196568 TAG196568 TKC196568 TTY196568 UDU196568 UNQ196568 UXM196568 VHI196568 VRE196568 WBA196568 WKW196568 WUS196568 D262158 IG262104 SC262104 ABY262104 ALU262104 AVQ262104 BFM262104 BPI262104 BZE262104 CJA262104 CSW262104 DCS262104 DMO262104 DWK262104 EGG262104 EQC262104 EZY262104 FJU262104 FTQ262104 GDM262104 GNI262104 GXE262104 HHA262104 HQW262104 IAS262104 IKO262104 IUK262104 JEG262104 JOC262104 JXY262104 KHU262104 KRQ262104 LBM262104 LLI262104 LVE262104 MFA262104 MOW262104 MYS262104 NIO262104 NSK262104 OCG262104 OMC262104 OVY262104 PFU262104 PPQ262104 PZM262104 QJI262104 QTE262104 RDA262104 RMW262104 RWS262104 SGO262104 SQK262104 TAG262104 TKC262104 TTY262104 UDU262104 UNQ262104 UXM262104 VHI262104 VRE262104 WBA262104 WKW262104 WUS262104 D327694 IG327640 SC327640 ABY327640 ALU327640 AVQ327640 BFM327640 BPI327640 BZE327640 CJA327640 CSW327640 DCS327640 DMO327640 DWK327640 EGG327640 EQC327640 EZY327640 FJU327640 FTQ327640 GDM327640 GNI327640 GXE327640 HHA327640 HQW327640 IAS327640 IKO327640 IUK327640 JEG327640 JOC327640 JXY327640 KHU327640 KRQ327640 LBM327640 LLI327640 LVE327640 MFA327640 MOW327640 MYS327640 NIO327640 NSK327640 OCG327640 OMC327640 OVY327640 PFU327640 PPQ327640 PZM327640 QJI327640 QTE327640 RDA327640 RMW327640 RWS327640 SGO327640 SQK327640 TAG327640 TKC327640 TTY327640 UDU327640 UNQ327640 UXM327640 VHI327640 VRE327640 WBA327640 WKW327640 WUS327640 D393230 IG393176 SC393176 ABY393176 ALU393176 AVQ393176 BFM393176 BPI393176 BZE393176 CJA393176 CSW393176 DCS393176 DMO393176 DWK393176 EGG393176 EQC393176 EZY393176 FJU393176 FTQ393176 GDM393176 GNI393176 GXE393176 HHA393176 HQW393176 IAS393176 IKO393176 IUK393176 JEG393176 JOC393176 JXY393176 KHU393176 KRQ393176 LBM393176 LLI393176 LVE393176 MFA393176 MOW393176 MYS393176 NIO393176 NSK393176 OCG393176 OMC393176 OVY393176 PFU393176 PPQ393176 PZM393176 QJI393176 QTE393176 RDA393176 RMW393176 RWS393176 SGO393176 SQK393176 TAG393176 TKC393176 TTY393176 UDU393176 UNQ393176 UXM393176 VHI393176 VRE393176 WBA393176 WKW393176 WUS393176 D458766 IG458712 SC458712 ABY458712 ALU458712 AVQ458712 BFM458712 BPI458712 BZE458712 CJA458712 CSW458712 DCS458712 DMO458712 DWK458712 EGG458712 EQC458712 EZY458712 FJU458712 FTQ458712 GDM458712 GNI458712 GXE458712 HHA458712 HQW458712 IAS458712 IKO458712 IUK458712 JEG458712 JOC458712 JXY458712 KHU458712 KRQ458712 LBM458712 LLI458712 LVE458712 MFA458712 MOW458712 MYS458712 NIO458712 NSK458712 OCG458712 OMC458712 OVY458712 PFU458712 PPQ458712 PZM458712 QJI458712 QTE458712 RDA458712 RMW458712 RWS458712 SGO458712 SQK458712 TAG458712 TKC458712 TTY458712 UDU458712 UNQ458712 UXM458712 VHI458712 VRE458712 WBA458712 WKW458712 WUS458712 D524302 IG524248 SC524248 ABY524248 ALU524248 AVQ524248 BFM524248 BPI524248 BZE524248 CJA524248 CSW524248 DCS524248 DMO524248 DWK524248 EGG524248 EQC524248 EZY524248 FJU524248 FTQ524248 GDM524248 GNI524248 GXE524248 HHA524248 HQW524248 IAS524248 IKO524248 IUK524248 JEG524248 JOC524248 JXY524248 KHU524248 KRQ524248 LBM524248 LLI524248 LVE524248 MFA524248 MOW524248 MYS524248 NIO524248 NSK524248 OCG524248 OMC524248 OVY524248 PFU524248 PPQ524248 PZM524248 QJI524248 QTE524248 RDA524248 RMW524248 RWS524248 SGO524248 SQK524248 TAG524248 TKC524248 TTY524248 UDU524248 UNQ524248 UXM524248 VHI524248 VRE524248 WBA524248 WKW524248 WUS524248 D589838 IG589784 SC589784 ABY589784 ALU589784 AVQ589784 BFM589784 BPI589784 BZE589784 CJA589784 CSW589784 DCS589784 DMO589784 DWK589784 EGG589784 EQC589784 EZY589784 FJU589784 FTQ589784 GDM589784 GNI589784 GXE589784 HHA589784 HQW589784 IAS589784 IKO589784 IUK589784 JEG589784 JOC589784 JXY589784 KHU589784 KRQ589784 LBM589784 LLI589784 LVE589784 MFA589784 MOW589784 MYS589784 NIO589784 NSK589784 OCG589784 OMC589784 OVY589784 PFU589784 PPQ589784 PZM589784 QJI589784 QTE589784 RDA589784 RMW589784 RWS589784 SGO589784 SQK589784 TAG589784 TKC589784 TTY589784 UDU589784 UNQ589784 UXM589784 VHI589784 VRE589784 WBA589784 WKW589784 WUS589784 D655374 IG655320 SC655320 ABY655320 ALU655320 AVQ655320 BFM655320 BPI655320 BZE655320 CJA655320 CSW655320 DCS655320 DMO655320 DWK655320 EGG655320 EQC655320 EZY655320 FJU655320 FTQ655320 GDM655320 GNI655320 GXE655320 HHA655320 HQW655320 IAS655320 IKO655320 IUK655320 JEG655320 JOC655320 JXY655320 KHU655320 KRQ655320 LBM655320 LLI655320 LVE655320 MFA655320 MOW655320 MYS655320 NIO655320 NSK655320 OCG655320 OMC655320 OVY655320 PFU655320 PPQ655320 PZM655320 QJI655320 QTE655320 RDA655320 RMW655320 RWS655320 SGO655320 SQK655320 TAG655320 TKC655320 TTY655320 UDU655320 UNQ655320 UXM655320 VHI655320 VRE655320 WBA655320 WKW655320 WUS655320 D720910 IG720856 SC720856 ABY720856 ALU720856 AVQ720856 BFM720856 BPI720856 BZE720856 CJA720856 CSW720856 DCS720856 DMO720856 DWK720856 EGG720856 EQC720856 EZY720856 FJU720856 FTQ720856 GDM720856 GNI720856 GXE720856 HHA720856 HQW720856 IAS720856 IKO720856 IUK720856 JEG720856 JOC720856 JXY720856 KHU720856 KRQ720856 LBM720856 LLI720856 LVE720856 MFA720856 MOW720856 MYS720856 NIO720856 NSK720856 OCG720856 OMC720856 OVY720856 PFU720856 PPQ720856 PZM720856 QJI720856 QTE720856 RDA720856 RMW720856 RWS720856 SGO720856 SQK720856 TAG720856 TKC720856 TTY720856 UDU720856 UNQ720856 UXM720856 VHI720856 VRE720856 WBA720856 WKW720856 WUS720856 D786446 IG786392 SC786392 ABY786392 ALU786392 AVQ786392 BFM786392 BPI786392 BZE786392 CJA786392 CSW786392 DCS786392 DMO786392 DWK786392 EGG786392 EQC786392 EZY786392 FJU786392 FTQ786392 GDM786392 GNI786392 GXE786392 HHA786392 HQW786392 IAS786392 IKO786392 IUK786392 JEG786392 JOC786392 JXY786392 KHU786392 KRQ786392 LBM786392 LLI786392 LVE786392 MFA786392 MOW786392 MYS786392 NIO786392 NSK786392 OCG786392 OMC786392 OVY786392 PFU786392 PPQ786392 PZM786392 QJI786392 QTE786392 RDA786392 RMW786392 RWS786392 SGO786392 SQK786392 TAG786392 TKC786392 TTY786392 UDU786392 UNQ786392 UXM786392 VHI786392 VRE786392 WBA786392 WKW786392 WUS786392 D851982 IG851928 SC851928 ABY851928 ALU851928 AVQ851928 BFM851928 BPI851928 BZE851928 CJA851928 CSW851928 DCS851928 DMO851928 DWK851928 EGG851928 EQC851928 EZY851928 FJU851928 FTQ851928 GDM851928 GNI851928 GXE851928 HHA851928 HQW851928 IAS851928 IKO851928 IUK851928 JEG851928 JOC851928 JXY851928 KHU851928 KRQ851928 LBM851928 LLI851928 LVE851928 MFA851928 MOW851928 MYS851928 NIO851928 NSK851928 OCG851928 OMC851928 OVY851928 PFU851928 PPQ851928 PZM851928 QJI851928 QTE851928 RDA851928 RMW851928 RWS851928 SGO851928 SQK851928 TAG851928 TKC851928 TTY851928 UDU851928 UNQ851928 UXM851928 VHI851928 VRE851928 WBA851928 WKW851928 WUS851928 D917518 IG917464 SC917464 ABY917464 ALU917464 AVQ917464 BFM917464 BPI917464 BZE917464 CJA917464 CSW917464 DCS917464 DMO917464 DWK917464 EGG917464 EQC917464 EZY917464 FJU917464 FTQ917464 GDM917464 GNI917464 GXE917464 HHA917464 HQW917464 IAS917464 IKO917464 IUK917464 JEG917464 JOC917464 JXY917464 KHU917464 KRQ917464 LBM917464 LLI917464 LVE917464 MFA917464 MOW917464 MYS917464 NIO917464 NSK917464 OCG917464 OMC917464 OVY917464 PFU917464 PPQ917464 PZM917464 QJI917464 QTE917464 RDA917464 RMW917464 RWS917464 SGO917464 SQK917464 TAG917464 TKC917464 TTY917464 UDU917464 UNQ917464 UXM917464 VHI917464 VRE917464 WBA917464 WKW917464 WUS917464 D983054 IG983000 SC983000 ABY983000 ALU983000 AVQ983000 BFM983000 BPI983000 BZE983000 CJA983000 CSW983000 DCS983000 DMO983000 DWK983000 EGG983000 EQC983000 EZY983000 FJU983000 FTQ983000 GDM983000 GNI983000 GXE983000 HHA983000 HQW983000 IAS983000 IKO983000 IUK983000 JEG983000 JOC983000 JXY983000 KHU983000 KRQ983000 LBM983000 LLI983000 LVE983000 MFA983000 MOW983000 MYS983000 NIO983000 NSK983000 OCG983000 OMC983000 OVY983000 PFU983000 PPQ983000 PZM983000 QJI983000 QTE983000 RDA983000 RMW983000 RWS983000 SGO983000 SQK983000 TAG983000 TKC983000 TTY983000 UDU983000 UNQ983000 UXM983000 VHI983000 VRE983000 WBA983000 WKW983000 WUS983000 D87" xr:uid="{00000000-0002-0000-0E00-000000000000}"/>
    <dataValidation type="decimal" allowBlank="1" showInputMessage="1" showErrorMessage="1" sqref="IN28:IO28 SJ28:SK28 ACF28:ACG28 AMB28:AMC28 AVX28:AVY28 BFT28:BFU28 BPP28:BPQ28 BZL28:BZM28 CJH28:CJI28 CTD28:CTE28 DCZ28:DDA28 DMV28:DMW28 DWR28:DWS28 EGN28:EGO28 EQJ28:EQK28 FAF28:FAG28 FKB28:FKC28 FTX28:FTY28 GDT28:GDU28 GNP28:GNQ28 GXL28:GXM28 HHH28:HHI28 HRD28:HRE28 IAZ28:IBA28 IKV28:IKW28 IUR28:IUS28 JEN28:JEO28 JOJ28:JOK28 JYF28:JYG28 KIB28:KIC28 KRX28:KRY28 LBT28:LBU28 LLP28:LLQ28 LVL28:LVM28 MFH28:MFI28 MPD28:MPE28 MYZ28:MZA28 NIV28:NIW28 NSR28:NSS28 OCN28:OCO28 OMJ28:OMK28 OWF28:OWG28 PGB28:PGC28 PPX28:PPY28 PZT28:PZU28 QJP28:QJQ28 QTL28:QTM28 RDH28:RDI28 RND28:RNE28 RWZ28:RXA28 SGV28:SGW28 SQR28:SQS28 TAN28:TAO28 TKJ28:TKK28 TUF28:TUG28 UEB28:UEC28 UNX28:UNY28 UXT28:UXU28 VHP28:VHQ28 VRL28:VRM28 WBH28:WBI28 WLD28:WLE28 WUZ28:WVA28 IN65464:IO65464 SJ65464:SK65464 ACF65464:ACG65464 AMB65464:AMC65464 AVX65464:AVY65464 BFT65464:BFU65464 BPP65464:BPQ65464 BZL65464:BZM65464 CJH65464:CJI65464 CTD65464:CTE65464 DCZ65464:DDA65464 DMV65464:DMW65464 DWR65464:DWS65464 EGN65464:EGO65464 EQJ65464:EQK65464 FAF65464:FAG65464 FKB65464:FKC65464 FTX65464:FTY65464 GDT65464:GDU65464 GNP65464:GNQ65464 GXL65464:GXM65464 HHH65464:HHI65464 HRD65464:HRE65464 IAZ65464:IBA65464 IKV65464:IKW65464 IUR65464:IUS65464 JEN65464:JEO65464 JOJ65464:JOK65464 JYF65464:JYG65464 KIB65464:KIC65464 KRX65464:KRY65464 LBT65464:LBU65464 LLP65464:LLQ65464 LVL65464:LVM65464 MFH65464:MFI65464 MPD65464:MPE65464 MYZ65464:MZA65464 NIV65464:NIW65464 NSR65464:NSS65464 OCN65464:OCO65464 OMJ65464:OMK65464 OWF65464:OWG65464 PGB65464:PGC65464 PPX65464:PPY65464 PZT65464:PZU65464 QJP65464:QJQ65464 QTL65464:QTM65464 RDH65464:RDI65464 RND65464:RNE65464 RWZ65464:RXA65464 SGV65464:SGW65464 SQR65464:SQS65464 TAN65464:TAO65464 TKJ65464:TKK65464 TUF65464:TUG65464 UEB65464:UEC65464 UNX65464:UNY65464 UXT65464:UXU65464 VHP65464:VHQ65464 VRL65464:VRM65464 WBH65464:WBI65464 WLD65464:WLE65464 WUZ65464:WVA65464 IN131000:IO131000 SJ131000:SK131000 ACF131000:ACG131000 AMB131000:AMC131000 AVX131000:AVY131000 BFT131000:BFU131000 BPP131000:BPQ131000 BZL131000:BZM131000 CJH131000:CJI131000 CTD131000:CTE131000 DCZ131000:DDA131000 DMV131000:DMW131000 DWR131000:DWS131000 EGN131000:EGO131000 EQJ131000:EQK131000 FAF131000:FAG131000 FKB131000:FKC131000 FTX131000:FTY131000 GDT131000:GDU131000 GNP131000:GNQ131000 GXL131000:GXM131000 HHH131000:HHI131000 HRD131000:HRE131000 IAZ131000:IBA131000 IKV131000:IKW131000 IUR131000:IUS131000 JEN131000:JEO131000 JOJ131000:JOK131000 JYF131000:JYG131000 KIB131000:KIC131000 KRX131000:KRY131000 LBT131000:LBU131000 LLP131000:LLQ131000 LVL131000:LVM131000 MFH131000:MFI131000 MPD131000:MPE131000 MYZ131000:MZA131000 NIV131000:NIW131000 NSR131000:NSS131000 OCN131000:OCO131000 OMJ131000:OMK131000 OWF131000:OWG131000 PGB131000:PGC131000 PPX131000:PPY131000 PZT131000:PZU131000 QJP131000:QJQ131000 QTL131000:QTM131000 RDH131000:RDI131000 RND131000:RNE131000 RWZ131000:RXA131000 SGV131000:SGW131000 SQR131000:SQS131000 TAN131000:TAO131000 TKJ131000:TKK131000 TUF131000:TUG131000 UEB131000:UEC131000 UNX131000:UNY131000 UXT131000:UXU131000 VHP131000:VHQ131000 VRL131000:VRM131000 WBH131000:WBI131000 WLD131000:WLE131000 WUZ131000:WVA131000 IN196536:IO196536 SJ196536:SK196536 ACF196536:ACG196536 AMB196536:AMC196536 AVX196536:AVY196536 BFT196536:BFU196536 BPP196536:BPQ196536 BZL196536:BZM196536 CJH196536:CJI196536 CTD196536:CTE196536 DCZ196536:DDA196536 DMV196536:DMW196536 DWR196536:DWS196536 EGN196536:EGO196536 EQJ196536:EQK196536 FAF196536:FAG196536 FKB196536:FKC196536 FTX196536:FTY196536 GDT196536:GDU196536 GNP196536:GNQ196536 GXL196536:GXM196536 HHH196536:HHI196536 HRD196536:HRE196536 IAZ196536:IBA196536 IKV196536:IKW196536 IUR196536:IUS196536 JEN196536:JEO196536 JOJ196536:JOK196536 JYF196536:JYG196536 KIB196536:KIC196536 KRX196536:KRY196536 LBT196536:LBU196536 LLP196536:LLQ196536 LVL196536:LVM196536 MFH196536:MFI196536 MPD196536:MPE196536 MYZ196536:MZA196536 NIV196536:NIW196536 NSR196536:NSS196536 OCN196536:OCO196536 OMJ196536:OMK196536 OWF196536:OWG196536 PGB196536:PGC196536 PPX196536:PPY196536 PZT196536:PZU196536 QJP196536:QJQ196536 QTL196536:QTM196536 RDH196536:RDI196536 RND196536:RNE196536 RWZ196536:RXA196536 SGV196536:SGW196536 SQR196536:SQS196536 TAN196536:TAO196536 TKJ196536:TKK196536 TUF196536:TUG196536 UEB196536:UEC196536 UNX196536:UNY196536 UXT196536:UXU196536 VHP196536:VHQ196536 VRL196536:VRM196536 WBH196536:WBI196536 WLD196536:WLE196536 WUZ196536:WVA196536 IN262072:IO262072 SJ262072:SK262072 ACF262072:ACG262072 AMB262072:AMC262072 AVX262072:AVY262072 BFT262072:BFU262072 BPP262072:BPQ262072 BZL262072:BZM262072 CJH262072:CJI262072 CTD262072:CTE262072 DCZ262072:DDA262072 DMV262072:DMW262072 DWR262072:DWS262072 EGN262072:EGO262072 EQJ262072:EQK262072 FAF262072:FAG262072 FKB262072:FKC262072 FTX262072:FTY262072 GDT262072:GDU262072 GNP262072:GNQ262072 GXL262072:GXM262072 HHH262072:HHI262072 HRD262072:HRE262072 IAZ262072:IBA262072 IKV262072:IKW262072 IUR262072:IUS262072 JEN262072:JEO262072 JOJ262072:JOK262072 JYF262072:JYG262072 KIB262072:KIC262072 KRX262072:KRY262072 LBT262072:LBU262072 LLP262072:LLQ262072 LVL262072:LVM262072 MFH262072:MFI262072 MPD262072:MPE262072 MYZ262072:MZA262072 NIV262072:NIW262072 NSR262072:NSS262072 OCN262072:OCO262072 OMJ262072:OMK262072 OWF262072:OWG262072 PGB262072:PGC262072 PPX262072:PPY262072 PZT262072:PZU262072 QJP262072:QJQ262072 QTL262072:QTM262072 RDH262072:RDI262072 RND262072:RNE262072 RWZ262072:RXA262072 SGV262072:SGW262072 SQR262072:SQS262072 TAN262072:TAO262072 TKJ262072:TKK262072 TUF262072:TUG262072 UEB262072:UEC262072 UNX262072:UNY262072 UXT262072:UXU262072 VHP262072:VHQ262072 VRL262072:VRM262072 WBH262072:WBI262072 WLD262072:WLE262072 WUZ262072:WVA262072 IN327608:IO327608 SJ327608:SK327608 ACF327608:ACG327608 AMB327608:AMC327608 AVX327608:AVY327608 BFT327608:BFU327608 BPP327608:BPQ327608 BZL327608:BZM327608 CJH327608:CJI327608 CTD327608:CTE327608 DCZ327608:DDA327608 DMV327608:DMW327608 DWR327608:DWS327608 EGN327608:EGO327608 EQJ327608:EQK327608 FAF327608:FAG327608 FKB327608:FKC327608 FTX327608:FTY327608 GDT327608:GDU327608 GNP327608:GNQ327608 GXL327608:GXM327608 HHH327608:HHI327608 HRD327608:HRE327608 IAZ327608:IBA327608 IKV327608:IKW327608 IUR327608:IUS327608 JEN327608:JEO327608 JOJ327608:JOK327608 JYF327608:JYG327608 KIB327608:KIC327608 KRX327608:KRY327608 LBT327608:LBU327608 LLP327608:LLQ327608 LVL327608:LVM327608 MFH327608:MFI327608 MPD327608:MPE327608 MYZ327608:MZA327608 NIV327608:NIW327608 NSR327608:NSS327608 OCN327608:OCO327608 OMJ327608:OMK327608 OWF327608:OWG327608 PGB327608:PGC327608 PPX327608:PPY327608 PZT327608:PZU327608 QJP327608:QJQ327608 QTL327608:QTM327608 RDH327608:RDI327608 RND327608:RNE327608 RWZ327608:RXA327608 SGV327608:SGW327608 SQR327608:SQS327608 TAN327608:TAO327608 TKJ327608:TKK327608 TUF327608:TUG327608 UEB327608:UEC327608 UNX327608:UNY327608 UXT327608:UXU327608 VHP327608:VHQ327608 VRL327608:VRM327608 WBH327608:WBI327608 WLD327608:WLE327608 WUZ327608:WVA327608 IN393144:IO393144 SJ393144:SK393144 ACF393144:ACG393144 AMB393144:AMC393144 AVX393144:AVY393144 BFT393144:BFU393144 BPP393144:BPQ393144 BZL393144:BZM393144 CJH393144:CJI393144 CTD393144:CTE393144 DCZ393144:DDA393144 DMV393144:DMW393144 DWR393144:DWS393144 EGN393144:EGO393144 EQJ393144:EQK393144 FAF393144:FAG393144 FKB393144:FKC393144 FTX393144:FTY393144 GDT393144:GDU393144 GNP393144:GNQ393144 GXL393144:GXM393144 HHH393144:HHI393144 HRD393144:HRE393144 IAZ393144:IBA393144 IKV393144:IKW393144 IUR393144:IUS393144 JEN393144:JEO393144 JOJ393144:JOK393144 JYF393144:JYG393144 KIB393144:KIC393144 KRX393144:KRY393144 LBT393144:LBU393144 LLP393144:LLQ393144 LVL393144:LVM393144 MFH393144:MFI393144 MPD393144:MPE393144 MYZ393144:MZA393144 NIV393144:NIW393144 NSR393144:NSS393144 OCN393144:OCO393144 OMJ393144:OMK393144 OWF393144:OWG393144 PGB393144:PGC393144 PPX393144:PPY393144 PZT393144:PZU393144 QJP393144:QJQ393144 QTL393144:QTM393144 RDH393144:RDI393144 RND393144:RNE393144 RWZ393144:RXA393144 SGV393144:SGW393144 SQR393144:SQS393144 TAN393144:TAO393144 TKJ393144:TKK393144 TUF393144:TUG393144 UEB393144:UEC393144 UNX393144:UNY393144 UXT393144:UXU393144 VHP393144:VHQ393144 VRL393144:VRM393144 WBH393144:WBI393144 WLD393144:WLE393144 WUZ393144:WVA393144 IN458680:IO458680 SJ458680:SK458680 ACF458680:ACG458680 AMB458680:AMC458680 AVX458680:AVY458680 BFT458680:BFU458680 BPP458680:BPQ458680 BZL458680:BZM458680 CJH458680:CJI458680 CTD458680:CTE458680 DCZ458680:DDA458680 DMV458680:DMW458680 DWR458680:DWS458680 EGN458680:EGO458680 EQJ458680:EQK458680 FAF458680:FAG458680 FKB458680:FKC458680 FTX458680:FTY458680 GDT458680:GDU458680 GNP458680:GNQ458680 GXL458680:GXM458680 HHH458680:HHI458680 HRD458680:HRE458680 IAZ458680:IBA458680 IKV458680:IKW458680 IUR458680:IUS458680 JEN458680:JEO458680 JOJ458680:JOK458680 JYF458680:JYG458680 KIB458680:KIC458680 KRX458680:KRY458680 LBT458680:LBU458680 LLP458680:LLQ458680 LVL458680:LVM458680 MFH458680:MFI458680 MPD458680:MPE458680 MYZ458680:MZA458680 NIV458680:NIW458680 NSR458680:NSS458680 OCN458680:OCO458680 OMJ458680:OMK458680 OWF458680:OWG458680 PGB458680:PGC458680 PPX458680:PPY458680 PZT458680:PZU458680 QJP458680:QJQ458680 QTL458680:QTM458680 RDH458680:RDI458680 RND458680:RNE458680 RWZ458680:RXA458680 SGV458680:SGW458680 SQR458680:SQS458680 TAN458680:TAO458680 TKJ458680:TKK458680 TUF458680:TUG458680 UEB458680:UEC458680 UNX458680:UNY458680 UXT458680:UXU458680 VHP458680:VHQ458680 VRL458680:VRM458680 WBH458680:WBI458680 WLD458680:WLE458680 WUZ458680:WVA458680 IN524216:IO524216 SJ524216:SK524216 ACF524216:ACG524216 AMB524216:AMC524216 AVX524216:AVY524216 BFT524216:BFU524216 BPP524216:BPQ524216 BZL524216:BZM524216 CJH524216:CJI524216 CTD524216:CTE524216 DCZ524216:DDA524216 DMV524216:DMW524216 DWR524216:DWS524216 EGN524216:EGO524216 EQJ524216:EQK524216 FAF524216:FAG524216 FKB524216:FKC524216 FTX524216:FTY524216 GDT524216:GDU524216 GNP524216:GNQ524216 GXL524216:GXM524216 HHH524216:HHI524216 HRD524216:HRE524216 IAZ524216:IBA524216 IKV524216:IKW524216 IUR524216:IUS524216 JEN524216:JEO524216 JOJ524216:JOK524216 JYF524216:JYG524216 KIB524216:KIC524216 KRX524216:KRY524216 LBT524216:LBU524216 LLP524216:LLQ524216 LVL524216:LVM524216 MFH524216:MFI524216 MPD524216:MPE524216 MYZ524216:MZA524216 NIV524216:NIW524216 NSR524216:NSS524216 OCN524216:OCO524216 OMJ524216:OMK524216 OWF524216:OWG524216 PGB524216:PGC524216 PPX524216:PPY524216 PZT524216:PZU524216 QJP524216:QJQ524216 QTL524216:QTM524216 RDH524216:RDI524216 RND524216:RNE524216 RWZ524216:RXA524216 SGV524216:SGW524216 SQR524216:SQS524216 TAN524216:TAO524216 TKJ524216:TKK524216 TUF524216:TUG524216 UEB524216:UEC524216 UNX524216:UNY524216 UXT524216:UXU524216 VHP524216:VHQ524216 VRL524216:VRM524216 WBH524216:WBI524216 WLD524216:WLE524216 WUZ524216:WVA524216 IN589752:IO589752 SJ589752:SK589752 ACF589752:ACG589752 AMB589752:AMC589752 AVX589752:AVY589752 BFT589752:BFU589752 BPP589752:BPQ589752 BZL589752:BZM589752 CJH589752:CJI589752 CTD589752:CTE589752 DCZ589752:DDA589752 DMV589752:DMW589752 DWR589752:DWS589752 EGN589752:EGO589752 EQJ589752:EQK589752 FAF589752:FAG589752 FKB589752:FKC589752 FTX589752:FTY589752 GDT589752:GDU589752 GNP589752:GNQ589752 GXL589752:GXM589752 HHH589752:HHI589752 HRD589752:HRE589752 IAZ589752:IBA589752 IKV589752:IKW589752 IUR589752:IUS589752 JEN589752:JEO589752 JOJ589752:JOK589752 JYF589752:JYG589752 KIB589752:KIC589752 KRX589752:KRY589752 LBT589752:LBU589752 LLP589752:LLQ589752 LVL589752:LVM589752 MFH589752:MFI589752 MPD589752:MPE589752 MYZ589752:MZA589752 NIV589752:NIW589752 NSR589752:NSS589752 OCN589752:OCO589752 OMJ589752:OMK589752 OWF589752:OWG589752 PGB589752:PGC589752 PPX589752:PPY589752 PZT589752:PZU589752 QJP589752:QJQ589752 QTL589752:QTM589752 RDH589752:RDI589752 RND589752:RNE589752 RWZ589752:RXA589752 SGV589752:SGW589752 SQR589752:SQS589752 TAN589752:TAO589752 TKJ589752:TKK589752 TUF589752:TUG589752 UEB589752:UEC589752 UNX589752:UNY589752 UXT589752:UXU589752 VHP589752:VHQ589752 VRL589752:VRM589752 WBH589752:WBI589752 WLD589752:WLE589752 WUZ589752:WVA589752 IN655288:IO655288 SJ655288:SK655288 ACF655288:ACG655288 AMB655288:AMC655288 AVX655288:AVY655288 BFT655288:BFU655288 BPP655288:BPQ655288 BZL655288:BZM655288 CJH655288:CJI655288 CTD655288:CTE655288 DCZ655288:DDA655288 DMV655288:DMW655288 DWR655288:DWS655288 EGN655288:EGO655288 EQJ655288:EQK655288 FAF655288:FAG655288 FKB655288:FKC655288 FTX655288:FTY655288 GDT655288:GDU655288 GNP655288:GNQ655288 GXL655288:GXM655288 HHH655288:HHI655288 HRD655288:HRE655288 IAZ655288:IBA655288 IKV655288:IKW655288 IUR655288:IUS655288 JEN655288:JEO655288 JOJ655288:JOK655288 JYF655288:JYG655288 KIB655288:KIC655288 KRX655288:KRY655288 LBT655288:LBU655288 LLP655288:LLQ655288 LVL655288:LVM655288 MFH655288:MFI655288 MPD655288:MPE655288 MYZ655288:MZA655288 NIV655288:NIW655288 NSR655288:NSS655288 OCN655288:OCO655288 OMJ655288:OMK655288 OWF655288:OWG655288 PGB655288:PGC655288 PPX655288:PPY655288 PZT655288:PZU655288 QJP655288:QJQ655288 QTL655288:QTM655288 RDH655288:RDI655288 RND655288:RNE655288 RWZ655288:RXA655288 SGV655288:SGW655288 SQR655288:SQS655288 TAN655288:TAO655288 TKJ655288:TKK655288 TUF655288:TUG655288 UEB655288:UEC655288 UNX655288:UNY655288 UXT655288:UXU655288 VHP655288:VHQ655288 VRL655288:VRM655288 WBH655288:WBI655288 WLD655288:WLE655288 WUZ655288:WVA655288 IN720824:IO720824 SJ720824:SK720824 ACF720824:ACG720824 AMB720824:AMC720824 AVX720824:AVY720824 BFT720824:BFU720824 BPP720824:BPQ720824 BZL720824:BZM720824 CJH720824:CJI720824 CTD720824:CTE720824 DCZ720824:DDA720824 DMV720824:DMW720824 DWR720824:DWS720824 EGN720824:EGO720824 EQJ720824:EQK720824 FAF720824:FAG720824 FKB720824:FKC720824 FTX720824:FTY720824 GDT720824:GDU720824 GNP720824:GNQ720824 GXL720824:GXM720824 HHH720824:HHI720824 HRD720824:HRE720824 IAZ720824:IBA720824 IKV720824:IKW720824 IUR720824:IUS720824 JEN720824:JEO720824 JOJ720824:JOK720824 JYF720824:JYG720824 KIB720824:KIC720824 KRX720824:KRY720824 LBT720824:LBU720824 LLP720824:LLQ720824 LVL720824:LVM720824 MFH720824:MFI720824 MPD720824:MPE720824 MYZ720824:MZA720824 NIV720824:NIW720824 NSR720824:NSS720824 OCN720824:OCO720824 OMJ720824:OMK720824 OWF720824:OWG720824 PGB720824:PGC720824 PPX720824:PPY720824 PZT720824:PZU720824 QJP720824:QJQ720824 QTL720824:QTM720824 RDH720824:RDI720824 RND720824:RNE720824 RWZ720824:RXA720824 SGV720824:SGW720824 SQR720824:SQS720824 TAN720824:TAO720824 TKJ720824:TKK720824 TUF720824:TUG720824 UEB720824:UEC720824 UNX720824:UNY720824 UXT720824:UXU720824 VHP720824:VHQ720824 VRL720824:VRM720824 WBH720824:WBI720824 WLD720824:WLE720824 WUZ720824:WVA720824 IN786360:IO786360 SJ786360:SK786360 ACF786360:ACG786360 AMB786360:AMC786360 AVX786360:AVY786360 BFT786360:BFU786360 BPP786360:BPQ786360 BZL786360:BZM786360 CJH786360:CJI786360 CTD786360:CTE786360 DCZ786360:DDA786360 DMV786360:DMW786360 DWR786360:DWS786360 EGN786360:EGO786360 EQJ786360:EQK786360 FAF786360:FAG786360 FKB786360:FKC786360 FTX786360:FTY786360 GDT786360:GDU786360 GNP786360:GNQ786360 GXL786360:GXM786360 HHH786360:HHI786360 HRD786360:HRE786360 IAZ786360:IBA786360 IKV786360:IKW786360 IUR786360:IUS786360 JEN786360:JEO786360 JOJ786360:JOK786360 JYF786360:JYG786360 KIB786360:KIC786360 KRX786360:KRY786360 LBT786360:LBU786360 LLP786360:LLQ786360 LVL786360:LVM786360 MFH786360:MFI786360 MPD786360:MPE786360 MYZ786360:MZA786360 NIV786360:NIW786360 NSR786360:NSS786360 OCN786360:OCO786360 OMJ786360:OMK786360 OWF786360:OWG786360 PGB786360:PGC786360 PPX786360:PPY786360 PZT786360:PZU786360 QJP786360:QJQ786360 QTL786360:QTM786360 RDH786360:RDI786360 RND786360:RNE786360 RWZ786360:RXA786360 SGV786360:SGW786360 SQR786360:SQS786360 TAN786360:TAO786360 TKJ786360:TKK786360 TUF786360:TUG786360 UEB786360:UEC786360 UNX786360:UNY786360 UXT786360:UXU786360 VHP786360:VHQ786360 VRL786360:VRM786360 WBH786360:WBI786360 WLD786360:WLE786360 WUZ786360:WVA786360 IN851896:IO851896 SJ851896:SK851896 ACF851896:ACG851896 AMB851896:AMC851896 AVX851896:AVY851896 BFT851896:BFU851896 BPP851896:BPQ851896 BZL851896:BZM851896 CJH851896:CJI851896 CTD851896:CTE851896 DCZ851896:DDA851896 DMV851896:DMW851896 DWR851896:DWS851896 EGN851896:EGO851896 EQJ851896:EQK851896 FAF851896:FAG851896 FKB851896:FKC851896 FTX851896:FTY851896 GDT851896:GDU851896 GNP851896:GNQ851896 GXL851896:GXM851896 HHH851896:HHI851896 HRD851896:HRE851896 IAZ851896:IBA851896 IKV851896:IKW851896 IUR851896:IUS851896 JEN851896:JEO851896 JOJ851896:JOK851896 JYF851896:JYG851896 KIB851896:KIC851896 KRX851896:KRY851896 LBT851896:LBU851896 LLP851896:LLQ851896 LVL851896:LVM851896 MFH851896:MFI851896 MPD851896:MPE851896 MYZ851896:MZA851896 NIV851896:NIW851896 NSR851896:NSS851896 OCN851896:OCO851896 OMJ851896:OMK851896 OWF851896:OWG851896 PGB851896:PGC851896 PPX851896:PPY851896 PZT851896:PZU851896 QJP851896:QJQ851896 QTL851896:QTM851896 RDH851896:RDI851896 RND851896:RNE851896 RWZ851896:RXA851896 SGV851896:SGW851896 SQR851896:SQS851896 TAN851896:TAO851896 TKJ851896:TKK851896 TUF851896:TUG851896 UEB851896:UEC851896 UNX851896:UNY851896 UXT851896:UXU851896 VHP851896:VHQ851896 VRL851896:VRM851896 WBH851896:WBI851896 WLD851896:WLE851896 WUZ851896:WVA851896 IN917432:IO917432 SJ917432:SK917432 ACF917432:ACG917432 AMB917432:AMC917432 AVX917432:AVY917432 BFT917432:BFU917432 BPP917432:BPQ917432 BZL917432:BZM917432 CJH917432:CJI917432 CTD917432:CTE917432 DCZ917432:DDA917432 DMV917432:DMW917432 DWR917432:DWS917432 EGN917432:EGO917432 EQJ917432:EQK917432 FAF917432:FAG917432 FKB917432:FKC917432 FTX917432:FTY917432 GDT917432:GDU917432 GNP917432:GNQ917432 GXL917432:GXM917432 HHH917432:HHI917432 HRD917432:HRE917432 IAZ917432:IBA917432 IKV917432:IKW917432 IUR917432:IUS917432 JEN917432:JEO917432 JOJ917432:JOK917432 JYF917432:JYG917432 KIB917432:KIC917432 KRX917432:KRY917432 LBT917432:LBU917432 LLP917432:LLQ917432 LVL917432:LVM917432 MFH917432:MFI917432 MPD917432:MPE917432 MYZ917432:MZA917432 NIV917432:NIW917432 NSR917432:NSS917432 OCN917432:OCO917432 OMJ917432:OMK917432 OWF917432:OWG917432 PGB917432:PGC917432 PPX917432:PPY917432 PZT917432:PZU917432 QJP917432:QJQ917432 QTL917432:QTM917432 RDH917432:RDI917432 RND917432:RNE917432 RWZ917432:RXA917432 SGV917432:SGW917432 SQR917432:SQS917432 TAN917432:TAO917432 TKJ917432:TKK917432 TUF917432:TUG917432 UEB917432:UEC917432 UNX917432:UNY917432 UXT917432:UXU917432 VHP917432:VHQ917432 VRL917432:VRM917432 WBH917432:WBI917432 WLD917432:WLE917432 WUZ917432:WVA917432 IN982968:IO982968 SJ982968:SK982968 ACF982968:ACG982968 AMB982968:AMC982968 AVX982968:AVY982968 BFT982968:BFU982968 BPP982968:BPQ982968 BZL982968:BZM982968 CJH982968:CJI982968 CTD982968:CTE982968 DCZ982968:DDA982968 DMV982968:DMW982968 DWR982968:DWS982968 EGN982968:EGO982968 EQJ982968:EQK982968 FAF982968:FAG982968 FKB982968:FKC982968 FTX982968:FTY982968 GDT982968:GDU982968 GNP982968:GNQ982968 GXL982968:GXM982968 HHH982968:HHI982968 HRD982968:HRE982968 IAZ982968:IBA982968 IKV982968:IKW982968 IUR982968:IUS982968 JEN982968:JEO982968 JOJ982968:JOK982968 JYF982968:JYG982968 KIB982968:KIC982968 KRX982968:KRY982968 LBT982968:LBU982968 LLP982968:LLQ982968 LVL982968:LVM982968 MFH982968:MFI982968 MPD982968:MPE982968 MYZ982968:MZA982968 NIV982968:NIW982968 NSR982968:NSS982968 OCN982968:OCO982968 OMJ982968:OMK982968 OWF982968:OWG982968 PGB982968:PGC982968 PPX982968:PPY982968 PZT982968:PZU982968 QJP982968:QJQ982968 QTL982968:QTM982968 RDH982968:RDI982968 RND982968:RNE982968 RWZ982968:RXA982968 SGV982968:SGW982968 SQR982968:SQS982968 TAN982968:TAO982968 TKJ982968:TKK982968 TUF982968:TUG982968 UEB982968:UEC982968 UNX982968:UNY982968 UXT982968:UXU982968 VHP982968:VHQ982968 VRL982968:VRM982968 WBH982968:WBI982968 WLD982968:WLE982968 WUZ982968:WVA982968" xr:uid="{00000000-0002-0000-0E00-000001000000}">
      <formula1>0</formula1>
      <formula2>100000000</formula2>
    </dataValidation>
    <dataValidation type="decimal" allowBlank="1" showInputMessage="1" showErrorMessage="1" sqref="IN40:IN41 SJ40:SJ41 ACF40:ACF41 AMB40:AMB41 AVX40:AVX41 BFT40:BFT41 BPP40:BPP41 BZL40:BZL41 CJH40:CJH41 CTD40:CTD41 DCZ40:DCZ41 DMV40:DMV41 DWR40:DWR41 EGN40:EGN41 EQJ40:EQJ41 FAF40:FAF41 FKB40:FKB41 FTX40:FTX41 GDT40:GDT41 GNP40:GNP41 GXL40:GXL41 HHH40:HHH41 HRD40:HRD41 IAZ40:IAZ41 IKV40:IKV41 IUR40:IUR41 JEN40:JEN41 JOJ40:JOJ41 JYF40:JYF41 KIB40:KIB41 KRX40:KRX41 LBT40:LBT41 LLP40:LLP41 LVL40:LVL41 MFH40:MFH41 MPD40:MPD41 MYZ40:MYZ41 NIV40:NIV41 NSR40:NSR41 OCN40:OCN41 OMJ40:OMJ41 OWF40:OWF41 PGB40:PGB41 PPX40:PPX41 PZT40:PZT41 QJP40:QJP41 QTL40:QTL41 RDH40:RDH41 RND40:RND41 RWZ40:RWZ41 SGV40:SGV41 SQR40:SQR41 TAN40:TAN41 TKJ40:TKJ41 TUF40:TUF41 UEB40:UEB41 UNX40:UNX41 UXT40:UXT41 VHP40:VHP41 VRL40:VRL41 WBH40:WBH41 WLD40:WLD41 WUZ40:WUZ41 IN65476:IN65477 SJ65476:SJ65477 ACF65476:ACF65477 AMB65476:AMB65477 AVX65476:AVX65477 BFT65476:BFT65477 BPP65476:BPP65477 BZL65476:BZL65477 CJH65476:CJH65477 CTD65476:CTD65477 DCZ65476:DCZ65477 DMV65476:DMV65477 DWR65476:DWR65477 EGN65476:EGN65477 EQJ65476:EQJ65477 FAF65476:FAF65477 FKB65476:FKB65477 FTX65476:FTX65477 GDT65476:GDT65477 GNP65476:GNP65477 GXL65476:GXL65477 HHH65476:HHH65477 HRD65476:HRD65477 IAZ65476:IAZ65477 IKV65476:IKV65477 IUR65476:IUR65477 JEN65476:JEN65477 JOJ65476:JOJ65477 JYF65476:JYF65477 KIB65476:KIB65477 KRX65476:KRX65477 LBT65476:LBT65477 LLP65476:LLP65477 LVL65476:LVL65477 MFH65476:MFH65477 MPD65476:MPD65477 MYZ65476:MYZ65477 NIV65476:NIV65477 NSR65476:NSR65477 OCN65476:OCN65477 OMJ65476:OMJ65477 OWF65476:OWF65477 PGB65476:PGB65477 PPX65476:PPX65477 PZT65476:PZT65477 QJP65476:QJP65477 QTL65476:QTL65477 RDH65476:RDH65477 RND65476:RND65477 RWZ65476:RWZ65477 SGV65476:SGV65477 SQR65476:SQR65477 TAN65476:TAN65477 TKJ65476:TKJ65477 TUF65476:TUF65477 UEB65476:UEB65477 UNX65476:UNX65477 UXT65476:UXT65477 VHP65476:VHP65477 VRL65476:VRL65477 WBH65476:WBH65477 WLD65476:WLD65477 WUZ65476:WUZ65477 IN131012:IN131013 SJ131012:SJ131013 ACF131012:ACF131013 AMB131012:AMB131013 AVX131012:AVX131013 BFT131012:BFT131013 BPP131012:BPP131013 BZL131012:BZL131013 CJH131012:CJH131013 CTD131012:CTD131013 DCZ131012:DCZ131013 DMV131012:DMV131013 DWR131012:DWR131013 EGN131012:EGN131013 EQJ131012:EQJ131013 FAF131012:FAF131013 FKB131012:FKB131013 FTX131012:FTX131013 GDT131012:GDT131013 GNP131012:GNP131013 GXL131012:GXL131013 HHH131012:HHH131013 HRD131012:HRD131013 IAZ131012:IAZ131013 IKV131012:IKV131013 IUR131012:IUR131013 JEN131012:JEN131013 JOJ131012:JOJ131013 JYF131012:JYF131013 KIB131012:KIB131013 KRX131012:KRX131013 LBT131012:LBT131013 LLP131012:LLP131013 LVL131012:LVL131013 MFH131012:MFH131013 MPD131012:MPD131013 MYZ131012:MYZ131013 NIV131012:NIV131013 NSR131012:NSR131013 OCN131012:OCN131013 OMJ131012:OMJ131013 OWF131012:OWF131013 PGB131012:PGB131013 PPX131012:PPX131013 PZT131012:PZT131013 QJP131012:QJP131013 QTL131012:QTL131013 RDH131012:RDH131013 RND131012:RND131013 RWZ131012:RWZ131013 SGV131012:SGV131013 SQR131012:SQR131013 TAN131012:TAN131013 TKJ131012:TKJ131013 TUF131012:TUF131013 UEB131012:UEB131013 UNX131012:UNX131013 UXT131012:UXT131013 VHP131012:VHP131013 VRL131012:VRL131013 WBH131012:WBH131013 WLD131012:WLD131013 WUZ131012:WUZ131013 IN196548:IN196549 SJ196548:SJ196549 ACF196548:ACF196549 AMB196548:AMB196549 AVX196548:AVX196549 BFT196548:BFT196549 BPP196548:BPP196549 BZL196548:BZL196549 CJH196548:CJH196549 CTD196548:CTD196549 DCZ196548:DCZ196549 DMV196548:DMV196549 DWR196548:DWR196549 EGN196548:EGN196549 EQJ196548:EQJ196549 FAF196548:FAF196549 FKB196548:FKB196549 FTX196548:FTX196549 GDT196548:GDT196549 GNP196548:GNP196549 GXL196548:GXL196549 HHH196548:HHH196549 HRD196548:HRD196549 IAZ196548:IAZ196549 IKV196548:IKV196549 IUR196548:IUR196549 JEN196548:JEN196549 JOJ196548:JOJ196549 JYF196548:JYF196549 KIB196548:KIB196549 KRX196548:KRX196549 LBT196548:LBT196549 LLP196548:LLP196549 LVL196548:LVL196549 MFH196548:MFH196549 MPD196548:MPD196549 MYZ196548:MYZ196549 NIV196548:NIV196549 NSR196548:NSR196549 OCN196548:OCN196549 OMJ196548:OMJ196549 OWF196548:OWF196549 PGB196548:PGB196549 PPX196548:PPX196549 PZT196548:PZT196549 QJP196548:QJP196549 QTL196548:QTL196549 RDH196548:RDH196549 RND196548:RND196549 RWZ196548:RWZ196549 SGV196548:SGV196549 SQR196548:SQR196549 TAN196548:TAN196549 TKJ196548:TKJ196549 TUF196548:TUF196549 UEB196548:UEB196549 UNX196548:UNX196549 UXT196548:UXT196549 VHP196548:VHP196549 VRL196548:VRL196549 WBH196548:WBH196549 WLD196548:WLD196549 WUZ196548:WUZ196549 IN262084:IN262085 SJ262084:SJ262085 ACF262084:ACF262085 AMB262084:AMB262085 AVX262084:AVX262085 BFT262084:BFT262085 BPP262084:BPP262085 BZL262084:BZL262085 CJH262084:CJH262085 CTD262084:CTD262085 DCZ262084:DCZ262085 DMV262084:DMV262085 DWR262084:DWR262085 EGN262084:EGN262085 EQJ262084:EQJ262085 FAF262084:FAF262085 FKB262084:FKB262085 FTX262084:FTX262085 GDT262084:GDT262085 GNP262084:GNP262085 GXL262084:GXL262085 HHH262084:HHH262085 HRD262084:HRD262085 IAZ262084:IAZ262085 IKV262084:IKV262085 IUR262084:IUR262085 JEN262084:JEN262085 JOJ262084:JOJ262085 JYF262084:JYF262085 KIB262084:KIB262085 KRX262084:KRX262085 LBT262084:LBT262085 LLP262084:LLP262085 LVL262084:LVL262085 MFH262084:MFH262085 MPD262084:MPD262085 MYZ262084:MYZ262085 NIV262084:NIV262085 NSR262084:NSR262085 OCN262084:OCN262085 OMJ262084:OMJ262085 OWF262084:OWF262085 PGB262084:PGB262085 PPX262084:PPX262085 PZT262084:PZT262085 QJP262084:QJP262085 QTL262084:QTL262085 RDH262084:RDH262085 RND262084:RND262085 RWZ262084:RWZ262085 SGV262084:SGV262085 SQR262084:SQR262085 TAN262084:TAN262085 TKJ262084:TKJ262085 TUF262084:TUF262085 UEB262084:UEB262085 UNX262084:UNX262085 UXT262084:UXT262085 VHP262084:VHP262085 VRL262084:VRL262085 WBH262084:WBH262085 WLD262084:WLD262085 WUZ262084:WUZ262085 IN327620:IN327621 SJ327620:SJ327621 ACF327620:ACF327621 AMB327620:AMB327621 AVX327620:AVX327621 BFT327620:BFT327621 BPP327620:BPP327621 BZL327620:BZL327621 CJH327620:CJH327621 CTD327620:CTD327621 DCZ327620:DCZ327621 DMV327620:DMV327621 DWR327620:DWR327621 EGN327620:EGN327621 EQJ327620:EQJ327621 FAF327620:FAF327621 FKB327620:FKB327621 FTX327620:FTX327621 GDT327620:GDT327621 GNP327620:GNP327621 GXL327620:GXL327621 HHH327620:HHH327621 HRD327620:HRD327621 IAZ327620:IAZ327621 IKV327620:IKV327621 IUR327620:IUR327621 JEN327620:JEN327621 JOJ327620:JOJ327621 JYF327620:JYF327621 KIB327620:KIB327621 KRX327620:KRX327621 LBT327620:LBT327621 LLP327620:LLP327621 LVL327620:LVL327621 MFH327620:MFH327621 MPD327620:MPD327621 MYZ327620:MYZ327621 NIV327620:NIV327621 NSR327620:NSR327621 OCN327620:OCN327621 OMJ327620:OMJ327621 OWF327620:OWF327621 PGB327620:PGB327621 PPX327620:PPX327621 PZT327620:PZT327621 QJP327620:QJP327621 QTL327620:QTL327621 RDH327620:RDH327621 RND327620:RND327621 RWZ327620:RWZ327621 SGV327620:SGV327621 SQR327620:SQR327621 TAN327620:TAN327621 TKJ327620:TKJ327621 TUF327620:TUF327621 UEB327620:UEB327621 UNX327620:UNX327621 UXT327620:UXT327621 VHP327620:VHP327621 VRL327620:VRL327621 WBH327620:WBH327621 WLD327620:WLD327621 WUZ327620:WUZ327621 IN393156:IN393157 SJ393156:SJ393157 ACF393156:ACF393157 AMB393156:AMB393157 AVX393156:AVX393157 BFT393156:BFT393157 BPP393156:BPP393157 BZL393156:BZL393157 CJH393156:CJH393157 CTD393156:CTD393157 DCZ393156:DCZ393157 DMV393156:DMV393157 DWR393156:DWR393157 EGN393156:EGN393157 EQJ393156:EQJ393157 FAF393156:FAF393157 FKB393156:FKB393157 FTX393156:FTX393157 GDT393156:GDT393157 GNP393156:GNP393157 GXL393156:GXL393157 HHH393156:HHH393157 HRD393156:HRD393157 IAZ393156:IAZ393157 IKV393156:IKV393157 IUR393156:IUR393157 JEN393156:JEN393157 JOJ393156:JOJ393157 JYF393156:JYF393157 KIB393156:KIB393157 KRX393156:KRX393157 LBT393156:LBT393157 LLP393156:LLP393157 LVL393156:LVL393157 MFH393156:MFH393157 MPD393156:MPD393157 MYZ393156:MYZ393157 NIV393156:NIV393157 NSR393156:NSR393157 OCN393156:OCN393157 OMJ393156:OMJ393157 OWF393156:OWF393157 PGB393156:PGB393157 PPX393156:PPX393157 PZT393156:PZT393157 QJP393156:QJP393157 QTL393156:QTL393157 RDH393156:RDH393157 RND393156:RND393157 RWZ393156:RWZ393157 SGV393156:SGV393157 SQR393156:SQR393157 TAN393156:TAN393157 TKJ393156:TKJ393157 TUF393156:TUF393157 UEB393156:UEB393157 UNX393156:UNX393157 UXT393156:UXT393157 VHP393156:VHP393157 VRL393156:VRL393157 WBH393156:WBH393157 WLD393156:WLD393157 WUZ393156:WUZ393157 IN458692:IN458693 SJ458692:SJ458693 ACF458692:ACF458693 AMB458692:AMB458693 AVX458692:AVX458693 BFT458692:BFT458693 BPP458692:BPP458693 BZL458692:BZL458693 CJH458692:CJH458693 CTD458692:CTD458693 DCZ458692:DCZ458693 DMV458692:DMV458693 DWR458692:DWR458693 EGN458692:EGN458693 EQJ458692:EQJ458693 FAF458692:FAF458693 FKB458692:FKB458693 FTX458692:FTX458693 GDT458692:GDT458693 GNP458692:GNP458693 GXL458692:GXL458693 HHH458692:HHH458693 HRD458692:HRD458693 IAZ458692:IAZ458693 IKV458692:IKV458693 IUR458692:IUR458693 JEN458692:JEN458693 JOJ458692:JOJ458693 JYF458692:JYF458693 KIB458692:KIB458693 KRX458692:KRX458693 LBT458692:LBT458693 LLP458692:LLP458693 LVL458692:LVL458693 MFH458692:MFH458693 MPD458692:MPD458693 MYZ458692:MYZ458693 NIV458692:NIV458693 NSR458692:NSR458693 OCN458692:OCN458693 OMJ458692:OMJ458693 OWF458692:OWF458693 PGB458692:PGB458693 PPX458692:PPX458693 PZT458692:PZT458693 QJP458692:QJP458693 QTL458692:QTL458693 RDH458692:RDH458693 RND458692:RND458693 RWZ458692:RWZ458693 SGV458692:SGV458693 SQR458692:SQR458693 TAN458692:TAN458693 TKJ458692:TKJ458693 TUF458692:TUF458693 UEB458692:UEB458693 UNX458692:UNX458693 UXT458692:UXT458693 VHP458692:VHP458693 VRL458692:VRL458693 WBH458692:WBH458693 WLD458692:WLD458693 WUZ458692:WUZ458693 IN524228:IN524229 SJ524228:SJ524229 ACF524228:ACF524229 AMB524228:AMB524229 AVX524228:AVX524229 BFT524228:BFT524229 BPP524228:BPP524229 BZL524228:BZL524229 CJH524228:CJH524229 CTD524228:CTD524229 DCZ524228:DCZ524229 DMV524228:DMV524229 DWR524228:DWR524229 EGN524228:EGN524229 EQJ524228:EQJ524229 FAF524228:FAF524229 FKB524228:FKB524229 FTX524228:FTX524229 GDT524228:GDT524229 GNP524228:GNP524229 GXL524228:GXL524229 HHH524228:HHH524229 HRD524228:HRD524229 IAZ524228:IAZ524229 IKV524228:IKV524229 IUR524228:IUR524229 JEN524228:JEN524229 JOJ524228:JOJ524229 JYF524228:JYF524229 KIB524228:KIB524229 KRX524228:KRX524229 LBT524228:LBT524229 LLP524228:LLP524229 LVL524228:LVL524229 MFH524228:MFH524229 MPD524228:MPD524229 MYZ524228:MYZ524229 NIV524228:NIV524229 NSR524228:NSR524229 OCN524228:OCN524229 OMJ524228:OMJ524229 OWF524228:OWF524229 PGB524228:PGB524229 PPX524228:PPX524229 PZT524228:PZT524229 QJP524228:QJP524229 QTL524228:QTL524229 RDH524228:RDH524229 RND524228:RND524229 RWZ524228:RWZ524229 SGV524228:SGV524229 SQR524228:SQR524229 TAN524228:TAN524229 TKJ524228:TKJ524229 TUF524228:TUF524229 UEB524228:UEB524229 UNX524228:UNX524229 UXT524228:UXT524229 VHP524228:VHP524229 VRL524228:VRL524229 WBH524228:WBH524229 WLD524228:WLD524229 WUZ524228:WUZ524229 IN589764:IN589765 SJ589764:SJ589765 ACF589764:ACF589765 AMB589764:AMB589765 AVX589764:AVX589765 BFT589764:BFT589765 BPP589764:BPP589765 BZL589764:BZL589765 CJH589764:CJH589765 CTD589764:CTD589765 DCZ589764:DCZ589765 DMV589764:DMV589765 DWR589764:DWR589765 EGN589764:EGN589765 EQJ589764:EQJ589765 FAF589764:FAF589765 FKB589764:FKB589765 FTX589764:FTX589765 GDT589764:GDT589765 GNP589764:GNP589765 GXL589764:GXL589765 HHH589764:HHH589765 HRD589764:HRD589765 IAZ589764:IAZ589765 IKV589764:IKV589765 IUR589764:IUR589765 JEN589764:JEN589765 JOJ589764:JOJ589765 JYF589764:JYF589765 KIB589764:KIB589765 KRX589764:KRX589765 LBT589764:LBT589765 LLP589764:LLP589765 LVL589764:LVL589765 MFH589764:MFH589765 MPD589764:MPD589765 MYZ589764:MYZ589765 NIV589764:NIV589765 NSR589764:NSR589765 OCN589764:OCN589765 OMJ589764:OMJ589765 OWF589764:OWF589765 PGB589764:PGB589765 PPX589764:PPX589765 PZT589764:PZT589765 QJP589764:QJP589765 QTL589764:QTL589765 RDH589764:RDH589765 RND589764:RND589765 RWZ589764:RWZ589765 SGV589764:SGV589765 SQR589764:SQR589765 TAN589764:TAN589765 TKJ589764:TKJ589765 TUF589764:TUF589765 UEB589764:UEB589765 UNX589764:UNX589765 UXT589764:UXT589765 VHP589764:VHP589765 VRL589764:VRL589765 WBH589764:WBH589765 WLD589764:WLD589765 WUZ589764:WUZ589765 IN655300:IN655301 SJ655300:SJ655301 ACF655300:ACF655301 AMB655300:AMB655301 AVX655300:AVX655301 BFT655300:BFT655301 BPP655300:BPP655301 BZL655300:BZL655301 CJH655300:CJH655301 CTD655300:CTD655301 DCZ655300:DCZ655301 DMV655300:DMV655301 DWR655300:DWR655301 EGN655300:EGN655301 EQJ655300:EQJ655301 FAF655300:FAF655301 FKB655300:FKB655301 FTX655300:FTX655301 GDT655300:GDT655301 GNP655300:GNP655301 GXL655300:GXL655301 HHH655300:HHH655301 HRD655300:HRD655301 IAZ655300:IAZ655301 IKV655300:IKV655301 IUR655300:IUR655301 JEN655300:JEN655301 JOJ655300:JOJ655301 JYF655300:JYF655301 KIB655300:KIB655301 KRX655300:KRX655301 LBT655300:LBT655301 LLP655300:LLP655301 LVL655300:LVL655301 MFH655300:MFH655301 MPD655300:MPD655301 MYZ655300:MYZ655301 NIV655300:NIV655301 NSR655300:NSR655301 OCN655300:OCN655301 OMJ655300:OMJ655301 OWF655300:OWF655301 PGB655300:PGB655301 PPX655300:PPX655301 PZT655300:PZT655301 QJP655300:QJP655301 QTL655300:QTL655301 RDH655300:RDH655301 RND655300:RND655301 RWZ655300:RWZ655301 SGV655300:SGV655301 SQR655300:SQR655301 TAN655300:TAN655301 TKJ655300:TKJ655301 TUF655300:TUF655301 UEB655300:UEB655301 UNX655300:UNX655301 UXT655300:UXT655301 VHP655300:VHP655301 VRL655300:VRL655301 WBH655300:WBH655301 WLD655300:WLD655301 WUZ655300:WUZ655301 IN720836:IN720837 SJ720836:SJ720837 ACF720836:ACF720837 AMB720836:AMB720837 AVX720836:AVX720837 BFT720836:BFT720837 BPP720836:BPP720837 BZL720836:BZL720837 CJH720836:CJH720837 CTD720836:CTD720837 DCZ720836:DCZ720837 DMV720836:DMV720837 DWR720836:DWR720837 EGN720836:EGN720837 EQJ720836:EQJ720837 FAF720836:FAF720837 FKB720836:FKB720837 FTX720836:FTX720837 GDT720836:GDT720837 GNP720836:GNP720837 GXL720836:GXL720837 HHH720836:HHH720837 HRD720836:HRD720837 IAZ720836:IAZ720837 IKV720836:IKV720837 IUR720836:IUR720837 JEN720836:JEN720837 JOJ720836:JOJ720837 JYF720836:JYF720837 KIB720836:KIB720837 KRX720836:KRX720837 LBT720836:LBT720837 LLP720836:LLP720837 LVL720836:LVL720837 MFH720836:MFH720837 MPD720836:MPD720837 MYZ720836:MYZ720837 NIV720836:NIV720837 NSR720836:NSR720837 OCN720836:OCN720837 OMJ720836:OMJ720837 OWF720836:OWF720837 PGB720836:PGB720837 PPX720836:PPX720837 PZT720836:PZT720837 QJP720836:QJP720837 QTL720836:QTL720837 RDH720836:RDH720837 RND720836:RND720837 RWZ720836:RWZ720837 SGV720836:SGV720837 SQR720836:SQR720837 TAN720836:TAN720837 TKJ720836:TKJ720837 TUF720836:TUF720837 UEB720836:UEB720837 UNX720836:UNX720837 UXT720836:UXT720837 VHP720836:VHP720837 VRL720836:VRL720837 WBH720836:WBH720837 WLD720836:WLD720837 WUZ720836:WUZ720837 IN786372:IN786373 SJ786372:SJ786373 ACF786372:ACF786373 AMB786372:AMB786373 AVX786372:AVX786373 BFT786372:BFT786373 BPP786372:BPP786373 BZL786372:BZL786373 CJH786372:CJH786373 CTD786372:CTD786373 DCZ786372:DCZ786373 DMV786372:DMV786373 DWR786372:DWR786373 EGN786372:EGN786373 EQJ786372:EQJ786373 FAF786372:FAF786373 FKB786372:FKB786373 FTX786372:FTX786373 GDT786372:GDT786373 GNP786372:GNP786373 GXL786372:GXL786373 HHH786372:HHH786373 HRD786372:HRD786373 IAZ786372:IAZ786373 IKV786372:IKV786373 IUR786372:IUR786373 JEN786372:JEN786373 JOJ786372:JOJ786373 JYF786372:JYF786373 KIB786372:KIB786373 KRX786372:KRX786373 LBT786372:LBT786373 LLP786372:LLP786373 LVL786372:LVL786373 MFH786372:MFH786373 MPD786372:MPD786373 MYZ786372:MYZ786373 NIV786372:NIV786373 NSR786372:NSR786373 OCN786372:OCN786373 OMJ786372:OMJ786373 OWF786372:OWF786373 PGB786372:PGB786373 PPX786372:PPX786373 PZT786372:PZT786373 QJP786372:QJP786373 QTL786372:QTL786373 RDH786372:RDH786373 RND786372:RND786373 RWZ786372:RWZ786373 SGV786372:SGV786373 SQR786372:SQR786373 TAN786372:TAN786373 TKJ786372:TKJ786373 TUF786372:TUF786373 UEB786372:UEB786373 UNX786372:UNX786373 UXT786372:UXT786373 VHP786372:VHP786373 VRL786372:VRL786373 WBH786372:WBH786373 WLD786372:WLD786373 WUZ786372:WUZ786373 IN851908:IN851909 SJ851908:SJ851909 ACF851908:ACF851909 AMB851908:AMB851909 AVX851908:AVX851909 BFT851908:BFT851909 BPP851908:BPP851909 BZL851908:BZL851909 CJH851908:CJH851909 CTD851908:CTD851909 DCZ851908:DCZ851909 DMV851908:DMV851909 DWR851908:DWR851909 EGN851908:EGN851909 EQJ851908:EQJ851909 FAF851908:FAF851909 FKB851908:FKB851909 FTX851908:FTX851909 GDT851908:GDT851909 GNP851908:GNP851909 GXL851908:GXL851909 HHH851908:HHH851909 HRD851908:HRD851909 IAZ851908:IAZ851909 IKV851908:IKV851909 IUR851908:IUR851909 JEN851908:JEN851909 JOJ851908:JOJ851909 JYF851908:JYF851909 KIB851908:KIB851909 KRX851908:KRX851909 LBT851908:LBT851909 LLP851908:LLP851909 LVL851908:LVL851909 MFH851908:MFH851909 MPD851908:MPD851909 MYZ851908:MYZ851909 NIV851908:NIV851909 NSR851908:NSR851909 OCN851908:OCN851909 OMJ851908:OMJ851909 OWF851908:OWF851909 PGB851908:PGB851909 PPX851908:PPX851909 PZT851908:PZT851909 QJP851908:QJP851909 QTL851908:QTL851909 RDH851908:RDH851909 RND851908:RND851909 RWZ851908:RWZ851909 SGV851908:SGV851909 SQR851908:SQR851909 TAN851908:TAN851909 TKJ851908:TKJ851909 TUF851908:TUF851909 UEB851908:UEB851909 UNX851908:UNX851909 UXT851908:UXT851909 VHP851908:VHP851909 VRL851908:VRL851909 WBH851908:WBH851909 WLD851908:WLD851909 WUZ851908:WUZ851909 IN917444:IN917445 SJ917444:SJ917445 ACF917444:ACF917445 AMB917444:AMB917445 AVX917444:AVX917445 BFT917444:BFT917445 BPP917444:BPP917445 BZL917444:BZL917445 CJH917444:CJH917445 CTD917444:CTD917445 DCZ917444:DCZ917445 DMV917444:DMV917445 DWR917444:DWR917445 EGN917444:EGN917445 EQJ917444:EQJ917445 FAF917444:FAF917445 FKB917444:FKB917445 FTX917444:FTX917445 GDT917444:GDT917445 GNP917444:GNP917445 GXL917444:GXL917445 HHH917444:HHH917445 HRD917444:HRD917445 IAZ917444:IAZ917445 IKV917444:IKV917445 IUR917444:IUR917445 JEN917444:JEN917445 JOJ917444:JOJ917445 JYF917444:JYF917445 KIB917444:KIB917445 KRX917444:KRX917445 LBT917444:LBT917445 LLP917444:LLP917445 LVL917444:LVL917445 MFH917444:MFH917445 MPD917444:MPD917445 MYZ917444:MYZ917445 NIV917444:NIV917445 NSR917444:NSR917445 OCN917444:OCN917445 OMJ917444:OMJ917445 OWF917444:OWF917445 PGB917444:PGB917445 PPX917444:PPX917445 PZT917444:PZT917445 QJP917444:QJP917445 QTL917444:QTL917445 RDH917444:RDH917445 RND917444:RND917445 RWZ917444:RWZ917445 SGV917444:SGV917445 SQR917444:SQR917445 TAN917444:TAN917445 TKJ917444:TKJ917445 TUF917444:TUF917445 UEB917444:UEB917445 UNX917444:UNX917445 UXT917444:UXT917445 VHP917444:VHP917445 VRL917444:VRL917445 WBH917444:WBH917445 WLD917444:WLD917445 WUZ917444:WUZ917445 IN982980:IN982981 SJ982980:SJ982981 ACF982980:ACF982981 AMB982980:AMB982981 AVX982980:AVX982981 BFT982980:BFT982981 BPP982980:BPP982981 BZL982980:BZL982981 CJH982980:CJH982981 CTD982980:CTD982981 DCZ982980:DCZ982981 DMV982980:DMV982981 DWR982980:DWR982981 EGN982980:EGN982981 EQJ982980:EQJ982981 FAF982980:FAF982981 FKB982980:FKB982981 FTX982980:FTX982981 GDT982980:GDT982981 GNP982980:GNP982981 GXL982980:GXL982981 HHH982980:HHH982981 HRD982980:HRD982981 IAZ982980:IAZ982981 IKV982980:IKV982981 IUR982980:IUR982981 JEN982980:JEN982981 JOJ982980:JOJ982981 JYF982980:JYF982981 KIB982980:KIB982981 KRX982980:KRX982981 LBT982980:LBT982981 LLP982980:LLP982981 LVL982980:LVL982981 MFH982980:MFH982981 MPD982980:MPD982981 MYZ982980:MYZ982981 NIV982980:NIV982981 NSR982980:NSR982981 OCN982980:OCN982981 OMJ982980:OMJ982981 OWF982980:OWF982981 PGB982980:PGB982981 PPX982980:PPX982981 PZT982980:PZT982981 QJP982980:QJP982981 QTL982980:QTL982981 RDH982980:RDH982981 RND982980:RND982981 RWZ982980:RWZ982981 SGV982980:SGV982981 SQR982980:SQR982981 TAN982980:TAN982981 TKJ982980:TKJ982981 TUF982980:TUF982981 UEB982980:UEB982981 UNX982980:UNX982981 UXT982980:UXT982981 VHP982980:VHP982981 VRL982980:VRL982981 WBH982980:WBH982981 WLD982980:WLD982981 WUZ982980:WUZ982981 IN26:IO27 SJ26:SK27 ACF26:ACG27 AMB26:AMC27 AVX26:AVY27 BFT26:BFU27 BPP26:BPQ27 BZL26:BZM27 CJH26:CJI27 CTD26:CTE27 DCZ26:DDA27 DMV26:DMW27 DWR26:DWS27 EGN26:EGO27 EQJ26:EQK27 FAF26:FAG27 FKB26:FKC27 FTX26:FTY27 GDT26:GDU27 GNP26:GNQ27 GXL26:GXM27 HHH26:HHI27 HRD26:HRE27 IAZ26:IBA27 IKV26:IKW27 IUR26:IUS27 JEN26:JEO27 JOJ26:JOK27 JYF26:JYG27 KIB26:KIC27 KRX26:KRY27 LBT26:LBU27 LLP26:LLQ27 LVL26:LVM27 MFH26:MFI27 MPD26:MPE27 MYZ26:MZA27 NIV26:NIW27 NSR26:NSS27 OCN26:OCO27 OMJ26:OMK27 OWF26:OWG27 PGB26:PGC27 PPX26:PPY27 PZT26:PZU27 QJP26:QJQ27 QTL26:QTM27 RDH26:RDI27 RND26:RNE27 RWZ26:RXA27 SGV26:SGW27 SQR26:SQS27 TAN26:TAO27 TKJ26:TKK27 TUF26:TUG27 UEB26:UEC27 UNX26:UNY27 UXT26:UXU27 VHP26:VHQ27 VRL26:VRM27 WBH26:WBI27 WLD26:WLE27 WUZ26:WVA27 IN65462:IO65463 SJ65462:SK65463 ACF65462:ACG65463 AMB65462:AMC65463 AVX65462:AVY65463 BFT65462:BFU65463 BPP65462:BPQ65463 BZL65462:BZM65463 CJH65462:CJI65463 CTD65462:CTE65463 DCZ65462:DDA65463 DMV65462:DMW65463 DWR65462:DWS65463 EGN65462:EGO65463 EQJ65462:EQK65463 FAF65462:FAG65463 FKB65462:FKC65463 FTX65462:FTY65463 GDT65462:GDU65463 GNP65462:GNQ65463 GXL65462:GXM65463 HHH65462:HHI65463 HRD65462:HRE65463 IAZ65462:IBA65463 IKV65462:IKW65463 IUR65462:IUS65463 JEN65462:JEO65463 JOJ65462:JOK65463 JYF65462:JYG65463 KIB65462:KIC65463 KRX65462:KRY65463 LBT65462:LBU65463 LLP65462:LLQ65463 LVL65462:LVM65463 MFH65462:MFI65463 MPD65462:MPE65463 MYZ65462:MZA65463 NIV65462:NIW65463 NSR65462:NSS65463 OCN65462:OCO65463 OMJ65462:OMK65463 OWF65462:OWG65463 PGB65462:PGC65463 PPX65462:PPY65463 PZT65462:PZU65463 QJP65462:QJQ65463 QTL65462:QTM65463 RDH65462:RDI65463 RND65462:RNE65463 RWZ65462:RXA65463 SGV65462:SGW65463 SQR65462:SQS65463 TAN65462:TAO65463 TKJ65462:TKK65463 TUF65462:TUG65463 UEB65462:UEC65463 UNX65462:UNY65463 UXT65462:UXU65463 VHP65462:VHQ65463 VRL65462:VRM65463 WBH65462:WBI65463 WLD65462:WLE65463 WUZ65462:WVA65463 IN130998:IO130999 SJ130998:SK130999 ACF130998:ACG130999 AMB130998:AMC130999 AVX130998:AVY130999 BFT130998:BFU130999 BPP130998:BPQ130999 BZL130998:BZM130999 CJH130998:CJI130999 CTD130998:CTE130999 DCZ130998:DDA130999 DMV130998:DMW130999 DWR130998:DWS130999 EGN130998:EGO130999 EQJ130998:EQK130999 FAF130998:FAG130999 FKB130998:FKC130999 FTX130998:FTY130999 GDT130998:GDU130999 GNP130998:GNQ130999 GXL130998:GXM130999 HHH130998:HHI130999 HRD130998:HRE130999 IAZ130998:IBA130999 IKV130998:IKW130999 IUR130998:IUS130999 JEN130998:JEO130999 JOJ130998:JOK130999 JYF130998:JYG130999 KIB130998:KIC130999 KRX130998:KRY130999 LBT130998:LBU130999 LLP130998:LLQ130999 LVL130998:LVM130999 MFH130998:MFI130999 MPD130998:MPE130999 MYZ130998:MZA130999 NIV130998:NIW130999 NSR130998:NSS130999 OCN130998:OCO130999 OMJ130998:OMK130999 OWF130998:OWG130999 PGB130998:PGC130999 PPX130998:PPY130999 PZT130998:PZU130999 QJP130998:QJQ130999 QTL130998:QTM130999 RDH130998:RDI130999 RND130998:RNE130999 RWZ130998:RXA130999 SGV130998:SGW130999 SQR130998:SQS130999 TAN130998:TAO130999 TKJ130998:TKK130999 TUF130998:TUG130999 UEB130998:UEC130999 UNX130998:UNY130999 UXT130998:UXU130999 VHP130998:VHQ130999 VRL130998:VRM130999 WBH130998:WBI130999 WLD130998:WLE130999 WUZ130998:WVA130999 IN196534:IO196535 SJ196534:SK196535 ACF196534:ACG196535 AMB196534:AMC196535 AVX196534:AVY196535 BFT196534:BFU196535 BPP196534:BPQ196535 BZL196534:BZM196535 CJH196534:CJI196535 CTD196534:CTE196535 DCZ196534:DDA196535 DMV196534:DMW196535 DWR196534:DWS196535 EGN196534:EGO196535 EQJ196534:EQK196535 FAF196534:FAG196535 FKB196534:FKC196535 FTX196534:FTY196535 GDT196534:GDU196535 GNP196534:GNQ196535 GXL196534:GXM196535 HHH196534:HHI196535 HRD196534:HRE196535 IAZ196534:IBA196535 IKV196534:IKW196535 IUR196534:IUS196535 JEN196534:JEO196535 JOJ196534:JOK196535 JYF196534:JYG196535 KIB196534:KIC196535 KRX196534:KRY196535 LBT196534:LBU196535 LLP196534:LLQ196535 LVL196534:LVM196535 MFH196534:MFI196535 MPD196534:MPE196535 MYZ196534:MZA196535 NIV196534:NIW196535 NSR196534:NSS196535 OCN196534:OCO196535 OMJ196534:OMK196535 OWF196534:OWG196535 PGB196534:PGC196535 PPX196534:PPY196535 PZT196534:PZU196535 QJP196534:QJQ196535 QTL196534:QTM196535 RDH196534:RDI196535 RND196534:RNE196535 RWZ196534:RXA196535 SGV196534:SGW196535 SQR196534:SQS196535 TAN196534:TAO196535 TKJ196534:TKK196535 TUF196534:TUG196535 UEB196534:UEC196535 UNX196534:UNY196535 UXT196534:UXU196535 VHP196534:VHQ196535 VRL196534:VRM196535 WBH196534:WBI196535 WLD196534:WLE196535 WUZ196534:WVA196535 IN262070:IO262071 SJ262070:SK262071 ACF262070:ACG262071 AMB262070:AMC262071 AVX262070:AVY262071 BFT262070:BFU262071 BPP262070:BPQ262071 BZL262070:BZM262071 CJH262070:CJI262071 CTD262070:CTE262071 DCZ262070:DDA262071 DMV262070:DMW262071 DWR262070:DWS262071 EGN262070:EGO262071 EQJ262070:EQK262071 FAF262070:FAG262071 FKB262070:FKC262071 FTX262070:FTY262071 GDT262070:GDU262071 GNP262070:GNQ262071 GXL262070:GXM262071 HHH262070:HHI262071 HRD262070:HRE262071 IAZ262070:IBA262071 IKV262070:IKW262071 IUR262070:IUS262071 JEN262070:JEO262071 JOJ262070:JOK262071 JYF262070:JYG262071 KIB262070:KIC262071 KRX262070:KRY262071 LBT262070:LBU262071 LLP262070:LLQ262071 LVL262070:LVM262071 MFH262070:MFI262071 MPD262070:MPE262071 MYZ262070:MZA262071 NIV262070:NIW262071 NSR262070:NSS262071 OCN262070:OCO262071 OMJ262070:OMK262071 OWF262070:OWG262071 PGB262070:PGC262071 PPX262070:PPY262071 PZT262070:PZU262071 QJP262070:QJQ262071 QTL262070:QTM262071 RDH262070:RDI262071 RND262070:RNE262071 RWZ262070:RXA262071 SGV262070:SGW262071 SQR262070:SQS262071 TAN262070:TAO262071 TKJ262070:TKK262071 TUF262070:TUG262071 UEB262070:UEC262071 UNX262070:UNY262071 UXT262070:UXU262071 VHP262070:VHQ262071 VRL262070:VRM262071 WBH262070:WBI262071 WLD262070:WLE262071 WUZ262070:WVA262071 IN327606:IO327607 SJ327606:SK327607 ACF327606:ACG327607 AMB327606:AMC327607 AVX327606:AVY327607 BFT327606:BFU327607 BPP327606:BPQ327607 BZL327606:BZM327607 CJH327606:CJI327607 CTD327606:CTE327607 DCZ327606:DDA327607 DMV327606:DMW327607 DWR327606:DWS327607 EGN327606:EGO327607 EQJ327606:EQK327607 FAF327606:FAG327607 FKB327606:FKC327607 FTX327606:FTY327607 GDT327606:GDU327607 GNP327606:GNQ327607 GXL327606:GXM327607 HHH327606:HHI327607 HRD327606:HRE327607 IAZ327606:IBA327607 IKV327606:IKW327607 IUR327606:IUS327607 JEN327606:JEO327607 JOJ327606:JOK327607 JYF327606:JYG327607 KIB327606:KIC327607 KRX327606:KRY327607 LBT327606:LBU327607 LLP327606:LLQ327607 LVL327606:LVM327607 MFH327606:MFI327607 MPD327606:MPE327607 MYZ327606:MZA327607 NIV327606:NIW327607 NSR327606:NSS327607 OCN327606:OCO327607 OMJ327606:OMK327607 OWF327606:OWG327607 PGB327606:PGC327607 PPX327606:PPY327607 PZT327606:PZU327607 QJP327606:QJQ327607 QTL327606:QTM327607 RDH327606:RDI327607 RND327606:RNE327607 RWZ327606:RXA327607 SGV327606:SGW327607 SQR327606:SQS327607 TAN327606:TAO327607 TKJ327606:TKK327607 TUF327606:TUG327607 UEB327606:UEC327607 UNX327606:UNY327607 UXT327606:UXU327607 VHP327606:VHQ327607 VRL327606:VRM327607 WBH327606:WBI327607 WLD327606:WLE327607 WUZ327606:WVA327607 IN393142:IO393143 SJ393142:SK393143 ACF393142:ACG393143 AMB393142:AMC393143 AVX393142:AVY393143 BFT393142:BFU393143 BPP393142:BPQ393143 BZL393142:BZM393143 CJH393142:CJI393143 CTD393142:CTE393143 DCZ393142:DDA393143 DMV393142:DMW393143 DWR393142:DWS393143 EGN393142:EGO393143 EQJ393142:EQK393143 FAF393142:FAG393143 FKB393142:FKC393143 FTX393142:FTY393143 GDT393142:GDU393143 GNP393142:GNQ393143 GXL393142:GXM393143 HHH393142:HHI393143 HRD393142:HRE393143 IAZ393142:IBA393143 IKV393142:IKW393143 IUR393142:IUS393143 JEN393142:JEO393143 JOJ393142:JOK393143 JYF393142:JYG393143 KIB393142:KIC393143 KRX393142:KRY393143 LBT393142:LBU393143 LLP393142:LLQ393143 LVL393142:LVM393143 MFH393142:MFI393143 MPD393142:MPE393143 MYZ393142:MZA393143 NIV393142:NIW393143 NSR393142:NSS393143 OCN393142:OCO393143 OMJ393142:OMK393143 OWF393142:OWG393143 PGB393142:PGC393143 PPX393142:PPY393143 PZT393142:PZU393143 QJP393142:QJQ393143 QTL393142:QTM393143 RDH393142:RDI393143 RND393142:RNE393143 RWZ393142:RXA393143 SGV393142:SGW393143 SQR393142:SQS393143 TAN393142:TAO393143 TKJ393142:TKK393143 TUF393142:TUG393143 UEB393142:UEC393143 UNX393142:UNY393143 UXT393142:UXU393143 VHP393142:VHQ393143 VRL393142:VRM393143 WBH393142:WBI393143 WLD393142:WLE393143 WUZ393142:WVA393143 IN458678:IO458679 SJ458678:SK458679 ACF458678:ACG458679 AMB458678:AMC458679 AVX458678:AVY458679 BFT458678:BFU458679 BPP458678:BPQ458679 BZL458678:BZM458679 CJH458678:CJI458679 CTD458678:CTE458679 DCZ458678:DDA458679 DMV458678:DMW458679 DWR458678:DWS458679 EGN458678:EGO458679 EQJ458678:EQK458679 FAF458678:FAG458679 FKB458678:FKC458679 FTX458678:FTY458679 GDT458678:GDU458679 GNP458678:GNQ458679 GXL458678:GXM458679 HHH458678:HHI458679 HRD458678:HRE458679 IAZ458678:IBA458679 IKV458678:IKW458679 IUR458678:IUS458679 JEN458678:JEO458679 JOJ458678:JOK458679 JYF458678:JYG458679 KIB458678:KIC458679 KRX458678:KRY458679 LBT458678:LBU458679 LLP458678:LLQ458679 LVL458678:LVM458679 MFH458678:MFI458679 MPD458678:MPE458679 MYZ458678:MZA458679 NIV458678:NIW458679 NSR458678:NSS458679 OCN458678:OCO458679 OMJ458678:OMK458679 OWF458678:OWG458679 PGB458678:PGC458679 PPX458678:PPY458679 PZT458678:PZU458679 QJP458678:QJQ458679 QTL458678:QTM458679 RDH458678:RDI458679 RND458678:RNE458679 RWZ458678:RXA458679 SGV458678:SGW458679 SQR458678:SQS458679 TAN458678:TAO458679 TKJ458678:TKK458679 TUF458678:TUG458679 UEB458678:UEC458679 UNX458678:UNY458679 UXT458678:UXU458679 VHP458678:VHQ458679 VRL458678:VRM458679 WBH458678:WBI458679 WLD458678:WLE458679 WUZ458678:WVA458679 IN524214:IO524215 SJ524214:SK524215 ACF524214:ACG524215 AMB524214:AMC524215 AVX524214:AVY524215 BFT524214:BFU524215 BPP524214:BPQ524215 BZL524214:BZM524215 CJH524214:CJI524215 CTD524214:CTE524215 DCZ524214:DDA524215 DMV524214:DMW524215 DWR524214:DWS524215 EGN524214:EGO524215 EQJ524214:EQK524215 FAF524214:FAG524215 FKB524214:FKC524215 FTX524214:FTY524215 GDT524214:GDU524215 GNP524214:GNQ524215 GXL524214:GXM524215 HHH524214:HHI524215 HRD524214:HRE524215 IAZ524214:IBA524215 IKV524214:IKW524215 IUR524214:IUS524215 JEN524214:JEO524215 JOJ524214:JOK524215 JYF524214:JYG524215 KIB524214:KIC524215 KRX524214:KRY524215 LBT524214:LBU524215 LLP524214:LLQ524215 LVL524214:LVM524215 MFH524214:MFI524215 MPD524214:MPE524215 MYZ524214:MZA524215 NIV524214:NIW524215 NSR524214:NSS524215 OCN524214:OCO524215 OMJ524214:OMK524215 OWF524214:OWG524215 PGB524214:PGC524215 PPX524214:PPY524215 PZT524214:PZU524215 QJP524214:QJQ524215 QTL524214:QTM524215 RDH524214:RDI524215 RND524214:RNE524215 RWZ524214:RXA524215 SGV524214:SGW524215 SQR524214:SQS524215 TAN524214:TAO524215 TKJ524214:TKK524215 TUF524214:TUG524215 UEB524214:UEC524215 UNX524214:UNY524215 UXT524214:UXU524215 VHP524214:VHQ524215 VRL524214:VRM524215 WBH524214:WBI524215 WLD524214:WLE524215 WUZ524214:WVA524215 IN589750:IO589751 SJ589750:SK589751 ACF589750:ACG589751 AMB589750:AMC589751 AVX589750:AVY589751 BFT589750:BFU589751 BPP589750:BPQ589751 BZL589750:BZM589751 CJH589750:CJI589751 CTD589750:CTE589751 DCZ589750:DDA589751 DMV589750:DMW589751 DWR589750:DWS589751 EGN589750:EGO589751 EQJ589750:EQK589751 FAF589750:FAG589751 FKB589750:FKC589751 FTX589750:FTY589751 GDT589750:GDU589751 GNP589750:GNQ589751 GXL589750:GXM589751 HHH589750:HHI589751 HRD589750:HRE589751 IAZ589750:IBA589751 IKV589750:IKW589751 IUR589750:IUS589751 JEN589750:JEO589751 JOJ589750:JOK589751 JYF589750:JYG589751 KIB589750:KIC589751 KRX589750:KRY589751 LBT589750:LBU589751 LLP589750:LLQ589751 LVL589750:LVM589751 MFH589750:MFI589751 MPD589750:MPE589751 MYZ589750:MZA589751 NIV589750:NIW589751 NSR589750:NSS589751 OCN589750:OCO589751 OMJ589750:OMK589751 OWF589750:OWG589751 PGB589750:PGC589751 PPX589750:PPY589751 PZT589750:PZU589751 QJP589750:QJQ589751 QTL589750:QTM589751 RDH589750:RDI589751 RND589750:RNE589751 RWZ589750:RXA589751 SGV589750:SGW589751 SQR589750:SQS589751 TAN589750:TAO589751 TKJ589750:TKK589751 TUF589750:TUG589751 UEB589750:UEC589751 UNX589750:UNY589751 UXT589750:UXU589751 VHP589750:VHQ589751 VRL589750:VRM589751 WBH589750:WBI589751 WLD589750:WLE589751 WUZ589750:WVA589751 IN655286:IO655287 SJ655286:SK655287 ACF655286:ACG655287 AMB655286:AMC655287 AVX655286:AVY655287 BFT655286:BFU655287 BPP655286:BPQ655287 BZL655286:BZM655287 CJH655286:CJI655287 CTD655286:CTE655287 DCZ655286:DDA655287 DMV655286:DMW655287 DWR655286:DWS655287 EGN655286:EGO655287 EQJ655286:EQK655287 FAF655286:FAG655287 FKB655286:FKC655287 FTX655286:FTY655287 GDT655286:GDU655287 GNP655286:GNQ655287 GXL655286:GXM655287 HHH655286:HHI655287 HRD655286:HRE655287 IAZ655286:IBA655287 IKV655286:IKW655287 IUR655286:IUS655287 JEN655286:JEO655287 JOJ655286:JOK655287 JYF655286:JYG655287 KIB655286:KIC655287 KRX655286:KRY655287 LBT655286:LBU655287 LLP655286:LLQ655287 LVL655286:LVM655287 MFH655286:MFI655287 MPD655286:MPE655287 MYZ655286:MZA655287 NIV655286:NIW655287 NSR655286:NSS655287 OCN655286:OCO655287 OMJ655286:OMK655287 OWF655286:OWG655287 PGB655286:PGC655287 PPX655286:PPY655287 PZT655286:PZU655287 QJP655286:QJQ655287 QTL655286:QTM655287 RDH655286:RDI655287 RND655286:RNE655287 RWZ655286:RXA655287 SGV655286:SGW655287 SQR655286:SQS655287 TAN655286:TAO655287 TKJ655286:TKK655287 TUF655286:TUG655287 UEB655286:UEC655287 UNX655286:UNY655287 UXT655286:UXU655287 VHP655286:VHQ655287 VRL655286:VRM655287 WBH655286:WBI655287 WLD655286:WLE655287 WUZ655286:WVA655287 IN720822:IO720823 SJ720822:SK720823 ACF720822:ACG720823 AMB720822:AMC720823 AVX720822:AVY720823 BFT720822:BFU720823 BPP720822:BPQ720823 BZL720822:BZM720823 CJH720822:CJI720823 CTD720822:CTE720823 DCZ720822:DDA720823 DMV720822:DMW720823 DWR720822:DWS720823 EGN720822:EGO720823 EQJ720822:EQK720823 FAF720822:FAG720823 FKB720822:FKC720823 FTX720822:FTY720823 GDT720822:GDU720823 GNP720822:GNQ720823 GXL720822:GXM720823 HHH720822:HHI720823 HRD720822:HRE720823 IAZ720822:IBA720823 IKV720822:IKW720823 IUR720822:IUS720823 JEN720822:JEO720823 JOJ720822:JOK720823 JYF720822:JYG720823 KIB720822:KIC720823 KRX720822:KRY720823 LBT720822:LBU720823 LLP720822:LLQ720823 LVL720822:LVM720823 MFH720822:MFI720823 MPD720822:MPE720823 MYZ720822:MZA720823 NIV720822:NIW720823 NSR720822:NSS720823 OCN720822:OCO720823 OMJ720822:OMK720823 OWF720822:OWG720823 PGB720822:PGC720823 PPX720822:PPY720823 PZT720822:PZU720823 QJP720822:QJQ720823 QTL720822:QTM720823 RDH720822:RDI720823 RND720822:RNE720823 RWZ720822:RXA720823 SGV720822:SGW720823 SQR720822:SQS720823 TAN720822:TAO720823 TKJ720822:TKK720823 TUF720822:TUG720823 UEB720822:UEC720823 UNX720822:UNY720823 UXT720822:UXU720823 VHP720822:VHQ720823 VRL720822:VRM720823 WBH720822:WBI720823 WLD720822:WLE720823 WUZ720822:WVA720823 IN786358:IO786359 SJ786358:SK786359 ACF786358:ACG786359 AMB786358:AMC786359 AVX786358:AVY786359 BFT786358:BFU786359 BPP786358:BPQ786359 BZL786358:BZM786359 CJH786358:CJI786359 CTD786358:CTE786359 DCZ786358:DDA786359 DMV786358:DMW786359 DWR786358:DWS786359 EGN786358:EGO786359 EQJ786358:EQK786359 FAF786358:FAG786359 FKB786358:FKC786359 FTX786358:FTY786359 GDT786358:GDU786359 GNP786358:GNQ786359 GXL786358:GXM786359 HHH786358:HHI786359 HRD786358:HRE786359 IAZ786358:IBA786359 IKV786358:IKW786359 IUR786358:IUS786359 JEN786358:JEO786359 JOJ786358:JOK786359 JYF786358:JYG786359 KIB786358:KIC786359 KRX786358:KRY786359 LBT786358:LBU786359 LLP786358:LLQ786359 LVL786358:LVM786359 MFH786358:MFI786359 MPD786358:MPE786359 MYZ786358:MZA786359 NIV786358:NIW786359 NSR786358:NSS786359 OCN786358:OCO786359 OMJ786358:OMK786359 OWF786358:OWG786359 PGB786358:PGC786359 PPX786358:PPY786359 PZT786358:PZU786359 QJP786358:QJQ786359 QTL786358:QTM786359 RDH786358:RDI786359 RND786358:RNE786359 RWZ786358:RXA786359 SGV786358:SGW786359 SQR786358:SQS786359 TAN786358:TAO786359 TKJ786358:TKK786359 TUF786358:TUG786359 UEB786358:UEC786359 UNX786358:UNY786359 UXT786358:UXU786359 VHP786358:VHQ786359 VRL786358:VRM786359 WBH786358:WBI786359 WLD786358:WLE786359 WUZ786358:WVA786359 IN851894:IO851895 SJ851894:SK851895 ACF851894:ACG851895 AMB851894:AMC851895 AVX851894:AVY851895 BFT851894:BFU851895 BPP851894:BPQ851895 BZL851894:BZM851895 CJH851894:CJI851895 CTD851894:CTE851895 DCZ851894:DDA851895 DMV851894:DMW851895 DWR851894:DWS851895 EGN851894:EGO851895 EQJ851894:EQK851895 FAF851894:FAG851895 FKB851894:FKC851895 FTX851894:FTY851895 GDT851894:GDU851895 GNP851894:GNQ851895 GXL851894:GXM851895 HHH851894:HHI851895 HRD851894:HRE851895 IAZ851894:IBA851895 IKV851894:IKW851895 IUR851894:IUS851895 JEN851894:JEO851895 JOJ851894:JOK851895 JYF851894:JYG851895 KIB851894:KIC851895 KRX851894:KRY851895 LBT851894:LBU851895 LLP851894:LLQ851895 LVL851894:LVM851895 MFH851894:MFI851895 MPD851894:MPE851895 MYZ851894:MZA851895 NIV851894:NIW851895 NSR851894:NSS851895 OCN851894:OCO851895 OMJ851894:OMK851895 OWF851894:OWG851895 PGB851894:PGC851895 PPX851894:PPY851895 PZT851894:PZU851895 QJP851894:QJQ851895 QTL851894:QTM851895 RDH851894:RDI851895 RND851894:RNE851895 RWZ851894:RXA851895 SGV851894:SGW851895 SQR851894:SQS851895 TAN851894:TAO851895 TKJ851894:TKK851895 TUF851894:TUG851895 UEB851894:UEC851895 UNX851894:UNY851895 UXT851894:UXU851895 VHP851894:VHQ851895 VRL851894:VRM851895 WBH851894:WBI851895 WLD851894:WLE851895 WUZ851894:WVA851895 IN917430:IO917431 SJ917430:SK917431 ACF917430:ACG917431 AMB917430:AMC917431 AVX917430:AVY917431 BFT917430:BFU917431 BPP917430:BPQ917431 BZL917430:BZM917431 CJH917430:CJI917431 CTD917430:CTE917431 DCZ917430:DDA917431 DMV917430:DMW917431 DWR917430:DWS917431 EGN917430:EGO917431 EQJ917430:EQK917431 FAF917430:FAG917431 FKB917430:FKC917431 FTX917430:FTY917431 GDT917430:GDU917431 GNP917430:GNQ917431 GXL917430:GXM917431 HHH917430:HHI917431 HRD917430:HRE917431 IAZ917430:IBA917431 IKV917430:IKW917431 IUR917430:IUS917431 JEN917430:JEO917431 JOJ917430:JOK917431 JYF917430:JYG917431 KIB917430:KIC917431 KRX917430:KRY917431 LBT917430:LBU917431 LLP917430:LLQ917431 LVL917430:LVM917431 MFH917430:MFI917431 MPD917430:MPE917431 MYZ917430:MZA917431 NIV917430:NIW917431 NSR917430:NSS917431 OCN917430:OCO917431 OMJ917430:OMK917431 OWF917430:OWG917431 PGB917430:PGC917431 PPX917430:PPY917431 PZT917430:PZU917431 QJP917430:QJQ917431 QTL917430:QTM917431 RDH917430:RDI917431 RND917430:RNE917431 RWZ917430:RXA917431 SGV917430:SGW917431 SQR917430:SQS917431 TAN917430:TAO917431 TKJ917430:TKK917431 TUF917430:TUG917431 UEB917430:UEC917431 UNX917430:UNY917431 UXT917430:UXU917431 VHP917430:VHQ917431 VRL917430:VRM917431 WBH917430:WBI917431 WLD917430:WLE917431 WUZ917430:WVA917431 IN982966:IO982967 SJ982966:SK982967 ACF982966:ACG982967 AMB982966:AMC982967 AVX982966:AVY982967 BFT982966:BFU982967 BPP982966:BPQ982967 BZL982966:BZM982967 CJH982966:CJI982967 CTD982966:CTE982967 DCZ982966:DDA982967 DMV982966:DMW982967 DWR982966:DWS982967 EGN982966:EGO982967 EQJ982966:EQK982967 FAF982966:FAG982967 FKB982966:FKC982967 FTX982966:FTY982967 GDT982966:GDU982967 GNP982966:GNQ982967 GXL982966:GXM982967 HHH982966:HHI982967 HRD982966:HRE982967 IAZ982966:IBA982967 IKV982966:IKW982967 IUR982966:IUS982967 JEN982966:JEO982967 JOJ982966:JOK982967 JYF982966:JYG982967 KIB982966:KIC982967 KRX982966:KRY982967 LBT982966:LBU982967 LLP982966:LLQ982967 LVL982966:LVM982967 MFH982966:MFI982967 MPD982966:MPE982967 MYZ982966:MZA982967 NIV982966:NIW982967 NSR982966:NSS982967 OCN982966:OCO982967 OMJ982966:OMK982967 OWF982966:OWG982967 PGB982966:PGC982967 PPX982966:PPY982967 PZT982966:PZU982967 QJP982966:QJQ982967 QTL982966:QTM982967 RDH982966:RDI982967 RND982966:RNE982967 RWZ982966:RXA982967 SGV982966:SGW982967 SQR982966:SQS982967 TAN982966:TAO982967 TKJ982966:TKK982967 TUF982966:TUG982967 UEB982966:UEC982967 UNX982966:UNY982967 UXT982966:UXU982967 VHP982966:VHQ982967 VRL982966:VRM982967 WBH982966:WBI982967 WLD982966:WLE982967 WUZ982966:WVA982967" xr:uid="{00000000-0002-0000-0E00-000002000000}">
      <formula1>0</formula1>
      <formula2>10000000</formula2>
    </dataValidation>
    <dataValidation type="decimal" allowBlank="1" showInputMessage="1" showErrorMessage="1" error="Please enter a number" sqref="E63:E84 IH6:IH27 SD6:SD27 ABZ6:ABZ27 ALV6:ALV27 AVR6:AVR27 BFN6:BFN27 BPJ6:BPJ27 BZF6:BZF27 CJB6:CJB27 CSX6:CSX27 DCT6:DCT27 DMP6:DMP27 DWL6:DWL27 EGH6:EGH27 EQD6:EQD27 EZZ6:EZZ27 FJV6:FJV27 FTR6:FTR27 GDN6:GDN27 GNJ6:GNJ27 GXF6:GXF27 HHB6:HHB27 HQX6:HQX27 IAT6:IAT27 IKP6:IKP27 IUL6:IUL27 JEH6:JEH27 JOD6:JOD27 JXZ6:JXZ27 KHV6:KHV27 KRR6:KRR27 LBN6:LBN27 LLJ6:LLJ27 LVF6:LVF27 MFB6:MFB27 MOX6:MOX27 MYT6:MYT27 NIP6:NIP27 NSL6:NSL27 OCH6:OCH27 OMD6:OMD27 OVZ6:OVZ27 PFV6:PFV27 PPR6:PPR27 PZN6:PZN27 QJJ6:QJJ27 QTF6:QTF27 RDB6:RDB27 RMX6:RMX27 RWT6:RWT27 SGP6:SGP27 SQL6:SQL27 TAH6:TAH27 TKD6:TKD27 TTZ6:TTZ27 UDV6:UDV27 UNR6:UNR27 UXN6:UXN27 VHJ6:VHJ27 VRF6:VRF27 WBB6:WBB27 WKX6:WKX27 WUT6:WUT27 E65496:E65517 IH65442:IH65463 SD65442:SD65463 ABZ65442:ABZ65463 ALV65442:ALV65463 AVR65442:AVR65463 BFN65442:BFN65463 BPJ65442:BPJ65463 BZF65442:BZF65463 CJB65442:CJB65463 CSX65442:CSX65463 DCT65442:DCT65463 DMP65442:DMP65463 DWL65442:DWL65463 EGH65442:EGH65463 EQD65442:EQD65463 EZZ65442:EZZ65463 FJV65442:FJV65463 FTR65442:FTR65463 GDN65442:GDN65463 GNJ65442:GNJ65463 GXF65442:GXF65463 HHB65442:HHB65463 HQX65442:HQX65463 IAT65442:IAT65463 IKP65442:IKP65463 IUL65442:IUL65463 JEH65442:JEH65463 JOD65442:JOD65463 JXZ65442:JXZ65463 KHV65442:KHV65463 KRR65442:KRR65463 LBN65442:LBN65463 LLJ65442:LLJ65463 LVF65442:LVF65463 MFB65442:MFB65463 MOX65442:MOX65463 MYT65442:MYT65463 NIP65442:NIP65463 NSL65442:NSL65463 OCH65442:OCH65463 OMD65442:OMD65463 OVZ65442:OVZ65463 PFV65442:PFV65463 PPR65442:PPR65463 PZN65442:PZN65463 QJJ65442:QJJ65463 QTF65442:QTF65463 RDB65442:RDB65463 RMX65442:RMX65463 RWT65442:RWT65463 SGP65442:SGP65463 SQL65442:SQL65463 TAH65442:TAH65463 TKD65442:TKD65463 TTZ65442:TTZ65463 UDV65442:UDV65463 UNR65442:UNR65463 UXN65442:UXN65463 VHJ65442:VHJ65463 VRF65442:VRF65463 WBB65442:WBB65463 WKX65442:WKX65463 WUT65442:WUT65463 E131032:E131053 IH130978:IH130999 SD130978:SD130999 ABZ130978:ABZ130999 ALV130978:ALV130999 AVR130978:AVR130999 BFN130978:BFN130999 BPJ130978:BPJ130999 BZF130978:BZF130999 CJB130978:CJB130999 CSX130978:CSX130999 DCT130978:DCT130999 DMP130978:DMP130999 DWL130978:DWL130999 EGH130978:EGH130999 EQD130978:EQD130999 EZZ130978:EZZ130999 FJV130978:FJV130999 FTR130978:FTR130999 GDN130978:GDN130999 GNJ130978:GNJ130999 GXF130978:GXF130999 HHB130978:HHB130999 HQX130978:HQX130999 IAT130978:IAT130999 IKP130978:IKP130999 IUL130978:IUL130999 JEH130978:JEH130999 JOD130978:JOD130999 JXZ130978:JXZ130999 KHV130978:KHV130999 KRR130978:KRR130999 LBN130978:LBN130999 LLJ130978:LLJ130999 LVF130978:LVF130999 MFB130978:MFB130999 MOX130978:MOX130999 MYT130978:MYT130999 NIP130978:NIP130999 NSL130978:NSL130999 OCH130978:OCH130999 OMD130978:OMD130999 OVZ130978:OVZ130999 PFV130978:PFV130999 PPR130978:PPR130999 PZN130978:PZN130999 QJJ130978:QJJ130999 QTF130978:QTF130999 RDB130978:RDB130999 RMX130978:RMX130999 RWT130978:RWT130999 SGP130978:SGP130999 SQL130978:SQL130999 TAH130978:TAH130999 TKD130978:TKD130999 TTZ130978:TTZ130999 UDV130978:UDV130999 UNR130978:UNR130999 UXN130978:UXN130999 VHJ130978:VHJ130999 VRF130978:VRF130999 WBB130978:WBB130999 WKX130978:WKX130999 WUT130978:WUT130999 E196568:E196589 IH196514:IH196535 SD196514:SD196535 ABZ196514:ABZ196535 ALV196514:ALV196535 AVR196514:AVR196535 BFN196514:BFN196535 BPJ196514:BPJ196535 BZF196514:BZF196535 CJB196514:CJB196535 CSX196514:CSX196535 DCT196514:DCT196535 DMP196514:DMP196535 DWL196514:DWL196535 EGH196514:EGH196535 EQD196514:EQD196535 EZZ196514:EZZ196535 FJV196514:FJV196535 FTR196514:FTR196535 GDN196514:GDN196535 GNJ196514:GNJ196535 GXF196514:GXF196535 HHB196514:HHB196535 HQX196514:HQX196535 IAT196514:IAT196535 IKP196514:IKP196535 IUL196514:IUL196535 JEH196514:JEH196535 JOD196514:JOD196535 JXZ196514:JXZ196535 KHV196514:KHV196535 KRR196514:KRR196535 LBN196514:LBN196535 LLJ196514:LLJ196535 LVF196514:LVF196535 MFB196514:MFB196535 MOX196514:MOX196535 MYT196514:MYT196535 NIP196514:NIP196535 NSL196514:NSL196535 OCH196514:OCH196535 OMD196514:OMD196535 OVZ196514:OVZ196535 PFV196514:PFV196535 PPR196514:PPR196535 PZN196514:PZN196535 QJJ196514:QJJ196535 QTF196514:QTF196535 RDB196514:RDB196535 RMX196514:RMX196535 RWT196514:RWT196535 SGP196514:SGP196535 SQL196514:SQL196535 TAH196514:TAH196535 TKD196514:TKD196535 TTZ196514:TTZ196535 UDV196514:UDV196535 UNR196514:UNR196535 UXN196514:UXN196535 VHJ196514:VHJ196535 VRF196514:VRF196535 WBB196514:WBB196535 WKX196514:WKX196535 WUT196514:WUT196535 E262104:E262125 IH262050:IH262071 SD262050:SD262071 ABZ262050:ABZ262071 ALV262050:ALV262071 AVR262050:AVR262071 BFN262050:BFN262071 BPJ262050:BPJ262071 BZF262050:BZF262071 CJB262050:CJB262071 CSX262050:CSX262071 DCT262050:DCT262071 DMP262050:DMP262071 DWL262050:DWL262071 EGH262050:EGH262071 EQD262050:EQD262071 EZZ262050:EZZ262071 FJV262050:FJV262071 FTR262050:FTR262071 GDN262050:GDN262071 GNJ262050:GNJ262071 GXF262050:GXF262071 HHB262050:HHB262071 HQX262050:HQX262071 IAT262050:IAT262071 IKP262050:IKP262071 IUL262050:IUL262071 JEH262050:JEH262071 JOD262050:JOD262071 JXZ262050:JXZ262071 KHV262050:KHV262071 KRR262050:KRR262071 LBN262050:LBN262071 LLJ262050:LLJ262071 LVF262050:LVF262071 MFB262050:MFB262071 MOX262050:MOX262071 MYT262050:MYT262071 NIP262050:NIP262071 NSL262050:NSL262071 OCH262050:OCH262071 OMD262050:OMD262071 OVZ262050:OVZ262071 PFV262050:PFV262071 PPR262050:PPR262071 PZN262050:PZN262071 QJJ262050:QJJ262071 QTF262050:QTF262071 RDB262050:RDB262071 RMX262050:RMX262071 RWT262050:RWT262071 SGP262050:SGP262071 SQL262050:SQL262071 TAH262050:TAH262071 TKD262050:TKD262071 TTZ262050:TTZ262071 UDV262050:UDV262071 UNR262050:UNR262071 UXN262050:UXN262071 VHJ262050:VHJ262071 VRF262050:VRF262071 WBB262050:WBB262071 WKX262050:WKX262071 WUT262050:WUT262071 E327640:E327661 IH327586:IH327607 SD327586:SD327607 ABZ327586:ABZ327607 ALV327586:ALV327607 AVR327586:AVR327607 BFN327586:BFN327607 BPJ327586:BPJ327607 BZF327586:BZF327607 CJB327586:CJB327607 CSX327586:CSX327607 DCT327586:DCT327607 DMP327586:DMP327607 DWL327586:DWL327607 EGH327586:EGH327607 EQD327586:EQD327607 EZZ327586:EZZ327607 FJV327586:FJV327607 FTR327586:FTR327607 GDN327586:GDN327607 GNJ327586:GNJ327607 GXF327586:GXF327607 HHB327586:HHB327607 HQX327586:HQX327607 IAT327586:IAT327607 IKP327586:IKP327607 IUL327586:IUL327607 JEH327586:JEH327607 JOD327586:JOD327607 JXZ327586:JXZ327607 KHV327586:KHV327607 KRR327586:KRR327607 LBN327586:LBN327607 LLJ327586:LLJ327607 LVF327586:LVF327607 MFB327586:MFB327607 MOX327586:MOX327607 MYT327586:MYT327607 NIP327586:NIP327607 NSL327586:NSL327607 OCH327586:OCH327607 OMD327586:OMD327607 OVZ327586:OVZ327607 PFV327586:PFV327607 PPR327586:PPR327607 PZN327586:PZN327607 QJJ327586:QJJ327607 QTF327586:QTF327607 RDB327586:RDB327607 RMX327586:RMX327607 RWT327586:RWT327607 SGP327586:SGP327607 SQL327586:SQL327607 TAH327586:TAH327607 TKD327586:TKD327607 TTZ327586:TTZ327607 UDV327586:UDV327607 UNR327586:UNR327607 UXN327586:UXN327607 VHJ327586:VHJ327607 VRF327586:VRF327607 WBB327586:WBB327607 WKX327586:WKX327607 WUT327586:WUT327607 E393176:E393197 IH393122:IH393143 SD393122:SD393143 ABZ393122:ABZ393143 ALV393122:ALV393143 AVR393122:AVR393143 BFN393122:BFN393143 BPJ393122:BPJ393143 BZF393122:BZF393143 CJB393122:CJB393143 CSX393122:CSX393143 DCT393122:DCT393143 DMP393122:DMP393143 DWL393122:DWL393143 EGH393122:EGH393143 EQD393122:EQD393143 EZZ393122:EZZ393143 FJV393122:FJV393143 FTR393122:FTR393143 GDN393122:GDN393143 GNJ393122:GNJ393143 GXF393122:GXF393143 HHB393122:HHB393143 HQX393122:HQX393143 IAT393122:IAT393143 IKP393122:IKP393143 IUL393122:IUL393143 JEH393122:JEH393143 JOD393122:JOD393143 JXZ393122:JXZ393143 KHV393122:KHV393143 KRR393122:KRR393143 LBN393122:LBN393143 LLJ393122:LLJ393143 LVF393122:LVF393143 MFB393122:MFB393143 MOX393122:MOX393143 MYT393122:MYT393143 NIP393122:NIP393143 NSL393122:NSL393143 OCH393122:OCH393143 OMD393122:OMD393143 OVZ393122:OVZ393143 PFV393122:PFV393143 PPR393122:PPR393143 PZN393122:PZN393143 QJJ393122:QJJ393143 QTF393122:QTF393143 RDB393122:RDB393143 RMX393122:RMX393143 RWT393122:RWT393143 SGP393122:SGP393143 SQL393122:SQL393143 TAH393122:TAH393143 TKD393122:TKD393143 TTZ393122:TTZ393143 UDV393122:UDV393143 UNR393122:UNR393143 UXN393122:UXN393143 VHJ393122:VHJ393143 VRF393122:VRF393143 WBB393122:WBB393143 WKX393122:WKX393143 WUT393122:WUT393143 E458712:E458733 IH458658:IH458679 SD458658:SD458679 ABZ458658:ABZ458679 ALV458658:ALV458679 AVR458658:AVR458679 BFN458658:BFN458679 BPJ458658:BPJ458679 BZF458658:BZF458679 CJB458658:CJB458679 CSX458658:CSX458679 DCT458658:DCT458679 DMP458658:DMP458679 DWL458658:DWL458679 EGH458658:EGH458679 EQD458658:EQD458679 EZZ458658:EZZ458679 FJV458658:FJV458679 FTR458658:FTR458679 GDN458658:GDN458679 GNJ458658:GNJ458679 GXF458658:GXF458679 HHB458658:HHB458679 HQX458658:HQX458679 IAT458658:IAT458679 IKP458658:IKP458679 IUL458658:IUL458679 JEH458658:JEH458679 JOD458658:JOD458679 JXZ458658:JXZ458679 KHV458658:KHV458679 KRR458658:KRR458679 LBN458658:LBN458679 LLJ458658:LLJ458679 LVF458658:LVF458679 MFB458658:MFB458679 MOX458658:MOX458679 MYT458658:MYT458679 NIP458658:NIP458679 NSL458658:NSL458679 OCH458658:OCH458679 OMD458658:OMD458679 OVZ458658:OVZ458679 PFV458658:PFV458679 PPR458658:PPR458679 PZN458658:PZN458679 QJJ458658:QJJ458679 QTF458658:QTF458679 RDB458658:RDB458679 RMX458658:RMX458679 RWT458658:RWT458679 SGP458658:SGP458679 SQL458658:SQL458679 TAH458658:TAH458679 TKD458658:TKD458679 TTZ458658:TTZ458679 UDV458658:UDV458679 UNR458658:UNR458679 UXN458658:UXN458679 VHJ458658:VHJ458679 VRF458658:VRF458679 WBB458658:WBB458679 WKX458658:WKX458679 WUT458658:WUT458679 E524248:E524269 IH524194:IH524215 SD524194:SD524215 ABZ524194:ABZ524215 ALV524194:ALV524215 AVR524194:AVR524215 BFN524194:BFN524215 BPJ524194:BPJ524215 BZF524194:BZF524215 CJB524194:CJB524215 CSX524194:CSX524215 DCT524194:DCT524215 DMP524194:DMP524215 DWL524194:DWL524215 EGH524194:EGH524215 EQD524194:EQD524215 EZZ524194:EZZ524215 FJV524194:FJV524215 FTR524194:FTR524215 GDN524194:GDN524215 GNJ524194:GNJ524215 GXF524194:GXF524215 HHB524194:HHB524215 HQX524194:HQX524215 IAT524194:IAT524215 IKP524194:IKP524215 IUL524194:IUL524215 JEH524194:JEH524215 JOD524194:JOD524215 JXZ524194:JXZ524215 KHV524194:KHV524215 KRR524194:KRR524215 LBN524194:LBN524215 LLJ524194:LLJ524215 LVF524194:LVF524215 MFB524194:MFB524215 MOX524194:MOX524215 MYT524194:MYT524215 NIP524194:NIP524215 NSL524194:NSL524215 OCH524194:OCH524215 OMD524194:OMD524215 OVZ524194:OVZ524215 PFV524194:PFV524215 PPR524194:PPR524215 PZN524194:PZN524215 QJJ524194:QJJ524215 QTF524194:QTF524215 RDB524194:RDB524215 RMX524194:RMX524215 RWT524194:RWT524215 SGP524194:SGP524215 SQL524194:SQL524215 TAH524194:TAH524215 TKD524194:TKD524215 TTZ524194:TTZ524215 UDV524194:UDV524215 UNR524194:UNR524215 UXN524194:UXN524215 VHJ524194:VHJ524215 VRF524194:VRF524215 WBB524194:WBB524215 WKX524194:WKX524215 WUT524194:WUT524215 E589784:E589805 IH589730:IH589751 SD589730:SD589751 ABZ589730:ABZ589751 ALV589730:ALV589751 AVR589730:AVR589751 BFN589730:BFN589751 BPJ589730:BPJ589751 BZF589730:BZF589751 CJB589730:CJB589751 CSX589730:CSX589751 DCT589730:DCT589751 DMP589730:DMP589751 DWL589730:DWL589751 EGH589730:EGH589751 EQD589730:EQD589751 EZZ589730:EZZ589751 FJV589730:FJV589751 FTR589730:FTR589751 GDN589730:GDN589751 GNJ589730:GNJ589751 GXF589730:GXF589751 HHB589730:HHB589751 HQX589730:HQX589751 IAT589730:IAT589751 IKP589730:IKP589751 IUL589730:IUL589751 JEH589730:JEH589751 JOD589730:JOD589751 JXZ589730:JXZ589751 KHV589730:KHV589751 KRR589730:KRR589751 LBN589730:LBN589751 LLJ589730:LLJ589751 LVF589730:LVF589751 MFB589730:MFB589751 MOX589730:MOX589751 MYT589730:MYT589751 NIP589730:NIP589751 NSL589730:NSL589751 OCH589730:OCH589751 OMD589730:OMD589751 OVZ589730:OVZ589751 PFV589730:PFV589751 PPR589730:PPR589751 PZN589730:PZN589751 QJJ589730:QJJ589751 QTF589730:QTF589751 RDB589730:RDB589751 RMX589730:RMX589751 RWT589730:RWT589751 SGP589730:SGP589751 SQL589730:SQL589751 TAH589730:TAH589751 TKD589730:TKD589751 TTZ589730:TTZ589751 UDV589730:UDV589751 UNR589730:UNR589751 UXN589730:UXN589751 VHJ589730:VHJ589751 VRF589730:VRF589751 WBB589730:WBB589751 WKX589730:WKX589751 WUT589730:WUT589751 E655320:E655341 IH655266:IH655287 SD655266:SD655287 ABZ655266:ABZ655287 ALV655266:ALV655287 AVR655266:AVR655287 BFN655266:BFN655287 BPJ655266:BPJ655287 BZF655266:BZF655287 CJB655266:CJB655287 CSX655266:CSX655287 DCT655266:DCT655287 DMP655266:DMP655287 DWL655266:DWL655287 EGH655266:EGH655287 EQD655266:EQD655287 EZZ655266:EZZ655287 FJV655266:FJV655287 FTR655266:FTR655287 GDN655266:GDN655287 GNJ655266:GNJ655287 GXF655266:GXF655287 HHB655266:HHB655287 HQX655266:HQX655287 IAT655266:IAT655287 IKP655266:IKP655287 IUL655266:IUL655287 JEH655266:JEH655287 JOD655266:JOD655287 JXZ655266:JXZ655287 KHV655266:KHV655287 KRR655266:KRR655287 LBN655266:LBN655287 LLJ655266:LLJ655287 LVF655266:LVF655287 MFB655266:MFB655287 MOX655266:MOX655287 MYT655266:MYT655287 NIP655266:NIP655287 NSL655266:NSL655287 OCH655266:OCH655287 OMD655266:OMD655287 OVZ655266:OVZ655287 PFV655266:PFV655287 PPR655266:PPR655287 PZN655266:PZN655287 QJJ655266:QJJ655287 QTF655266:QTF655287 RDB655266:RDB655287 RMX655266:RMX655287 RWT655266:RWT655287 SGP655266:SGP655287 SQL655266:SQL655287 TAH655266:TAH655287 TKD655266:TKD655287 TTZ655266:TTZ655287 UDV655266:UDV655287 UNR655266:UNR655287 UXN655266:UXN655287 VHJ655266:VHJ655287 VRF655266:VRF655287 WBB655266:WBB655287 WKX655266:WKX655287 WUT655266:WUT655287 E720856:E720877 IH720802:IH720823 SD720802:SD720823 ABZ720802:ABZ720823 ALV720802:ALV720823 AVR720802:AVR720823 BFN720802:BFN720823 BPJ720802:BPJ720823 BZF720802:BZF720823 CJB720802:CJB720823 CSX720802:CSX720823 DCT720802:DCT720823 DMP720802:DMP720823 DWL720802:DWL720823 EGH720802:EGH720823 EQD720802:EQD720823 EZZ720802:EZZ720823 FJV720802:FJV720823 FTR720802:FTR720823 GDN720802:GDN720823 GNJ720802:GNJ720823 GXF720802:GXF720823 HHB720802:HHB720823 HQX720802:HQX720823 IAT720802:IAT720823 IKP720802:IKP720823 IUL720802:IUL720823 JEH720802:JEH720823 JOD720802:JOD720823 JXZ720802:JXZ720823 KHV720802:KHV720823 KRR720802:KRR720823 LBN720802:LBN720823 LLJ720802:LLJ720823 LVF720802:LVF720823 MFB720802:MFB720823 MOX720802:MOX720823 MYT720802:MYT720823 NIP720802:NIP720823 NSL720802:NSL720823 OCH720802:OCH720823 OMD720802:OMD720823 OVZ720802:OVZ720823 PFV720802:PFV720823 PPR720802:PPR720823 PZN720802:PZN720823 QJJ720802:QJJ720823 QTF720802:QTF720823 RDB720802:RDB720823 RMX720802:RMX720823 RWT720802:RWT720823 SGP720802:SGP720823 SQL720802:SQL720823 TAH720802:TAH720823 TKD720802:TKD720823 TTZ720802:TTZ720823 UDV720802:UDV720823 UNR720802:UNR720823 UXN720802:UXN720823 VHJ720802:VHJ720823 VRF720802:VRF720823 WBB720802:WBB720823 WKX720802:WKX720823 WUT720802:WUT720823 E786392:E786413 IH786338:IH786359 SD786338:SD786359 ABZ786338:ABZ786359 ALV786338:ALV786359 AVR786338:AVR786359 BFN786338:BFN786359 BPJ786338:BPJ786359 BZF786338:BZF786359 CJB786338:CJB786359 CSX786338:CSX786359 DCT786338:DCT786359 DMP786338:DMP786359 DWL786338:DWL786359 EGH786338:EGH786359 EQD786338:EQD786359 EZZ786338:EZZ786359 FJV786338:FJV786359 FTR786338:FTR786359 GDN786338:GDN786359 GNJ786338:GNJ786359 GXF786338:GXF786359 HHB786338:HHB786359 HQX786338:HQX786359 IAT786338:IAT786359 IKP786338:IKP786359 IUL786338:IUL786359 JEH786338:JEH786359 JOD786338:JOD786359 JXZ786338:JXZ786359 KHV786338:KHV786359 KRR786338:KRR786359 LBN786338:LBN786359 LLJ786338:LLJ786359 LVF786338:LVF786359 MFB786338:MFB786359 MOX786338:MOX786359 MYT786338:MYT786359 NIP786338:NIP786359 NSL786338:NSL786359 OCH786338:OCH786359 OMD786338:OMD786359 OVZ786338:OVZ786359 PFV786338:PFV786359 PPR786338:PPR786359 PZN786338:PZN786359 QJJ786338:QJJ786359 QTF786338:QTF786359 RDB786338:RDB786359 RMX786338:RMX786359 RWT786338:RWT786359 SGP786338:SGP786359 SQL786338:SQL786359 TAH786338:TAH786359 TKD786338:TKD786359 TTZ786338:TTZ786359 UDV786338:UDV786359 UNR786338:UNR786359 UXN786338:UXN786359 VHJ786338:VHJ786359 VRF786338:VRF786359 WBB786338:WBB786359 WKX786338:WKX786359 WUT786338:WUT786359 E851928:E851949 IH851874:IH851895 SD851874:SD851895 ABZ851874:ABZ851895 ALV851874:ALV851895 AVR851874:AVR851895 BFN851874:BFN851895 BPJ851874:BPJ851895 BZF851874:BZF851895 CJB851874:CJB851895 CSX851874:CSX851895 DCT851874:DCT851895 DMP851874:DMP851895 DWL851874:DWL851895 EGH851874:EGH851895 EQD851874:EQD851895 EZZ851874:EZZ851895 FJV851874:FJV851895 FTR851874:FTR851895 GDN851874:GDN851895 GNJ851874:GNJ851895 GXF851874:GXF851895 HHB851874:HHB851895 HQX851874:HQX851895 IAT851874:IAT851895 IKP851874:IKP851895 IUL851874:IUL851895 JEH851874:JEH851895 JOD851874:JOD851895 JXZ851874:JXZ851895 KHV851874:KHV851895 KRR851874:KRR851895 LBN851874:LBN851895 LLJ851874:LLJ851895 LVF851874:LVF851895 MFB851874:MFB851895 MOX851874:MOX851895 MYT851874:MYT851895 NIP851874:NIP851895 NSL851874:NSL851895 OCH851874:OCH851895 OMD851874:OMD851895 OVZ851874:OVZ851895 PFV851874:PFV851895 PPR851874:PPR851895 PZN851874:PZN851895 QJJ851874:QJJ851895 QTF851874:QTF851895 RDB851874:RDB851895 RMX851874:RMX851895 RWT851874:RWT851895 SGP851874:SGP851895 SQL851874:SQL851895 TAH851874:TAH851895 TKD851874:TKD851895 TTZ851874:TTZ851895 UDV851874:UDV851895 UNR851874:UNR851895 UXN851874:UXN851895 VHJ851874:VHJ851895 VRF851874:VRF851895 WBB851874:WBB851895 WKX851874:WKX851895 WUT851874:WUT851895 E917464:E917485 IH917410:IH917431 SD917410:SD917431 ABZ917410:ABZ917431 ALV917410:ALV917431 AVR917410:AVR917431 BFN917410:BFN917431 BPJ917410:BPJ917431 BZF917410:BZF917431 CJB917410:CJB917431 CSX917410:CSX917431 DCT917410:DCT917431 DMP917410:DMP917431 DWL917410:DWL917431 EGH917410:EGH917431 EQD917410:EQD917431 EZZ917410:EZZ917431 FJV917410:FJV917431 FTR917410:FTR917431 GDN917410:GDN917431 GNJ917410:GNJ917431 GXF917410:GXF917431 HHB917410:HHB917431 HQX917410:HQX917431 IAT917410:IAT917431 IKP917410:IKP917431 IUL917410:IUL917431 JEH917410:JEH917431 JOD917410:JOD917431 JXZ917410:JXZ917431 KHV917410:KHV917431 KRR917410:KRR917431 LBN917410:LBN917431 LLJ917410:LLJ917431 LVF917410:LVF917431 MFB917410:MFB917431 MOX917410:MOX917431 MYT917410:MYT917431 NIP917410:NIP917431 NSL917410:NSL917431 OCH917410:OCH917431 OMD917410:OMD917431 OVZ917410:OVZ917431 PFV917410:PFV917431 PPR917410:PPR917431 PZN917410:PZN917431 QJJ917410:QJJ917431 QTF917410:QTF917431 RDB917410:RDB917431 RMX917410:RMX917431 RWT917410:RWT917431 SGP917410:SGP917431 SQL917410:SQL917431 TAH917410:TAH917431 TKD917410:TKD917431 TTZ917410:TTZ917431 UDV917410:UDV917431 UNR917410:UNR917431 UXN917410:UXN917431 VHJ917410:VHJ917431 VRF917410:VRF917431 WBB917410:WBB917431 WKX917410:WKX917431 WUT917410:WUT917431 E983000:E983021 IH982946:IH982967 SD982946:SD982967 ABZ982946:ABZ982967 ALV982946:ALV982967 AVR982946:AVR982967 BFN982946:BFN982967 BPJ982946:BPJ982967 BZF982946:BZF982967 CJB982946:CJB982967 CSX982946:CSX982967 DCT982946:DCT982967 DMP982946:DMP982967 DWL982946:DWL982967 EGH982946:EGH982967 EQD982946:EQD982967 EZZ982946:EZZ982967 FJV982946:FJV982967 FTR982946:FTR982967 GDN982946:GDN982967 GNJ982946:GNJ982967 GXF982946:GXF982967 HHB982946:HHB982967 HQX982946:HQX982967 IAT982946:IAT982967 IKP982946:IKP982967 IUL982946:IUL982967 JEH982946:JEH982967 JOD982946:JOD982967 JXZ982946:JXZ982967 KHV982946:KHV982967 KRR982946:KRR982967 LBN982946:LBN982967 LLJ982946:LLJ982967 LVF982946:LVF982967 MFB982946:MFB982967 MOX982946:MOX982967 MYT982946:MYT982967 NIP982946:NIP982967 NSL982946:NSL982967 OCH982946:OCH982967 OMD982946:OMD982967 OVZ982946:OVZ982967 PFV982946:PFV982967 PPR982946:PPR982967 PZN982946:PZN982967 QJJ982946:QJJ982967 QTF982946:QTF982967 RDB982946:RDB982967 RMX982946:RMX982967 RWT982946:RWT982967 SGP982946:SGP982967 SQL982946:SQL982967 TAH982946:TAH982967 TKD982946:TKD982967 TTZ982946:TTZ982967 UDV982946:UDV982967 UNR982946:UNR982967 UXN982946:UXN982967 VHJ982946:VHJ982967 VRF982946:VRF982967 WBB982946:WBB982967 WKX982946:WKX982967 WUT982946:WUT982967 E34:E55 IH36:IH57 SD36:SD57 ABZ36:ABZ57 ALV36:ALV57 AVR36:AVR57 BFN36:BFN57 BPJ36:BPJ57 BZF36:BZF57 CJB36:CJB57 CSX36:CSX57 DCT36:DCT57 DMP36:DMP57 DWL36:DWL57 EGH36:EGH57 EQD36:EQD57 EZZ36:EZZ57 FJV36:FJV57 FTR36:FTR57 GDN36:GDN57 GNJ36:GNJ57 GXF36:GXF57 HHB36:HHB57 HQX36:HQX57 IAT36:IAT57 IKP36:IKP57 IUL36:IUL57 JEH36:JEH57 JOD36:JOD57 JXZ36:JXZ57 KHV36:KHV57 KRR36:KRR57 LBN36:LBN57 LLJ36:LLJ57 LVF36:LVF57 MFB36:MFB57 MOX36:MOX57 MYT36:MYT57 NIP36:NIP57 NSL36:NSL57 OCH36:OCH57 OMD36:OMD57 OVZ36:OVZ57 PFV36:PFV57 PPR36:PPR57 PZN36:PZN57 QJJ36:QJJ57 QTF36:QTF57 RDB36:RDB57 RMX36:RMX57 RWT36:RWT57 SGP36:SGP57 SQL36:SQL57 TAH36:TAH57 TKD36:TKD57 TTZ36:TTZ57 UDV36:UDV57 UNR36:UNR57 UXN36:UXN57 VHJ36:VHJ57 VRF36:VRF57 WBB36:WBB57 WKX36:WKX57 WUT36:WUT57 E65526:E65547 IH65472:IH65493 SD65472:SD65493 ABZ65472:ABZ65493 ALV65472:ALV65493 AVR65472:AVR65493 BFN65472:BFN65493 BPJ65472:BPJ65493 BZF65472:BZF65493 CJB65472:CJB65493 CSX65472:CSX65493 DCT65472:DCT65493 DMP65472:DMP65493 DWL65472:DWL65493 EGH65472:EGH65493 EQD65472:EQD65493 EZZ65472:EZZ65493 FJV65472:FJV65493 FTR65472:FTR65493 GDN65472:GDN65493 GNJ65472:GNJ65493 GXF65472:GXF65493 HHB65472:HHB65493 HQX65472:HQX65493 IAT65472:IAT65493 IKP65472:IKP65493 IUL65472:IUL65493 JEH65472:JEH65493 JOD65472:JOD65493 JXZ65472:JXZ65493 KHV65472:KHV65493 KRR65472:KRR65493 LBN65472:LBN65493 LLJ65472:LLJ65493 LVF65472:LVF65493 MFB65472:MFB65493 MOX65472:MOX65493 MYT65472:MYT65493 NIP65472:NIP65493 NSL65472:NSL65493 OCH65472:OCH65493 OMD65472:OMD65493 OVZ65472:OVZ65493 PFV65472:PFV65493 PPR65472:PPR65493 PZN65472:PZN65493 QJJ65472:QJJ65493 QTF65472:QTF65493 RDB65472:RDB65493 RMX65472:RMX65493 RWT65472:RWT65493 SGP65472:SGP65493 SQL65472:SQL65493 TAH65472:TAH65493 TKD65472:TKD65493 TTZ65472:TTZ65493 UDV65472:UDV65493 UNR65472:UNR65493 UXN65472:UXN65493 VHJ65472:VHJ65493 VRF65472:VRF65493 WBB65472:WBB65493 WKX65472:WKX65493 WUT65472:WUT65493 E131062:E131083 IH131008:IH131029 SD131008:SD131029 ABZ131008:ABZ131029 ALV131008:ALV131029 AVR131008:AVR131029 BFN131008:BFN131029 BPJ131008:BPJ131029 BZF131008:BZF131029 CJB131008:CJB131029 CSX131008:CSX131029 DCT131008:DCT131029 DMP131008:DMP131029 DWL131008:DWL131029 EGH131008:EGH131029 EQD131008:EQD131029 EZZ131008:EZZ131029 FJV131008:FJV131029 FTR131008:FTR131029 GDN131008:GDN131029 GNJ131008:GNJ131029 GXF131008:GXF131029 HHB131008:HHB131029 HQX131008:HQX131029 IAT131008:IAT131029 IKP131008:IKP131029 IUL131008:IUL131029 JEH131008:JEH131029 JOD131008:JOD131029 JXZ131008:JXZ131029 KHV131008:KHV131029 KRR131008:KRR131029 LBN131008:LBN131029 LLJ131008:LLJ131029 LVF131008:LVF131029 MFB131008:MFB131029 MOX131008:MOX131029 MYT131008:MYT131029 NIP131008:NIP131029 NSL131008:NSL131029 OCH131008:OCH131029 OMD131008:OMD131029 OVZ131008:OVZ131029 PFV131008:PFV131029 PPR131008:PPR131029 PZN131008:PZN131029 QJJ131008:QJJ131029 QTF131008:QTF131029 RDB131008:RDB131029 RMX131008:RMX131029 RWT131008:RWT131029 SGP131008:SGP131029 SQL131008:SQL131029 TAH131008:TAH131029 TKD131008:TKD131029 TTZ131008:TTZ131029 UDV131008:UDV131029 UNR131008:UNR131029 UXN131008:UXN131029 VHJ131008:VHJ131029 VRF131008:VRF131029 WBB131008:WBB131029 WKX131008:WKX131029 WUT131008:WUT131029 E196598:E196619 IH196544:IH196565 SD196544:SD196565 ABZ196544:ABZ196565 ALV196544:ALV196565 AVR196544:AVR196565 BFN196544:BFN196565 BPJ196544:BPJ196565 BZF196544:BZF196565 CJB196544:CJB196565 CSX196544:CSX196565 DCT196544:DCT196565 DMP196544:DMP196565 DWL196544:DWL196565 EGH196544:EGH196565 EQD196544:EQD196565 EZZ196544:EZZ196565 FJV196544:FJV196565 FTR196544:FTR196565 GDN196544:GDN196565 GNJ196544:GNJ196565 GXF196544:GXF196565 HHB196544:HHB196565 HQX196544:HQX196565 IAT196544:IAT196565 IKP196544:IKP196565 IUL196544:IUL196565 JEH196544:JEH196565 JOD196544:JOD196565 JXZ196544:JXZ196565 KHV196544:KHV196565 KRR196544:KRR196565 LBN196544:LBN196565 LLJ196544:LLJ196565 LVF196544:LVF196565 MFB196544:MFB196565 MOX196544:MOX196565 MYT196544:MYT196565 NIP196544:NIP196565 NSL196544:NSL196565 OCH196544:OCH196565 OMD196544:OMD196565 OVZ196544:OVZ196565 PFV196544:PFV196565 PPR196544:PPR196565 PZN196544:PZN196565 QJJ196544:QJJ196565 QTF196544:QTF196565 RDB196544:RDB196565 RMX196544:RMX196565 RWT196544:RWT196565 SGP196544:SGP196565 SQL196544:SQL196565 TAH196544:TAH196565 TKD196544:TKD196565 TTZ196544:TTZ196565 UDV196544:UDV196565 UNR196544:UNR196565 UXN196544:UXN196565 VHJ196544:VHJ196565 VRF196544:VRF196565 WBB196544:WBB196565 WKX196544:WKX196565 WUT196544:WUT196565 E262134:E262155 IH262080:IH262101 SD262080:SD262101 ABZ262080:ABZ262101 ALV262080:ALV262101 AVR262080:AVR262101 BFN262080:BFN262101 BPJ262080:BPJ262101 BZF262080:BZF262101 CJB262080:CJB262101 CSX262080:CSX262101 DCT262080:DCT262101 DMP262080:DMP262101 DWL262080:DWL262101 EGH262080:EGH262101 EQD262080:EQD262101 EZZ262080:EZZ262101 FJV262080:FJV262101 FTR262080:FTR262101 GDN262080:GDN262101 GNJ262080:GNJ262101 GXF262080:GXF262101 HHB262080:HHB262101 HQX262080:HQX262101 IAT262080:IAT262101 IKP262080:IKP262101 IUL262080:IUL262101 JEH262080:JEH262101 JOD262080:JOD262101 JXZ262080:JXZ262101 KHV262080:KHV262101 KRR262080:KRR262101 LBN262080:LBN262101 LLJ262080:LLJ262101 LVF262080:LVF262101 MFB262080:MFB262101 MOX262080:MOX262101 MYT262080:MYT262101 NIP262080:NIP262101 NSL262080:NSL262101 OCH262080:OCH262101 OMD262080:OMD262101 OVZ262080:OVZ262101 PFV262080:PFV262101 PPR262080:PPR262101 PZN262080:PZN262101 QJJ262080:QJJ262101 QTF262080:QTF262101 RDB262080:RDB262101 RMX262080:RMX262101 RWT262080:RWT262101 SGP262080:SGP262101 SQL262080:SQL262101 TAH262080:TAH262101 TKD262080:TKD262101 TTZ262080:TTZ262101 UDV262080:UDV262101 UNR262080:UNR262101 UXN262080:UXN262101 VHJ262080:VHJ262101 VRF262080:VRF262101 WBB262080:WBB262101 WKX262080:WKX262101 WUT262080:WUT262101 E327670:E327691 IH327616:IH327637 SD327616:SD327637 ABZ327616:ABZ327637 ALV327616:ALV327637 AVR327616:AVR327637 BFN327616:BFN327637 BPJ327616:BPJ327637 BZF327616:BZF327637 CJB327616:CJB327637 CSX327616:CSX327637 DCT327616:DCT327637 DMP327616:DMP327637 DWL327616:DWL327637 EGH327616:EGH327637 EQD327616:EQD327637 EZZ327616:EZZ327637 FJV327616:FJV327637 FTR327616:FTR327637 GDN327616:GDN327637 GNJ327616:GNJ327637 GXF327616:GXF327637 HHB327616:HHB327637 HQX327616:HQX327637 IAT327616:IAT327637 IKP327616:IKP327637 IUL327616:IUL327637 JEH327616:JEH327637 JOD327616:JOD327637 JXZ327616:JXZ327637 KHV327616:KHV327637 KRR327616:KRR327637 LBN327616:LBN327637 LLJ327616:LLJ327637 LVF327616:LVF327637 MFB327616:MFB327637 MOX327616:MOX327637 MYT327616:MYT327637 NIP327616:NIP327637 NSL327616:NSL327637 OCH327616:OCH327637 OMD327616:OMD327637 OVZ327616:OVZ327637 PFV327616:PFV327637 PPR327616:PPR327637 PZN327616:PZN327637 QJJ327616:QJJ327637 QTF327616:QTF327637 RDB327616:RDB327637 RMX327616:RMX327637 RWT327616:RWT327637 SGP327616:SGP327637 SQL327616:SQL327637 TAH327616:TAH327637 TKD327616:TKD327637 TTZ327616:TTZ327637 UDV327616:UDV327637 UNR327616:UNR327637 UXN327616:UXN327637 VHJ327616:VHJ327637 VRF327616:VRF327637 WBB327616:WBB327637 WKX327616:WKX327637 WUT327616:WUT327637 E393206:E393227 IH393152:IH393173 SD393152:SD393173 ABZ393152:ABZ393173 ALV393152:ALV393173 AVR393152:AVR393173 BFN393152:BFN393173 BPJ393152:BPJ393173 BZF393152:BZF393173 CJB393152:CJB393173 CSX393152:CSX393173 DCT393152:DCT393173 DMP393152:DMP393173 DWL393152:DWL393173 EGH393152:EGH393173 EQD393152:EQD393173 EZZ393152:EZZ393173 FJV393152:FJV393173 FTR393152:FTR393173 GDN393152:GDN393173 GNJ393152:GNJ393173 GXF393152:GXF393173 HHB393152:HHB393173 HQX393152:HQX393173 IAT393152:IAT393173 IKP393152:IKP393173 IUL393152:IUL393173 JEH393152:JEH393173 JOD393152:JOD393173 JXZ393152:JXZ393173 KHV393152:KHV393173 KRR393152:KRR393173 LBN393152:LBN393173 LLJ393152:LLJ393173 LVF393152:LVF393173 MFB393152:MFB393173 MOX393152:MOX393173 MYT393152:MYT393173 NIP393152:NIP393173 NSL393152:NSL393173 OCH393152:OCH393173 OMD393152:OMD393173 OVZ393152:OVZ393173 PFV393152:PFV393173 PPR393152:PPR393173 PZN393152:PZN393173 QJJ393152:QJJ393173 QTF393152:QTF393173 RDB393152:RDB393173 RMX393152:RMX393173 RWT393152:RWT393173 SGP393152:SGP393173 SQL393152:SQL393173 TAH393152:TAH393173 TKD393152:TKD393173 TTZ393152:TTZ393173 UDV393152:UDV393173 UNR393152:UNR393173 UXN393152:UXN393173 VHJ393152:VHJ393173 VRF393152:VRF393173 WBB393152:WBB393173 WKX393152:WKX393173 WUT393152:WUT393173 E458742:E458763 IH458688:IH458709 SD458688:SD458709 ABZ458688:ABZ458709 ALV458688:ALV458709 AVR458688:AVR458709 BFN458688:BFN458709 BPJ458688:BPJ458709 BZF458688:BZF458709 CJB458688:CJB458709 CSX458688:CSX458709 DCT458688:DCT458709 DMP458688:DMP458709 DWL458688:DWL458709 EGH458688:EGH458709 EQD458688:EQD458709 EZZ458688:EZZ458709 FJV458688:FJV458709 FTR458688:FTR458709 GDN458688:GDN458709 GNJ458688:GNJ458709 GXF458688:GXF458709 HHB458688:HHB458709 HQX458688:HQX458709 IAT458688:IAT458709 IKP458688:IKP458709 IUL458688:IUL458709 JEH458688:JEH458709 JOD458688:JOD458709 JXZ458688:JXZ458709 KHV458688:KHV458709 KRR458688:KRR458709 LBN458688:LBN458709 LLJ458688:LLJ458709 LVF458688:LVF458709 MFB458688:MFB458709 MOX458688:MOX458709 MYT458688:MYT458709 NIP458688:NIP458709 NSL458688:NSL458709 OCH458688:OCH458709 OMD458688:OMD458709 OVZ458688:OVZ458709 PFV458688:PFV458709 PPR458688:PPR458709 PZN458688:PZN458709 QJJ458688:QJJ458709 QTF458688:QTF458709 RDB458688:RDB458709 RMX458688:RMX458709 RWT458688:RWT458709 SGP458688:SGP458709 SQL458688:SQL458709 TAH458688:TAH458709 TKD458688:TKD458709 TTZ458688:TTZ458709 UDV458688:UDV458709 UNR458688:UNR458709 UXN458688:UXN458709 VHJ458688:VHJ458709 VRF458688:VRF458709 WBB458688:WBB458709 WKX458688:WKX458709 WUT458688:WUT458709 E524278:E524299 IH524224:IH524245 SD524224:SD524245 ABZ524224:ABZ524245 ALV524224:ALV524245 AVR524224:AVR524245 BFN524224:BFN524245 BPJ524224:BPJ524245 BZF524224:BZF524245 CJB524224:CJB524245 CSX524224:CSX524245 DCT524224:DCT524245 DMP524224:DMP524245 DWL524224:DWL524245 EGH524224:EGH524245 EQD524224:EQD524245 EZZ524224:EZZ524245 FJV524224:FJV524245 FTR524224:FTR524245 GDN524224:GDN524245 GNJ524224:GNJ524245 GXF524224:GXF524245 HHB524224:HHB524245 HQX524224:HQX524245 IAT524224:IAT524245 IKP524224:IKP524245 IUL524224:IUL524245 JEH524224:JEH524245 JOD524224:JOD524245 JXZ524224:JXZ524245 KHV524224:KHV524245 KRR524224:KRR524245 LBN524224:LBN524245 LLJ524224:LLJ524245 LVF524224:LVF524245 MFB524224:MFB524245 MOX524224:MOX524245 MYT524224:MYT524245 NIP524224:NIP524245 NSL524224:NSL524245 OCH524224:OCH524245 OMD524224:OMD524245 OVZ524224:OVZ524245 PFV524224:PFV524245 PPR524224:PPR524245 PZN524224:PZN524245 QJJ524224:QJJ524245 QTF524224:QTF524245 RDB524224:RDB524245 RMX524224:RMX524245 RWT524224:RWT524245 SGP524224:SGP524245 SQL524224:SQL524245 TAH524224:TAH524245 TKD524224:TKD524245 TTZ524224:TTZ524245 UDV524224:UDV524245 UNR524224:UNR524245 UXN524224:UXN524245 VHJ524224:VHJ524245 VRF524224:VRF524245 WBB524224:WBB524245 WKX524224:WKX524245 WUT524224:WUT524245 E589814:E589835 IH589760:IH589781 SD589760:SD589781 ABZ589760:ABZ589781 ALV589760:ALV589781 AVR589760:AVR589781 BFN589760:BFN589781 BPJ589760:BPJ589781 BZF589760:BZF589781 CJB589760:CJB589781 CSX589760:CSX589781 DCT589760:DCT589781 DMP589760:DMP589781 DWL589760:DWL589781 EGH589760:EGH589781 EQD589760:EQD589781 EZZ589760:EZZ589781 FJV589760:FJV589781 FTR589760:FTR589781 GDN589760:GDN589781 GNJ589760:GNJ589781 GXF589760:GXF589781 HHB589760:HHB589781 HQX589760:HQX589781 IAT589760:IAT589781 IKP589760:IKP589781 IUL589760:IUL589781 JEH589760:JEH589781 JOD589760:JOD589781 JXZ589760:JXZ589781 KHV589760:KHV589781 KRR589760:KRR589781 LBN589760:LBN589781 LLJ589760:LLJ589781 LVF589760:LVF589781 MFB589760:MFB589781 MOX589760:MOX589781 MYT589760:MYT589781 NIP589760:NIP589781 NSL589760:NSL589781 OCH589760:OCH589781 OMD589760:OMD589781 OVZ589760:OVZ589781 PFV589760:PFV589781 PPR589760:PPR589781 PZN589760:PZN589781 QJJ589760:QJJ589781 QTF589760:QTF589781 RDB589760:RDB589781 RMX589760:RMX589781 RWT589760:RWT589781 SGP589760:SGP589781 SQL589760:SQL589781 TAH589760:TAH589781 TKD589760:TKD589781 TTZ589760:TTZ589781 UDV589760:UDV589781 UNR589760:UNR589781 UXN589760:UXN589781 VHJ589760:VHJ589781 VRF589760:VRF589781 WBB589760:WBB589781 WKX589760:WKX589781 WUT589760:WUT589781 E655350:E655371 IH655296:IH655317 SD655296:SD655317 ABZ655296:ABZ655317 ALV655296:ALV655317 AVR655296:AVR655317 BFN655296:BFN655317 BPJ655296:BPJ655317 BZF655296:BZF655317 CJB655296:CJB655317 CSX655296:CSX655317 DCT655296:DCT655317 DMP655296:DMP655317 DWL655296:DWL655317 EGH655296:EGH655317 EQD655296:EQD655317 EZZ655296:EZZ655317 FJV655296:FJV655317 FTR655296:FTR655317 GDN655296:GDN655317 GNJ655296:GNJ655317 GXF655296:GXF655317 HHB655296:HHB655317 HQX655296:HQX655317 IAT655296:IAT655317 IKP655296:IKP655317 IUL655296:IUL655317 JEH655296:JEH655317 JOD655296:JOD655317 JXZ655296:JXZ655317 KHV655296:KHV655317 KRR655296:KRR655317 LBN655296:LBN655317 LLJ655296:LLJ655317 LVF655296:LVF655317 MFB655296:MFB655317 MOX655296:MOX655317 MYT655296:MYT655317 NIP655296:NIP655317 NSL655296:NSL655317 OCH655296:OCH655317 OMD655296:OMD655317 OVZ655296:OVZ655317 PFV655296:PFV655317 PPR655296:PPR655317 PZN655296:PZN655317 QJJ655296:QJJ655317 QTF655296:QTF655317 RDB655296:RDB655317 RMX655296:RMX655317 RWT655296:RWT655317 SGP655296:SGP655317 SQL655296:SQL655317 TAH655296:TAH655317 TKD655296:TKD655317 TTZ655296:TTZ655317 UDV655296:UDV655317 UNR655296:UNR655317 UXN655296:UXN655317 VHJ655296:VHJ655317 VRF655296:VRF655317 WBB655296:WBB655317 WKX655296:WKX655317 WUT655296:WUT655317 E720886:E720907 IH720832:IH720853 SD720832:SD720853 ABZ720832:ABZ720853 ALV720832:ALV720853 AVR720832:AVR720853 BFN720832:BFN720853 BPJ720832:BPJ720853 BZF720832:BZF720853 CJB720832:CJB720853 CSX720832:CSX720853 DCT720832:DCT720853 DMP720832:DMP720853 DWL720832:DWL720853 EGH720832:EGH720853 EQD720832:EQD720853 EZZ720832:EZZ720853 FJV720832:FJV720853 FTR720832:FTR720853 GDN720832:GDN720853 GNJ720832:GNJ720853 GXF720832:GXF720853 HHB720832:HHB720853 HQX720832:HQX720853 IAT720832:IAT720853 IKP720832:IKP720853 IUL720832:IUL720853 JEH720832:JEH720853 JOD720832:JOD720853 JXZ720832:JXZ720853 KHV720832:KHV720853 KRR720832:KRR720853 LBN720832:LBN720853 LLJ720832:LLJ720853 LVF720832:LVF720853 MFB720832:MFB720853 MOX720832:MOX720853 MYT720832:MYT720853 NIP720832:NIP720853 NSL720832:NSL720853 OCH720832:OCH720853 OMD720832:OMD720853 OVZ720832:OVZ720853 PFV720832:PFV720853 PPR720832:PPR720853 PZN720832:PZN720853 QJJ720832:QJJ720853 QTF720832:QTF720853 RDB720832:RDB720853 RMX720832:RMX720853 RWT720832:RWT720853 SGP720832:SGP720853 SQL720832:SQL720853 TAH720832:TAH720853 TKD720832:TKD720853 TTZ720832:TTZ720853 UDV720832:UDV720853 UNR720832:UNR720853 UXN720832:UXN720853 VHJ720832:VHJ720853 VRF720832:VRF720853 WBB720832:WBB720853 WKX720832:WKX720853 WUT720832:WUT720853 E786422:E786443 IH786368:IH786389 SD786368:SD786389 ABZ786368:ABZ786389 ALV786368:ALV786389 AVR786368:AVR786389 BFN786368:BFN786389 BPJ786368:BPJ786389 BZF786368:BZF786389 CJB786368:CJB786389 CSX786368:CSX786389 DCT786368:DCT786389 DMP786368:DMP786389 DWL786368:DWL786389 EGH786368:EGH786389 EQD786368:EQD786389 EZZ786368:EZZ786389 FJV786368:FJV786389 FTR786368:FTR786389 GDN786368:GDN786389 GNJ786368:GNJ786389 GXF786368:GXF786389 HHB786368:HHB786389 HQX786368:HQX786389 IAT786368:IAT786389 IKP786368:IKP786389 IUL786368:IUL786389 JEH786368:JEH786389 JOD786368:JOD786389 JXZ786368:JXZ786389 KHV786368:KHV786389 KRR786368:KRR786389 LBN786368:LBN786389 LLJ786368:LLJ786389 LVF786368:LVF786389 MFB786368:MFB786389 MOX786368:MOX786389 MYT786368:MYT786389 NIP786368:NIP786389 NSL786368:NSL786389 OCH786368:OCH786389 OMD786368:OMD786389 OVZ786368:OVZ786389 PFV786368:PFV786389 PPR786368:PPR786389 PZN786368:PZN786389 QJJ786368:QJJ786389 QTF786368:QTF786389 RDB786368:RDB786389 RMX786368:RMX786389 RWT786368:RWT786389 SGP786368:SGP786389 SQL786368:SQL786389 TAH786368:TAH786389 TKD786368:TKD786389 TTZ786368:TTZ786389 UDV786368:UDV786389 UNR786368:UNR786389 UXN786368:UXN786389 VHJ786368:VHJ786389 VRF786368:VRF786389 WBB786368:WBB786389 WKX786368:WKX786389 WUT786368:WUT786389 E851958:E851979 IH851904:IH851925 SD851904:SD851925 ABZ851904:ABZ851925 ALV851904:ALV851925 AVR851904:AVR851925 BFN851904:BFN851925 BPJ851904:BPJ851925 BZF851904:BZF851925 CJB851904:CJB851925 CSX851904:CSX851925 DCT851904:DCT851925 DMP851904:DMP851925 DWL851904:DWL851925 EGH851904:EGH851925 EQD851904:EQD851925 EZZ851904:EZZ851925 FJV851904:FJV851925 FTR851904:FTR851925 GDN851904:GDN851925 GNJ851904:GNJ851925 GXF851904:GXF851925 HHB851904:HHB851925 HQX851904:HQX851925 IAT851904:IAT851925 IKP851904:IKP851925 IUL851904:IUL851925 JEH851904:JEH851925 JOD851904:JOD851925 JXZ851904:JXZ851925 KHV851904:KHV851925 KRR851904:KRR851925 LBN851904:LBN851925 LLJ851904:LLJ851925 LVF851904:LVF851925 MFB851904:MFB851925 MOX851904:MOX851925 MYT851904:MYT851925 NIP851904:NIP851925 NSL851904:NSL851925 OCH851904:OCH851925 OMD851904:OMD851925 OVZ851904:OVZ851925 PFV851904:PFV851925 PPR851904:PPR851925 PZN851904:PZN851925 QJJ851904:QJJ851925 QTF851904:QTF851925 RDB851904:RDB851925 RMX851904:RMX851925 RWT851904:RWT851925 SGP851904:SGP851925 SQL851904:SQL851925 TAH851904:TAH851925 TKD851904:TKD851925 TTZ851904:TTZ851925 UDV851904:UDV851925 UNR851904:UNR851925 UXN851904:UXN851925 VHJ851904:VHJ851925 VRF851904:VRF851925 WBB851904:WBB851925 WKX851904:WKX851925 WUT851904:WUT851925 E917494:E917515 IH917440:IH917461 SD917440:SD917461 ABZ917440:ABZ917461 ALV917440:ALV917461 AVR917440:AVR917461 BFN917440:BFN917461 BPJ917440:BPJ917461 BZF917440:BZF917461 CJB917440:CJB917461 CSX917440:CSX917461 DCT917440:DCT917461 DMP917440:DMP917461 DWL917440:DWL917461 EGH917440:EGH917461 EQD917440:EQD917461 EZZ917440:EZZ917461 FJV917440:FJV917461 FTR917440:FTR917461 GDN917440:GDN917461 GNJ917440:GNJ917461 GXF917440:GXF917461 HHB917440:HHB917461 HQX917440:HQX917461 IAT917440:IAT917461 IKP917440:IKP917461 IUL917440:IUL917461 JEH917440:JEH917461 JOD917440:JOD917461 JXZ917440:JXZ917461 KHV917440:KHV917461 KRR917440:KRR917461 LBN917440:LBN917461 LLJ917440:LLJ917461 LVF917440:LVF917461 MFB917440:MFB917461 MOX917440:MOX917461 MYT917440:MYT917461 NIP917440:NIP917461 NSL917440:NSL917461 OCH917440:OCH917461 OMD917440:OMD917461 OVZ917440:OVZ917461 PFV917440:PFV917461 PPR917440:PPR917461 PZN917440:PZN917461 QJJ917440:QJJ917461 QTF917440:QTF917461 RDB917440:RDB917461 RMX917440:RMX917461 RWT917440:RWT917461 SGP917440:SGP917461 SQL917440:SQL917461 TAH917440:TAH917461 TKD917440:TKD917461 TTZ917440:TTZ917461 UDV917440:UDV917461 UNR917440:UNR917461 UXN917440:UXN917461 VHJ917440:VHJ917461 VRF917440:VRF917461 WBB917440:WBB917461 WKX917440:WKX917461 WUT917440:WUT917461 E983030:E983051 IH982976:IH982997 SD982976:SD982997 ABZ982976:ABZ982997 ALV982976:ALV982997 AVR982976:AVR982997 BFN982976:BFN982997 BPJ982976:BPJ982997 BZF982976:BZF982997 CJB982976:CJB982997 CSX982976:CSX982997 DCT982976:DCT982997 DMP982976:DMP982997 DWL982976:DWL982997 EGH982976:EGH982997 EQD982976:EQD982997 EZZ982976:EZZ982997 FJV982976:FJV982997 FTR982976:FTR982997 GDN982976:GDN982997 GNJ982976:GNJ982997 GXF982976:GXF982997 HHB982976:HHB982997 HQX982976:HQX982997 IAT982976:IAT982997 IKP982976:IKP982997 IUL982976:IUL982997 JEH982976:JEH982997 JOD982976:JOD982997 JXZ982976:JXZ982997 KHV982976:KHV982997 KRR982976:KRR982997 LBN982976:LBN982997 LLJ982976:LLJ982997 LVF982976:LVF982997 MFB982976:MFB982997 MOX982976:MOX982997 MYT982976:MYT982997 NIP982976:NIP982997 NSL982976:NSL982997 OCH982976:OCH982997 OMD982976:OMD982997 OVZ982976:OVZ982997 PFV982976:PFV982997 PPR982976:PPR982997 PZN982976:PZN982997 QJJ982976:QJJ982997 QTF982976:QTF982997 RDB982976:RDB982997 RMX982976:RMX982997 RWT982976:RWT982997 SGP982976:SGP982997 SQL982976:SQL982997 TAH982976:TAH982997 TKD982976:TKD982997 TTZ982976:TTZ982997 UDV982976:UDV982997 UNR982976:UNR982997 UXN982976:UXN982997 VHJ982976:VHJ982997 VRF982976:VRF982997 WBB982976:WBB982997 WKX982976:WKX982997 WUT982976:WUT982997 IN8:IN13 SJ8:SJ13 ACF8:ACF13 AMB8:AMB13 AVX8:AVX13 BFT8:BFT13 BPP8:BPP13 BZL8:BZL13 CJH8:CJH13 CTD8:CTD13 DCZ8:DCZ13 DMV8:DMV13 DWR8:DWR13 EGN8:EGN13 EQJ8:EQJ13 FAF8:FAF13 FKB8:FKB13 FTX8:FTX13 GDT8:GDT13 GNP8:GNP13 GXL8:GXL13 HHH8:HHH13 HRD8:HRD13 IAZ8:IAZ13 IKV8:IKV13 IUR8:IUR13 JEN8:JEN13 JOJ8:JOJ13 JYF8:JYF13 KIB8:KIB13 KRX8:KRX13 LBT8:LBT13 LLP8:LLP13 LVL8:LVL13 MFH8:MFH13 MPD8:MPD13 MYZ8:MYZ13 NIV8:NIV13 NSR8:NSR13 OCN8:OCN13 OMJ8:OMJ13 OWF8:OWF13 PGB8:PGB13 PPX8:PPX13 PZT8:PZT13 QJP8:QJP13 QTL8:QTL13 RDH8:RDH13 RND8:RND13 RWZ8:RWZ13 SGV8:SGV13 SQR8:SQR13 TAN8:TAN13 TKJ8:TKJ13 TUF8:TUF13 UEB8:UEB13 UNX8:UNX13 UXT8:UXT13 VHP8:VHP13 VRL8:VRL13 WBH8:WBH13 WLD8:WLD13 WUZ8:WUZ13 IN65444:IN65449 SJ65444:SJ65449 ACF65444:ACF65449 AMB65444:AMB65449 AVX65444:AVX65449 BFT65444:BFT65449 BPP65444:BPP65449 BZL65444:BZL65449 CJH65444:CJH65449 CTD65444:CTD65449 DCZ65444:DCZ65449 DMV65444:DMV65449 DWR65444:DWR65449 EGN65444:EGN65449 EQJ65444:EQJ65449 FAF65444:FAF65449 FKB65444:FKB65449 FTX65444:FTX65449 GDT65444:GDT65449 GNP65444:GNP65449 GXL65444:GXL65449 HHH65444:HHH65449 HRD65444:HRD65449 IAZ65444:IAZ65449 IKV65444:IKV65449 IUR65444:IUR65449 JEN65444:JEN65449 JOJ65444:JOJ65449 JYF65444:JYF65449 KIB65444:KIB65449 KRX65444:KRX65449 LBT65444:LBT65449 LLP65444:LLP65449 LVL65444:LVL65449 MFH65444:MFH65449 MPD65444:MPD65449 MYZ65444:MYZ65449 NIV65444:NIV65449 NSR65444:NSR65449 OCN65444:OCN65449 OMJ65444:OMJ65449 OWF65444:OWF65449 PGB65444:PGB65449 PPX65444:PPX65449 PZT65444:PZT65449 QJP65444:QJP65449 QTL65444:QTL65449 RDH65444:RDH65449 RND65444:RND65449 RWZ65444:RWZ65449 SGV65444:SGV65449 SQR65444:SQR65449 TAN65444:TAN65449 TKJ65444:TKJ65449 TUF65444:TUF65449 UEB65444:UEB65449 UNX65444:UNX65449 UXT65444:UXT65449 VHP65444:VHP65449 VRL65444:VRL65449 WBH65444:WBH65449 WLD65444:WLD65449 WUZ65444:WUZ65449 IN130980:IN130985 SJ130980:SJ130985 ACF130980:ACF130985 AMB130980:AMB130985 AVX130980:AVX130985 BFT130980:BFT130985 BPP130980:BPP130985 BZL130980:BZL130985 CJH130980:CJH130985 CTD130980:CTD130985 DCZ130980:DCZ130985 DMV130980:DMV130985 DWR130980:DWR130985 EGN130980:EGN130985 EQJ130980:EQJ130985 FAF130980:FAF130985 FKB130980:FKB130985 FTX130980:FTX130985 GDT130980:GDT130985 GNP130980:GNP130985 GXL130980:GXL130985 HHH130980:HHH130985 HRD130980:HRD130985 IAZ130980:IAZ130985 IKV130980:IKV130985 IUR130980:IUR130985 JEN130980:JEN130985 JOJ130980:JOJ130985 JYF130980:JYF130985 KIB130980:KIB130985 KRX130980:KRX130985 LBT130980:LBT130985 LLP130980:LLP130985 LVL130980:LVL130985 MFH130980:MFH130985 MPD130980:MPD130985 MYZ130980:MYZ130985 NIV130980:NIV130985 NSR130980:NSR130985 OCN130980:OCN130985 OMJ130980:OMJ130985 OWF130980:OWF130985 PGB130980:PGB130985 PPX130980:PPX130985 PZT130980:PZT130985 QJP130980:QJP130985 QTL130980:QTL130985 RDH130980:RDH130985 RND130980:RND130985 RWZ130980:RWZ130985 SGV130980:SGV130985 SQR130980:SQR130985 TAN130980:TAN130985 TKJ130980:TKJ130985 TUF130980:TUF130985 UEB130980:UEB130985 UNX130980:UNX130985 UXT130980:UXT130985 VHP130980:VHP130985 VRL130980:VRL130985 WBH130980:WBH130985 WLD130980:WLD130985 WUZ130980:WUZ130985 IN196516:IN196521 SJ196516:SJ196521 ACF196516:ACF196521 AMB196516:AMB196521 AVX196516:AVX196521 BFT196516:BFT196521 BPP196516:BPP196521 BZL196516:BZL196521 CJH196516:CJH196521 CTD196516:CTD196521 DCZ196516:DCZ196521 DMV196516:DMV196521 DWR196516:DWR196521 EGN196516:EGN196521 EQJ196516:EQJ196521 FAF196516:FAF196521 FKB196516:FKB196521 FTX196516:FTX196521 GDT196516:GDT196521 GNP196516:GNP196521 GXL196516:GXL196521 HHH196516:HHH196521 HRD196516:HRD196521 IAZ196516:IAZ196521 IKV196516:IKV196521 IUR196516:IUR196521 JEN196516:JEN196521 JOJ196516:JOJ196521 JYF196516:JYF196521 KIB196516:KIB196521 KRX196516:KRX196521 LBT196516:LBT196521 LLP196516:LLP196521 LVL196516:LVL196521 MFH196516:MFH196521 MPD196516:MPD196521 MYZ196516:MYZ196521 NIV196516:NIV196521 NSR196516:NSR196521 OCN196516:OCN196521 OMJ196516:OMJ196521 OWF196516:OWF196521 PGB196516:PGB196521 PPX196516:PPX196521 PZT196516:PZT196521 QJP196516:QJP196521 QTL196516:QTL196521 RDH196516:RDH196521 RND196516:RND196521 RWZ196516:RWZ196521 SGV196516:SGV196521 SQR196516:SQR196521 TAN196516:TAN196521 TKJ196516:TKJ196521 TUF196516:TUF196521 UEB196516:UEB196521 UNX196516:UNX196521 UXT196516:UXT196521 VHP196516:VHP196521 VRL196516:VRL196521 WBH196516:WBH196521 WLD196516:WLD196521 WUZ196516:WUZ196521 IN262052:IN262057 SJ262052:SJ262057 ACF262052:ACF262057 AMB262052:AMB262057 AVX262052:AVX262057 BFT262052:BFT262057 BPP262052:BPP262057 BZL262052:BZL262057 CJH262052:CJH262057 CTD262052:CTD262057 DCZ262052:DCZ262057 DMV262052:DMV262057 DWR262052:DWR262057 EGN262052:EGN262057 EQJ262052:EQJ262057 FAF262052:FAF262057 FKB262052:FKB262057 FTX262052:FTX262057 GDT262052:GDT262057 GNP262052:GNP262057 GXL262052:GXL262057 HHH262052:HHH262057 HRD262052:HRD262057 IAZ262052:IAZ262057 IKV262052:IKV262057 IUR262052:IUR262057 JEN262052:JEN262057 JOJ262052:JOJ262057 JYF262052:JYF262057 KIB262052:KIB262057 KRX262052:KRX262057 LBT262052:LBT262057 LLP262052:LLP262057 LVL262052:LVL262057 MFH262052:MFH262057 MPD262052:MPD262057 MYZ262052:MYZ262057 NIV262052:NIV262057 NSR262052:NSR262057 OCN262052:OCN262057 OMJ262052:OMJ262057 OWF262052:OWF262057 PGB262052:PGB262057 PPX262052:PPX262057 PZT262052:PZT262057 QJP262052:QJP262057 QTL262052:QTL262057 RDH262052:RDH262057 RND262052:RND262057 RWZ262052:RWZ262057 SGV262052:SGV262057 SQR262052:SQR262057 TAN262052:TAN262057 TKJ262052:TKJ262057 TUF262052:TUF262057 UEB262052:UEB262057 UNX262052:UNX262057 UXT262052:UXT262057 VHP262052:VHP262057 VRL262052:VRL262057 WBH262052:WBH262057 WLD262052:WLD262057 WUZ262052:WUZ262057 IN327588:IN327593 SJ327588:SJ327593 ACF327588:ACF327593 AMB327588:AMB327593 AVX327588:AVX327593 BFT327588:BFT327593 BPP327588:BPP327593 BZL327588:BZL327593 CJH327588:CJH327593 CTD327588:CTD327593 DCZ327588:DCZ327593 DMV327588:DMV327593 DWR327588:DWR327593 EGN327588:EGN327593 EQJ327588:EQJ327593 FAF327588:FAF327593 FKB327588:FKB327593 FTX327588:FTX327593 GDT327588:GDT327593 GNP327588:GNP327593 GXL327588:GXL327593 HHH327588:HHH327593 HRD327588:HRD327593 IAZ327588:IAZ327593 IKV327588:IKV327593 IUR327588:IUR327593 JEN327588:JEN327593 JOJ327588:JOJ327593 JYF327588:JYF327593 KIB327588:KIB327593 KRX327588:KRX327593 LBT327588:LBT327593 LLP327588:LLP327593 LVL327588:LVL327593 MFH327588:MFH327593 MPD327588:MPD327593 MYZ327588:MYZ327593 NIV327588:NIV327593 NSR327588:NSR327593 OCN327588:OCN327593 OMJ327588:OMJ327593 OWF327588:OWF327593 PGB327588:PGB327593 PPX327588:PPX327593 PZT327588:PZT327593 QJP327588:QJP327593 QTL327588:QTL327593 RDH327588:RDH327593 RND327588:RND327593 RWZ327588:RWZ327593 SGV327588:SGV327593 SQR327588:SQR327593 TAN327588:TAN327593 TKJ327588:TKJ327593 TUF327588:TUF327593 UEB327588:UEB327593 UNX327588:UNX327593 UXT327588:UXT327593 VHP327588:VHP327593 VRL327588:VRL327593 WBH327588:WBH327593 WLD327588:WLD327593 WUZ327588:WUZ327593 IN393124:IN393129 SJ393124:SJ393129 ACF393124:ACF393129 AMB393124:AMB393129 AVX393124:AVX393129 BFT393124:BFT393129 BPP393124:BPP393129 BZL393124:BZL393129 CJH393124:CJH393129 CTD393124:CTD393129 DCZ393124:DCZ393129 DMV393124:DMV393129 DWR393124:DWR393129 EGN393124:EGN393129 EQJ393124:EQJ393129 FAF393124:FAF393129 FKB393124:FKB393129 FTX393124:FTX393129 GDT393124:GDT393129 GNP393124:GNP393129 GXL393124:GXL393129 HHH393124:HHH393129 HRD393124:HRD393129 IAZ393124:IAZ393129 IKV393124:IKV393129 IUR393124:IUR393129 JEN393124:JEN393129 JOJ393124:JOJ393129 JYF393124:JYF393129 KIB393124:KIB393129 KRX393124:KRX393129 LBT393124:LBT393129 LLP393124:LLP393129 LVL393124:LVL393129 MFH393124:MFH393129 MPD393124:MPD393129 MYZ393124:MYZ393129 NIV393124:NIV393129 NSR393124:NSR393129 OCN393124:OCN393129 OMJ393124:OMJ393129 OWF393124:OWF393129 PGB393124:PGB393129 PPX393124:PPX393129 PZT393124:PZT393129 QJP393124:QJP393129 QTL393124:QTL393129 RDH393124:RDH393129 RND393124:RND393129 RWZ393124:RWZ393129 SGV393124:SGV393129 SQR393124:SQR393129 TAN393124:TAN393129 TKJ393124:TKJ393129 TUF393124:TUF393129 UEB393124:UEB393129 UNX393124:UNX393129 UXT393124:UXT393129 VHP393124:VHP393129 VRL393124:VRL393129 WBH393124:WBH393129 WLD393124:WLD393129 WUZ393124:WUZ393129 IN458660:IN458665 SJ458660:SJ458665 ACF458660:ACF458665 AMB458660:AMB458665 AVX458660:AVX458665 BFT458660:BFT458665 BPP458660:BPP458665 BZL458660:BZL458665 CJH458660:CJH458665 CTD458660:CTD458665 DCZ458660:DCZ458665 DMV458660:DMV458665 DWR458660:DWR458665 EGN458660:EGN458665 EQJ458660:EQJ458665 FAF458660:FAF458665 FKB458660:FKB458665 FTX458660:FTX458665 GDT458660:GDT458665 GNP458660:GNP458665 GXL458660:GXL458665 HHH458660:HHH458665 HRD458660:HRD458665 IAZ458660:IAZ458665 IKV458660:IKV458665 IUR458660:IUR458665 JEN458660:JEN458665 JOJ458660:JOJ458665 JYF458660:JYF458665 KIB458660:KIB458665 KRX458660:KRX458665 LBT458660:LBT458665 LLP458660:LLP458665 LVL458660:LVL458665 MFH458660:MFH458665 MPD458660:MPD458665 MYZ458660:MYZ458665 NIV458660:NIV458665 NSR458660:NSR458665 OCN458660:OCN458665 OMJ458660:OMJ458665 OWF458660:OWF458665 PGB458660:PGB458665 PPX458660:PPX458665 PZT458660:PZT458665 QJP458660:QJP458665 QTL458660:QTL458665 RDH458660:RDH458665 RND458660:RND458665 RWZ458660:RWZ458665 SGV458660:SGV458665 SQR458660:SQR458665 TAN458660:TAN458665 TKJ458660:TKJ458665 TUF458660:TUF458665 UEB458660:UEB458665 UNX458660:UNX458665 UXT458660:UXT458665 VHP458660:VHP458665 VRL458660:VRL458665 WBH458660:WBH458665 WLD458660:WLD458665 WUZ458660:WUZ458665 IN524196:IN524201 SJ524196:SJ524201 ACF524196:ACF524201 AMB524196:AMB524201 AVX524196:AVX524201 BFT524196:BFT524201 BPP524196:BPP524201 BZL524196:BZL524201 CJH524196:CJH524201 CTD524196:CTD524201 DCZ524196:DCZ524201 DMV524196:DMV524201 DWR524196:DWR524201 EGN524196:EGN524201 EQJ524196:EQJ524201 FAF524196:FAF524201 FKB524196:FKB524201 FTX524196:FTX524201 GDT524196:GDT524201 GNP524196:GNP524201 GXL524196:GXL524201 HHH524196:HHH524201 HRD524196:HRD524201 IAZ524196:IAZ524201 IKV524196:IKV524201 IUR524196:IUR524201 JEN524196:JEN524201 JOJ524196:JOJ524201 JYF524196:JYF524201 KIB524196:KIB524201 KRX524196:KRX524201 LBT524196:LBT524201 LLP524196:LLP524201 LVL524196:LVL524201 MFH524196:MFH524201 MPD524196:MPD524201 MYZ524196:MYZ524201 NIV524196:NIV524201 NSR524196:NSR524201 OCN524196:OCN524201 OMJ524196:OMJ524201 OWF524196:OWF524201 PGB524196:PGB524201 PPX524196:PPX524201 PZT524196:PZT524201 QJP524196:QJP524201 QTL524196:QTL524201 RDH524196:RDH524201 RND524196:RND524201 RWZ524196:RWZ524201 SGV524196:SGV524201 SQR524196:SQR524201 TAN524196:TAN524201 TKJ524196:TKJ524201 TUF524196:TUF524201 UEB524196:UEB524201 UNX524196:UNX524201 UXT524196:UXT524201 VHP524196:VHP524201 VRL524196:VRL524201 WBH524196:WBH524201 WLD524196:WLD524201 WUZ524196:WUZ524201 IN589732:IN589737 SJ589732:SJ589737 ACF589732:ACF589737 AMB589732:AMB589737 AVX589732:AVX589737 BFT589732:BFT589737 BPP589732:BPP589737 BZL589732:BZL589737 CJH589732:CJH589737 CTD589732:CTD589737 DCZ589732:DCZ589737 DMV589732:DMV589737 DWR589732:DWR589737 EGN589732:EGN589737 EQJ589732:EQJ589737 FAF589732:FAF589737 FKB589732:FKB589737 FTX589732:FTX589737 GDT589732:GDT589737 GNP589732:GNP589737 GXL589732:GXL589737 HHH589732:HHH589737 HRD589732:HRD589737 IAZ589732:IAZ589737 IKV589732:IKV589737 IUR589732:IUR589737 JEN589732:JEN589737 JOJ589732:JOJ589737 JYF589732:JYF589737 KIB589732:KIB589737 KRX589732:KRX589737 LBT589732:LBT589737 LLP589732:LLP589737 LVL589732:LVL589737 MFH589732:MFH589737 MPD589732:MPD589737 MYZ589732:MYZ589737 NIV589732:NIV589737 NSR589732:NSR589737 OCN589732:OCN589737 OMJ589732:OMJ589737 OWF589732:OWF589737 PGB589732:PGB589737 PPX589732:PPX589737 PZT589732:PZT589737 QJP589732:QJP589737 QTL589732:QTL589737 RDH589732:RDH589737 RND589732:RND589737 RWZ589732:RWZ589737 SGV589732:SGV589737 SQR589732:SQR589737 TAN589732:TAN589737 TKJ589732:TKJ589737 TUF589732:TUF589737 UEB589732:UEB589737 UNX589732:UNX589737 UXT589732:UXT589737 VHP589732:VHP589737 VRL589732:VRL589737 WBH589732:WBH589737 WLD589732:WLD589737 WUZ589732:WUZ589737 IN655268:IN655273 SJ655268:SJ655273 ACF655268:ACF655273 AMB655268:AMB655273 AVX655268:AVX655273 BFT655268:BFT655273 BPP655268:BPP655273 BZL655268:BZL655273 CJH655268:CJH655273 CTD655268:CTD655273 DCZ655268:DCZ655273 DMV655268:DMV655273 DWR655268:DWR655273 EGN655268:EGN655273 EQJ655268:EQJ655273 FAF655268:FAF655273 FKB655268:FKB655273 FTX655268:FTX655273 GDT655268:GDT655273 GNP655268:GNP655273 GXL655268:GXL655273 HHH655268:HHH655273 HRD655268:HRD655273 IAZ655268:IAZ655273 IKV655268:IKV655273 IUR655268:IUR655273 JEN655268:JEN655273 JOJ655268:JOJ655273 JYF655268:JYF655273 KIB655268:KIB655273 KRX655268:KRX655273 LBT655268:LBT655273 LLP655268:LLP655273 LVL655268:LVL655273 MFH655268:MFH655273 MPD655268:MPD655273 MYZ655268:MYZ655273 NIV655268:NIV655273 NSR655268:NSR655273 OCN655268:OCN655273 OMJ655268:OMJ655273 OWF655268:OWF655273 PGB655268:PGB655273 PPX655268:PPX655273 PZT655268:PZT655273 QJP655268:QJP655273 QTL655268:QTL655273 RDH655268:RDH655273 RND655268:RND655273 RWZ655268:RWZ655273 SGV655268:SGV655273 SQR655268:SQR655273 TAN655268:TAN655273 TKJ655268:TKJ655273 TUF655268:TUF655273 UEB655268:UEB655273 UNX655268:UNX655273 UXT655268:UXT655273 VHP655268:VHP655273 VRL655268:VRL655273 WBH655268:WBH655273 WLD655268:WLD655273 WUZ655268:WUZ655273 IN720804:IN720809 SJ720804:SJ720809 ACF720804:ACF720809 AMB720804:AMB720809 AVX720804:AVX720809 BFT720804:BFT720809 BPP720804:BPP720809 BZL720804:BZL720809 CJH720804:CJH720809 CTD720804:CTD720809 DCZ720804:DCZ720809 DMV720804:DMV720809 DWR720804:DWR720809 EGN720804:EGN720809 EQJ720804:EQJ720809 FAF720804:FAF720809 FKB720804:FKB720809 FTX720804:FTX720809 GDT720804:GDT720809 GNP720804:GNP720809 GXL720804:GXL720809 HHH720804:HHH720809 HRD720804:HRD720809 IAZ720804:IAZ720809 IKV720804:IKV720809 IUR720804:IUR720809 JEN720804:JEN720809 JOJ720804:JOJ720809 JYF720804:JYF720809 KIB720804:KIB720809 KRX720804:KRX720809 LBT720804:LBT720809 LLP720804:LLP720809 LVL720804:LVL720809 MFH720804:MFH720809 MPD720804:MPD720809 MYZ720804:MYZ720809 NIV720804:NIV720809 NSR720804:NSR720809 OCN720804:OCN720809 OMJ720804:OMJ720809 OWF720804:OWF720809 PGB720804:PGB720809 PPX720804:PPX720809 PZT720804:PZT720809 QJP720804:QJP720809 QTL720804:QTL720809 RDH720804:RDH720809 RND720804:RND720809 RWZ720804:RWZ720809 SGV720804:SGV720809 SQR720804:SQR720809 TAN720804:TAN720809 TKJ720804:TKJ720809 TUF720804:TUF720809 UEB720804:UEB720809 UNX720804:UNX720809 UXT720804:UXT720809 VHP720804:VHP720809 VRL720804:VRL720809 WBH720804:WBH720809 WLD720804:WLD720809 WUZ720804:WUZ720809 IN786340:IN786345 SJ786340:SJ786345 ACF786340:ACF786345 AMB786340:AMB786345 AVX786340:AVX786345 BFT786340:BFT786345 BPP786340:BPP786345 BZL786340:BZL786345 CJH786340:CJH786345 CTD786340:CTD786345 DCZ786340:DCZ786345 DMV786340:DMV786345 DWR786340:DWR786345 EGN786340:EGN786345 EQJ786340:EQJ786345 FAF786340:FAF786345 FKB786340:FKB786345 FTX786340:FTX786345 GDT786340:GDT786345 GNP786340:GNP786345 GXL786340:GXL786345 HHH786340:HHH786345 HRD786340:HRD786345 IAZ786340:IAZ786345 IKV786340:IKV786345 IUR786340:IUR786345 JEN786340:JEN786345 JOJ786340:JOJ786345 JYF786340:JYF786345 KIB786340:KIB786345 KRX786340:KRX786345 LBT786340:LBT786345 LLP786340:LLP786345 LVL786340:LVL786345 MFH786340:MFH786345 MPD786340:MPD786345 MYZ786340:MYZ786345 NIV786340:NIV786345 NSR786340:NSR786345 OCN786340:OCN786345 OMJ786340:OMJ786345 OWF786340:OWF786345 PGB786340:PGB786345 PPX786340:PPX786345 PZT786340:PZT786345 QJP786340:QJP786345 QTL786340:QTL786345 RDH786340:RDH786345 RND786340:RND786345 RWZ786340:RWZ786345 SGV786340:SGV786345 SQR786340:SQR786345 TAN786340:TAN786345 TKJ786340:TKJ786345 TUF786340:TUF786345 UEB786340:UEB786345 UNX786340:UNX786345 UXT786340:UXT786345 VHP786340:VHP786345 VRL786340:VRL786345 WBH786340:WBH786345 WLD786340:WLD786345 WUZ786340:WUZ786345 IN851876:IN851881 SJ851876:SJ851881 ACF851876:ACF851881 AMB851876:AMB851881 AVX851876:AVX851881 BFT851876:BFT851881 BPP851876:BPP851881 BZL851876:BZL851881 CJH851876:CJH851881 CTD851876:CTD851881 DCZ851876:DCZ851881 DMV851876:DMV851881 DWR851876:DWR851881 EGN851876:EGN851881 EQJ851876:EQJ851881 FAF851876:FAF851881 FKB851876:FKB851881 FTX851876:FTX851881 GDT851876:GDT851881 GNP851876:GNP851881 GXL851876:GXL851881 HHH851876:HHH851881 HRD851876:HRD851881 IAZ851876:IAZ851881 IKV851876:IKV851881 IUR851876:IUR851881 JEN851876:JEN851881 JOJ851876:JOJ851881 JYF851876:JYF851881 KIB851876:KIB851881 KRX851876:KRX851881 LBT851876:LBT851881 LLP851876:LLP851881 LVL851876:LVL851881 MFH851876:MFH851881 MPD851876:MPD851881 MYZ851876:MYZ851881 NIV851876:NIV851881 NSR851876:NSR851881 OCN851876:OCN851881 OMJ851876:OMJ851881 OWF851876:OWF851881 PGB851876:PGB851881 PPX851876:PPX851881 PZT851876:PZT851881 QJP851876:QJP851881 QTL851876:QTL851881 RDH851876:RDH851881 RND851876:RND851881 RWZ851876:RWZ851881 SGV851876:SGV851881 SQR851876:SQR851881 TAN851876:TAN851881 TKJ851876:TKJ851881 TUF851876:TUF851881 UEB851876:UEB851881 UNX851876:UNX851881 UXT851876:UXT851881 VHP851876:VHP851881 VRL851876:VRL851881 WBH851876:WBH851881 WLD851876:WLD851881 WUZ851876:WUZ851881 IN917412:IN917417 SJ917412:SJ917417 ACF917412:ACF917417 AMB917412:AMB917417 AVX917412:AVX917417 BFT917412:BFT917417 BPP917412:BPP917417 BZL917412:BZL917417 CJH917412:CJH917417 CTD917412:CTD917417 DCZ917412:DCZ917417 DMV917412:DMV917417 DWR917412:DWR917417 EGN917412:EGN917417 EQJ917412:EQJ917417 FAF917412:FAF917417 FKB917412:FKB917417 FTX917412:FTX917417 GDT917412:GDT917417 GNP917412:GNP917417 GXL917412:GXL917417 HHH917412:HHH917417 HRD917412:HRD917417 IAZ917412:IAZ917417 IKV917412:IKV917417 IUR917412:IUR917417 JEN917412:JEN917417 JOJ917412:JOJ917417 JYF917412:JYF917417 KIB917412:KIB917417 KRX917412:KRX917417 LBT917412:LBT917417 LLP917412:LLP917417 LVL917412:LVL917417 MFH917412:MFH917417 MPD917412:MPD917417 MYZ917412:MYZ917417 NIV917412:NIV917417 NSR917412:NSR917417 OCN917412:OCN917417 OMJ917412:OMJ917417 OWF917412:OWF917417 PGB917412:PGB917417 PPX917412:PPX917417 PZT917412:PZT917417 QJP917412:QJP917417 QTL917412:QTL917417 RDH917412:RDH917417 RND917412:RND917417 RWZ917412:RWZ917417 SGV917412:SGV917417 SQR917412:SQR917417 TAN917412:TAN917417 TKJ917412:TKJ917417 TUF917412:TUF917417 UEB917412:UEB917417 UNX917412:UNX917417 UXT917412:UXT917417 VHP917412:VHP917417 VRL917412:VRL917417 WBH917412:WBH917417 WLD917412:WLD917417 WUZ917412:WUZ917417 IN982948:IN982953 SJ982948:SJ982953 ACF982948:ACF982953 AMB982948:AMB982953 AVX982948:AVX982953 BFT982948:BFT982953 BPP982948:BPP982953 BZL982948:BZL982953 CJH982948:CJH982953 CTD982948:CTD982953 DCZ982948:DCZ982953 DMV982948:DMV982953 DWR982948:DWR982953 EGN982948:EGN982953 EQJ982948:EQJ982953 FAF982948:FAF982953 FKB982948:FKB982953 FTX982948:FTX982953 GDT982948:GDT982953 GNP982948:GNP982953 GXL982948:GXL982953 HHH982948:HHH982953 HRD982948:HRD982953 IAZ982948:IAZ982953 IKV982948:IKV982953 IUR982948:IUR982953 JEN982948:JEN982953 JOJ982948:JOJ982953 JYF982948:JYF982953 KIB982948:KIB982953 KRX982948:KRX982953 LBT982948:LBT982953 LLP982948:LLP982953 LVL982948:LVL982953 MFH982948:MFH982953 MPD982948:MPD982953 MYZ982948:MYZ982953 NIV982948:NIV982953 NSR982948:NSR982953 OCN982948:OCN982953 OMJ982948:OMJ982953 OWF982948:OWF982953 PGB982948:PGB982953 PPX982948:PPX982953 PZT982948:PZT982953 QJP982948:QJP982953 QTL982948:QTL982953 RDH982948:RDH982953 RND982948:RND982953 RWZ982948:RWZ982953 SGV982948:SGV982953 SQR982948:SQR982953 TAN982948:TAN982953 TKJ982948:TKJ982953 TUF982948:TUF982953 UEB982948:UEB982953 UNX982948:UNX982953 UXT982948:UXT982953 VHP982948:VHP982953 VRL982948:VRL982953 WBH982948:WBH982953 WLD982948:WLD982953 WUZ982948:WUZ982953 IN17:IN19 SJ17:SJ19 ACF17:ACF19 AMB17:AMB19 AVX17:AVX19 BFT17:BFT19 BPP17:BPP19 BZL17:BZL19 CJH17:CJH19 CTD17:CTD19 DCZ17:DCZ19 DMV17:DMV19 DWR17:DWR19 EGN17:EGN19 EQJ17:EQJ19 FAF17:FAF19 FKB17:FKB19 FTX17:FTX19 GDT17:GDT19 GNP17:GNP19 GXL17:GXL19 HHH17:HHH19 HRD17:HRD19 IAZ17:IAZ19 IKV17:IKV19 IUR17:IUR19 JEN17:JEN19 JOJ17:JOJ19 JYF17:JYF19 KIB17:KIB19 KRX17:KRX19 LBT17:LBT19 LLP17:LLP19 LVL17:LVL19 MFH17:MFH19 MPD17:MPD19 MYZ17:MYZ19 NIV17:NIV19 NSR17:NSR19 OCN17:OCN19 OMJ17:OMJ19 OWF17:OWF19 PGB17:PGB19 PPX17:PPX19 PZT17:PZT19 QJP17:QJP19 QTL17:QTL19 RDH17:RDH19 RND17:RND19 RWZ17:RWZ19 SGV17:SGV19 SQR17:SQR19 TAN17:TAN19 TKJ17:TKJ19 TUF17:TUF19 UEB17:UEB19 UNX17:UNX19 UXT17:UXT19 VHP17:VHP19 VRL17:VRL19 WBH17:WBH19 WLD17:WLD19 WUZ17:WUZ19 IN65453:IN65455 SJ65453:SJ65455 ACF65453:ACF65455 AMB65453:AMB65455 AVX65453:AVX65455 BFT65453:BFT65455 BPP65453:BPP65455 BZL65453:BZL65455 CJH65453:CJH65455 CTD65453:CTD65455 DCZ65453:DCZ65455 DMV65453:DMV65455 DWR65453:DWR65455 EGN65453:EGN65455 EQJ65453:EQJ65455 FAF65453:FAF65455 FKB65453:FKB65455 FTX65453:FTX65455 GDT65453:GDT65455 GNP65453:GNP65455 GXL65453:GXL65455 HHH65453:HHH65455 HRD65453:HRD65455 IAZ65453:IAZ65455 IKV65453:IKV65455 IUR65453:IUR65455 JEN65453:JEN65455 JOJ65453:JOJ65455 JYF65453:JYF65455 KIB65453:KIB65455 KRX65453:KRX65455 LBT65453:LBT65455 LLP65453:LLP65455 LVL65453:LVL65455 MFH65453:MFH65455 MPD65453:MPD65455 MYZ65453:MYZ65455 NIV65453:NIV65455 NSR65453:NSR65455 OCN65453:OCN65455 OMJ65453:OMJ65455 OWF65453:OWF65455 PGB65453:PGB65455 PPX65453:PPX65455 PZT65453:PZT65455 QJP65453:QJP65455 QTL65453:QTL65455 RDH65453:RDH65455 RND65453:RND65455 RWZ65453:RWZ65455 SGV65453:SGV65455 SQR65453:SQR65455 TAN65453:TAN65455 TKJ65453:TKJ65455 TUF65453:TUF65455 UEB65453:UEB65455 UNX65453:UNX65455 UXT65453:UXT65455 VHP65453:VHP65455 VRL65453:VRL65455 WBH65453:WBH65455 WLD65453:WLD65455 WUZ65453:WUZ65455 IN130989:IN130991 SJ130989:SJ130991 ACF130989:ACF130991 AMB130989:AMB130991 AVX130989:AVX130991 BFT130989:BFT130991 BPP130989:BPP130991 BZL130989:BZL130991 CJH130989:CJH130991 CTD130989:CTD130991 DCZ130989:DCZ130991 DMV130989:DMV130991 DWR130989:DWR130991 EGN130989:EGN130991 EQJ130989:EQJ130991 FAF130989:FAF130991 FKB130989:FKB130991 FTX130989:FTX130991 GDT130989:GDT130991 GNP130989:GNP130991 GXL130989:GXL130991 HHH130989:HHH130991 HRD130989:HRD130991 IAZ130989:IAZ130991 IKV130989:IKV130991 IUR130989:IUR130991 JEN130989:JEN130991 JOJ130989:JOJ130991 JYF130989:JYF130991 KIB130989:KIB130991 KRX130989:KRX130991 LBT130989:LBT130991 LLP130989:LLP130991 LVL130989:LVL130991 MFH130989:MFH130991 MPD130989:MPD130991 MYZ130989:MYZ130991 NIV130989:NIV130991 NSR130989:NSR130991 OCN130989:OCN130991 OMJ130989:OMJ130991 OWF130989:OWF130991 PGB130989:PGB130991 PPX130989:PPX130991 PZT130989:PZT130991 QJP130989:QJP130991 QTL130989:QTL130991 RDH130989:RDH130991 RND130989:RND130991 RWZ130989:RWZ130991 SGV130989:SGV130991 SQR130989:SQR130991 TAN130989:TAN130991 TKJ130989:TKJ130991 TUF130989:TUF130991 UEB130989:UEB130991 UNX130989:UNX130991 UXT130989:UXT130991 VHP130989:VHP130991 VRL130989:VRL130991 WBH130989:WBH130991 WLD130989:WLD130991 WUZ130989:WUZ130991 IN196525:IN196527 SJ196525:SJ196527 ACF196525:ACF196527 AMB196525:AMB196527 AVX196525:AVX196527 BFT196525:BFT196527 BPP196525:BPP196527 BZL196525:BZL196527 CJH196525:CJH196527 CTD196525:CTD196527 DCZ196525:DCZ196527 DMV196525:DMV196527 DWR196525:DWR196527 EGN196525:EGN196527 EQJ196525:EQJ196527 FAF196525:FAF196527 FKB196525:FKB196527 FTX196525:FTX196527 GDT196525:GDT196527 GNP196525:GNP196527 GXL196525:GXL196527 HHH196525:HHH196527 HRD196525:HRD196527 IAZ196525:IAZ196527 IKV196525:IKV196527 IUR196525:IUR196527 JEN196525:JEN196527 JOJ196525:JOJ196527 JYF196525:JYF196527 KIB196525:KIB196527 KRX196525:KRX196527 LBT196525:LBT196527 LLP196525:LLP196527 LVL196525:LVL196527 MFH196525:MFH196527 MPD196525:MPD196527 MYZ196525:MYZ196527 NIV196525:NIV196527 NSR196525:NSR196527 OCN196525:OCN196527 OMJ196525:OMJ196527 OWF196525:OWF196527 PGB196525:PGB196527 PPX196525:PPX196527 PZT196525:PZT196527 QJP196525:QJP196527 QTL196525:QTL196527 RDH196525:RDH196527 RND196525:RND196527 RWZ196525:RWZ196527 SGV196525:SGV196527 SQR196525:SQR196527 TAN196525:TAN196527 TKJ196525:TKJ196527 TUF196525:TUF196527 UEB196525:UEB196527 UNX196525:UNX196527 UXT196525:UXT196527 VHP196525:VHP196527 VRL196525:VRL196527 WBH196525:WBH196527 WLD196525:WLD196527 WUZ196525:WUZ196527 IN262061:IN262063 SJ262061:SJ262063 ACF262061:ACF262063 AMB262061:AMB262063 AVX262061:AVX262063 BFT262061:BFT262063 BPP262061:BPP262063 BZL262061:BZL262063 CJH262061:CJH262063 CTD262061:CTD262063 DCZ262061:DCZ262063 DMV262061:DMV262063 DWR262061:DWR262063 EGN262061:EGN262063 EQJ262061:EQJ262063 FAF262061:FAF262063 FKB262061:FKB262063 FTX262061:FTX262063 GDT262061:GDT262063 GNP262061:GNP262063 GXL262061:GXL262063 HHH262061:HHH262063 HRD262061:HRD262063 IAZ262061:IAZ262063 IKV262061:IKV262063 IUR262061:IUR262063 JEN262061:JEN262063 JOJ262061:JOJ262063 JYF262061:JYF262063 KIB262061:KIB262063 KRX262061:KRX262063 LBT262061:LBT262063 LLP262061:LLP262063 LVL262061:LVL262063 MFH262061:MFH262063 MPD262061:MPD262063 MYZ262061:MYZ262063 NIV262061:NIV262063 NSR262061:NSR262063 OCN262061:OCN262063 OMJ262061:OMJ262063 OWF262061:OWF262063 PGB262061:PGB262063 PPX262061:PPX262063 PZT262061:PZT262063 QJP262061:QJP262063 QTL262061:QTL262063 RDH262061:RDH262063 RND262061:RND262063 RWZ262061:RWZ262063 SGV262061:SGV262063 SQR262061:SQR262063 TAN262061:TAN262063 TKJ262061:TKJ262063 TUF262061:TUF262063 UEB262061:UEB262063 UNX262061:UNX262063 UXT262061:UXT262063 VHP262061:VHP262063 VRL262061:VRL262063 WBH262061:WBH262063 WLD262061:WLD262063 WUZ262061:WUZ262063 IN327597:IN327599 SJ327597:SJ327599 ACF327597:ACF327599 AMB327597:AMB327599 AVX327597:AVX327599 BFT327597:BFT327599 BPP327597:BPP327599 BZL327597:BZL327599 CJH327597:CJH327599 CTD327597:CTD327599 DCZ327597:DCZ327599 DMV327597:DMV327599 DWR327597:DWR327599 EGN327597:EGN327599 EQJ327597:EQJ327599 FAF327597:FAF327599 FKB327597:FKB327599 FTX327597:FTX327599 GDT327597:GDT327599 GNP327597:GNP327599 GXL327597:GXL327599 HHH327597:HHH327599 HRD327597:HRD327599 IAZ327597:IAZ327599 IKV327597:IKV327599 IUR327597:IUR327599 JEN327597:JEN327599 JOJ327597:JOJ327599 JYF327597:JYF327599 KIB327597:KIB327599 KRX327597:KRX327599 LBT327597:LBT327599 LLP327597:LLP327599 LVL327597:LVL327599 MFH327597:MFH327599 MPD327597:MPD327599 MYZ327597:MYZ327599 NIV327597:NIV327599 NSR327597:NSR327599 OCN327597:OCN327599 OMJ327597:OMJ327599 OWF327597:OWF327599 PGB327597:PGB327599 PPX327597:PPX327599 PZT327597:PZT327599 QJP327597:QJP327599 QTL327597:QTL327599 RDH327597:RDH327599 RND327597:RND327599 RWZ327597:RWZ327599 SGV327597:SGV327599 SQR327597:SQR327599 TAN327597:TAN327599 TKJ327597:TKJ327599 TUF327597:TUF327599 UEB327597:UEB327599 UNX327597:UNX327599 UXT327597:UXT327599 VHP327597:VHP327599 VRL327597:VRL327599 WBH327597:WBH327599 WLD327597:WLD327599 WUZ327597:WUZ327599 IN393133:IN393135 SJ393133:SJ393135 ACF393133:ACF393135 AMB393133:AMB393135 AVX393133:AVX393135 BFT393133:BFT393135 BPP393133:BPP393135 BZL393133:BZL393135 CJH393133:CJH393135 CTD393133:CTD393135 DCZ393133:DCZ393135 DMV393133:DMV393135 DWR393133:DWR393135 EGN393133:EGN393135 EQJ393133:EQJ393135 FAF393133:FAF393135 FKB393133:FKB393135 FTX393133:FTX393135 GDT393133:GDT393135 GNP393133:GNP393135 GXL393133:GXL393135 HHH393133:HHH393135 HRD393133:HRD393135 IAZ393133:IAZ393135 IKV393133:IKV393135 IUR393133:IUR393135 JEN393133:JEN393135 JOJ393133:JOJ393135 JYF393133:JYF393135 KIB393133:KIB393135 KRX393133:KRX393135 LBT393133:LBT393135 LLP393133:LLP393135 LVL393133:LVL393135 MFH393133:MFH393135 MPD393133:MPD393135 MYZ393133:MYZ393135 NIV393133:NIV393135 NSR393133:NSR393135 OCN393133:OCN393135 OMJ393133:OMJ393135 OWF393133:OWF393135 PGB393133:PGB393135 PPX393133:PPX393135 PZT393133:PZT393135 QJP393133:QJP393135 QTL393133:QTL393135 RDH393133:RDH393135 RND393133:RND393135 RWZ393133:RWZ393135 SGV393133:SGV393135 SQR393133:SQR393135 TAN393133:TAN393135 TKJ393133:TKJ393135 TUF393133:TUF393135 UEB393133:UEB393135 UNX393133:UNX393135 UXT393133:UXT393135 VHP393133:VHP393135 VRL393133:VRL393135 WBH393133:WBH393135 WLD393133:WLD393135 WUZ393133:WUZ393135 IN458669:IN458671 SJ458669:SJ458671 ACF458669:ACF458671 AMB458669:AMB458671 AVX458669:AVX458671 BFT458669:BFT458671 BPP458669:BPP458671 BZL458669:BZL458671 CJH458669:CJH458671 CTD458669:CTD458671 DCZ458669:DCZ458671 DMV458669:DMV458671 DWR458669:DWR458671 EGN458669:EGN458671 EQJ458669:EQJ458671 FAF458669:FAF458671 FKB458669:FKB458671 FTX458669:FTX458671 GDT458669:GDT458671 GNP458669:GNP458671 GXL458669:GXL458671 HHH458669:HHH458671 HRD458669:HRD458671 IAZ458669:IAZ458671 IKV458669:IKV458671 IUR458669:IUR458671 JEN458669:JEN458671 JOJ458669:JOJ458671 JYF458669:JYF458671 KIB458669:KIB458671 KRX458669:KRX458671 LBT458669:LBT458671 LLP458669:LLP458671 LVL458669:LVL458671 MFH458669:MFH458671 MPD458669:MPD458671 MYZ458669:MYZ458671 NIV458669:NIV458671 NSR458669:NSR458671 OCN458669:OCN458671 OMJ458669:OMJ458671 OWF458669:OWF458671 PGB458669:PGB458671 PPX458669:PPX458671 PZT458669:PZT458671 QJP458669:QJP458671 QTL458669:QTL458671 RDH458669:RDH458671 RND458669:RND458671 RWZ458669:RWZ458671 SGV458669:SGV458671 SQR458669:SQR458671 TAN458669:TAN458671 TKJ458669:TKJ458671 TUF458669:TUF458671 UEB458669:UEB458671 UNX458669:UNX458671 UXT458669:UXT458671 VHP458669:VHP458671 VRL458669:VRL458671 WBH458669:WBH458671 WLD458669:WLD458671 WUZ458669:WUZ458671 IN524205:IN524207 SJ524205:SJ524207 ACF524205:ACF524207 AMB524205:AMB524207 AVX524205:AVX524207 BFT524205:BFT524207 BPP524205:BPP524207 BZL524205:BZL524207 CJH524205:CJH524207 CTD524205:CTD524207 DCZ524205:DCZ524207 DMV524205:DMV524207 DWR524205:DWR524207 EGN524205:EGN524207 EQJ524205:EQJ524207 FAF524205:FAF524207 FKB524205:FKB524207 FTX524205:FTX524207 GDT524205:GDT524207 GNP524205:GNP524207 GXL524205:GXL524207 HHH524205:HHH524207 HRD524205:HRD524207 IAZ524205:IAZ524207 IKV524205:IKV524207 IUR524205:IUR524207 JEN524205:JEN524207 JOJ524205:JOJ524207 JYF524205:JYF524207 KIB524205:KIB524207 KRX524205:KRX524207 LBT524205:LBT524207 LLP524205:LLP524207 LVL524205:LVL524207 MFH524205:MFH524207 MPD524205:MPD524207 MYZ524205:MYZ524207 NIV524205:NIV524207 NSR524205:NSR524207 OCN524205:OCN524207 OMJ524205:OMJ524207 OWF524205:OWF524207 PGB524205:PGB524207 PPX524205:PPX524207 PZT524205:PZT524207 QJP524205:QJP524207 QTL524205:QTL524207 RDH524205:RDH524207 RND524205:RND524207 RWZ524205:RWZ524207 SGV524205:SGV524207 SQR524205:SQR524207 TAN524205:TAN524207 TKJ524205:TKJ524207 TUF524205:TUF524207 UEB524205:UEB524207 UNX524205:UNX524207 UXT524205:UXT524207 VHP524205:VHP524207 VRL524205:VRL524207 WBH524205:WBH524207 WLD524205:WLD524207 WUZ524205:WUZ524207 IN589741:IN589743 SJ589741:SJ589743 ACF589741:ACF589743 AMB589741:AMB589743 AVX589741:AVX589743 BFT589741:BFT589743 BPP589741:BPP589743 BZL589741:BZL589743 CJH589741:CJH589743 CTD589741:CTD589743 DCZ589741:DCZ589743 DMV589741:DMV589743 DWR589741:DWR589743 EGN589741:EGN589743 EQJ589741:EQJ589743 FAF589741:FAF589743 FKB589741:FKB589743 FTX589741:FTX589743 GDT589741:GDT589743 GNP589741:GNP589743 GXL589741:GXL589743 HHH589741:HHH589743 HRD589741:HRD589743 IAZ589741:IAZ589743 IKV589741:IKV589743 IUR589741:IUR589743 JEN589741:JEN589743 JOJ589741:JOJ589743 JYF589741:JYF589743 KIB589741:KIB589743 KRX589741:KRX589743 LBT589741:LBT589743 LLP589741:LLP589743 LVL589741:LVL589743 MFH589741:MFH589743 MPD589741:MPD589743 MYZ589741:MYZ589743 NIV589741:NIV589743 NSR589741:NSR589743 OCN589741:OCN589743 OMJ589741:OMJ589743 OWF589741:OWF589743 PGB589741:PGB589743 PPX589741:PPX589743 PZT589741:PZT589743 QJP589741:QJP589743 QTL589741:QTL589743 RDH589741:RDH589743 RND589741:RND589743 RWZ589741:RWZ589743 SGV589741:SGV589743 SQR589741:SQR589743 TAN589741:TAN589743 TKJ589741:TKJ589743 TUF589741:TUF589743 UEB589741:UEB589743 UNX589741:UNX589743 UXT589741:UXT589743 VHP589741:VHP589743 VRL589741:VRL589743 WBH589741:WBH589743 WLD589741:WLD589743 WUZ589741:WUZ589743 IN655277:IN655279 SJ655277:SJ655279 ACF655277:ACF655279 AMB655277:AMB655279 AVX655277:AVX655279 BFT655277:BFT655279 BPP655277:BPP655279 BZL655277:BZL655279 CJH655277:CJH655279 CTD655277:CTD655279 DCZ655277:DCZ655279 DMV655277:DMV655279 DWR655277:DWR655279 EGN655277:EGN655279 EQJ655277:EQJ655279 FAF655277:FAF655279 FKB655277:FKB655279 FTX655277:FTX655279 GDT655277:GDT655279 GNP655277:GNP655279 GXL655277:GXL655279 HHH655277:HHH655279 HRD655277:HRD655279 IAZ655277:IAZ655279 IKV655277:IKV655279 IUR655277:IUR655279 JEN655277:JEN655279 JOJ655277:JOJ655279 JYF655277:JYF655279 KIB655277:KIB655279 KRX655277:KRX655279 LBT655277:LBT655279 LLP655277:LLP655279 LVL655277:LVL655279 MFH655277:MFH655279 MPD655277:MPD655279 MYZ655277:MYZ655279 NIV655277:NIV655279 NSR655277:NSR655279 OCN655277:OCN655279 OMJ655277:OMJ655279 OWF655277:OWF655279 PGB655277:PGB655279 PPX655277:PPX655279 PZT655277:PZT655279 QJP655277:QJP655279 QTL655277:QTL655279 RDH655277:RDH655279 RND655277:RND655279 RWZ655277:RWZ655279 SGV655277:SGV655279 SQR655277:SQR655279 TAN655277:TAN655279 TKJ655277:TKJ655279 TUF655277:TUF655279 UEB655277:UEB655279 UNX655277:UNX655279 UXT655277:UXT655279 VHP655277:VHP655279 VRL655277:VRL655279 WBH655277:WBH655279 WLD655277:WLD655279 WUZ655277:WUZ655279 IN720813:IN720815 SJ720813:SJ720815 ACF720813:ACF720815 AMB720813:AMB720815 AVX720813:AVX720815 BFT720813:BFT720815 BPP720813:BPP720815 BZL720813:BZL720815 CJH720813:CJH720815 CTD720813:CTD720815 DCZ720813:DCZ720815 DMV720813:DMV720815 DWR720813:DWR720815 EGN720813:EGN720815 EQJ720813:EQJ720815 FAF720813:FAF720815 FKB720813:FKB720815 FTX720813:FTX720815 GDT720813:GDT720815 GNP720813:GNP720815 GXL720813:GXL720815 HHH720813:HHH720815 HRD720813:HRD720815 IAZ720813:IAZ720815 IKV720813:IKV720815 IUR720813:IUR720815 JEN720813:JEN720815 JOJ720813:JOJ720815 JYF720813:JYF720815 KIB720813:KIB720815 KRX720813:KRX720815 LBT720813:LBT720815 LLP720813:LLP720815 LVL720813:LVL720815 MFH720813:MFH720815 MPD720813:MPD720815 MYZ720813:MYZ720815 NIV720813:NIV720815 NSR720813:NSR720815 OCN720813:OCN720815 OMJ720813:OMJ720815 OWF720813:OWF720815 PGB720813:PGB720815 PPX720813:PPX720815 PZT720813:PZT720815 QJP720813:QJP720815 QTL720813:QTL720815 RDH720813:RDH720815 RND720813:RND720815 RWZ720813:RWZ720815 SGV720813:SGV720815 SQR720813:SQR720815 TAN720813:TAN720815 TKJ720813:TKJ720815 TUF720813:TUF720815 UEB720813:UEB720815 UNX720813:UNX720815 UXT720813:UXT720815 VHP720813:VHP720815 VRL720813:VRL720815 WBH720813:WBH720815 WLD720813:WLD720815 WUZ720813:WUZ720815 IN786349:IN786351 SJ786349:SJ786351 ACF786349:ACF786351 AMB786349:AMB786351 AVX786349:AVX786351 BFT786349:BFT786351 BPP786349:BPP786351 BZL786349:BZL786351 CJH786349:CJH786351 CTD786349:CTD786351 DCZ786349:DCZ786351 DMV786349:DMV786351 DWR786349:DWR786351 EGN786349:EGN786351 EQJ786349:EQJ786351 FAF786349:FAF786351 FKB786349:FKB786351 FTX786349:FTX786351 GDT786349:GDT786351 GNP786349:GNP786351 GXL786349:GXL786351 HHH786349:HHH786351 HRD786349:HRD786351 IAZ786349:IAZ786351 IKV786349:IKV786351 IUR786349:IUR786351 JEN786349:JEN786351 JOJ786349:JOJ786351 JYF786349:JYF786351 KIB786349:KIB786351 KRX786349:KRX786351 LBT786349:LBT786351 LLP786349:LLP786351 LVL786349:LVL786351 MFH786349:MFH786351 MPD786349:MPD786351 MYZ786349:MYZ786351 NIV786349:NIV786351 NSR786349:NSR786351 OCN786349:OCN786351 OMJ786349:OMJ786351 OWF786349:OWF786351 PGB786349:PGB786351 PPX786349:PPX786351 PZT786349:PZT786351 QJP786349:QJP786351 QTL786349:QTL786351 RDH786349:RDH786351 RND786349:RND786351 RWZ786349:RWZ786351 SGV786349:SGV786351 SQR786349:SQR786351 TAN786349:TAN786351 TKJ786349:TKJ786351 TUF786349:TUF786351 UEB786349:UEB786351 UNX786349:UNX786351 UXT786349:UXT786351 VHP786349:VHP786351 VRL786349:VRL786351 WBH786349:WBH786351 WLD786349:WLD786351 WUZ786349:WUZ786351 IN851885:IN851887 SJ851885:SJ851887 ACF851885:ACF851887 AMB851885:AMB851887 AVX851885:AVX851887 BFT851885:BFT851887 BPP851885:BPP851887 BZL851885:BZL851887 CJH851885:CJH851887 CTD851885:CTD851887 DCZ851885:DCZ851887 DMV851885:DMV851887 DWR851885:DWR851887 EGN851885:EGN851887 EQJ851885:EQJ851887 FAF851885:FAF851887 FKB851885:FKB851887 FTX851885:FTX851887 GDT851885:GDT851887 GNP851885:GNP851887 GXL851885:GXL851887 HHH851885:HHH851887 HRD851885:HRD851887 IAZ851885:IAZ851887 IKV851885:IKV851887 IUR851885:IUR851887 JEN851885:JEN851887 JOJ851885:JOJ851887 JYF851885:JYF851887 KIB851885:KIB851887 KRX851885:KRX851887 LBT851885:LBT851887 LLP851885:LLP851887 LVL851885:LVL851887 MFH851885:MFH851887 MPD851885:MPD851887 MYZ851885:MYZ851887 NIV851885:NIV851887 NSR851885:NSR851887 OCN851885:OCN851887 OMJ851885:OMJ851887 OWF851885:OWF851887 PGB851885:PGB851887 PPX851885:PPX851887 PZT851885:PZT851887 QJP851885:QJP851887 QTL851885:QTL851887 RDH851885:RDH851887 RND851885:RND851887 RWZ851885:RWZ851887 SGV851885:SGV851887 SQR851885:SQR851887 TAN851885:TAN851887 TKJ851885:TKJ851887 TUF851885:TUF851887 UEB851885:UEB851887 UNX851885:UNX851887 UXT851885:UXT851887 VHP851885:VHP851887 VRL851885:VRL851887 WBH851885:WBH851887 WLD851885:WLD851887 WUZ851885:WUZ851887 IN917421:IN917423 SJ917421:SJ917423 ACF917421:ACF917423 AMB917421:AMB917423 AVX917421:AVX917423 BFT917421:BFT917423 BPP917421:BPP917423 BZL917421:BZL917423 CJH917421:CJH917423 CTD917421:CTD917423 DCZ917421:DCZ917423 DMV917421:DMV917423 DWR917421:DWR917423 EGN917421:EGN917423 EQJ917421:EQJ917423 FAF917421:FAF917423 FKB917421:FKB917423 FTX917421:FTX917423 GDT917421:GDT917423 GNP917421:GNP917423 GXL917421:GXL917423 HHH917421:HHH917423 HRD917421:HRD917423 IAZ917421:IAZ917423 IKV917421:IKV917423 IUR917421:IUR917423 JEN917421:JEN917423 JOJ917421:JOJ917423 JYF917421:JYF917423 KIB917421:KIB917423 KRX917421:KRX917423 LBT917421:LBT917423 LLP917421:LLP917423 LVL917421:LVL917423 MFH917421:MFH917423 MPD917421:MPD917423 MYZ917421:MYZ917423 NIV917421:NIV917423 NSR917421:NSR917423 OCN917421:OCN917423 OMJ917421:OMJ917423 OWF917421:OWF917423 PGB917421:PGB917423 PPX917421:PPX917423 PZT917421:PZT917423 QJP917421:QJP917423 QTL917421:QTL917423 RDH917421:RDH917423 RND917421:RND917423 RWZ917421:RWZ917423 SGV917421:SGV917423 SQR917421:SQR917423 TAN917421:TAN917423 TKJ917421:TKJ917423 TUF917421:TUF917423 UEB917421:UEB917423 UNX917421:UNX917423 UXT917421:UXT917423 VHP917421:VHP917423 VRL917421:VRL917423 WBH917421:WBH917423 WLD917421:WLD917423 WUZ917421:WUZ917423 IN982957:IN982959 SJ982957:SJ982959 ACF982957:ACF982959 AMB982957:AMB982959 AVX982957:AVX982959 BFT982957:BFT982959 BPP982957:BPP982959 BZL982957:BZL982959 CJH982957:CJH982959 CTD982957:CTD982959 DCZ982957:DCZ982959 DMV982957:DMV982959 DWR982957:DWR982959 EGN982957:EGN982959 EQJ982957:EQJ982959 FAF982957:FAF982959 FKB982957:FKB982959 FTX982957:FTX982959 GDT982957:GDT982959 GNP982957:GNP982959 GXL982957:GXL982959 HHH982957:HHH982959 HRD982957:HRD982959 IAZ982957:IAZ982959 IKV982957:IKV982959 IUR982957:IUR982959 JEN982957:JEN982959 JOJ982957:JOJ982959 JYF982957:JYF982959 KIB982957:KIB982959 KRX982957:KRX982959 LBT982957:LBT982959 LLP982957:LLP982959 LVL982957:LVL982959 MFH982957:MFH982959 MPD982957:MPD982959 MYZ982957:MYZ982959 NIV982957:NIV982959 NSR982957:NSR982959 OCN982957:OCN982959 OMJ982957:OMJ982959 OWF982957:OWF982959 PGB982957:PGB982959 PPX982957:PPX982959 PZT982957:PZT982959 QJP982957:QJP982959 QTL982957:QTL982959 RDH982957:RDH982959 RND982957:RND982959 RWZ982957:RWZ982959 SGV982957:SGV982959 SQR982957:SQR982959 TAN982957:TAN982959 TKJ982957:TKJ982959 TUF982957:TUF982959 UEB982957:UEB982959 UNX982957:UNX982959 UXT982957:UXT982959 VHP982957:VHP982959 VRL982957:VRL982959 WBH982957:WBH982959 WLD982957:WLD982959 WUZ982957:WUZ982959 IN15 SJ15 ACF15 AMB15 AVX15 BFT15 BPP15 BZL15 CJH15 CTD15 DCZ15 DMV15 DWR15 EGN15 EQJ15 FAF15 FKB15 FTX15 GDT15 GNP15 GXL15 HHH15 HRD15 IAZ15 IKV15 IUR15 JEN15 JOJ15 JYF15 KIB15 KRX15 LBT15 LLP15 LVL15 MFH15 MPD15 MYZ15 NIV15 NSR15 OCN15 OMJ15 OWF15 PGB15 PPX15 PZT15 QJP15 QTL15 RDH15 RND15 RWZ15 SGV15 SQR15 TAN15 TKJ15 TUF15 UEB15 UNX15 UXT15 VHP15 VRL15 WBH15 WLD15 WUZ15 IN65451 SJ65451 ACF65451 AMB65451 AVX65451 BFT65451 BPP65451 BZL65451 CJH65451 CTD65451 DCZ65451 DMV65451 DWR65451 EGN65451 EQJ65451 FAF65451 FKB65451 FTX65451 GDT65451 GNP65451 GXL65451 HHH65451 HRD65451 IAZ65451 IKV65451 IUR65451 JEN65451 JOJ65451 JYF65451 KIB65451 KRX65451 LBT65451 LLP65451 LVL65451 MFH65451 MPD65451 MYZ65451 NIV65451 NSR65451 OCN65451 OMJ65451 OWF65451 PGB65451 PPX65451 PZT65451 QJP65451 QTL65451 RDH65451 RND65451 RWZ65451 SGV65451 SQR65451 TAN65451 TKJ65451 TUF65451 UEB65451 UNX65451 UXT65451 VHP65451 VRL65451 WBH65451 WLD65451 WUZ65451 IN130987 SJ130987 ACF130987 AMB130987 AVX130987 BFT130987 BPP130987 BZL130987 CJH130987 CTD130987 DCZ130987 DMV130987 DWR130987 EGN130987 EQJ130987 FAF130987 FKB130987 FTX130987 GDT130987 GNP130987 GXL130987 HHH130987 HRD130987 IAZ130987 IKV130987 IUR130987 JEN130987 JOJ130987 JYF130987 KIB130987 KRX130987 LBT130987 LLP130987 LVL130987 MFH130987 MPD130987 MYZ130987 NIV130987 NSR130987 OCN130987 OMJ130987 OWF130987 PGB130987 PPX130987 PZT130987 QJP130987 QTL130987 RDH130987 RND130987 RWZ130987 SGV130987 SQR130987 TAN130987 TKJ130987 TUF130987 UEB130987 UNX130987 UXT130987 VHP130987 VRL130987 WBH130987 WLD130987 WUZ130987 IN196523 SJ196523 ACF196523 AMB196523 AVX196523 BFT196523 BPP196523 BZL196523 CJH196523 CTD196523 DCZ196523 DMV196523 DWR196523 EGN196523 EQJ196523 FAF196523 FKB196523 FTX196523 GDT196523 GNP196523 GXL196523 HHH196523 HRD196523 IAZ196523 IKV196523 IUR196523 JEN196523 JOJ196523 JYF196523 KIB196523 KRX196523 LBT196523 LLP196523 LVL196523 MFH196523 MPD196523 MYZ196523 NIV196523 NSR196523 OCN196523 OMJ196523 OWF196523 PGB196523 PPX196523 PZT196523 QJP196523 QTL196523 RDH196523 RND196523 RWZ196523 SGV196523 SQR196523 TAN196523 TKJ196523 TUF196523 UEB196523 UNX196523 UXT196523 VHP196523 VRL196523 WBH196523 WLD196523 WUZ196523 IN262059 SJ262059 ACF262059 AMB262059 AVX262059 BFT262059 BPP262059 BZL262059 CJH262059 CTD262059 DCZ262059 DMV262059 DWR262059 EGN262059 EQJ262059 FAF262059 FKB262059 FTX262059 GDT262059 GNP262059 GXL262059 HHH262059 HRD262059 IAZ262059 IKV262059 IUR262059 JEN262059 JOJ262059 JYF262059 KIB262059 KRX262059 LBT262059 LLP262059 LVL262059 MFH262059 MPD262059 MYZ262059 NIV262059 NSR262059 OCN262059 OMJ262059 OWF262059 PGB262059 PPX262059 PZT262059 QJP262059 QTL262059 RDH262059 RND262059 RWZ262059 SGV262059 SQR262059 TAN262059 TKJ262059 TUF262059 UEB262059 UNX262059 UXT262059 VHP262059 VRL262059 WBH262059 WLD262059 WUZ262059 IN327595 SJ327595 ACF327595 AMB327595 AVX327595 BFT327595 BPP327595 BZL327595 CJH327595 CTD327595 DCZ327595 DMV327595 DWR327595 EGN327595 EQJ327595 FAF327595 FKB327595 FTX327595 GDT327595 GNP327595 GXL327595 HHH327595 HRD327595 IAZ327595 IKV327595 IUR327595 JEN327595 JOJ327595 JYF327595 KIB327595 KRX327595 LBT327595 LLP327595 LVL327595 MFH327595 MPD327595 MYZ327595 NIV327595 NSR327595 OCN327595 OMJ327595 OWF327595 PGB327595 PPX327595 PZT327595 QJP327595 QTL327595 RDH327595 RND327595 RWZ327595 SGV327595 SQR327595 TAN327595 TKJ327595 TUF327595 UEB327595 UNX327595 UXT327595 VHP327595 VRL327595 WBH327595 WLD327595 WUZ327595 IN393131 SJ393131 ACF393131 AMB393131 AVX393131 BFT393131 BPP393131 BZL393131 CJH393131 CTD393131 DCZ393131 DMV393131 DWR393131 EGN393131 EQJ393131 FAF393131 FKB393131 FTX393131 GDT393131 GNP393131 GXL393131 HHH393131 HRD393131 IAZ393131 IKV393131 IUR393131 JEN393131 JOJ393131 JYF393131 KIB393131 KRX393131 LBT393131 LLP393131 LVL393131 MFH393131 MPD393131 MYZ393131 NIV393131 NSR393131 OCN393131 OMJ393131 OWF393131 PGB393131 PPX393131 PZT393131 QJP393131 QTL393131 RDH393131 RND393131 RWZ393131 SGV393131 SQR393131 TAN393131 TKJ393131 TUF393131 UEB393131 UNX393131 UXT393131 VHP393131 VRL393131 WBH393131 WLD393131 WUZ393131 IN458667 SJ458667 ACF458667 AMB458667 AVX458667 BFT458667 BPP458667 BZL458667 CJH458667 CTD458667 DCZ458667 DMV458667 DWR458667 EGN458667 EQJ458667 FAF458667 FKB458667 FTX458667 GDT458667 GNP458667 GXL458667 HHH458667 HRD458667 IAZ458667 IKV458667 IUR458667 JEN458667 JOJ458667 JYF458667 KIB458667 KRX458667 LBT458667 LLP458667 LVL458667 MFH458667 MPD458667 MYZ458667 NIV458667 NSR458667 OCN458667 OMJ458667 OWF458667 PGB458667 PPX458667 PZT458667 QJP458667 QTL458667 RDH458667 RND458667 RWZ458667 SGV458667 SQR458667 TAN458667 TKJ458667 TUF458667 UEB458667 UNX458667 UXT458667 VHP458667 VRL458667 WBH458667 WLD458667 WUZ458667 IN524203 SJ524203 ACF524203 AMB524203 AVX524203 BFT524203 BPP524203 BZL524203 CJH524203 CTD524203 DCZ524203 DMV524203 DWR524203 EGN524203 EQJ524203 FAF524203 FKB524203 FTX524203 GDT524203 GNP524203 GXL524203 HHH524203 HRD524203 IAZ524203 IKV524203 IUR524203 JEN524203 JOJ524203 JYF524203 KIB524203 KRX524203 LBT524203 LLP524203 LVL524203 MFH524203 MPD524203 MYZ524203 NIV524203 NSR524203 OCN524203 OMJ524203 OWF524203 PGB524203 PPX524203 PZT524203 QJP524203 QTL524203 RDH524203 RND524203 RWZ524203 SGV524203 SQR524203 TAN524203 TKJ524203 TUF524203 UEB524203 UNX524203 UXT524203 VHP524203 VRL524203 WBH524203 WLD524203 WUZ524203 IN589739 SJ589739 ACF589739 AMB589739 AVX589739 BFT589739 BPP589739 BZL589739 CJH589739 CTD589739 DCZ589739 DMV589739 DWR589739 EGN589739 EQJ589739 FAF589739 FKB589739 FTX589739 GDT589739 GNP589739 GXL589739 HHH589739 HRD589739 IAZ589739 IKV589739 IUR589739 JEN589739 JOJ589739 JYF589739 KIB589739 KRX589739 LBT589739 LLP589739 LVL589739 MFH589739 MPD589739 MYZ589739 NIV589739 NSR589739 OCN589739 OMJ589739 OWF589739 PGB589739 PPX589739 PZT589739 QJP589739 QTL589739 RDH589739 RND589739 RWZ589739 SGV589739 SQR589739 TAN589739 TKJ589739 TUF589739 UEB589739 UNX589739 UXT589739 VHP589739 VRL589739 WBH589739 WLD589739 WUZ589739 IN655275 SJ655275 ACF655275 AMB655275 AVX655275 BFT655275 BPP655275 BZL655275 CJH655275 CTD655275 DCZ655275 DMV655275 DWR655275 EGN655275 EQJ655275 FAF655275 FKB655275 FTX655275 GDT655275 GNP655275 GXL655275 HHH655275 HRD655275 IAZ655275 IKV655275 IUR655275 JEN655275 JOJ655275 JYF655275 KIB655275 KRX655275 LBT655275 LLP655275 LVL655275 MFH655275 MPD655275 MYZ655275 NIV655275 NSR655275 OCN655275 OMJ655275 OWF655275 PGB655275 PPX655275 PZT655275 QJP655275 QTL655275 RDH655275 RND655275 RWZ655275 SGV655275 SQR655275 TAN655275 TKJ655275 TUF655275 UEB655275 UNX655275 UXT655275 VHP655275 VRL655275 WBH655275 WLD655275 WUZ655275 IN720811 SJ720811 ACF720811 AMB720811 AVX720811 BFT720811 BPP720811 BZL720811 CJH720811 CTD720811 DCZ720811 DMV720811 DWR720811 EGN720811 EQJ720811 FAF720811 FKB720811 FTX720811 GDT720811 GNP720811 GXL720811 HHH720811 HRD720811 IAZ720811 IKV720811 IUR720811 JEN720811 JOJ720811 JYF720811 KIB720811 KRX720811 LBT720811 LLP720811 LVL720811 MFH720811 MPD720811 MYZ720811 NIV720811 NSR720811 OCN720811 OMJ720811 OWF720811 PGB720811 PPX720811 PZT720811 QJP720811 QTL720811 RDH720811 RND720811 RWZ720811 SGV720811 SQR720811 TAN720811 TKJ720811 TUF720811 UEB720811 UNX720811 UXT720811 VHP720811 VRL720811 WBH720811 WLD720811 WUZ720811 IN786347 SJ786347 ACF786347 AMB786347 AVX786347 BFT786347 BPP786347 BZL786347 CJH786347 CTD786347 DCZ786347 DMV786347 DWR786347 EGN786347 EQJ786347 FAF786347 FKB786347 FTX786347 GDT786347 GNP786347 GXL786347 HHH786347 HRD786347 IAZ786347 IKV786347 IUR786347 JEN786347 JOJ786347 JYF786347 KIB786347 KRX786347 LBT786347 LLP786347 LVL786347 MFH786347 MPD786347 MYZ786347 NIV786347 NSR786347 OCN786347 OMJ786347 OWF786347 PGB786347 PPX786347 PZT786347 QJP786347 QTL786347 RDH786347 RND786347 RWZ786347 SGV786347 SQR786347 TAN786347 TKJ786347 TUF786347 UEB786347 UNX786347 UXT786347 VHP786347 VRL786347 WBH786347 WLD786347 WUZ786347 IN851883 SJ851883 ACF851883 AMB851883 AVX851883 BFT851883 BPP851883 BZL851883 CJH851883 CTD851883 DCZ851883 DMV851883 DWR851883 EGN851883 EQJ851883 FAF851883 FKB851883 FTX851883 GDT851883 GNP851883 GXL851883 HHH851883 HRD851883 IAZ851883 IKV851883 IUR851883 JEN851883 JOJ851883 JYF851883 KIB851883 KRX851883 LBT851883 LLP851883 LVL851883 MFH851883 MPD851883 MYZ851883 NIV851883 NSR851883 OCN851883 OMJ851883 OWF851883 PGB851883 PPX851883 PZT851883 QJP851883 QTL851883 RDH851883 RND851883 RWZ851883 SGV851883 SQR851883 TAN851883 TKJ851883 TUF851883 UEB851883 UNX851883 UXT851883 VHP851883 VRL851883 WBH851883 WLD851883 WUZ851883 IN917419 SJ917419 ACF917419 AMB917419 AVX917419 BFT917419 BPP917419 BZL917419 CJH917419 CTD917419 DCZ917419 DMV917419 DWR917419 EGN917419 EQJ917419 FAF917419 FKB917419 FTX917419 GDT917419 GNP917419 GXL917419 HHH917419 HRD917419 IAZ917419 IKV917419 IUR917419 JEN917419 JOJ917419 JYF917419 KIB917419 KRX917419 LBT917419 LLP917419 LVL917419 MFH917419 MPD917419 MYZ917419 NIV917419 NSR917419 OCN917419 OMJ917419 OWF917419 PGB917419 PPX917419 PZT917419 QJP917419 QTL917419 RDH917419 RND917419 RWZ917419 SGV917419 SQR917419 TAN917419 TKJ917419 TUF917419 UEB917419 UNX917419 UXT917419 VHP917419 VRL917419 WBH917419 WLD917419 WUZ917419 IN982955 SJ982955 ACF982955 AMB982955 AVX982955 BFT982955 BPP982955 BZL982955 CJH982955 CTD982955 DCZ982955 DMV982955 DWR982955 EGN982955 EQJ982955 FAF982955 FKB982955 FTX982955 GDT982955 GNP982955 GXL982955 HHH982955 HRD982955 IAZ982955 IKV982955 IUR982955 JEN982955 JOJ982955 JYF982955 KIB982955 KRX982955 LBT982955 LLP982955 LVL982955 MFH982955 MPD982955 MYZ982955 NIV982955 NSR982955 OCN982955 OMJ982955 OWF982955 PGB982955 PPX982955 PZT982955 QJP982955 QTL982955 RDH982955 RND982955 RWZ982955 SGV982955 SQR982955 TAN982955 TKJ982955 TUF982955 UEB982955 UNX982955 UXT982955 VHP982955 VRL982955 WBH982955 WLD982955 WUZ982955 E5:E26" xr:uid="{00000000-0002-0000-0E00-000003000000}">
      <formula1>0</formula1>
      <formula2>100</formula2>
    </dataValidation>
  </dataValidations>
  <hyperlinks>
    <hyperlink ref="C93" r:id="rId1" xr:uid="{00000000-0004-0000-0E00-000000000000}"/>
  </hyperlinks>
  <pageMargins left="0.75" right="0.75" top="1" bottom="1" header="0.5" footer="0.5"/>
  <pageSetup scale="42" orientation="portrait" r:id="rId2"/>
  <headerFooter alignWithMargins="0">
    <oddFooter>&amp;LOPF&amp;C_x000D_&amp;1#&amp;"Calibri"&amp;10&amp;K000000 Internal&amp;R&amp;A</oddFooter>
  </headerFooter>
  <rowBreaks count="1" manualBreakCount="1">
    <brk id="83" max="2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B1:M130"/>
  <sheetViews>
    <sheetView zoomScale="80" zoomScaleNormal="80" workbookViewId="0">
      <selection activeCell="B2" sqref="B2"/>
    </sheetView>
  </sheetViews>
  <sheetFormatPr defaultColWidth="8.7109375" defaultRowHeight="12.75"/>
  <cols>
    <col min="1" max="1" width="8.7109375" style="624"/>
    <col min="2" max="2" width="28.7109375" style="624" customWidth="1"/>
    <col min="3" max="3" width="11.28515625" style="624" customWidth="1"/>
    <col min="4" max="4" width="10.5703125" style="624" customWidth="1"/>
    <col min="5" max="5" width="13.28515625" style="624" customWidth="1"/>
    <col min="6" max="6" width="17.5703125" style="635" customWidth="1"/>
    <col min="7" max="7" width="22.5703125" style="624" customWidth="1"/>
    <col min="8" max="8" width="13.7109375" style="624" customWidth="1"/>
    <col min="9" max="9" width="43.7109375" style="624" customWidth="1"/>
    <col min="10" max="10" width="8.7109375" style="624"/>
    <col min="11" max="11" width="10.7109375" style="624" bestFit="1" customWidth="1"/>
    <col min="12" max="12" width="15.5703125" style="624" customWidth="1"/>
    <col min="13" max="13" width="17.5703125" style="624" customWidth="1"/>
    <col min="14" max="16384" width="8.7109375" style="624"/>
  </cols>
  <sheetData>
    <row r="1" spans="2:13">
      <c r="F1" s="625"/>
      <c r="G1" s="626"/>
    </row>
    <row r="2" spans="2:13">
      <c r="B2" s="627" t="s">
        <v>22</v>
      </c>
      <c r="C2" s="628" t="s">
        <v>1</v>
      </c>
      <c r="D2" s="628"/>
      <c r="E2" s="628"/>
      <c r="F2" s="629"/>
      <c r="G2" s="630"/>
      <c r="H2" s="631" t="s">
        <v>23</v>
      </c>
      <c r="I2" s="632" t="str">
        <f>'Emiss. Const. Offsh.'!$I$2</f>
        <v>PRJ-001030</v>
      </c>
    </row>
    <row r="3" spans="2:13">
      <c r="B3" s="633" t="s">
        <v>24</v>
      </c>
      <c r="C3" s="634" t="s">
        <v>5</v>
      </c>
      <c r="D3" s="634"/>
      <c r="E3" s="634"/>
      <c r="H3" s="636" t="s">
        <v>25</v>
      </c>
      <c r="I3" s="637"/>
    </row>
    <row r="4" spans="2:13" ht="12.6" customHeight="1">
      <c r="B4" s="633" t="s">
        <v>26</v>
      </c>
      <c r="C4" s="634" t="s">
        <v>96</v>
      </c>
      <c r="D4" s="634"/>
      <c r="E4" s="634"/>
      <c r="H4" s="636" t="s">
        <v>27</v>
      </c>
      <c r="I4" s="638" t="s">
        <v>207</v>
      </c>
    </row>
    <row r="5" spans="2:13">
      <c r="B5" s="639" t="s">
        <v>98</v>
      </c>
      <c r="C5" s="640"/>
      <c r="D5" s="640"/>
      <c r="E5" s="640"/>
      <c r="H5" s="641"/>
      <c r="I5" s="642"/>
    </row>
    <row r="6" spans="2:13">
      <c r="B6" s="639"/>
      <c r="C6" s="640"/>
      <c r="D6" s="640"/>
      <c r="E6" s="640"/>
      <c r="H6" s="641"/>
      <c r="I6" s="642"/>
    </row>
    <row r="7" spans="2:13">
      <c r="B7" s="643" t="s">
        <v>99</v>
      </c>
      <c r="C7" s="626"/>
      <c r="D7" s="644"/>
      <c r="E7" s="644"/>
      <c r="F7" s="625"/>
      <c r="G7" s="626"/>
      <c r="H7" s="645" t="s">
        <v>28</v>
      </c>
      <c r="I7" s="646"/>
    </row>
    <row r="8" spans="2:13">
      <c r="B8" s="633"/>
      <c r="C8" s="702"/>
      <c r="D8" s="702"/>
      <c r="E8" s="702"/>
      <c r="F8" s="636"/>
      <c r="G8" s="634"/>
      <c r="H8" s="634"/>
      <c r="I8" s="638"/>
    </row>
    <row r="9" spans="2:13" ht="15.75">
      <c r="B9" s="703" t="s">
        <v>207</v>
      </c>
      <c r="D9" s="704"/>
      <c r="E9" s="704"/>
      <c r="F9" s="705"/>
      <c r="G9" s="704"/>
      <c r="H9" s="704"/>
      <c r="I9" s="706"/>
    </row>
    <row r="10" spans="2:13" ht="15.75" thickBot="1">
      <c r="B10" s="707" t="s">
        <v>103</v>
      </c>
      <c r="C10" s="704"/>
      <c r="D10" s="704"/>
      <c r="E10" s="704"/>
      <c r="F10" s="705"/>
      <c r="G10" s="704"/>
      <c r="H10" s="704"/>
      <c r="I10" s="706"/>
    </row>
    <row r="11" spans="2:13" ht="30" customHeight="1">
      <c r="B11" s="888" t="s">
        <v>106</v>
      </c>
      <c r="C11" s="888" t="s">
        <v>107</v>
      </c>
      <c r="D11" s="888" t="s">
        <v>108</v>
      </c>
      <c r="E11" s="888" t="s">
        <v>109</v>
      </c>
      <c r="F11" s="898" t="s">
        <v>101</v>
      </c>
      <c r="G11" s="888" t="s">
        <v>111</v>
      </c>
      <c r="H11" s="888" t="s">
        <v>112</v>
      </c>
      <c r="I11" s="888" t="s">
        <v>113</v>
      </c>
      <c r="K11" s="879" t="s">
        <v>100</v>
      </c>
      <c r="L11" s="882" t="s">
        <v>101</v>
      </c>
      <c r="M11" s="882" t="s">
        <v>101</v>
      </c>
    </row>
    <row r="12" spans="2:13">
      <c r="B12" s="889"/>
      <c r="C12" s="889"/>
      <c r="D12" s="889"/>
      <c r="E12" s="889"/>
      <c r="F12" s="882"/>
      <c r="G12" s="889"/>
      <c r="H12" s="889"/>
      <c r="I12" s="889"/>
      <c r="K12" s="880"/>
      <c r="L12" s="882"/>
      <c r="M12" s="882"/>
    </row>
    <row r="13" spans="2:13" ht="12.75" customHeight="1">
      <c r="B13" s="889"/>
      <c r="C13" s="889"/>
      <c r="D13" s="889"/>
      <c r="E13" s="889"/>
      <c r="F13" s="882"/>
      <c r="G13" s="889"/>
      <c r="H13" s="889"/>
      <c r="I13" s="889"/>
      <c r="K13" s="881"/>
      <c r="L13" s="711" t="s">
        <v>104</v>
      </c>
      <c r="M13" s="711" t="s">
        <v>105</v>
      </c>
    </row>
    <row r="14" spans="2:13" ht="12.75" customHeight="1">
      <c r="B14" s="944" t="s">
        <v>341</v>
      </c>
      <c r="C14" s="708" t="s">
        <v>114</v>
      </c>
      <c r="D14" s="886" t="s">
        <v>118</v>
      </c>
      <c r="E14" s="886" t="s">
        <v>119</v>
      </c>
      <c r="F14" s="741">
        <f>ESG!R55</f>
        <v>2.2335942008713701E-3</v>
      </c>
      <c r="G14" s="886" t="s">
        <v>105</v>
      </c>
      <c r="H14" s="886" t="s">
        <v>120</v>
      </c>
      <c r="I14" s="942" t="s">
        <v>342</v>
      </c>
      <c r="K14" s="710" t="s">
        <v>114</v>
      </c>
      <c r="L14" s="712">
        <f>F30+F46+F54+F78+F94</f>
        <v>159.79099148389301</v>
      </c>
      <c r="M14" s="712">
        <f>F14+F22+F62+F70+F120+F38</f>
        <v>179.96362150712139</v>
      </c>
    </row>
    <row r="15" spans="2:13" ht="12.75" customHeight="1">
      <c r="B15" s="945"/>
      <c r="C15" s="710" t="s">
        <v>115</v>
      </c>
      <c r="D15" s="886"/>
      <c r="E15" s="886"/>
      <c r="F15" s="741">
        <f>ESG!R56</f>
        <v>5.9329845960645773E-4</v>
      </c>
      <c r="G15" s="886"/>
      <c r="H15" s="886"/>
      <c r="I15" s="942"/>
      <c r="K15" s="710" t="s">
        <v>115</v>
      </c>
      <c r="L15" s="712">
        <f>F31+F47+F55+F79+F95</f>
        <v>46.724284913262686</v>
      </c>
      <c r="M15" s="712">
        <f>F15+F23+F63+F71+F121+F39</f>
        <v>45.569390136713416</v>
      </c>
    </row>
    <row r="16" spans="2:13">
      <c r="B16" s="945"/>
      <c r="C16" s="710" t="s">
        <v>116</v>
      </c>
      <c r="D16" s="886"/>
      <c r="E16" s="886"/>
      <c r="F16" s="741">
        <f>ESG!R57</f>
        <v>6.9799818777230315E-5</v>
      </c>
      <c r="G16" s="886"/>
      <c r="H16" s="886"/>
      <c r="I16" s="942"/>
      <c r="K16" s="710" t="s">
        <v>116</v>
      </c>
      <c r="L16" s="713">
        <f>F32+F48+F56+F80+F96</f>
        <v>3.3107039164999117</v>
      </c>
      <c r="M16" s="714">
        <f>F16+F24+F64+F72+F40</f>
        <v>0.22789693399558536</v>
      </c>
    </row>
    <row r="17" spans="2:13">
      <c r="B17" s="945"/>
      <c r="C17" s="710" t="s">
        <v>122</v>
      </c>
      <c r="D17" s="886"/>
      <c r="E17" s="886"/>
      <c r="F17" s="741">
        <f>ESG!R58</f>
        <v>0</v>
      </c>
      <c r="G17" s="886"/>
      <c r="H17" s="886"/>
      <c r="I17" s="942"/>
      <c r="K17" s="710" t="s">
        <v>122</v>
      </c>
      <c r="L17" s="713">
        <f>F33+F49+F57+F81+F97+F102+F89+F111</f>
        <v>8.4219277651934714</v>
      </c>
      <c r="M17" s="713">
        <f>F65+F73</f>
        <v>13.755077100201856</v>
      </c>
    </row>
    <row r="18" spans="2:13">
      <c r="B18" s="945"/>
      <c r="C18" s="710" t="s">
        <v>123</v>
      </c>
      <c r="D18" s="886"/>
      <c r="E18" s="886"/>
      <c r="F18" s="741">
        <f>ESG!R59</f>
        <v>0</v>
      </c>
      <c r="G18" s="886"/>
      <c r="H18" s="886"/>
      <c r="I18" s="942"/>
      <c r="K18" s="710" t="s">
        <v>123</v>
      </c>
      <c r="L18" s="713">
        <v>0</v>
      </c>
      <c r="M18" s="713">
        <f>F124</f>
        <v>4.2</v>
      </c>
    </row>
    <row r="19" spans="2:13">
      <c r="B19" s="945"/>
      <c r="C19" s="710" t="s">
        <v>124</v>
      </c>
      <c r="D19" s="886"/>
      <c r="E19" s="886"/>
      <c r="F19" s="741">
        <f>ESG!R60</f>
        <v>7.0497816965002622E-4</v>
      </c>
      <c r="G19" s="886"/>
      <c r="H19" s="886"/>
      <c r="I19" s="942"/>
      <c r="K19" s="710" t="s">
        <v>124</v>
      </c>
      <c r="L19" s="713">
        <v>0</v>
      </c>
      <c r="M19" s="713">
        <f>F19+F27+F125+F43</f>
        <v>4.3688155007198244</v>
      </c>
    </row>
    <row r="20" spans="2:13">
      <c r="B20" s="945"/>
      <c r="C20" s="710" t="s">
        <v>125</v>
      </c>
      <c r="D20" s="886"/>
      <c r="E20" s="886"/>
      <c r="F20" s="741">
        <f>ESG!R61</f>
        <v>0</v>
      </c>
      <c r="G20" s="886"/>
      <c r="H20" s="886"/>
      <c r="I20" s="942"/>
      <c r="K20" s="710" t="s">
        <v>125</v>
      </c>
      <c r="L20" s="713">
        <f>F36+F84+F100</f>
        <v>1.196245433233839E-2</v>
      </c>
      <c r="M20" s="713">
        <v>0</v>
      </c>
    </row>
    <row r="21" spans="2:13" ht="13.5" thickBot="1">
      <c r="B21" s="946"/>
      <c r="C21" s="715" t="s">
        <v>126</v>
      </c>
      <c r="D21" s="887"/>
      <c r="E21" s="887"/>
      <c r="F21" s="742">
        <f>ESG!R62</f>
        <v>100.43489408953174</v>
      </c>
      <c r="G21" s="887"/>
      <c r="H21" s="887"/>
      <c r="I21" s="943"/>
      <c r="K21" s="710" t="s">
        <v>126</v>
      </c>
      <c r="L21" s="713">
        <f>F37+F53+F69+F85+F101+F110+F93+F119</f>
        <v>70453.611733211321</v>
      </c>
      <c r="M21" s="713">
        <f>F21+F29+F69+F77+F127+F45</f>
        <v>18743.951714564591</v>
      </c>
    </row>
    <row r="22" spans="2:13" ht="12.75" customHeight="1">
      <c r="B22" s="923" t="s">
        <v>343</v>
      </c>
      <c r="C22" s="708" t="s">
        <v>114</v>
      </c>
      <c r="D22" s="894" t="s">
        <v>118</v>
      </c>
      <c r="E22" s="894" t="s">
        <v>119</v>
      </c>
      <c r="F22" s="717">
        <f>BSG!R55</f>
        <v>3.5009313493281671E-4</v>
      </c>
      <c r="G22" s="894" t="s">
        <v>105</v>
      </c>
      <c r="H22" s="894" t="s">
        <v>120</v>
      </c>
      <c r="I22" s="942" t="s">
        <v>344</v>
      </c>
    </row>
    <row r="23" spans="2:13">
      <c r="B23" s="923"/>
      <c r="C23" s="710" t="s">
        <v>115</v>
      </c>
      <c r="D23" s="886"/>
      <c r="E23" s="886"/>
      <c r="F23" s="717">
        <f>BSG!R56</f>
        <v>9.2993488966529425E-5</v>
      </c>
      <c r="G23" s="886"/>
      <c r="H23" s="886"/>
      <c r="I23" s="942"/>
    </row>
    <row r="24" spans="2:13">
      <c r="B24" s="923"/>
      <c r="C24" s="710" t="s">
        <v>116</v>
      </c>
      <c r="D24" s="886"/>
      <c r="E24" s="886"/>
      <c r="F24" s="717">
        <f>BSG!R57</f>
        <v>1.0940410466650522E-5</v>
      </c>
      <c r="G24" s="886"/>
      <c r="H24" s="886"/>
      <c r="I24" s="942"/>
    </row>
    <row r="25" spans="2:13">
      <c r="B25" s="923"/>
      <c r="C25" s="710" t="s">
        <v>122</v>
      </c>
      <c r="D25" s="886"/>
      <c r="E25" s="886"/>
      <c r="F25" s="717">
        <f>BSG!R58</f>
        <v>0</v>
      </c>
      <c r="G25" s="886"/>
      <c r="H25" s="886"/>
      <c r="I25" s="942"/>
    </row>
    <row r="26" spans="2:13">
      <c r="B26" s="923"/>
      <c r="C26" s="710" t="s">
        <v>123</v>
      </c>
      <c r="D26" s="886"/>
      <c r="E26" s="886"/>
      <c r="F26" s="717">
        <f>BSG!R59</f>
        <v>0</v>
      </c>
      <c r="G26" s="886"/>
      <c r="H26" s="886"/>
      <c r="I26" s="942"/>
    </row>
    <row r="27" spans="2:13">
      <c r="B27" s="923"/>
      <c r="C27" s="710" t="s">
        <v>124</v>
      </c>
      <c r="D27" s="886"/>
      <c r="E27" s="886"/>
      <c r="F27" s="717">
        <f>BSG!R60</f>
        <v>1.1049814571317025E-4</v>
      </c>
      <c r="G27" s="886"/>
      <c r="H27" s="886"/>
      <c r="I27" s="942"/>
    </row>
    <row r="28" spans="2:13">
      <c r="B28" s="923"/>
      <c r="C28" s="710" t="s">
        <v>125</v>
      </c>
      <c r="D28" s="886"/>
      <c r="E28" s="886"/>
      <c r="F28" s="718">
        <f>BSG!R61</f>
        <v>0</v>
      </c>
      <c r="G28" s="886"/>
      <c r="H28" s="886"/>
      <c r="I28" s="942"/>
    </row>
    <row r="29" spans="2:13" ht="13.5" thickBot="1">
      <c r="B29" s="924"/>
      <c r="C29" s="715" t="s">
        <v>126</v>
      </c>
      <c r="D29" s="887"/>
      <c r="E29" s="887"/>
      <c r="F29" s="719">
        <f>BSG!R62</f>
        <v>15.742146409017515</v>
      </c>
      <c r="G29" s="887"/>
      <c r="H29" s="887"/>
      <c r="I29" s="943"/>
    </row>
    <row r="30" spans="2:13" ht="14.65" customHeight="1">
      <c r="B30" s="922" t="s">
        <v>345</v>
      </c>
      <c r="C30" s="720" t="s">
        <v>114</v>
      </c>
      <c r="D30" s="894" t="s">
        <v>128</v>
      </c>
      <c r="E30" s="894" t="s">
        <v>119</v>
      </c>
      <c r="F30" s="743">
        <f>GTGs!R55</f>
        <v>158.6766375237568</v>
      </c>
      <c r="G30" s="894" t="s">
        <v>104</v>
      </c>
      <c r="H30" s="894" t="s">
        <v>120</v>
      </c>
      <c r="I30" s="919" t="s">
        <v>346</v>
      </c>
    </row>
    <row r="31" spans="2:13">
      <c r="B31" s="923"/>
      <c r="C31" s="710" t="s">
        <v>115</v>
      </c>
      <c r="D31" s="886"/>
      <c r="E31" s="886"/>
      <c r="F31" s="744">
        <f>GTGs!R56</f>
        <v>40.660888365462682</v>
      </c>
      <c r="G31" s="886"/>
      <c r="H31" s="886"/>
      <c r="I31" s="920"/>
    </row>
    <row r="32" spans="2:13">
      <c r="B32" s="923"/>
      <c r="C32" s="710" t="s">
        <v>116</v>
      </c>
      <c r="D32" s="886"/>
      <c r="E32" s="886"/>
      <c r="F32" s="744">
        <f>GTGs!R57</f>
        <v>3.2727056489274848</v>
      </c>
      <c r="G32" s="886"/>
      <c r="H32" s="886"/>
      <c r="I32" s="920"/>
    </row>
    <row r="33" spans="2:9">
      <c r="B33" s="923"/>
      <c r="C33" s="710" t="s">
        <v>122</v>
      </c>
      <c r="D33" s="886"/>
      <c r="E33" s="886"/>
      <c r="F33" s="744">
        <f>GTGs!R58</f>
        <v>4.2644346334509642</v>
      </c>
      <c r="G33" s="886"/>
      <c r="H33" s="886"/>
      <c r="I33" s="920"/>
    </row>
    <row r="34" spans="2:9">
      <c r="B34" s="923"/>
      <c r="C34" s="710" t="s">
        <v>123</v>
      </c>
      <c r="D34" s="886"/>
      <c r="E34" s="886"/>
      <c r="F34" s="744">
        <f>GTGs!R59</f>
        <v>1.041315433749654</v>
      </c>
      <c r="G34" s="886"/>
      <c r="H34" s="886"/>
      <c r="I34" s="920"/>
    </row>
    <row r="35" spans="2:9">
      <c r="B35" s="923"/>
      <c r="C35" s="710" t="s">
        <v>124</v>
      </c>
      <c r="D35" s="886"/>
      <c r="E35" s="886"/>
      <c r="F35" s="744">
        <f>GTGs!R60</f>
        <v>0</v>
      </c>
      <c r="G35" s="886"/>
      <c r="H35" s="886"/>
      <c r="I35" s="920"/>
    </row>
    <row r="36" spans="2:9">
      <c r="B36" s="923"/>
      <c r="C36" s="710" t="s">
        <v>125</v>
      </c>
      <c r="D36" s="886"/>
      <c r="E36" s="886"/>
      <c r="F36" s="745">
        <f>GTGs!R61</f>
        <v>1.196245433233839E-2</v>
      </c>
      <c r="G36" s="886"/>
      <c r="H36" s="886"/>
      <c r="I36" s="920"/>
    </row>
    <row r="37" spans="2:9" ht="12" customHeight="1" thickBot="1">
      <c r="B37" s="923"/>
      <c r="C37" s="724" t="s">
        <v>126</v>
      </c>
      <c r="D37" s="886"/>
      <c r="E37" s="886"/>
      <c r="F37" s="746">
        <f>GTGs!R62</f>
        <v>53925.247500917692</v>
      </c>
      <c r="G37" s="886"/>
      <c r="H37" s="886"/>
      <c r="I37" s="920"/>
    </row>
    <row r="38" spans="2:9" ht="12" customHeight="1">
      <c r="B38" s="954" t="s">
        <v>347</v>
      </c>
      <c r="C38" s="720" t="s">
        <v>114</v>
      </c>
      <c r="D38" s="894" t="s">
        <v>118</v>
      </c>
      <c r="E38" s="894" t="s">
        <v>119</v>
      </c>
      <c r="F38" s="747">
        <f>TEMPSC!R55</f>
        <v>3.7111611237648866E-7</v>
      </c>
      <c r="G38" s="894" t="s">
        <v>105</v>
      </c>
      <c r="H38" s="894" t="s">
        <v>120</v>
      </c>
      <c r="I38" s="967" t="s">
        <v>348</v>
      </c>
    </row>
    <row r="39" spans="2:9" ht="12" customHeight="1">
      <c r="B39" s="955"/>
      <c r="C39" s="710" t="s">
        <v>115</v>
      </c>
      <c r="D39" s="886"/>
      <c r="E39" s="886"/>
      <c r="F39" s="745">
        <f>TEMPSC!R56</f>
        <v>7.9945647790853576E-8</v>
      </c>
      <c r="G39" s="886"/>
      <c r="H39" s="886"/>
      <c r="I39" s="968"/>
    </row>
    <row r="40" spans="2:9" ht="12" customHeight="1">
      <c r="B40" s="955"/>
      <c r="C40" s="710" t="s">
        <v>116</v>
      </c>
      <c r="D40" s="886"/>
      <c r="E40" s="886"/>
      <c r="F40" s="748">
        <f>TEMPSC!R57</f>
        <v>2.6087527173857483E-8</v>
      </c>
      <c r="G40" s="886"/>
      <c r="H40" s="886"/>
      <c r="I40" s="968"/>
    </row>
    <row r="41" spans="2:9" ht="12" customHeight="1">
      <c r="B41" s="955"/>
      <c r="C41" s="710" t="s">
        <v>122</v>
      </c>
      <c r="D41" s="886"/>
      <c r="E41" s="886"/>
      <c r="F41" s="722">
        <f>TEMPSC!R58</f>
        <v>0</v>
      </c>
      <c r="G41" s="886"/>
      <c r="H41" s="886"/>
      <c r="I41" s="968"/>
    </row>
    <row r="42" spans="2:9" ht="12" customHeight="1">
      <c r="B42" s="955"/>
      <c r="C42" s="710" t="s">
        <v>123</v>
      </c>
      <c r="D42" s="886"/>
      <c r="E42" s="886"/>
      <c r="F42" s="722">
        <f>TEMPSC!R59</f>
        <v>0</v>
      </c>
      <c r="G42" s="886"/>
      <c r="H42" s="886"/>
      <c r="I42" s="968"/>
    </row>
    <row r="43" spans="2:9" ht="12" customHeight="1">
      <c r="B43" s="955"/>
      <c r="C43" s="710" t="s">
        <v>124</v>
      </c>
      <c r="D43" s="886"/>
      <c r="E43" s="886"/>
      <c r="F43" s="748">
        <f>TEMPSC!R60</f>
        <v>2.4404460904576351E-8</v>
      </c>
      <c r="G43" s="886"/>
      <c r="H43" s="886"/>
      <c r="I43" s="968"/>
    </row>
    <row r="44" spans="2:9" ht="12" customHeight="1">
      <c r="B44" s="955"/>
      <c r="C44" s="710" t="s">
        <v>125</v>
      </c>
      <c r="D44" s="886"/>
      <c r="E44" s="886"/>
      <c r="F44" s="722">
        <f>TEMPSC!R61</f>
        <v>0</v>
      </c>
      <c r="G44" s="886"/>
      <c r="H44" s="886"/>
      <c r="I44" s="968"/>
    </row>
    <row r="45" spans="2:9" ht="12" customHeight="1" thickBot="1">
      <c r="B45" s="956"/>
      <c r="C45" s="715" t="s">
        <v>126</v>
      </c>
      <c r="D45" s="887"/>
      <c r="E45" s="887"/>
      <c r="F45" s="723">
        <f>TEMPSC!R62</f>
        <v>1.2109343391551933E-2</v>
      </c>
      <c r="G45" s="887"/>
      <c r="H45" s="887"/>
      <c r="I45" s="969"/>
    </row>
    <row r="46" spans="2:9">
      <c r="B46" s="973" t="s">
        <v>349</v>
      </c>
      <c r="C46" s="708" t="s">
        <v>114</v>
      </c>
      <c r="D46" s="886" t="s">
        <v>128</v>
      </c>
      <c r="E46" s="886" t="s">
        <v>119</v>
      </c>
      <c r="F46" s="717">
        <f>'LPF P&amp;P'!P54</f>
        <v>0.43447148464197988</v>
      </c>
      <c r="G46" s="886" t="s">
        <v>104</v>
      </c>
      <c r="H46" s="886" t="s">
        <v>120</v>
      </c>
      <c r="I46" s="921" t="s">
        <v>350</v>
      </c>
    </row>
    <row r="47" spans="2:9">
      <c r="B47" s="952"/>
      <c r="C47" s="710" t="s">
        <v>115</v>
      </c>
      <c r="D47" s="886"/>
      <c r="E47" s="886"/>
      <c r="F47" s="749">
        <f>'LPF P&amp;P'!P55</f>
        <v>2.364036019375479</v>
      </c>
      <c r="G47" s="886"/>
      <c r="H47" s="886"/>
      <c r="I47" s="948"/>
    </row>
    <row r="48" spans="2:9">
      <c r="B48" s="952"/>
      <c r="C48" s="710" t="s">
        <v>116</v>
      </c>
      <c r="D48" s="886"/>
      <c r="E48" s="886"/>
      <c r="F48" s="749">
        <f>'LPF P&amp;P'!P56</f>
        <v>1.4815008800253392E-2</v>
      </c>
      <c r="G48" s="886"/>
      <c r="H48" s="886"/>
      <c r="I48" s="948"/>
    </row>
    <row r="49" spans="2:9">
      <c r="B49" s="952"/>
      <c r="C49" s="710" t="s">
        <v>122</v>
      </c>
      <c r="D49" s="886"/>
      <c r="E49" s="886"/>
      <c r="F49" s="749">
        <f>'LPF P&amp;P'!P57</f>
        <v>0.89450011543937047</v>
      </c>
      <c r="G49" s="886"/>
      <c r="H49" s="886"/>
      <c r="I49" s="948"/>
    </row>
    <row r="50" spans="2:9">
      <c r="B50" s="952"/>
      <c r="C50" s="710" t="s">
        <v>123</v>
      </c>
      <c r="D50" s="886"/>
      <c r="E50" s="886"/>
      <c r="F50" s="750">
        <f>'LPF P&amp;P'!P58</f>
        <v>0</v>
      </c>
      <c r="G50" s="886"/>
      <c r="H50" s="886"/>
      <c r="I50" s="948"/>
    </row>
    <row r="51" spans="2:9">
      <c r="B51" s="952"/>
      <c r="C51" s="710" t="s">
        <v>124</v>
      </c>
      <c r="D51" s="886"/>
      <c r="E51" s="886"/>
      <c r="F51" s="750">
        <f>'LPF P&amp;P'!P59</f>
        <v>0</v>
      </c>
      <c r="G51" s="886"/>
      <c r="H51" s="886"/>
      <c r="I51" s="948"/>
    </row>
    <row r="52" spans="2:9">
      <c r="B52" s="952"/>
      <c r="C52" s="710" t="s">
        <v>125</v>
      </c>
      <c r="D52" s="886"/>
      <c r="E52" s="886"/>
      <c r="F52" s="750">
        <f>'LPF P&amp;P'!P60</f>
        <v>0</v>
      </c>
      <c r="G52" s="886"/>
      <c r="H52" s="886"/>
      <c r="I52" s="948"/>
    </row>
    <row r="53" spans="2:9" ht="13.5" thickBot="1">
      <c r="B53" s="953"/>
      <c r="C53" s="715" t="s">
        <v>126</v>
      </c>
      <c r="D53" s="887"/>
      <c r="E53" s="887"/>
      <c r="F53" s="733">
        <f>'LPF P&amp;P'!P61</f>
        <v>694.72775545384877</v>
      </c>
      <c r="G53" s="887"/>
      <c r="H53" s="887"/>
      <c r="I53" s="949"/>
    </row>
    <row r="54" spans="2:9">
      <c r="B54" s="951" t="s">
        <v>351</v>
      </c>
      <c r="C54" s="720" t="s">
        <v>114</v>
      </c>
      <c r="D54" s="894" t="s">
        <v>128</v>
      </c>
      <c r="E54" s="894" t="s">
        <v>119</v>
      </c>
      <c r="F54" s="751">
        <f>'HPF P&amp;P'!P55</f>
        <v>0.48308188014136383</v>
      </c>
      <c r="G54" s="894" t="s">
        <v>104</v>
      </c>
      <c r="H54" s="894" t="s">
        <v>120</v>
      </c>
      <c r="I54" s="947" t="s">
        <v>352</v>
      </c>
    </row>
    <row r="55" spans="2:9">
      <c r="B55" s="952"/>
      <c r="C55" s="710" t="s">
        <v>115</v>
      </c>
      <c r="D55" s="886"/>
      <c r="E55" s="886"/>
      <c r="F55" s="750">
        <f>'HPF P&amp;P'!P56</f>
        <v>2.628533759592715</v>
      </c>
      <c r="G55" s="886"/>
      <c r="H55" s="886"/>
      <c r="I55" s="948"/>
    </row>
    <row r="56" spans="2:9">
      <c r="B56" s="952"/>
      <c r="C56" s="710" t="s">
        <v>116</v>
      </c>
      <c r="D56" s="886"/>
      <c r="E56" s="886"/>
      <c r="F56" s="750">
        <f>'HPF P&amp;P'!$P$54</f>
        <v>1.6472570832662979E-2</v>
      </c>
      <c r="G56" s="886"/>
      <c r="H56" s="886"/>
      <c r="I56" s="948"/>
    </row>
    <row r="57" spans="2:9">
      <c r="B57" s="952"/>
      <c r="C57" s="710" t="s">
        <v>122</v>
      </c>
      <c r="D57" s="886"/>
      <c r="E57" s="886"/>
      <c r="F57" s="750">
        <f>'HPF P&amp;P'!$P$58</f>
        <v>0.99458034146751395</v>
      </c>
      <c r="G57" s="886"/>
      <c r="H57" s="886"/>
      <c r="I57" s="948"/>
    </row>
    <row r="58" spans="2:9">
      <c r="B58" s="952"/>
      <c r="C58" s="710" t="s">
        <v>123</v>
      </c>
      <c r="D58" s="886"/>
      <c r="E58" s="886"/>
      <c r="F58" s="750">
        <f>'HPF P&amp;P'!$P$57</f>
        <v>0</v>
      </c>
      <c r="G58" s="886"/>
      <c r="H58" s="886"/>
      <c r="I58" s="948"/>
    </row>
    <row r="59" spans="2:9">
      <c r="B59" s="952"/>
      <c r="C59" s="710" t="s">
        <v>124</v>
      </c>
      <c r="D59" s="886"/>
      <c r="E59" s="886"/>
      <c r="F59" s="750">
        <f>'HPF P&amp;P'!P59</f>
        <v>0</v>
      </c>
      <c r="G59" s="886"/>
      <c r="H59" s="886"/>
      <c r="I59" s="948"/>
    </row>
    <row r="60" spans="2:9">
      <c r="B60" s="952"/>
      <c r="C60" s="710" t="s">
        <v>125</v>
      </c>
      <c r="D60" s="886"/>
      <c r="E60" s="886"/>
      <c r="F60" s="750">
        <f>'HPF P&amp;P'!P60</f>
        <v>0</v>
      </c>
      <c r="G60" s="886"/>
      <c r="H60" s="886"/>
      <c r="I60" s="948"/>
    </row>
    <row r="61" spans="2:9" ht="13.5" thickBot="1">
      <c r="B61" s="953"/>
      <c r="C61" s="715" t="s">
        <v>126</v>
      </c>
      <c r="D61" s="887"/>
      <c r="E61" s="887"/>
      <c r="F61" s="719">
        <f>'HPF P&amp;P'!P61</f>
        <v>790.55227344748289</v>
      </c>
      <c r="G61" s="887"/>
      <c r="H61" s="887"/>
      <c r="I61" s="949"/>
    </row>
    <row r="62" spans="2:9">
      <c r="B62" s="951" t="s">
        <v>353</v>
      </c>
      <c r="C62" s="720" t="s">
        <v>114</v>
      </c>
      <c r="D62" s="894" t="s">
        <v>156</v>
      </c>
      <c r="E62" s="894" t="s">
        <v>119</v>
      </c>
      <c r="F62" s="726">
        <f>'HPF TAR'!P55</f>
        <v>6.6798288171428704</v>
      </c>
      <c r="G62" s="894" t="s">
        <v>105</v>
      </c>
      <c r="H62" s="894" t="s">
        <v>120</v>
      </c>
      <c r="I62" s="919" t="s">
        <v>354</v>
      </c>
    </row>
    <row r="63" spans="2:9">
      <c r="B63" s="952"/>
      <c r="C63" s="710" t="s">
        <v>115</v>
      </c>
      <c r="D63" s="886"/>
      <c r="E63" s="886"/>
      <c r="F63" s="727">
        <f>'HPF TAR'!P56</f>
        <v>36.346127387395029</v>
      </c>
      <c r="G63" s="886"/>
      <c r="H63" s="886"/>
      <c r="I63" s="974"/>
    </row>
    <row r="64" spans="2:9">
      <c r="B64" s="952"/>
      <c r="C64" s="710" t="s">
        <v>116</v>
      </c>
      <c r="D64" s="886"/>
      <c r="E64" s="886"/>
      <c r="F64" s="727">
        <f>'HPF TAR'!P57</f>
        <v>0.22777495464795772</v>
      </c>
      <c r="G64" s="886"/>
      <c r="H64" s="886"/>
      <c r="I64" s="974"/>
    </row>
    <row r="65" spans="2:9">
      <c r="B65" s="952"/>
      <c r="C65" s="710" t="s">
        <v>122</v>
      </c>
      <c r="D65" s="886"/>
      <c r="E65" s="886"/>
      <c r="F65" s="727">
        <f>'HPF TAR'!P58</f>
        <v>13.752588741176499</v>
      </c>
      <c r="G65" s="886"/>
      <c r="H65" s="886"/>
      <c r="I65" s="974"/>
    </row>
    <row r="66" spans="2:9">
      <c r="B66" s="952"/>
      <c r="C66" s="710" t="s">
        <v>123</v>
      </c>
      <c r="D66" s="886"/>
      <c r="E66" s="886"/>
      <c r="F66" s="727">
        <f>'HPF TAR'!P59</f>
        <v>0</v>
      </c>
      <c r="G66" s="886"/>
      <c r="H66" s="886"/>
      <c r="I66" s="974"/>
    </row>
    <row r="67" spans="2:9">
      <c r="B67" s="952"/>
      <c r="C67" s="710" t="s">
        <v>124</v>
      </c>
      <c r="D67" s="886"/>
      <c r="E67" s="886"/>
      <c r="F67" s="727">
        <f>'HPF TAR'!P60</f>
        <v>0</v>
      </c>
      <c r="G67" s="886"/>
      <c r="H67" s="886"/>
      <c r="I67" s="974"/>
    </row>
    <row r="68" spans="2:9">
      <c r="B68" s="952"/>
      <c r="C68" s="710" t="s">
        <v>125</v>
      </c>
      <c r="D68" s="886"/>
      <c r="E68" s="886"/>
      <c r="F68" s="727">
        <f>'HPF TAR'!P61</f>
        <v>0</v>
      </c>
      <c r="G68" s="886"/>
      <c r="H68" s="886"/>
      <c r="I68" s="974"/>
    </row>
    <row r="69" spans="2:9" ht="13.5" thickBot="1">
      <c r="B69" s="953"/>
      <c r="C69" s="715" t="s">
        <v>126</v>
      </c>
      <c r="D69" s="887"/>
      <c r="E69" s="887"/>
      <c r="F69" s="728">
        <f>'HPF TAR'!P62</f>
        <v>10931.38466730941</v>
      </c>
      <c r="G69" s="887"/>
      <c r="H69" s="887"/>
      <c r="I69" s="975"/>
    </row>
    <row r="70" spans="2:9">
      <c r="B70" s="951" t="s">
        <v>355</v>
      </c>
      <c r="C70" s="720" t="s">
        <v>114</v>
      </c>
      <c r="D70" s="894" t="s">
        <v>156</v>
      </c>
      <c r="E70" s="894" t="s">
        <v>119</v>
      </c>
      <c r="F70" s="726">
        <f>'HPF pig'!P55</f>
        <v>1.2086315266017882E-3</v>
      </c>
      <c r="G70" s="894" t="s">
        <v>105</v>
      </c>
      <c r="H70" s="894" t="s">
        <v>120</v>
      </c>
      <c r="I70" s="919" t="s">
        <v>356</v>
      </c>
    </row>
    <row r="71" spans="2:9">
      <c r="B71" s="952"/>
      <c r="C71" s="710" t="s">
        <v>115</v>
      </c>
      <c r="D71" s="886"/>
      <c r="E71" s="886"/>
      <c r="F71" s="727">
        <f>'HPF pig'!P56</f>
        <v>6.5763774241567865E-3</v>
      </c>
      <c r="G71" s="886"/>
      <c r="H71" s="886"/>
      <c r="I71" s="974"/>
    </row>
    <row r="72" spans="2:9">
      <c r="B72" s="952"/>
      <c r="C72" s="710" t="s">
        <v>116</v>
      </c>
      <c r="D72" s="886"/>
      <c r="E72" s="886"/>
      <c r="F72" s="727">
        <f>'HPF pig'!P57</f>
        <v>4.1213030856614844E-5</v>
      </c>
      <c r="G72" s="886"/>
      <c r="H72" s="886"/>
      <c r="I72" s="974"/>
    </row>
    <row r="73" spans="2:9">
      <c r="B73" s="952"/>
      <c r="C73" s="710" t="s">
        <v>122</v>
      </c>
      <c r="D73" s="886"/>
      <c r="E73" s="886"/>
      <c r="F73" s="727">
        <f>'HPF pig'!P58</f>
        <v>2.4883590253566229E-3</v>
      </c>
      <c r="G73" s="886"/>
      <c r="H73" s="886"/>
      <c r="I73" s="974"/>
    </row>
    <row r="74" spans="2:9">
      <c r="B74" s="952"/>
      <c r="C74" s="710" t="s">
        <v>123</v>
      </c>
      <c r="D74" s="886"/>
      <c r="E74" s="886"/>
      <c r="F74" s="727">
        <f>'HPF pig'!P59</f>
        <v>0</v>
      </c>
      <c r="G74" s="886"/>
      <c r="H74" s="886"/>
      <c r="I74" s="974"/>
    </row>
    <row r="75" spans="2:9">
      <c r="B75" s="952"/>
      <c r="C75" s="710" t="s">
        <v>124</v>
      </c>
      <c r="D75" s="886"/>
      <c r="E75" s="886"/>
      <c r="F75" s="727">
        <f>'HPF pig'!P60</f>
        <v>0</v>
      </c>
      <c r="G75" s="886"/>
      <c r="H75" s="886"/>
      <c r="I75" s="974"/>
    </row>
    <row r="76" spans="2:9">
      <c r="B76" s="952"/>
      <c r="C76" s="710" t="s">
        <v>125</v>
      </c>
      <c r="D76" s="886"/>
      <c r="E76" s="886"/>
      <c r="F76" s="727">
        <f>'HPF pig'!P61</f>
        <v>0</v>
      </c>
      <c r="G76" s="886"/>
      <c r="H76" s="886"/>
      <c r="I76" s="974"/>
    </row>
    <row r="77" spans="2:9" ht="13.5" thickBot="1">
      <c r="B77" s="953"/>
      <c r="C77" s="715" t="s">
        <v>126</v>
      </c>
      <c r="D77" s="887"/>
      <c r="E77" s="887"/>
      <c r="F77" s="728">
        <f>'HPF pig'!P62</f>
        <v>1.9778974132412965</v>
      </c>
      <c r="G77" s="887"/>
      <c r="H77" s="887"/>
      <c r="I77" s="975"/>
    </row>
    <row r="78" spans="2:9">
      <c r="B78" s="951" t="s">
        <v>357</v>
      </c>
      <c r="C78" s="720" t="s">
        <v>114</v>
      </c>
      <c r="D78" s="894" t="s">
        <v>128</v>
      </c>
      <c r="E78" s="894" t="s">
        <v>119</v>
      </c>
      <c r="F78" s="726">
        <f>MeOHBGF!P55</f>
        <v>4.8428758924285806E-3</v>
      </c>
      <c r="G78" s="894" t="s">
        <v>104</v>
      </c>
      <c r="H78" s="894" t="s">
        <v>120</v>
      </c>
      <c r="I78" s="919" t="s">
        <v>358</v>
      </c>
    </row>
    <row r="79" spans="2:9">
      <c r="B79" s="952"/>
      <c r="C79" s="710" t="s">
        <v>115</v>
      </c>
      <c r="D79" s="886"/>
      <c r="E79" s="886"/>
      <c r="F79" s="727">
        <f>MeOHBGF!P56</f>
        <v>2.6350942355861391E-2</v>
      </c>
      <c r="G79" s="886"/>
      <c r="H79" s="886"/>
      <c r="I79" s="974"/>
    </row>
    <row r="80" spans="2:9">
      <c r="B80" s="952"/>
      <c r="C80" s="710" t="s">
        <v>116</v>
      </c>
      <c r="D80" s="886"/>
      <c r="E80" s="886"/>
      <c r="F80" s="727">
        <f>MeOHBGF!P57</f>
        <v>1.6513684211976934E-4</v>
      </c>
      <c r="G80" s="886"/>
      <c r="H80" s="886"/>
      <c r="I80" s="974"/>
    </row>
    <row r="81" spans="2:9">
      <c r="B81" s="952"/>
      <c r="C81" s="710" t="s">
        <v>122</v>
      </c>
      <c r="D81" s="886"/>
      <c r="E81" s="886"/>
      <c r="F81" s="727">
        <f>MeOHBGF!P58</f>
        <v>9.9706268373529611E-3</v>
      </c>
      <c r="G81" s="886"/>
      <c r="H81" s="886"/>
      <c r="I81" s="974"/>
    </row>
    <row r="82" spans="2:9">
      <c r="B82" s="952"/>
      <c r="C82" s="710" t="s">
        <v>123</v>
      </c>
      <c r="D82" s="886"/>
      <c r="E82" s="886"/>
      <c r="F82" s="727">
        <f>MeOHBGF!P59</f>
        <v>0</v>
      </c>
      <c r="G82" s="886"/>
      <c r="H82" s="886"/>
      <c r="I82" s="974"/>
    </row>
    <row r="83" spans="2:9">
      <c r="B83" s="952"/>
      <c r="C83" s="710" t="s">
        <v>124</v>
      </c>
      <c r="D83" s="886"/>
      <c r="E83" s="886"/>
      <c r="F83" s="727">
        <f>MeOHBGF!P60</f>
        <v>0</v>
      </c>
      <c r="G83" s="886"/>
      <c r="H83" s="886"/>
      <c r="I83" s="974"/>
    </row>
    <row r="84" spans="2:9">
      <c r="B84" s="952"/>
      <c r="C84" s="710" t="s">
        <v>125</v>
      </c>
      <c r="D84" s="886"/>
      <c r="E84" s="886"/>
      <c r="F84" s="727">
        <f>MeOHBGF!P61</f>
        <v>0</v>
      </c>
      <c r="G84" s="886"/>
      <c r="H84" s="886"/>
      <c r="I84" s="974"/>
    </row>
    <row r="85" spans="2:9" ht="13.5" thickBot="1">
      <c r="B85" s="953"/>
      <c r="C85" s="715" t="s">
        <v>126</v>
      </c>
      <c r="D85" s="887"/>
      <c r="E85" s="887"/>
      <c r="F85" s="729">
        <f>MeOHBGF!P62</f>
        <v>7.9252538837993223</v>
      </c>
      <c r="G85" s="887"/>
      <c r="H85" s="887"/>
      <c r="I85" s="975"/>
    </row>
    <row r="86" spans="2:9" ht="13.15" customHeight="1">
      <c r="B86" s="951" t="s">
        <v>359</v>
      </c>
      <c r="C86" s="720" t="s">
        <v>114</v>
      </c>
      <c r="D86" s="951" t="s">
        <v>156</v>
      </c>
      <c r="E86" s="951" t="s">
        <v>119</v>
      </c>
      <c r="F86" s="726">
        <f>'FE PL F'!P55</f>
        <v>2.0044850012234544E-3</v>
      </c>
      <c r="G86" s="951" t="s">
        <v>104</v>
      </c>
      <c r="H86" s="951" t="s">
        <v>120</v>
      </c>
      <c r="I86" s="947" t="s">
        <v>360</v>
      </c>
    </row>
    <row r="87" spans="2:9">
      <c r="B87" s="952"/>
      <c r="C87" s="710" t="s">
        <v>115</v>
      </c>
      <c r="D87" s="952"/>
      <c r="E87" s="952"/>
      <c r="F87" s="727">
        <f>'FE PL F'!P56</f>
        <v>1.0906756624304095E-2</v>
      </c>
      <c r="G87" s="952"/>
      <c r="H87" s="952"/>
      <c r="I87" s="948"/>
    </row>
    <row r="88" spans="2:9">
      <c r="B88" s="952"/>
      <c r="C88" s="710" t="s">
        <v>116</v>
      </c>
      <c r="D88" s="952"/>
      <c r="E88" s="952"/>
      <c r="F88" s="727">
        <f>'FE PL F'!P57</f>
        <v>6.8350775557968698E-5</v>
      </c>
      <c r="G88" s="952"/>
      <c r="H88" s="952"/>
      <c r="I88" s="948"/>
    </row>
    <row r="89" spans="2:9">
      <c r="B89" s="952"/>
      <c r="C89" s="710" t="s">
        <v>122</v>
      </c>
      <c r="D89" s="952"/>
      <c r="E89" s="952"/>
      <c r="F89" s="727">
        <f>'FE PL F'!P58</f>
        <v>4.1268808848718194E-3</v>
      </c>
      <c r="G89" s="952"/>
      <c r="H89" s="952"/>
      <c r="I89" s="948"/>
    </row>
    <row r="90" spans="2:9">
      <c r="B90" s="952"/>
      <c r="C90" s="710" t="s">
        <v>123</v>
      </c>
      <c r="D90" s="952"/>
      <c r="E90" s="952"/>
      <c r="F90" s="727">
        <f>'FE PL F'!P59</f>
        <v>0</v>
      </c>
      <c r="G90" s="952"/>
      <c r="H90" s="952"/>
      <c r="I90" s="948"/>
    </row>
    <row r="91" spans="2:9">
      <c r="B91" s="952"/>
      <c r="C91" s="710" t="s">
        <v>124</v>
      </c>
      <c r="D91" s="952"/>
      <c r="E91" s="952"/>
      <c r="F91" s="727">
        <f>'FE PL F'!P60</f>
        <v>0</v>
      </c>
      <c r="G91" s="952"/>
      <c r="H91" s="952"/>
      <c r="I91" s="948"/>
    </row>
    <row r="92" spans="2:9">
      <c r="B92" s="952"/>
      <c r="C92" s="710" t="s">
        <v>125</v>
      </c>
      <c r="D92" s="952"/>
      <c r="E92" s="952"/>
      <c r="F92" s="727">
        <f>'FE PL F'!P61</f>
        <v>0</v>
      </c>
      <c r="G92" s="952"/>
      <c r="H92" s="952"/>
      <c r="I92" s="948"/>
    </row>
    <row r="93" spans="2:9" ht="13.5" thickBot="1">
      <c r="B93" s="953"/>
      <c r="C93" s="715" t="s">
        <v>126</v>
      </c>
      <c r="D93" s="953"/>
      <c r="E93" s="953"/>
      <c r="F93" s="728">
        <f>'FE PL F'!P62</f>
        <v>3.2793545670371493</v>
      </c>
      <c r="G93" s="953"/>
      <c r="H93" s="953"/>
      <c r="I93" s="982"/>
    </row>
    <row r="94" spans="2:9">
      <c r="B94" s="951" t="s">
        <v>361</v>
      </c>
      <c r="C94" s="720" t="s">
        <v>114</v>
      </c>
      <c r="D94" s="894" t="s">
        <v>156</v>
      </c>
      <c r="E94" s="894" t="s">
        <v>119</v>
      </c>
      <c r="F94" s="717">
        <f>LPFConTEG!P55</f>
        <v>0.19195771946044549</v>
      </c>
      <c r="G94" s="894" t="s">
        <v>104</v>
      </c>
      <c r="H94" s="894" t="s">
        <v>120</v>
      </c>
      <c r="I94" s="947" t="s">
        <v>362</v>
      </c>
    </row>
    <row r="95" spans="2:9">
      <c r="B95" s="952"/>
      <c r="C95" s="710" t="s">
        <v>115</v>
      </c>
      <c r="D95" s="886"/>
      <c r="E95" s="886"/>
      <c r="F95" s="727">
        <f>LPFConTEG!P56</f>
        <v>1.0444758264759533</v>
      </c>
      <c r="G95" s="886"/>
      <c r="H95" s="886"/>
      <c r="I95" s="948"/>
    </row>
    <row r="96" spans="2:9">
      <c r="B96" s="952"/>
      <c r="C96" s="710" t="s">
        <v>116</v>
      </c>
      <c r="D96" s="886"/>
      <c r="E96" s="886"/>
      <c r="F96" s="727">
        <f>LPFConTEG!P57</f>
        <v>6.5455510973902254E-3</v>
      </c>
      <c r="G96" s="886"/>
      <c r="H96" s="886"/>
      <c r="I96" s="948"/>
    </row>
    <row r="97" spans="2:9">
      <c r="B97" s="952"/>
      <c r="C97" s="710" t="s">
        <v>122</v>
      </c>
      <c r="D97" s="886"/>
      <c r="E97" s="886"/>
      <c r="F97" s="727">
        <f>LPFConTEG!P58</f>
        <v>0.39520706947738782</v>
      </c>
      <c r="G97" s="886"/>
      <c r="H97" s="886"/>
      <c r="I97" s="948"/>
    </row>
    <row r="98" spans="2:9">
      <c r="B98" s="952"/>
      <c r="C98" s="710" t="s">
        <v>123</v>
      </c>
      <c r="D98" s="886"/>
      <c r="E98" s="886"/>
      <c r="F98" s="727">
        <f>LPFConTEG!P59</f>
        <v>0</v>
      </c>
      <c r="G98" s="886"/>
      <c r="H98" s="886"/>
      <c r="I98" s="948"/>
    </row>
    <row r="99" spans="2:9">
      <c r="B99" s="952"/>
      <c r="C99" s="710" t="s">
        <v>124</v>
      </c>
      <c r="D99" s="886"/>
      <c r="E99" s="886"/>
      <c r="F99" s="727">
        <f>LPFConTEG!P60</f>
        <v>0</v>
      </c>
      <c r="G99" s="886"/>
      <c r="H99" s="886"/>
      <c r="I99" s="948"/>
    </row>
    <row r="100" spans="2:9">
      <c r="B100" s="952"/>
      <c r="C100" s="710" t="s">
        <v>125</v>
      </c>
      <c r="D100" s="886"/>
      <c r="E100" s="886"/>
      <c r="F100" s="727">
        <f>LPFConTEG!P61</f>
        <v>0</v>
      </c>
      <c r="G100" s="886"/>
      <c r="H100" s="886"/>
      <c r="I100" s="948"/>
    </row>
    <row r="101" spans="2:9" ht="13.5" thickBot="1">
      <c r="B101" s="953"/>
      <c r="C101" s="715" t="s">
        <v>126</v>
      </c>
      <c r="D101" s="887"/>
      <c r="E101" s="887"/>
      <c r="F101" s="752">
        <f>LPFConTEG!P62</f>
        <v>4891.0431059250841</v>
      </c>
      <c r="G101" s="887"/>
      <c r="H101" s="887"/>
      <c r="I101" s="949"/>
    </row>
    <row r="102" spans="2:9">
      <c r="B102" s="951" t="s">
        <v>363</v>
      </c>
      <c r="C102" s="720" t="str">
        <f>'FE FL V'!$A$19</f>
        <v>CH4</v>
      </c>
      <c r="D102" s="894" t="s">
        <v>156</v>
      </c>
      <c r="E102" s="894" t="s">
        <v>119</v>
      </c>
      <c r="F102" s="726">
        <f>'FE FL V'!$P$19</f>
        <v>0.99036599593694019</v>
      </c>
      <c r="G102" s="894" t="s">
        <v>104</v>
      </c>
      <c r="H102" s="894" t="s">
        <v>120</v>
      </c>
      <c r="I102" s="947" t="s">
        <v>364</v>
      </c>
    </row>
    <row r="103" spans="2:9">
      <c r="B103" s="952"/>
      <c r="C103" s="710" t="str">
        <f>'FE FL V'!$A$21</f>
        <v>C2H6</v>
      </c>
      <c r="D103" s="886"/>
      <c r="E103" s="886"/>
      <c r="F103" s="731">
        <f>'FE FL V'!P21</f>
        <v>1.3042218590181575E-3</v>
      </c>
      <c r="G103" s="886"/>
      <c r="H103" s="886"/>
      <c r="I103" s="948"/>
    </row>
    <row r="104" spans="2:9">
      <c r="B104" s="952"/>
      <c r="C104" s="710" t="str">
        <f>'FE FL V'!$A$23</f>
        <v>C3H8</v>
      </c>
      <c r="D104" s="886"/>
      <c r="E104" s="886"/>
      <c r="F104" s="727">
        <f>'FE FL V'!P23</f>
        <v>5.4646084200792142E-4</v>
      </c>
      <c r="G104" s="886"/>
      <c r="H104" s="886"/>
      <c r="I104" s="948"/>
    </row>
    <row r="105" spans="2:9">
      <c r="B105" s="952"/>
      <c r="C105" s="710" t="str">
        <f>'FE FL V'!$A$25</f>
        <v>iC4H10</v>
      </c>
      <c r="D105" s="886"/>
      <c r="E105" s="886"/>
      <c r="F105" s="727">
        <f>'FE FL V'!P25</f>
        <v>3.6013723745409459E-4</v>
      </c>
      <c r="G105" s="886"/>
      <c r="H105" s="886"/>
      <c r="I105" s="948"/>
    </row>
    <row r="106" spans="2:9">
      <c r="B106" s="952"/>
      <c r="C106" s="710" t="str">
        <f>'FE FL V'!A27</f>
        <v>iC5H12</v>
      </c>
      <c r="D106" s="886"/>
      <c r="E106" s="886"/>
      <c r="F106" s="727">
        <f>'FE FL V'!P27</f>
        <v>4.4705025002688992E-4</v>
      </c>
      <c r="G106" s="886"/>
      <c r="H106" s="886"/>
      <c r="I106" s="948"/>
    </row>
    <row r="107" spans="2:9">
      <c r="B107" s="952"/>
      <c r="C107" s="710" t="str">
        <f>'FE FL V'!A28</f>
        <v>nC5H12</v>
      </c>
      <c r="D107" s="886"/>
      <c r="E107" s="886"/>
      <c r="F107" s="727">
        <f>'FE FL V'!P28</f>
        <v>4.4705025002688992E-4</v>
      </c>
      <c r="G107" s="886"/>
      <c r="H107" s="886"/>
      <c r="I107" s="948"/>
    </row>
    <row r="108" spans="2:9">
      <c r="B108" s="952"/>
      <c r="C108" s="710" t="str">
        <f>'FE FL V'!A29</f>
        <v>nC6H14</v>
      </c>
      <c r="D108" s="886"/>
      <c r="E108" s="886"/>
      <c r="F108" s="727">
        <f>'FE FL V'!P29</f>
        <v>1.0679265251998457E-3</v>
      </c>
      <c r="G108" s="886"/>
      <c r="H108" s="886"/>
      <c r="I108" s="948"/>
    </row>
    <row r="109" spans="2:9">
      <c r="B109" s="986"/>
      <c r="C109" s="724" t="str">
        <f>'FE FL V'!$A$33</f>
        <v>N2</v>
      </c>
      <c r="D109" s="886"/>
      <c r="E109" s="886"/>
      <c r="F109" s="727">
        <f>'FE FL V'!P33</f>
        <v>2.6036262326670019E-3</v>
      </c>
      <c r="G109" s="886"/>
      <c r="H109" s="886"/>
      <c r="I109" s="982"/>
    </row>
    <row r="110" spans="2:9" ht="13.5" thickBot="1">
      <c r="B110" s="953"/>
      <c r="C110" s="715" t="str">
        <f>'FE FL V'!$A$35</f>
        <v>CO2</v>
      </c>
      <c r="D110" s="887"/>
      <c r="E110" s="887"/>
      <c r="F110" s="727">
        <f>'FE FL V'!P35</f>
        <v>2.1815308666592848E-3</v>
      </c>
      <c r="G110" s="887"/>
      <c r="H110" s="887"/>
      <c r="I110" s="949"/>
    </row>
    <row r="111" spans="2:9">
      <c r="B111" s="951" t="s">
        <v>365</v>
      </c>
      <c r="C111" s="720" t="str">
        <f t="shared" ref="C111:C116" si="0">C102</f>
        <v>CH4</v>
      </c>
      <c r="D111" s="894" t="s">
        <v>156</v>
      </c>
      <c r="E111" s="894" t="s">
        <v>119</v>
      </c>
      <c r="F111" s="726">
        <f>VA!$P$19</f>
        <v>0.86874210169907029</v>
      </c>
      <c r="G111" s="894" t="s">
        <v>104</v>
      </c>
      <c r="H111" s="894" t="s">
        <v>120</v>
      </c>
      <c r="I111" s="983" t="s">
        <v>366</v>
      </c>
    </row>
    <row r="112" spans="2:9">
      <c r="B112" s="952"/>
      <c r="C112" s="710" t="str">
        <f t="shared" si="0"/>
        <v>C2H6</v>
      </c>
      <c r="D112" s="886"/>
      <c r="E112" s="886"/>
      <c r="F112" s="731">
        <f>VA!$P$21</f>
        <v>1.1440542622966293E-3</v>
      </c>
      <c r="G112" s="886"/>
      <c r="H112" s="886"/>
      <c r="I112" s="984"/>
    </row>
    <row r="113" spans="2:9">
      <c r="B113" s="952"/>
      <c r="C113" s="710" t="str">
        <f t="shared" si="0"/>
        <v>C3H8</v>
      </c>
      <c r="D113" s="886"/>
      <c r="E113" s="886"/>
      <c r="F113" s="727">
        <f>VA!$P$23</f>
        <v>4.7935161579642236E-4</v>
      </c>
      <c r="G113" s="886"/>
      <c r="H113" s="886"/>
      <c r="I113" s="984"/>
    </row>
    <row r="114" spans="2:9">
      <c r="B114" s="952"/>
      <c r="C114" s="710" t="str">
        <f t="shared" si="0"/>
        <v>iC4H10</v>
      </c>
      <c r="D114" s="886"/>
      <c r="E114" s="886"/>
      <c r="F114" s="727">
        <f>VA!$P$25</f>
        <v>3.1590985741587247E-4</v>
      </c>
      <c r="G114" s="886"/>
      <c r="H114" s="886"/>
      <c r="I114" s="984"/>
    </row>
    <row r="115" spans="2:9">
      <c r="B115" s="952"/>
      <c r="C115" s="710" t="str">
        <f t="shared" si="0"/>
        <v>iC5H12</v>
      </c>
      <c r="D115" s="886"/>
      <c r="E115" s="886"/>
      <c r="F115" s="727">
        <f>VA!$P$27</f>
        <v>3.9214934212885075E-4</v>
      </c>
      <c r="G115" s="886"/>
      <c r="H115" s="886"/>
      <c r="I115" s="984"/>
    </row>
    <row r="116" spans="2:9">
      <c r="B116" s="986"/>
      <c r="C116" s="710" t="str">
        <f t="shared" si="0"/>
        <v>nC5H12</v>
      </c>
      <c r="D116" s="886"/>
      <c r="E116" s="886"/>
      <c r="F116" s="727">
        <f>VA!$P$28</f>
        <v>3.9214934212885075E-4</v>
      </c>
      <c r="G116" s="886"/>
      <c r="H116" s="886"/>
      <c r="I116" s="984"/>
    </row>
    <row r="117" spans="2:9">
      <c r="B117" s="986"/>
      <c r="C117" s="710" t="str">
        <f t="shared" ref="C117:C119" si="1">C108</f>
        <v>nC6H14</v>
      </c>
      <c r="D117" s="886"/>
      <c r="E117" s="886"/>
      <c r="F117" s="727">
        <f>VA!$P$29</f>
        <v>9.3677765368407526E-4</v>
      </c>
      <c r="G117" s="886"/>
      <c r="H117" s="886"/>
      <c r="I117" s="984"/>
    </row>
    <row r="118" spans="2:9">
      <c r="B118" s="986"/>
      <c r="C118" s="724" t="str">
        <f t="shared" si="1"/>
        <v>N2</v>
      </c>
      <c r="D118" s="886"/>
      <c r="E118" s="886"/>
      <c r="F118" s="727">
        <f>VA!$P$33</f>
        <v>2.2838826602342125E-3</v>
      </c>
      <c r="G118" s="886"/>
      <c r="H118" s="886"/>
      <c r="I118" s="984"/>
    </row>
    <row r="119" spans="2:9" ht="13.5" thickBot="1">
      <c r="B119" s="953"/>
      <c r="C119" s="715" t="str">
        <f t="shared" si="1"/>
        <v>CO2</v>
      </c>
      <c r="D119" s="887"/>
      <c r="E119" s="887"/>
      <c r="F119" s="727">
        <f>VA!$P$35</f>
        <v>1.9136235672449868E-3</v>
      </c>
      <c r="G119" s="887"/>
      <c r="H119" s="887"/>
      <c r="I119" s="985"/>
    </row>
    <row r="120" spans="2:9" ht="12.75" customHeight="1">
      <c r="B120" s="951" t="s">
        <v>188</v>
      </c>
      <c r="C120" s="720" t="s">
        <v>114</v>
      </c>
      <c r="D120" s="894" t="s">
        <v>189</v>
      </c>
      <c r="E120" s="894" t="s">
        <v>119</v>
      </c>
      <c r="F120" s="753">
        <f>'OT V'!L26</f>
        <v>173.28</v>
      </c>
      <c r="G120" s="894" t="s">
        <v>105</v>
      </c>
      <c r="H120" s="894" t="s">
        <v>120</v>
      </c>
      <c r="I120" s="983" t="s">
        <v>367</v>
      </c>
    </row>
    <row r="121" spans="2:9">
      <c r="B121" s="952"/>
      <c r="C121" s="710" t="s">
        <v>115</v>
      </c>
      <c r="D121" s="886"/>
      <c r="E121" s="886"/>
      <c r="F121" s="732">
        <f>'OT V'!L27</f>
        <v>9.2160000000000011</v>
      </c>
      <c r="G121" s="886"/>
      <c r="H121" s="886"/>
      <c r="I121" s="984"/>
    </row>
    <row r="122" spans="2:9">
      <c r="B122" s="952"/>
      <c r="C122" s="710" t="s">
        <v>116</v>
      </c>
      <c r="D122" s="886"/>
      <c r="E122" s="886"/>
      <c r="F122" s="727" t="s">
        <v>132</v>
      </c>
      <c r="G122" s="886"/>
      <c r="H122" s="886"/>
      <c r="I122" s="984"/>
    </row>
    <row r="123" spans="2:9">
      <c r="B123" s="952"/>
      <c r="C123" s="710" t="s">
        <v>122</v>
      </c>
      <c r="D123" s="886"/>
      <c r="E123" s="886"/>
      <c r="F123" s="727" t="s">
        <v>132</v>
      </c>
      <c r="G123" s="886"/>
      <c r="H123" s="886"/>
      <c r="I123" s="984"/>
    </row>
    <row r="124" spans="2:9">
      <c r="B124" s="952"/>
      <c r="C124" s="710" t="s">
        <v>123</v>
      </c>
      <c r="D124" s="886"/>
      <c r="E124" s="886"/>
      <c r="F124" s="754">
        <f>'OT V'!L28</f>
        <v>4.2</v>
      </c>
      <c r="G124" s="886"/>
      <c r="H124" s="886"/>
      <c r="I124" s="984"/>
    </row>
    <row r="125" spans="2:9">
      <c r="B125" s="952"/>
      <c r="C125" s="710" t="s">
        <v>124</v>
      </c>
      <c r="D125" s="886"/>
      <c r="E125" s="886"/>
      <c r="F125" s="732">
        <f>'OT V'!L29</f>
        <v>4.3680000000000003</v>
      </c>
      <c r="G125" s="886"/>
      <c r="H125" s="886"/>
      <c r="I125" s="984"/>
    </row>
    <row r="126" spans="2:9">
      <c r="B126" s="986"/>
      <c r="C126" s="710" t="s">
        <v>125</v>
      </c>
      <c r="D126" s="886"/>
      <c r="E126" s="886"/>
      <c r="F126" s="727" t="s">
        <v>132</v>
      </c>
      <c r="G126" s="886"/>
      <c r="H126" s="886"/>
      <c r="I126" s="984"/>
    </row>
    <row r="127" spans="2:9" ht="13.5" thickBot="1">
      <c r="B127" s="953"/>
      <c r="C127" s="715" t="s">
        <v>126</v>
      </c>
      <c r="D127" s="887"/>
      <c r="E127" s="887"/>
      <c r="F127" s="719">
        <f>'OT V'!L30</f>
        <v>7694.4</v>
      </c>
      <c r="G127" s="887"/>
      <c r="H127" s="887"/>
      <c r="I127" s="985"/>
    </row>
    <row r="129" spans="2:11">
      <c r="B129" s="738"/>
      <c r="C129" s="739"/>
      <c r="D129" s="739"/>
      <c r="E129" s="739"/>
      <c r="F129" s="739"/>
      <c r="G129" s="739"/>
      <c r="H129" s="739"/>
      <c r="I129" s="739"/>
    </row>
    <row r="130" spans="2:11">
      <c r="B130" s="739"/>
      <c r="C130" s="739"/>
      <c r="D130" s="739"/>
      <c r="E130" s="739"/>
      <c r="F130" s="739"/>
      <c r="G130" s="739"/>
      <c r="H130" s="739"/>
      <c r="I130" s="739"/>
      <c r="K130" s="740"/>
    </row>
  </sheetData>
  <sheetProtection algorithmName="SHA-512" hashValue="HeAglotvSWS+SWbel0zKvIOENddNnb7Is97T/4iRCRxQVvxfJzaxBY8z3WKtdZgdwszWHJyXZ2oNWHDPXHbUGg==" saltValue="liw6x5HY7WFwUHrdjs+rgg==" spinCount="100000" sheet="1" objects="1" scenarios="1" selectLockedCells="1" selectUnlockedCells="1"/>
  <autoFilter ref="B11:I127" xr:uid="{00000000-0001-0000-0100-000000000000}"/>
  <mergeCells count="95">
    <mergeCell ref="L11:L12"/>
    <mergeCell ref="K11:K13"/>
    <mergeCell ref="M11:M12"/>
    <mergeCell ref="I70:I77"/>
    <mergeCell ref="B78:B85"/>
    <mergeCell ref="D78:D85"/>
    <mergeCell ref="E78:E85"/>
    <mergeCell ref="G78:G85"/>
    <mergeCell ref="H78:H85"/>
    <mergeCell ref="I54:I61"/>
    <mergeCell ref="B46:B53"/>
    <mergeCell ref="B38:B45"/>
    <mergeCell ref="D38:D45"/>
    <mergeCell ref="E38:E45"/>
    <mergeCell ref="G38:G45"/>
    <mergeCell ref="H38:H45"/>
    <mergeCell ref="B54:B61"/>
    <mergeCell ref="D54:D61"/>
    <mergeCell ref="E54:E61"/>
    <mergeCell ref="G54:G61"/>
    <mergeCell ref="H54:H61"/>
    <mergeCell ref="B70:B77"/>
    <mergeCell ref="D70:D77"/>
    <mergeCell ref="E70:E77"/>
    <mergeCell ref="G70:G77"/>
    <mergeCell ref="B94:B101"/>
    <mergeCell ref="D94:D101"/>
    <mergeCell ref="E94:E101"/>
    <mergeCell ref="B86:B93"/>
    <mergeCell ref="I120:I127"/>
    <mergeCell ref="B111:B119"/>
    <mergeCell ref="I46:I53"/>
    <mergeCell ref="E111:E119"/>
    <mergeCell ref="E46:E53"/>
    <mergeCell ref="D46:D53"/>
    <mergeCell ref="G46:G53"/>
    <mergeCell ref="H102:H110"/>
    <mergeCell ref="I78:I85"/>
    <mergeCell ref="H62:H69"/>
    <mergeCell ref="I62:I69"/>
    <mergeCell ref="B102:B110"/>
    <mergeCell ref="D102:D110"/>
    <mergeCell ref="E102:E110"/>
    <mergeCell ref="G102:G110"/>
    <mergeCell ref="B62:B69"/>
    <mergeCell ref="B120:B127"/>
    <mergeCell ref="D120:D127"/>
    <mergeCell ref="E120:E127"/>
    <mergeCell ref="G120:G127"/>
    <mergeCell ref="H120:H127"/>
    <mergeCell ref="I11:I13"/>
    <mergeCell ref="H14:H21"/>
    <mergeCell ref="H22:H29"/>
    <mergeCell ref="G14:G21"/>
    <mergeCell ref="G22:G29"/>
    <mergeCell ref="G11:G13"/>
    <mergeCell ref="H11:H13"/>
    <mergeCell ref="B11:B13"/>
    <mergeCell ref="C11:C13"/>
    <mergeCell ref="D11:D13"/>
    <mergeCell ref="E11:E13"/>
    <mergeCell ref="F11:F13"/>
    <mergeCell ref="B22:B29"/>
    <mergeCell ref="I22:I29"/>
    <mergeCell ref="I30:I37"/>
    <mergeCell ref="H46:H53"/>
    <mergeCell ref="B14:B21"/>
    <mergeCell ref="I14:I21"/>
    <mergeCell ref="D14:D21"/>
    <mergeCell ref="E14:E21"/>
    <mergeCell ref="D22:D29"/>
    <mergeCell ref="E22:E29"/>
    <mergeCell ref="B30:B37"/>
    <mergeCell ref="E30:E37"/>
    <mergeCell ref="I38:I45"/>
    <mergeCell ref="G30:G37"/>
    <mergeCell ref="D30:D37"/>
    <mergeCell ref="I111:I119"/>
    <mergeCell ref="I102:I110"/>
    <mergeCell ref="G94:G101"/>
    <mergeCell ref="H94:H101"/>
    <mergeCell ref="I94:I101"/>
    <mergeCell ref="D111:D119"/>
    <mergeCell ref="H111:H119"/>
    <mergeCell ref="G111:G119"/>
    <mergeCell ref="H30:H37"/>
    <mergeCell ref="H70:H77"/>
    <mergeCell ref="D62:D69"/>
    <mergeCell ref="E62:E69"/>
    <mergeCell ref="G62:G69"/>
    <mergeCell ref="I86:I93"/>
    <mergeCell ref="G86:G93"/>
    <mergeCell ref="H86:H93"/>
    <mergeCell ref="E86:E93"/>
    <mergeCell ref="D86:D93"/>
  </mergeCells>
  <pageMargins left="0.7" right="0.7" top="0.75" bottom="0.75" header="0.3" footer="0.3"/>
  <pageSetup paperSize="9" orientation="portrait" r:id="rId1"/>
  <headerFooter>
    <oddFooter>&amp;C_x000D_&amp;1#&amp;"Calibri"&amp;10&amp;K000000 Internal</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W49"/>
  <sheetViews>
    <sheetView view="pageBreakPreview" zoomScale="85" zoomScaleNormal="100" zoomScaleSheetLayoutView="85" workbookViewId="0">
      <selection sqref="A1:AJ4"/>
    </sheetView>
  </sheetViews>
  <sheetFormatPr defaultRowHeight="12.75"/>
  <cols>
    <col min="1" max="36" width="2.7109375" style="2" customWidth="1"/>
    <col min="37" max="16384" width="9.140625" style="2"/>
  </cols>
  <sheetData>
    <row r="1" spans="1:49" s="23" customFormat="1" ht="14.25" customHeight="1">
      <c r="A1" s="1158" t="s">
        <v>21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Y1" s="1159"/>
      <c r="Z1" s="1159"/>
      <c r="AA1" s="1159"/>
      <c r="AB1" s="1159"/>
      <c r="AC1" s="1159"/>
      <c r="AD1" s="1159"/>
      <c r="AE1" s="1159"/>
      <c r="AF1" s="1159"/>
      <c r="AG1" s="1159"/>
      <c r="AH1" s="1159"/>
      <c r="AI1" s="1159"/>
      <c r="AJ1" s="1160"/>
    </row>
    <row r="2" spans="1:49" s="23" customFormat="1" ht="14.25" customHeight="1">
      <c r="A2" s="116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3"/>
    </row>
    <row r="3" spans="1:49" s="23" customFormat="1" ht="14.25" customHeight="1">
      <c r="A3" s="116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3"/>
      <c r="AV3" s="24"/>
    </row>
    <row r="4" spans="1:49" s="23" customFormat="1" ht="14.25" customHeight="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6"/>
      <c r="AO4" s="25"/>
      <c r="AP4" s="25"/>
      <c r="AQ4" s="25"/>
      <c r="AW4" s="26"/>
    </row>
    <row r="5" spans="1:49" s="28" customFormat="1" ht="15" customHeight="1">
      <c r="A5" s="1167" t="s">
        <v>22</v>
      </c>
      <c r="B5" s="1168"/>
      <c r="C5" s="1168"/>
      <c r="D5" s="1168"/>
      <c r="E5" s="1168"/>
      <c r="F5" s="1168"/>
      <c r="G5" s="1168"/>
      <c r="H5" s="27" t="str">
        <f>'Emiss. Ops'!$C$2</f>
        <v>OMVP</v>
      </c>
      <c r="I5" s="27"/>
      <c r="J5" s="27"/>
      <c r="K5" s="27"/>
      <c r="L5" s="27"/>
      <c r="M5" s="27"/>
      <c r="N5" s="27"/>
      <c r="O5" s="27"/>
      <c r="P5" s="27"/>
      <c r="Q5" s="27"/>
      <c r="R5" s="27"/>
      <c r="S5" s="27"/>
      <c r="T5" s="27"/>
      <c r="U5" s="27"/>
      <c r="V5" s="27"/>
      <c r="W5" s="27"/>
      <c r="X5" s="1168" t="s">
        <v>23</v>
      </c>
      <c r="Y5" s="1168"/>
      <c r="Z5" s="1168"/>
      <c r="AA5" s="1168"/>
      <c r="AB5" s="1169"/>
      <c r="AC5" s="1169"/>
      <c r="AD5" s="1169"/>
      <c r="AE5" s="1169"/>
      <c r="AF5" s="1169"/>
      <c r="AG5" s="1169"/>
      <c r="AH5" s="1169"/>
      <c r="AI5" s="1169"/>
      <c r="AJ5" s="1170"/>
      <c r="AO5" s="29"/>
      <c r="AP5" s="29"/>
      <c r="AQ5" s="25"/>
      <c r="AW5" s="26"/>
    </row>
    <row r="6" spans="1:49" s="28" customFormat="1" ht="15" customHeight="1">
      <c r="A6" s="1171" t="s">
        <v>24</v>
      </c>
      <c r="B6" s="1172"/>
      <c r="C6" s="1172"/>
      <c r="D6" s="1172"/>
      <c r="E6" s="1172"/>
      <c r="F6" s="1172"/>
      <c r="G6" s="1172"/>
      <c r="H6" s="30" t="str">
        <f>'Emiss. Ops'!$C$3</f>
        <v>OMV Neptun BAT Study &amp; ESIA</v>
      </c>
      <c r="I6" s="30"/>
      <c r="J6" s="30"/>
      <c r="K6" s="30"/>
      <c r="L6" s="30"/>
      <c r="M6" s="30"/>
      <c r="N6" s="30"/>
      <c r="O6" s="30"/>
      <c r="P6" s="30"/>
      <c r="Q6" s="30"/>
      <c r="R6" s="30"/>
      <c r="S6" s="30"/>
      <c r="T6" s="30"/>
      <c r="U6" s="30"/>
      <c r="V6" s="30"/>
      <c r="W6" s="30"/>
      <c r="X6" s="1172" t="s">
        <v>25</v>
      </c>
      <c r="Y6" s="1172"/>
      <c r="Z6" s="1172"/>
      <c r="AA6" s="1172"/>
      <c r="AB6" s="1022"/>
      <c r="AC6" s="1022"/>
      <c r="AD6" s="1022"/>
      <c r="AE6" s="1022"/>
      <c r="AF6" s="1022"/>
      <c r="AG6" s="1022"/>
      <c r="AH6" s="1022"/>
      <c r="AI6" s="1022"/>
      <c r="AJ6" s="1173"/>
      <c r="AN6" s="25"/>
      <c r="AO6" s="29"/>
      <c r="AP6" s="29"/>
      <c r="AQ6" s="29"/>
      <c r="AR6" s="25"/>
      <c r="AW6" s="26"/>
    </row>
    <row r="7" spans="1:49" s="28" customFormat="1" ht="15" customHeight="1">
      <c r="A7" s="1171" t="s">
        <v>26</v>
      </c>
      <c r="B7" s="1172"/>
      <c r="C7" s="1172"/>
      <c r="D7" s="1172"/>
      <c r="E7" s="1172"/>
      <c r="F7" s="1172"/>
      <c r="G7" s="1172"/>
      <c r="H7" s="30" t="str">
        <f>'Emiss. Ops'!$C$4</f>
        <v>Emissions Inventory</v>
      </c>
      <c r="I7" s="30"/>
      <c r="J7" s="30"/>
      <c r="K7" s="30"/>
      <c r="L7" s="30"/>
      <c r="M7" s="30"/>
      <c r="N7" s="30"/>
      <c r="O7" s="30"/>
      <c r="P7" s="30"/>
      <c r="Q7" s="30"/>
      <c r="R7" s="30"/>
      <c r="S7" s="30"/>
      <c r="T7" s="30"/>
      <c r="U7" s="30"/>
      <c r="V7" s="30"/>
      <c r="W7" s="30"/>
      <c r="X7" s="1172" t="s">
        <v>27</v>
      </c>
      <c r="Y7" s="1172"/>
      <c r="Z7" s="1172"/>
      <c r="AA7" s="1172"/>
      <c r="AB7" s="30" t="str">
        <f>'Emiss. Ops'!$I$4</f>
        <v>Normal Operations</v>
      </c>
      <c r="AC7" s="31"/>
      <c r="AD7" s="31"/>
      <c r="AE7" s="31"/>
      <c r="AF7" s="31"/>
      <c r="AG7" s="31"/>
      <c r="AH7" s="31"/>
      <c r="AI7" s="31"/>
      <c r="AJ7" s="32"/>
      <c r="AN7" s="25"/>
      <c r="AO7" s="29"/>
      <c r="AP7" s="29"/>
      <c r="AQ7" s="33"/>
      <c r="AR7" s="25"/>
      <c r="AW7" s="26"/>
    </row>
    <row r="8" spans="1:49" s="28" customFormat="1" ht="14.25" customHeight="1">
      <c r="A8" s="1179" t="s">
        <v>98</v>
      </c>
      <c r="B8" s="1180"/>
      <c r="C8" s="1180"/>
      <c r="D8" s="1180"/>
      <c r="E8" s="1180"/>
      <c r="F8" s="1180"/>
      <c r="G8" s="1180"/>
      <c r="H8" s="1181"/>
      <c r="I8" s="1181"/>
      <c r="J8" s="1181"/>
      <c r="K8" s="1181"/>
      <c r="L8" s="1181"/>
      <c r="M8" s="1181"/>
      <c r="N8" s="1181"/>
      <c r="O8" s="1181"/>
      <c r="P8" s="1181"/>
      <c r="Q8" s="1181"/>
      <c r="R8" s="1181"/>
      <c r="S8" s="1181"/>
      <c r="T8" s="1181"/>
      <c r="U8" s="1181"/>
      <c r="V8" s="1181"/>
      <c r="W8" s="1181"/>
      <c r="X8" s="1181"/>
      <c r="Y8" s="1181"/>
      <c r="Z8" s="1181"/>
      <c r="AA8" s="1181"/>
      <c r="AB8" s="1181"/>
      <c r="AC8" s="1181"/>
      <c r="AD8" s="1181"/>
      <c r="AE8" s="1181"/>
      <c r="AF8" s="1181"/>
      <c r="AG8" s="1181"/>
      <c r="AH8" s="1181"/>
      <c r="AI8" s="1181"/>
      <c r="AJ8" s="1182"/>
      <c r="AN8" s="25"/>
      <c r="AO8" s="29"/>
      <c r="AP8" s="29"/>
      <c r="AQ8" s="34"/>
      <c r="AR8" s="25"/>
      <c r="AW8" s="26"/>
    </row>
    <row r="9" spans="1:49" s="23" customFormat="1" ht="15" customHeight="1">
      <c r="A9" s="1174" t="s">
        <v>99</v>
      </c>
      <c r="B9" s="1694"/>
      <c r="C9" s="1694"/>
      <c r="D9" s="1694"/>
      <c r="E9" s="1694"/>
      <c r="F9" s="1694"/>
      <c r="G9" s="1694"/>
      <c r="H9" s="1175"/>
      <c r="I9" s="1695"/>
      <c r="J9" s="1695"/>
      <c r="K9" s="1695"/>
      <c r="L9" s="1695"/>
      <c r="M9" s="1695"/>
      <c r="N9" s="1695"/>
      <c r="O9" s="1695"/>
      <c r="P9" s="1695"/>
      <c r="Q9" s="1695"/>
      <c r="R9" s="1695"/>
      <c r="S9" s="1695"/>
      <c r="T9" s="1695"/>
      <c r="U9" s="1695"/>
      <c r="V9" s="1695"/>
      <c r="W9" s="1695"/>
      <c r="X9" s="1175" t="s">
        <v>28</v>
      </c>
      <c r="Y9" s="1175"/>
      <c r="Z9" s="1175"/>
      <c r="AA9" s="1175"/>
      <c r="AB9" s="1176"/>
      <c r="AC9" s="1176"/>
      <c r="AD9" s="1176"/>
      <c r="AE9" s="1177"/>
      <c r="AF9" s="1177"/>
      <c r="AG9" s="1177"/>
      <c r="AH9" s="1085"/>
      <c r="AI9" s="1085"/>
      <c r="AJ9" s="1178"/>
      <c r="AN9" s="29"/>
      <c r="AO9" s="29"/>
      <c r="AP9" s="29"/>
      <c r="AQ9" s="29"/>
      <c r="AR9" s="29"/>
    </row>
    <row r="10" spans="1:49" s="23" customFormat="1" ht="14.25" customHeight="1">
      <c r="A10" s="1117" t="s">
        <v>1041</v>
      </c>
      <c r="B10" s="1118"/>
      <c r="C10" s="1118"/>
      <c r="D10" s="1118"/>
      <c r="E10" s="1118"/>
      <c r="F10" s="1118"/>
      <c r="G10" s="1118"/>
      <c r="H10" s="1118"/>
      <c r="I10" s="1118"/>
      <c r="J10" s="1118"/>
      <c r="K10" s="1118"/>
      <c r="L10" s="1118"/>
      <c r="M10" s="1118"/>
      <c r="N10" s="1118"/>
      <c r="O10" s="1118"/>
      <c r="P10" s="1118"/>
      <c r="Q10" s="1118"/>
      <c r="R10" s="1118"/>
      <c r="S10" s="1118"/>
      <c r="T10" s="1118"/>
      <c r="U10" s="1118"/>
      <c r="V10" s="1118"/>
      <c r="W10" s="1118"/>
      <c r="X10" s="1118"/>
      <c r="Y10" s="1118"/>
      <c r="Z10" s="1118"/>
      <c r="AA10" s="1118"/>
      <c r="AB10" s="1118"/>
      <c r="AC10" s="1118"/>
      <c r="AD10" s="1118"/>
      <c r="AE10" s="1118"/>
      <c r="AF10" s="1118"/>
      <c r="AG10" s="1118"/>
      <c r="AH10" s="1118"/>
      <c r="AI10" s="1118"/>
      <c r="AJ10" s="1119"/>
      <c r="AN10" s="29"/>
      <c r="AO10" s="29"/>
      <c r="AP10" s="29"/>
      <c r="AQ10" s="29"/>
      <c r="AR10" s="29"/>
    </row>
    <row r="11" spans="1:49" s="23" customFormat="1" ht="14.25" customHeight="1">
      <c r="A11" s="1149"/>
      <c r="B11" s="1150"/>
      <c r="C11" s="1150"/>
      <c r="D11" s="1150"/>
      <c r="E11" s="1150"/>
      <c r="F11" s="1150"/>
      <c r="G11" s="1150"/>
      <c r="H11" s="1150"/>
      <c r="I11" s="1150"/>
      <c r="J11" s="1150"/>
      <c r="K11" s="1150"/>
      <c r="L11" s="1150"/>
      <c r="M11" s="1150"/>
      <c r="N11" s="1150"/>
      <c r="O11" s="1150"/>
      <c r="P11" s="1150"/>
      <c r="Q11" s="1150"/>
      <c r="R11" s="1150"/>
      <c r="S11" s="1150"/>
      <c r="T11" s="1150"/>
      <c r="U11" s="1150"/>
      <c r="V11" s="1150"/>
      <c r="W11" s="1150"/>
      <c r="X11" s="1150"/>
      <c r="Y11" s="1150"/>
      <c r="Z11" s="1150"/>
      <c r="AA11" s="1150"/>
      <c r="AB11" s="1150"/>
      <c r="AC11" s="1150"/>
      <c r="AD11" s="1150"/>
      <c r="AE11" s="1150"/>
      <c r="AF11" s="1150"/>
      <c r="AG11" s="1150"/>
      <c r="AH11" s="1150"/>
      <c r="AI11" s="1150"/>
      <c r="AJ11" s="1151"/>
      <c r="AN11" s="29"/>
      <c r="AO11" s="29"/>
      <c r="AP11" s="29"/>
      <c r="AQ11" s="35"/>
      <c r="AR11" s="29"/>
    </row>
    <row r="12" spans="1:49">
      <c r="A12" s="36"/>
      <c r="B12" s="37"/>
      <c r="C12" s="37"/>
      <c r="D12" s="37"/>
      <c r="E12" s="37"/>
      <c r="F12" s="37"/>
      <c r="G12" s="37"/>
      <c r="H12" s="37"/>
      <c r="I12" s="37"/>
      <c r="J12" s="38"/>
      <c r="K12" s="38"/>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9"/>
    </row>
    <row r="13" spans="1:49">
      <c r="A13" s="36"/>
      <c r="B13" s="37"/>
      <c r="C13" s="37" t="s">
        <v>52</v>
      </c>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9"/>
    </row>
    <row r="14" spans="1:49">
      <c r="A14" s="36"/>
      <c r="B14" s="37"/>
      <c r="C14" s="40" t="s">
        <v>53</v>
      </c>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9"/>
    </row>
    <row r="15" spans="1:49">
      <c r="A15" s="36"/>
      <c r="B15" s="37"/>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9"/>
    </row>
    <row r="16" spans="1:49">
      <c r="A16" s="36"/>
      <c r="B16" s="37"/>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9"/>
    </row>
    <row r="17" spans="1:36">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9"/>
    </row>
    <row r="18" spans="1:36">
      <c r="A18" s="36"/>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9"/>
    </row>
    <row r="19" spans="1:36">
      <c r="A19" s="36"/>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9"/>
    </row>
    <row r="20" spans="1:36">
      <c r="A20" s="36"/>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9"/>
    </row>
    <row r="21" spans="1:36">
      <c r="A21" s="36"/>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9"/>
    </row>
    <row r="22" spans="1:36">
      <c r="A22" s="36"/>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9"/>
    </row>
    <row r="23" spans="1:36">
      <c r="A23" s="36"/>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9"/>
    </row>
    <row r="24" spans="1:36">
      <c r="A24" s="36"/>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9"/>
    </row>
    <row r="25" spans="1:36">
      <c r="A25" s="36"/>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9"/>
    </row>
    <row r="26" spans="1:36">
      <c r="A26" s="36"/>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9"/>
    </row>
    <row r="27" spans="1:36">
      <c r="A27" s="36"/>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9"/>
    </row>
    <row r="28" spans="1:36">
      <c r="A28" s="36"/>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9"/>
    </row>
    <row r="29" spans="1:36">
      <c r="A29" s="36"/>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9"/>
    </row>
    <row r="30" spans="1:36">
      <c r="A30" s="36"/>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9"/>
    </row>
    <row r="31" spans="1:36">
      <c r="A31" s="36"/>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9"/>
    </row>
    <row r="32" spans="1:36">
      <c r="A32" s="36"/>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9"/>
    </row>
    <row r="33" spans="1:36">
      <c r="A33" s="36"/>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9"/>
    </row>
    <row r="34" spans="1:36">
      <c r="A34" s="36"/>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9"/>
    </row>
    <row r="35" spans="1:36">
      <c r="A35" s="36"/>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9"/>
    </row>
    <row r="36" spans="1:36">
      <c r="A36" s="36"/>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9"/>
    </row>
    <row r="37" spans="1:36">
      <c r="A37" s="36"/>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9"/>
    </row>
    <row r="38" spans="1:36">
      <c r="A38" s="36"/>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9"/>
    </row>
    <row r="39" spans="1:36">
      <c r="A39" s="36"/>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9"/>
    </row>
    <row r="40" spans="1:36">
      <c r="A40" s="36"/>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9"/>
    </row>
    <row r="41" spans="1:36">
      <c r="A41" s="36"/>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9"/>
    </row>
    <row r="42" spans="1:36">
      <c r="A42" s="36"/>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9"/>
    </row>
    <row r="43" spans="1:36">
      <c r="A43" s="36"/>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9"/>
    </row>
    <row r="44" spans="1:36">
      <c r="A44" s="36"/>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9"/>
    </row>
    <row r="45" spans="1:36">
      <c r="A45" s="36"/>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9"/>
    </row>
    <row r="46" spans="1:36">
      <c r="A46" s="36"/>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9"/>
    </row>
    <row r="47" spans="1:36">
      <c r="A47" s="36"/>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9"/>
    </row>
    <row r="48" spans="1:36">
      <c r="A48" s="36"/>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9"/>
    </row>
    <row r="49" spans="1:36">
      <c r="A49" s="41"/>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3"/>
    </row>
  </sheetData>
  <sheetProtection algorithmName="SHA-512" hashValue="z/LPRCqmtc5w9CcTOweQuhoXaXcVJGEJhvHuyhGVUpVNoVbGYPT6IP1bYJtfha8i6OrFt2WsQA7u6nJg66m2Dg==" saltValue="EGg3hYQVUYBcQ9psksFuHA==" spinCount="100000" sheet="1" objects="1" scenarios="1" selectLockedCells="1" selectUnlockedCells="1"/>
  <mergeCells count="18">
    <mergeCell ref="A7:G7"/>
    <mergeCell ref="X7:AA7"/>
    <mergeCell ref="A8:G8"/>
    <mergeCell ref="H8:AJ8"/>
    <mergeCell ref="A10:AJ11"/>
    <mergeCell ref="A9:G9"/>
    <mergeCell ref="H9:W9"/>
    <mergeCell ref="X9:AA9"/>
    <mergeCell ref="AB9:AD9"/>
    <mergeCell ref="AE9:AG9"/>
    <mergeCell ref="AH9:AJ9"/>
    <mergeCell ref="A6:G6"/>
    <mergeCell ref="X6:AA6"/>
    <mergeCell ref="AB6:AJ6"/>
    <mergeCell ref="A1:AJ4"/>
    <mergeCell ref="A5:G5"/>
    <mergeCell ref="X5:AA5"/>
    <mergeCell ref="AB5:AJ5"/>
  </mergeCells>
  <hyperlinks>
    <hyperlink ref="C14" r:id="rId1" xr:uid="{55C297F2-3AA0-4F0D-90A2-2401294E715B}"/>
  </hyperlinks>
  <pageMargins left="0.7" right="0.7" top="0.75" bottom="0.75" header="0.3" footer="0.3"/>
  <pageSetup paperSize="9" scale="87" orientation="portrait" r:id="rId2"/>
  <headerFooter>
    <oddFooter>&amp;C_x000D_&amp;1#&amp;"Calibri"&amp;10&amp;K000000 Internal</oddFooter>
  </headerFooter>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56"/>
  <sheetViews>
    <sheetView showGridLines="0" view="pageBreakPreview" zoomScale="85" zoomScaleNormal="100" zoomScaleSheetLayoutView="85" workbookViewId="0">
      <selection activeCell="E6" sqref="E6"/>
    </sheetView>
  </sheetViews>
  <sheetFormatPr defaultRowHeight="12.75"/>
  <cols>
    <col min="1" max="16384" width="9.140625" style="2"/>
  </cols>
  <sheetData>
    <row r="1" spans="1:14">
      <c r="A1" s="14" t="s">
        <v>1042</v>
      </c>
      <c r="B1" s="15"/>
      <c r="C1" s="15"/>
      <c r="D1" s="15"/>
      <c r="E1" s="15"/>
      <c r="F1" s="15"/>
      <c r="G1" s="15"/>
      <c r="H1" s="15"/>
      <c r="I1" s="15"/>
      <c r="J1" s="15"/>
      <c r="K1" s="15"/>
      <c r="L1" s="16"/>
    </row>
    <row r="2" spans="1:14">
      <c r="A2" s="17"/>
      <c r="L2" s="18"/>
      <c r="N2" s="2" t="s">
        <v>1043</v>
      </c>
    </row>
    <row r="3" spans="1:14">
      <c r="A3" s="17"/>
      <c r="L3" s="18"/>
      <c r="N3" s="2" t="s">
        <v>1044</v>
      </c>
    </row>
    <row r="4" spans="1:14">
      <c r="A4" s="17"/>
      <c r="L4" s="18"/>
    </row>
    <row r="5" spans="1:14">
      <c r="A5" s="17"/>
      <c r="L5" s="18"/>
    </row>
    <row r="6" spans="1:14">
      <c r="A6" s="17"/>
      <c r="L6" s="18"/>
    </row>
    <row r="7" spans="1:14">
      <c r="A7" s="17"/>
      <c r="L7" s="18"/>
    </row>
    <row r="8" spans="1:14">
      <c r="A8" s="17"/>
      <c r="L8" s="18"/>
    </row>
    <row r="9" spans="1:14">
      <c r="A9" s="17"/>
      <c r="L9" s="18"/>
    </row>
    <row r="10" spans="1:14">
      <c r="A10" s="17"/>
      <c r="L10" s="18"/>
    </row>
    <row r="11" spans="1:14">
      <c r="A11" s="17"/>
      <c r="L11" s="18"/>
    </row>
    <row r="12" spans="1:14">
      <c r="A12" s="17"/>
      <c r="L12" s="18"/>
    </row>
    <row r="13" spans="1:14">
      <c r="A13" s="17"/>
      <c r="L13" s="18"/>
    </row>
    <row r="14" spans="1:14">
      <c r="A14" s="17"/>
      <c r="L14" s="18"/>
    </row>
    <row r="15" spans="1:14">
      <c r="A15" s="17"/>
      <c r="L15" s="18"/>
    </row>
    <row r="16" spans="1:14">
      <c r="A16" s="17"/>
      <c r="L16" s="18"/>
    </row>
    <row r="17" spans="1:14">
      <c r="A17" s="17"/>
      <c r="L17" s="18"/>
    </row>
    <row r="18" spans="1:14">
      <c r="A18" s="17"/>
      <c r="L18" s="18"/>
    </row>
    <row r="19" spans="1:14">
      <c r="A19" s="17"/>
      <c r="L19" s="18"/>
    </row>
    <row r="20" spans="1:14">
      <c r="A20" s="17"/>
      <c r="L20" s="18"/>
    </row>
    <row r="21" spans="1:14">
      <c r="A21" s="17"/>
      <c r="L21" s="18"/>
    </row>
    <row r="22" spans="1:14">
      <c r="A22" s="17"/>
      <c r="L22" s="18"/>
    </row>
    <row r="23" spans="1:14">
      <c r="A23" s="17"/>
      <c r="L23" s="18"/>
    </row>
    <row r="24" spans="1:14">
      <c r="A24" s="17"/>
      <c r="L24" s="18"/>
    </row>
    <row r="25" spans="1:14">
      <c r="A25" s="17"/>
      <c r="L25" s="18"/>
    </row>
    <row r="26" spans="1:14">
      <c r="A26" s="17"/>
      <c r="L26" s="18"/>
    </row>
    <row r="27" spans="1:14">
      <c r="A27" s="17"/>
      <c r="L27" s="18"/>
      <c r="N27" s="2" t="s">
        <v>1045</v>
      </c>
    </row>
    <row r="28" spans="1:14">
      <c r="A28" s="17"/>
      <c r="L28" s="18"/>
    </row>
    <row r="29" spans="1:14">
      <c r="A29" s="2" t="s">
        <v>1046</v>
      </c>
      <c r="L29" s="18"/>
    </row>
    <row r="30" spans="1:14">
      <c r="A30" s="17"/>
      <c r="L30" s="18"/>
    </row>
    <row r="31" spans="1:14">
      <c r="A31" s="19"/>
      <c r="L31" s="18"/>
    </row>
    <row r="32" spans="1:14">
      <c r="A32" s="17"/>
      <c r="L32" s="18"/>
    </row>
    <row r="33" spans="1:12">
      <c r="A33" s="17"/>
      <c r="L33" s="18"/>
    </row>
    <row r="34" spans="1:12">
      <c r="A34" s="17"/>
      <c r="L34" s="18"/>
    </row>
    <row r="35" spans="1:12">
      <c r="A35" s="17"/>
      <c r="L35" s="18"/>
    </row>
    <row r="36" spans="1:12">
      <c r="A36" s="17"/>
      <c r="L36" s="18"/>
    </row>
    <row r="37" spans="1:12">
      <c r="A37" s="17"/>
      <c r="L37" s="18"/>
    </row>
    <row r="38" spans="1:12">
      <c r="A38" s="17"/>
      <c r="L38" s="18"/>
    </row>
    <row r="39" spans="1:12">
      <c r="A39" s="17"/>
      <c r="L39" s="18"/>
    </row>
    <row r="40" spans="1:12">
      <c r="A40" s="17"/>
      <c r="L40" s="18"/>
    </row>
    <row r="41" spans="1:12">
      <c r="A41" s="17"/>
      <c r="L41" s="18"/>
    </row>
    <row r="42" spans="1:12">
      <c r="A42" s="17"/>
      <c r="L42" s="18"/>
    </row>
    <row r="43" spans="1:12">
      <c r="A43" s="17"/>
      <c r="L43" s="18"/>
    </row>
    <row r="44" spans="1:12">
      <c r="A44" s="17"/>
      <c r="L44" s="18"/>
    </row>
    <row r="45" spans="1:12">
      <c r="A45" s="17"/>
      <c r="L45" s="18"/>
    </row>
    <row r="46" spans="1:12">
      <c r="A46" s="17"/>
      <c r="L46" s="18"/>
    </row>
    <row r="47" spans="1:12">
      <c r="A47" s="17"/>
      <c r="L47" s="18"/>
    </row>
    <row r="48" spans="1:12">
      <c r="A48" s="17"/>
      <c r="L48" s="18"/>
    </row>
    <row r="49" spans="1:12">
      <c r="A49" s="17"/>
      <c r="L49" s="18"/>
    </row>
    <row r="50" spans="1:12">
      <c r="A50" s="17"/>
      <c r="L50" s="18"/>
    </row>
    <row r="51" spans="1:12">
      <c r="A51" s="17"/>
      <c r="L51" s="18"/>
    </row>
    <row r="52" spans="1:12">
      <c r="A52" s="17"/>
      <c r="L52" s="18"/>
    </row>
    <row r="53" spans="1:12">
      <c r="A53" s="17"/>
      <c r="L53" s="18"/>
    </row>
    <row r="54" spans="1:12">
      <c r="A54" s="17"/>
      <c r="L54" s="18"/>
    </row>
    <row r="55" spans="1:12">
      <c r="A55" s="17"/>
      <c r="L55" s="18"/>
    </row>
    <row r="56" spans="1:12">
      <c r="A56" s="20"/>
      <c r="B56" s="21"/>
      <c r="C56" s="21"/>
      <c r="D56" s="21"/>
      <c r="E56" s="21"/>
      <c r="F56" s="21"/>
      <c r="G56" s="21"/>
      <c r="H56" s="21"/>
      <c r="I56" s="21"/>
      <c r="J56" s="21"/>
      <c r="K56" s="21"/>
      <c r="L56" s="22"/>
    </row>
  </sheetData>
  <sheetProtection algorithmName="SHA-512" hashValue="jdrRCL2iT6F0Nny2SSNiRpsJNbcf9fATmUPKNNntMuvu1NCEqBWSv5ls54f3j2O2tWxlkcYG4oeaGGqjQ3e6nQ==" saltValue="A2HXRAL8JtUf+1YdL7qePA==" spinCount="100000" sheet="1" objects="1" scenarios="1" selectLockedCells="1" selectUnlockedCells="1"/>
  <pageMargins left="0.7" right="0.7" top="0.75" bottom="0.75" header="0.3" footer="0.3"/>
  <pageSetup paperSize="9" scale="81" orientation="portrait" r:id="rId1"/>
  <headerFooter>
    <oddFooter>&amp;C_x000D_&amp;1#&amp;"Calibri"&amp;10&amp;K000000 Internal</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I21"/>
  <sheetViews>
    <sheetView workbookViewId="0">
      <selection activeCell="E6" sqref="E6"/>
    </sheetView>
  </sheetViews>
  <sheetFormatPr defaultRowHeight="12.75"/>
  <cols>
    <col min="1" max="1" width="9.140625" style="2"/>
    <col min="2" max="2" width="15.7109375" style="2" customWidth="1"/>
    <col min="3" max="3" width="13.7109375" style="2" customWidth="1"/>
    <col min="4" max="4" width="9.140625" style="2"/>
    <col min="5" max="5" width="10.5703125" style="2" customWidth="1"/>
    <col min="6" max="16384" width="9.140625" style="2"/>
  </cols>
  <sheetData>
    <row r="2" spans="2:9">
      <c r="B2" s="1" t="s">
        <v>128</v>
      </c>
      <c r="C2" s="2" t="s">
        <v>1047</v>
      </c>
      <c r="E2" s="2" t="s">
        <v>1048</v>
      </c>
    </row>
    <row r="4" spans="2:9" ht="14.25">
      <c r="B4" s="3" t="s">
        <v>1049</v>
      </c>
      <c r="C4" s="4">
        <v>1</v>
      </c>
      <c r="D4" s="3" t="s">
        <v>1050</v>
      </c>
      <c r="E4" s="4">
        <v>1</v>
      </c>
      <c r="F4" s="3" t="s">
        <v>1050</v>
      </c>
    </row>
    <row r="5" spans="2:9">
      <c r="B5" s="3" t="s">
        <v>1051</v>
      </c>
      <c r="C5" s="5">
        <v>75</v>
      </c>
      <c r="D5" s="3" t="s">
        <v>1052</v>
      </c>
      <c r="E5" s="5">
        <v>25</v>
      </c>
      <c r="F5" s="3" t="s">
        <v>1052</v>
      </c>
      <c r="I5" s="2">
        <f>8260/171</f>
        <v>48.304093567251464</v>
      </c>
    </row>
    <row r="6" spans="2:9">
      <c r="B6" s="3" t="s">
        <v>1053</v>
      </c>
      <c r="C6" s="5">
        <v>60</v>
      </c>
      <c r="D6" s="3" t="s">
        <v>1054</v>
      </c>
      <c r="E6" s="5">
        <v>150.30000000000001</v>
      </c>
      <c r="F6" s="3" t="s">
        <v>1054</v>
      </c>
    </row>
    <row r="7" spans="2:9">
      <c r="B7" s="3" t="s">
        <v>1018</v>
      </c>
      <c r="C7" s="5">
        <v>26.2</v>
      </c>
      <c r="D7" s="6"/>
      <c r="E7" s="5">
        <v>47.4</v>
      </c>
      <c r="F7" s="6"/>
    </row>
    <row r="8" spans="2:9">
      <c r="B8" s="3" t="s">
        <v>1055</v>
      </c>
      <c r="C8" s="7">
        <v>0.71399999999999997</v>
      </c>
      <c r="E8" s="7">
        <v>0.82</v>
      </c>
    </row>
    <row r="9" spans="2:9">
      <c r="B9" s="3" t="s">
        <v>1056</v>
      </c>
      <c r="C9" s="8">
        <f>(288*C5*C4)/(1.01325*(C6+273.15))/C8</f>
        <v>89.618796897393892</v>
      </c>
      <c r="D9" s="3" t="s">
        <v>709</v>
      </c>
      <c r="E9" s="8">
        <f>(288*E5*E4)/(1.01325*(E6+273.15))/E8</f>
        <v>20.464441392727256</v>
      </c>
      <c r="F9" s="3" t="s">
        <v>709</v>
      </c>
    </row>
    <row r="10" spans="2:9">
      <c r="B10" s="6"/>
    </row>
    <row r="11" spans="2:9">
      <c r="B11" s="3" t="s">
        <v>1057</v>
      </c>
      <c r="C11" s="9">
        <v>100.91</v>
      </c>
      <c r="D11" s="2" t="s">
        <v>783</v>
      </c>
      <c r="E11" s="9">
        <v>42.72</v>
      </c>
      <c r="F11" s="2" t="s">
        <v>783</v>
      </c>
    </row>
    <row r="12" spans="2:9" ht="14.25">
      <c r="B12" s="3" t="s">
        <v>1058</v>
      </c>
      <c r="C12" s="10">
        <f>C11/C9</f>
        <v>1.1259914604246875</v>
      </c>
      <c r="D12" s="1" t="s">
        <v>1059</v>
      </c>
      <c r="E12" s="10">
        <f>E11/E9</f>
        <v>2.08752338655</v>
      </c>
      <c r="F12" s="1" t="s">
        <v>1059</v>
      </c>
    </row>
    <row r="15" spans="2:9">
      <c r="B15" s="1" t="s">
        <v>789</v>
      </c>
    </row>
    <row r="16" spans="2:9">
      <c r="B16" s="2" t="s">
        <v>1060</v>
      </c>
      <c r="C16" s="11">
        <v>12500</v>
      </c>
      <c r="D16" s="2" t="s">
        <v>1061</v>
      </c>
    </row>
    <row r="17" spans="2:5">
      <c r="C17" s="11">
        <v>131120</v>
      </c>
      <c r="D17" s="2" t="s">
        <v>161</v>
      </c>
      <c r="E17" s="2" t="s">
        <v>1062</v>
      </c>
    </row>
    <row r="18" spans="2:5">
      <c r="C18" s="11">
        <v>64710</v>
      </c>
      <c r="D18" s="2" t="s">
        <v>617</v>
      </c>
    </row>
    <row r="19" spans="2:5">
      <c r="B19" s="2" t="s">
        <v>1057</v>
      </c>
      <c r="C19" s="11">
        <v>744.56</v>
      </c>
      <c r="D19" s="2" t="s">
        <v>783</v>
      </c>
    </row>
    <row r="20" spans="2:5">
      <c r="C20" s="12">
        <f>C18/C19</f>
        <v>86.910390029010429</v>
      </c>
      <c r="D20" s="2" t="s">
        <v>1063</v>
      </c>
    </row>
    <row r="21" spans="2:5">
      <c r="C21" s="13">
        <f>C20*24*365</f>
        <v>761335.01665413135</v>
      </c>
      <c r="D21" s="2" t="s">
        <v>1064</v>
      </c>
    </row>
  </sheetData>
  <sheetProtection algorithmName="SHA-512" hashValue="BajSzlnx7y/NYh1oZm/zwn33CV91rJB6dm6Hq3qT/id0Rucsnu3Bcq1BG64M3v3djVAjVZEP4wwSchkeX2CQpg==" saltValue="IJXDoTp+xLp5gC29UND4iQ==" spinCount="100000" sheet="1" objects="1" scenarios="1" selectLockedCells="1" selectUnlockedCells="1"/>
  <pageMargins left="0.7" right="0.7" top="0.75" bottom="0.75" header="0.3" footer="0.3"/>
  <pageSetup paperSize="9" orientation="portrait" r:id="rId1"/>
  <headerFooter>
    <oddFooter>&amp;C_x000D_&amp;1#&amp;"Calibri"&amp;10&amp;K000000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F069C-7A07-423C-8E55-FC6BA9BB6BAF}">
  <sheetPr>
    <tabColor rgb="FFFF0000"/>
  </sheetPr>
  <dimension ref="B1:M81"/>
  <sheetViews>
    <sheetView topLeftCell="B7" zoomScale="80" zoomScaleNormal="80" workbookViewId="0">
      <selection activeCell="E6" sqref="E6"/>
    </sheetView>
  </sheetViews>
  <sheetFormatPr defaultColWidth="8.7109375" defaultRowHeight="12.75"/>
  <cols>
    <col min="1" max="1" width="8.7109375" style="624"/>
    <col min="2" max="2" width="28.7109375" style="624" customWidth="1"/>
    <col min="3" max="3" width="11.28515625" style="624" customWidth="1"/>
    <col min="4" max="4" width="10.5703125" style="624" customWidth="1"/>
    <col min="5" max="5" width="13.28515625" style="624" customWidth="1"/>
    <col min="6" max="6" width="17.5703125" style="635" customWidth="1"/>
    <col min="7" max="7" width="22.5703125" style="624" customWidth="1"/>
    <col min="8" max="8" width="13.7109375" style="624" customWidth="1"/>
    <col min="9" max="9" width="43.7109375" style="624" customWidth="1"/>
    <col min="10" max="10" width="8.7109375" style="624"/>
    <col min="11" max="11" width="10.7109375" style="624" bestFit="1" customWidth="1"/>
    <col min="12" max="12" width="13" style="624" customWidth="1"/>
    <col min="13" max="13" width="14.7109375" style="624" customWidth="1"/>
    <col min="14" max="16384" width="8.7109375" style="624"/>
  </cols>
  <sheetData>
    <row r="1" spans="2:13">
      <c r="F1" s="625"/>
      <c r="G1" s="626"/>
    </row>
    <row r="2" spans="2:13">
      <c r="B2" s="627" t="s">
        <v>22</v>
      </c>
      <c r="C2" s="628" t="s">
        <v>1</v>
      </c>
      <c r="D2" s="628"/>
      <c r="E2" s="628"/>
      <c r="F2" s="629"/>
      <c r="G2" s="630"/>
      <c r="H2" s="631" t="s">
        <v>23</v>
      </c>
      <c r="I2" s="632" t="str">
        <f>'Emiss. Const. Offsh.'!$I$2</f>
        <v>PRJ-001030</v>
      </c>
    </row>
    <row r="3" spans="2:13">
      <c r="B3" s="633" t="s">
        <v>24</v>
      </c>
      <c r="C3" s="628" t="s">
        <v>5</v>
      </c>
      <c r="D3" s="634"/>
      <c r="E3" s="634"/>
      <c r="H3" s="636" t="s">
        <v>25</v>
      </c>
      <c r="I3" s="637"/>
    </row>
    <row r="4" spans="2:13" ht="12.6" customHeight="1">
      <c r="B4" s="633" t="s">
        <v>26</v>
      </c>
      <c r="C4" s="634" t="s">
        <v>96</v>
      </c>
      <c r="D4" s="634"/>
      <c r="E4" s="634"/>
      <c r="H4" s="636" t="s">
        <v>27</v>
      </c>
      <c r="I4" s="638" t="s">
        <v>368</v>
      </c>
    </row>
    <row r="5" spans="2:13">
      <c r="B5" s="639" t="s">
        <v>98</v>
      </c>
      <c r="C5" s="640"/>
      <c r="D5" s="640"/>
      <c r="E5" s="640"/>
      <c r="H5" s="641"/>
      <c r="I5" s="642"/>
    </row>
    <row r="6" spans="2:13">
      <c r="B6" s="639"/>
      <c r="C6" s="640"/>
      <c r="D6" s="640"/>
      <c r="E6" s="640"/>
      <c r="H6" s="641"/>
      <c r="I6" s="642"/>
    </row>
    <row r="7" spans="2:13">
      <c r="B7" s="643" t="s">
        <v>99</v>
      </c>
      <c r="C7" s="626"/>
      <c r="D7" s="644"/>
      <c r="E7" s="644"/>
      <c r="F7" s="625"/>
      <c r="G7" s="626"/>
      <c r="H7" s="645" t="s">
        <v>28</v>
      </c>
      <c r="I7" s="646"/>
    </row>
    <row r="8" spans="2:13">
      <c r="B8" s="633"/>
      <c r="C8" s="702"/>
      <c r="D8" s="702"/>
      <c r="E8" s="702"/>
      <c r="F8" s="636"/>
      <c r="G8" s="634"/>
      <c r="H8" s="634"/>
      <c r="I8" s="638"/>
    </row>
    <row r="9" spans="2:13" ht="15.75">
      <c r="B9" s="703" t="s">
        <v>368</v>
      </c>
      <c r="D9" s="704"/>
      <c r="E9" s="704"/>
      <c r="F9" s="705"/>
      <c r="G9" s="704"/>
      <c r="H9" s="704"/>
      <c r="I9" s="706"/>
    </row>
    <row r="10" spans="2:13" ht="15.75" thickBot="1">
      <c r="B10" s="707" t="s">
        <v>103</v>
      </c>
      <c r="C10" s="704"/>
      <c r="D10" s="704"/>
      <c r="E10" s="704"/>
      <c r="F10" s="705"/>
      <c r="G10" s="704"/>
      <c r="H10" s="704"/>
      <c r="I10" s="706"/>
    </row>
    <row r="11" spans="2:13">
      <c r="B11" s="888" t="s">
        <v>106</v>
      </c>
      <c r="C11" s="888" t="s">
        <v>107</v>
      </c>
      <c r="D11" s="888" t="s">
        <v>108</v>
      </c>
      <c r="E11" s="888" t="s">
        <v>109</v>
      </c>
      <c r="F11" s="898" t="s">
        <v>369</v>
      </c>
      <c r="G11" s="888" t="s">
        <v>111</v>
      </c>
      <c r="H11" s="888" t="s">
        <v>112</v>
      </c>
      <c r="I11" s="888" t="s">
        <v>113</v>
      </c>
    </row>
    <row r="12" spans="2:13">
      <c r="B12" s="889"/>
      <c r="C12" s="889"/>
      <c r="D12" s="889"/>
      <c r="E12" s="889"/>
      <c r="F12" s="882"/>
      <c r="G12" s="889"/>
      <c r="H12" s="889"/>
      <c r="I12" s="889"/>
    </row>
    <row r="13" spans="2:13">
      <c r="B13" s="889"/>
      <c r="C13" s="889"/>
      <c r="D13" s="889"/>
      <c r="E13" s="889"/>
      <c r="F13" s="882"/>
      <c r="G13" s="889"/>
      <c r="H13" s="889"/>
      <c r="I13" s="889"/>
    </row>
    <row r="14" spans="2:13">
      <c r="B14" s="944" t="s">
        <v>370</v>
      </c>
      <c r="C14" s="708" t="s">
        <v>114</v>
      </c>
      <c r="D14" s="886" t="s">
        <v>156</v>
      </c>
      <c r="E14" s="886" t="s">
        <v>119</v>
      </c>
      <c r="F14" s="709">
        <f>'HPF ICSS'!P55</f>
        <v>7.6874047193685721E-2</v>
      </c>
      <c r="G14" s="932" t="s">
        <v>105</v>
      </c>
      <c r="H14" s="886" t="s">
        <v>120</v>
      </c>
      <c r="I14" s="942" t="s">
        <v>371</v>
      </c>
    </row>
    <row r="15" spans="2:13">
      <c r="B15" s="945"/>
      <c r="C15" s="710" t="s">
        <v>115</v>
      </c>
      <c r="D15" s="886"/>
      <c r="E15" s="886"/>
      <c r="F15" s="709">
        <f>'HPF ICSS'!P56</f>
        <v>2.2544422257857186</v>
      </c>
      <c r="G15" s="886"/>
      <c r="H15" s="886"/>
      <c r="I15" s="942"/>
      <c r="K15" s="879" t="s">
        <v>100</v>
      </c>
      <c r="L15" s="882" t="s">
        <v>101</v>
      </c>
      <c r="M15" s="882" t="s">
        <v>101</v>
      </c>
    </row>
    <row r="16" spans="2:13">
      <c r="B16" s="945"/>
      <c r="C16" s="710" t="s">
        <v>116</v>
      </c>
      <c r="D16" s="886"/>
      <c r="E16" s="886"/>
      <c r="F16" s="709">
        <f>'HPF ICSS'!P57</f>
        <v>12.266817993245823</v>
      </c>
      <c r="G16" s="886"/>
      <c r="H16" s="886"/>
      <c r="I16" s="942"/>
      <c r="K16" s="880"/>
      <c r="L16" s="882"/>
      <c r="M16" s="882"/>
    </row>
    <row r="17" spans="2:13">
      <c r="B17" s="945"/>
      <c r="C17" s="710" t="s">
        <v>122</v>
      </c>
      <c r="D17" s="886"/>
      <c r="E17" s="886"/>
      <c r="F17" s="709">
        <f>'HPF ICSS'!P58</f>
        <v>0</v>
      </c>
      <c r="G17" s="886"/>
      <c r="H17" s="886"/>
      <c r="I17" s="942"/>
      <c r="K17" s="881"/>
      <c r="L17" s="711" t="s">
        <v>104</v>
      </c>
      <c r="M17" s="711" t="s">
        <v>105</v>
      </c>
    </row>
    <row r="18" spans="2:13">
      <c r="B18" s="945"/>
      <c r="C18" s="710" t="s">
        <v>123</v>
      </c>
      <c r="D18" s="886"/>
      <c r="E18" s="886"/>
      <c r="F18" s="709">
        <f>'HPF ICSS'!P59</f>
        <v>4.6414987001470678</v>
      </c>
      <c r="G18" s="886"/>
      <c r="H18" s="886"/>
      <c r="I18" s="942"/>
      <c r="K18" s="710" t="s">
        <v>114</v>
      </c>
      <c r="L18" s="712">
        <v>0</v>
      </c>
      <c r="M18" s="712">
        <f>F14+F22+F30+F38+F46+F54+F62+F70</f>
        <v>70.173375095394078</v>
      </c>
    </row>
    <row r="19" spans="2:13">
      <c r="B19" s="945"/>
      <c r="C19" s="710" t="s">
        <v>124</v>
      </c>
      <c r="D19" s="886"/>
      <c r="E19" s="886"/>
      <c r="F19" s="709">
        <f>'HPF ICSS'!P60</f>
        <v>0</v>
      </c>
      <c r="G19" s="886"/>
      <c r="H19" s="886"/>
      <c r="I19" s="942"/>
      <c r="K19" s="710" t="s">
        <v>115</v>
      </c>
      <c r="L19" s="712">
        <v>0</v>
      </c>
      <c r="M19" s="712">
        <f>F15+F23+F31+F39+F47+F55+F63+F71</f>
        <v>261.60277118765413</v>
      </c>
    </row>
    <row r="20" spans="2:13">
      <c r="B20" s="945"/>
      <c r="C20" s="710" t="s">
        <v>125</v>
      </c>
      <c r="D20" s="886"/>
      <c r="E20" s="886"/>
      <c r="F20" s="709">
        <f>'HPF ICSS'!P61</f>
        <v>0</v>
      </c>
      <c r="G20" s="886"/>
      <c r="H20" s="886"/>
      <c r="I20" s="942"/>
      <c r="K20" s="710" t="s">
        <v>116</v>
      </c>
      <c r="L20" s="713">
        <v>0</v>
      </c>
      <c r="M20" s="714">
        <f>F16+F24+F32+F40+F48+F56</f>
        <v>19.611967495107187</v>
      </c>
    </row>
    <row r="21" spans="2:13" ht="13.5" thickBot="1">
      <c r="B21" s="946"/>
      <c r="C21" s="715" t="s">
        <v>126</v>
      </c>
      <c r="D21" s="887"/>
      <c r="E21" s="887"/>
      <c r="F21" s="716">
        <f>'HPF ICSS'!P62</f>
        <v>3689.3423252169264</v>
      </c>
      <c r="G21" s="887"/>
      <c r="H21" s="887"/>
      <c r="I21" s="943"/>
      <c r="K21" s="710" t="s">
        <v>122</v>
      </c>
      <c r="L21" s="713">
        <v>0</v>
      </c>
      <c r="M21" s="713">
        <f>F25+F33+F41</f>
        <v>555.22834838709673</v>
      </c>
    </row>
    <row r="22" spans="2:13" ht="12.75" customHeight="1">
      <c r="B22" s="923" t="s">
        <v>372</v>
      </c>
      <c r="C22" s="708" t="s">
        <v>114</v>
      </c>
      <c r="D22" s="894" t="s">
        <v>156</v>
      </c>
      <c r="E22" s="894" t="s">
        <v>119</v>
      </c>
      <c r="F22" s="717">
        <f>'PSD WR'!R55</f>
        <v>20.037530983013632</v>
      </c>
      <c r="G22" s="894" t="s">
        <v>105</v>
      </c>
      <c r="H22" s="894" t="s">
        <v>120</v>
      </c>
      <c r="I22" s="942" t="s">
        <v>373</v>
      </c>
      <c r="K22" s="710" t="s">
        <v>123</v>
      </c>
      <c r="L22" s="713">
        <v>0</v>
      </c>
      <c r="M22" s="713">
        <f>F18+F50+F58+F66+F74</f>
        <v>17.626712602485775</v>
      </c>
    </row>
    <row r="23" spans="2:13">
      <c r="B23" s="923"/>
      <c r="C23" s="710" t="s">
        <v>115</v>
      </c>
      <c r="D23" s="886"/>
      <c r="E23" s="886"/>
      <c r="F23" s="717">
        <f>'PSD WR'!R56</f>
        <v>109.02774211345651</v>
      </c>
      <c r="G23" s="886"/>
      <c r="H23" s="886"/>
      <c r="I23" s="942"/>
      <c r="K23" s="710" t="s">
        <v>124</v>
      </c>
      <c r="L23" s="713">
        <v>0</v>
      </c>
      <c r="M23" s="713">
        <f>F67+F75</f>
        <v>0.58340000000000003</v>
      </c>
    </row>
    <row r="24" spans="2:13">
      <c r="B24" s="923"/>
      <c r="C24" s="710" t="s">
        <v>116</v>
      </c>
      <c r="D24" s="886"/>
      <c r="E24" s="886"/>
      <c r="F24" s="717">
        <f>'PSD WR'!R54</f>
        <v>0.68325818458101362</v>
      </c>
      <c r="G24" s="886"/>
      <c r="H24" s="886"/>
      <c r="I24" s="942"/>
      <c r="K24" s="710" t="s">
        <v>125</v>
      </c>
      <c r="L24" s="713">
        <v>0</v>
      </c>
      <c r="M24" s="713">
        <v>0</v>
      </c>
    </row>
    <row r="25" spans="2:13">
      <c r="B25" s="923"/>
      <c r="C25" s="710" t="s">
        <v>122</v>
      </c>
      <c r="D25" s="886"/>
      <c r="E25" s="886"/>
      <c r="F25" s="717">
        <f>'PSD WR'!R58</f>
        <v>237.95500645161289</v>
      </c>
      <c r="G25" s="886"/>
      <c r="H25" s="886"/>
      <c r="I25" s="942"/>
      <c r="K25" s="710" t="s">
        <v>126</v>
      </c>
      <c r="L25" s="713">
        <v>0</v>
      </c>
      <c r="M25" s="713">
        <f>F21+F29+F37+F45+F53+F61+F69+F77</f>
        <v>82945.830853507257</v>
      </c>
    </row>
    <row r="26" spans="2:13">
      <c r="B26" s="923"/>
      <c r="C26" s="710" t="s">
        <v>123</v>
      </c>
      <c r="D26" s="886"/>
      <c r="E26" s="886"/>
      <c r="F26" s="717">
        <f>'PSD WR'!R57</f>
        <v>0</v>
      </c>
      <c r="G26" s="886"/>
      <c r="H26" s="886"/>
      <c r="I26" s="942"/>
    </row>
    <row r="27" spans="2:13">
      <c r="B27" s="923"/>
      <c r="C27" s="710" t="s">
        <v>124</v>
      </c>
      <c r="D27" s="886"/>
      <c r="E27" s="886"/>
      <c r="F27" s="717">
        <f>'PSD WR'!R59</f>
        <v>0</v>
      </c>
      <c r="G27" s="886"/>
      <c r="H27" s="886"/>
      <c r="I27" s="942"/>
    </row>
    <row r="28" spans="2:13">
      <c r="B28" s="923"/>
      <c r="C28" s="710" t="s">
        <v>125</v>
      </c>
      <c r="D28" s="886"/>
      <c r="E28" s="886"/>
      <c r="F28" s="718">
        <f>'PSD WR'!R60</f>
        <v>0</v>
      </c>
      <c r="G28" s="886"/>
      <c r="H28" s="886"/>
      <c r="I28" s="942"/>
    </row>
    <row r="29" spans="2:13" ht="13.5" thickBot="1">
      <c r="B29" s="924"/>
      <c r="C29" s="715" t="s">
        <v>126</v>
      </c>
      <c r="D29" s="887"/>
      <c r="E29" s="887"/>
      <c r="F29" s="719">
        <f>'PSD WR'!R61</f>
        <v>32793.312837161458</v>
      </c>
      <c r="G29" s="887"/>
      <c r="H29" s="887"/>
      <c r="I29" s="943"/>
    </row>
    <row r="30" spans="2:13" ht="14.65" customHeight="1">
      <c r="B30" s="922" t="s">
        <v>374</v>
      </c>
      <c r="C30" s="720" t="s">
        <v>114</v>
      </c>
      <c r="D30" s="894" t="s">
        <v>156</v>
      </c>
      <c r="E30" s="894" t="s">
        <v>119</v>
      </c>
      <c r="F30" s="721">
        <f>'ESD CR'!R55</f>
        <v>6.6791769943378787</v>
      </c>
      <c r="G30" s="894" t="s">
        <v>105</v>
      </c>
      <c r="H30" s="894" t="s">
        <v>120</v>
      </c>
      <c r="I30" s="919" t="s">
        <v>375</v>
      </c>
    </row>
    <row r="31" spans="2:13">
      <c r="B31" s="923"/>
      <c r="C31" s="710" t="s">
        <v>115</v>
      </c>
      <c r="D31" s="886"/>
      <c r="E31" s="886"/>
      <c r="F31" s="722">
        <f>'ESD CR'!R56</f>
        <v>36.709139252585373</v>
      </c>
      <c r="G31" s="886"/>
      <c r="H31" s="886"/>
      <c r="I31" s="920"/>
    </row>
    <row r="32" spans="2:13">
      <c r="B32" s="923"/>
      <c r="C32" s="710" t="s">
        <v>116</v>
      </c>
      <c r="D32" s="886"/>
      <c r="E32" s="886"/>
      <c r="F32" s="722">
        <f>'ESD CR'!R54</f>
        <v>0.2300498878271959</v>
      </c>
      <c r="G32" s="886"/>
      <c r="H32" s="886"/>
      <c r="I32" s="920"/>
    </row>
    <row r="33" spans="2:9">
      <c r="B33" s="923"/>
      <c r="C33" s="710" t="s">
        <v>122</v>
      </c>
      <c r="D33" s="886"/>
      <c r="E33" s="886"/>
      <c r="F33" s="722">
        <f>'ESD CR'!R58</f>
        <v>79.318335483870968</v>
      </c>
      <c r="G33" s="886"/>
      <c r="H33" s="886"/>
      <c r="I33" s="920"/>
    </row>
    <row r="34" spans="2:9">
      <c r="B34" s="923"/>
      <c r="C34" s="710" t="s">
        <v>123</v>
      </c>
      <c r="D34" s="886"/>
      <c r="E34" s="886"/>
      <c r="F34" s="722">
        <f>'ESD CR'!R57</f>
        <v>0</v>
      </c>
      <c r="G34" s="886"/>
      <c r="H34" s="886"/>
      <c r="I34" s="920"/>
    </row>
    <row r="35" spans="2:9">
      <c r="B35" s="923"/>
      <c r="C35" s="710" t="s">
        <v>124</v>
      </c>
      <c r="D35" s="886"/>
      <c r="E35" s="886"/>
      <c r="F35" s="722">
        <f>'ESD CR'!R59</f>
        <v>0</v>
      </c>
      <c r="G35" s="886"/>
      <c r="H35" s="886"/>
      <c r="I35" s="920"/>
    </row>
    <row r="36" spans="2:9">
      <c r="B36" s="923"/>
      <c r="C36" s="710" t="s">
        <v>125</v>
      </c>
      <c r="D36" s="886"/>
      <c r="E36" s="886"/>
      <c r="F36" s="722">
        <f>'ESD CR'!R60</f>
        <v>0</v>
      </c>
      <c r="G36" s="886"/>
      <c r="H36" s="886"/>
      <c r="I36" s="920"/>
    </row>
    <row r="37" spans="2:9" ht="12" customHeight="1" thickBot="1">
      <c r="B37" s="924"/>
      <c r="C37" s="715" t="s">
        <v>126</v>
      </c>
      <c r="D37" s="887"/>
      <c r="E37" s="887"/>
      <c r="F37" s="723">
        <f>'ESD CR'!R61</f>
        <v>10931.104279053818</v>
      </c>
      <c r="G37" s="887"/>
      <c r="H37" s="887"/>
      <c r="I37" s="950"/>
    </row>
    <row r="38" spans="2:9" ht="12" customHeight="1">
      <c r="B38" s="922" t="s">
        <v>376</v>
      </c>
      <c r="C38" s="720" t="s">
        <v>114</v>
      </c>
      <c r="D38" s="894" t="s">
        <v>156</v>
      </c>
      <c r="E38" s="894" t="s">
        <v>119</v>
      </c>
      <c r="F38" s="721">
        <f>'ESD CR SS'!R55</f>
        <v>20.23963353385788</v>
      </c>
      <c r="G38" s="894" t="s">
        <v>105</v>
      </c>
      <c r="H38" s="894" t="s">
        <v>120</v>
      </c>
      <c r="I38" s="919" t="s">
        <v>377</v>
      </c>
    </row>
    <row r="39" spans="2:9" ht="12" customHeight="1">
      <c r="B39" s="923"/>
      <c r="C39" s="710" t="s">
        <v>115</v>
      </c>
      <c r="D39" s="886"/>
      <c r="E39" s="886"/>
      <c r="F39" s="722">
        <f>'ESD CR SS'!R56</f>
        <v>110.12741775775612</v>
      </c>
      <c r="G39" s="886"/>
      <c r="H39" s="886"/>
      <c r="I39" s="920"/>
    </row>
    <row r="40" spans="2:9" ht="12" customHeight="1">
      <c r="B40" s="923"/>
      <c r="C40" s="710" t="s">
        <v>116</v>
      </c>
      <c r="D40" s="886"/>
      <c r="E40" s="886"/>
      <c r="F40" s="722">
        <f>'ESD CR SS'!R54</f>
        <v>0.69014966348158768</v>
      </c>
      <c r="G40" s="886"/>
      <c r="H40" s="886"/>
      <c r="I40" s="920"/>
    </row>
    <row r="41" spans="2:9" ht="12" customHeight="1">
      <c r="B41" s="923"/>
      <c r="C41" s="710" t="s">
        <v>122</v>
      </c>
      <c r="D41" s="886"/>
      <c r="E41" s="886"/>
      <c r="F41" s="722">
        <f>'ESD CR SS'!R58</f>
        <v>237.95500645161289</v>
      </c>
      <c r="G41" s="886"/>
      <c r="H41" s="886"/>
      <c r="I41" s="920"/>
    </row>
    <row r="42" spans="2:9" ht="12" customHeight="1">
      <c r="B42" s="923"/>
      <c r="C42" s="710" t="s">
        <v>123</v>
      </c>
      <c r="D42" s="886"/>
      <c r="E42" s="886"/>
      <c r="F42" s="722">
        <f>'ESD CR SS'!R57</f>
        <v>0</v>
      </c>
      <c r="G42" s="886"/>
      <c r="H42" s="886"/>
      <c r="I42" s="920"/>
    </row>
    <row r="43" spans="2:9" ht="12" customHeight="1">
      <c r="B43" s="923"/>
      <c r="C43" s="710" t="s">
        <v>124</v>
      </c>
      <c r="D43" s="886"/>
      <c r="E43" s="886"/>
      <c r="F43" s="722">
        <f>'ESD CR SS'!R59</f>
        <v>0</v>
      </c>
      <c r="G43" s="886"/>
      <c r="H43" s="886"/>
      <c r="I43" s="920"/>
    </row>
    <row r="44" spans="2:9" ht="12" customHeight="1">
      <c r="B44" s="923"/>
      <c r="C44" s="710" t="s">
        <v>125</v>
      </c>
      <c r="D44" s="886"/>
      <c r="E44" s="886"/>
      <c r="F44" s="722">
        <f>'ESD CR SS'!R60</f>
        <v>0</v>
      </c>
      <c r="G44" s="886"/>
      <c r="H44" s="886"/>
      <c r="I44" s="920"/>
    </row>
    <row r="45" spans="2:9" ht="12" customHeight="1" thickBot="1">
      <c r="B45" s="923"/>
      <c r="C45" s="724" t="s">
        <v>126</v>
      </c>
      <c r="D45" s="886"/>
      <c r="E45" s="886"/>
      <c r="F45" s="725">
        <f>'ESD CR SS'!R61</f>
        <v>32793.312837161458</v>
      </c>
      <c r="G45" s="886"/>
      <c r="H45" s="886"/>
      <c r="I45" s="920"/>
    </row>
    <row r="46" spans="2:9">
      <c r="B46" s="988" t="s">
        <v>378</v>
      </c>
      <c r="C46" s="720" t="s">
        <v>114</v>
      </c>
      <c r="D46" s="894" t="s">
        <v>156</v>
      </c>
      <c r="E46" s="894" t="s">
        <v>119</v>
      </c>
      <c r="F46" s="726">
        <f>'PBD PP'!R54</f>
        <v>1.0174914830357019E-3</v>
      </c>
      <c r="G46" s="894" t="s">
        <v>105</v>
      </c>
      <c r="H46" s="894" t="s">
        <v>120</v>
      </c>
      <c r="I46" s="991" t="s">
        <v>379</v>
      </c>
    </row>
    <row r="47" spans="2:9">
      <c r="B47" s="989"/>
      <c r="C47" s="710" t="s">
        <v>115</v>
      </c>
      <c r="D47" s="886"/>
      <c r="E47" s="886"/>
      <c r="F47" s="727">
        <f>'PBD PP'!R55</f>
        <v>2.9839404161375194E-2</v>
      </c>
      <c r="G47" s="886"/>
      <c r="H47" s="886"/>
      <c r="I47" s="992"/>
    </row>
    <row r="48" spans="2:9">
      <c r="B48" s="989"/>
      <c r="C48" s="710" t="s">
        <v>116</v>
      </c>
      <c r="D48" s="886"/>
      <c r="E48" s="886"/>
      <c r="F48" s="727">
        <f>'PBD PP'!R56</f>
        <v>0.1623614638192474</v>
      </c>
      <c r="G48" s="886"/>
      <c r="H48" s="886"/>
      <c r="I48" s="992"/>
    </row>
    <row r="49" spans="2:9">
      <c r="B49" s="989"/>
      <c r="C49" s="710" t="s">
        <v>122</v>
      </c>
      <c r="D49" s="886"/>
      <c r="E49" s="886"/>
      <c r="F49" s="727">
        <f>'PBD PP'!R57</f>
        <v>0</v>
      </c>
      <c r="G49" s="886"/>
      <c r="H49" s="886"/>
      <c r="I49" s="992"/>
    </row>
    <row r="50" spans="2:9">
      <c r="B50" s="989"/>
      <c r="C50" s="710" t="s">
        <v>123</v>
      </c>
      <c r="D50" s="886"/>
      <c r="E50" s="886"/>
      <c r="F50" s="727">
        <f>'PBD PP'!R58</f>
        <v>0.35081838798387099</v>
      </c>
      <c r="G50" s="886"/>
      <c r="H50" s="886"/>
      <c r="I50" s="992"/>
    </row>
    <row r="51" spans="2:9">
      <c r="B51" s="989"/>
      <c r="C51" s="710" t="s">
        <v>124</v>
      </c>
      <c r="D51" s="886"/>
      <c r="E51" s="886"/>
      <c r="F51" s="727">
        <f>'PBD PP'!R59</f>
        <v>0</v>
      </c>
      <c r="G51" s="886"/>
      <c r="H51" s="886"/>
      <c r="I51" s="992"/>
    </row>
    <row r="52" spans="2:9">
      <c r="B52" s="989"/>
      <c r="C52" s="710" t="s">
        <v>125</v>
      </c>
      <c r="D52" s="886"/>
      <c r="E52" s="886"/>
      <c r="F52" s="727">
        <f>'PBD PP'!R60</f>
        <v>0</v>
      </c>
      <c r="G52" s="886"/>
      <c r="H52" s="886"/>
      <c r="I52" s="992"/>
    </row>
    <row r="53" spans="2:9" ht="13.5" thickBot="1">
      <c r="B53" s="990"/>
      <c r="C53" s="715" t="s">
        <v>126</v>
      </c>
      <c r="D53" s="887"/>
      <c r="E53" s="887"/>
      <c r="F53" s="728">
        <f>'PBD PP'!R61</f>
        <v>48.347363300898458</v>
      </c>
      <c r="G53" s="887"/>
      <c r="H53" s="887"/>
      <c r="I53" s="993"/>
    </row>
    <row r="54" spans="2:9">
      <c r="B54" s="973" t="s">
        <v>380</v>
      </c>
      <c r="C54" s="708" t="s">
        <v>114</v>
      </c>
      <c r="D54" s="886" t="s">
        <v>156</v>
      </c>
      <c r="E54" s="886" t="s">
        <v>119</v>
      </c>
      <c r="F54" s="717">
        <f>'PBD DP'!R54</f>
        <v>3.4964707326135935E-2</v>
      </c>
      <c r="G54" s="886" t="s">
        <v>105</v>
      </c>
      <c r="H54" s="886" t="s">
        <v>120</v>
      </c>
      <c r="I54" s="964" t="s">
        <v>381</v>
      </c>
    </row>
    <row r="55" spans="2:9">
      <c r="B55" s="952"/>
      <c r="C55" s="710" t="s">
        <v>115</v>
      </c>
      <c r="D55" s="886"/>
      <c r="E55" s="886"/>
      <c r="F55" s="727">
        <f>'PBD DP'!R55</f>
        <v>1.0253904339090749</v>
      </c>
      <c r="G55" s="886"/>
      <c r="H55" s="886"/>
      <c r="I55" s="965"/>
    </row>
    <row r="56" spans="2:9">
      <c r="B56" s="952"/>
      <c r="C56" s="710" t="s">
        <v>116</v>
      </c>
      <c r="D56" s="886"/>
      <c r="E56" s="886"/>
      <c r="F56" s="727">
        <f>'PBD DP'!R56</f>
        <v>5.5793303021523197</v>
      </c>
      <c r="G56" s="886"/>
      <c r="H56" s="886"/>
      <c r="I56" s="965"/>
    </row>
    <row r="57" spans="2:9">
      <c r="B57" s="952"/>
      <c r="C57" s="710" t="s">
        <v>122</v>
      </c>
      <c r="D57" s="886"/>
      <c r="E57" s="886"/>
      <c r="F57" s="727">
        <f>'PBD DP'!R57</f>
        <v>0</v>
      </c>
      <c r="G57" s="886"/>
      <c r="H57" s="886"/>
      <c r="I57" s="965"/>
    </row>
    <row r="58" spans="2:9">
      <c r="B58" s="952"/>
      <c r="C58" s="710" t="s">
        <v>123</v>
      </c>
      <c r="D58" s="886"/>
      <c r="E58" s="886"/>
      <c r="F58" s="727">
        <f>'PBD DP'!R58</f>
        <v>12.055395514354839</v>
      </c>
      <c r="G58" s="886"/>
      <c r="H58" s="886"/>
      <c r="I58" s="965"/>
    </row>
    <row r="59" spans="2:9">
      <c r="B59" s="952"/>
      <c r="C59" s="710" t="s">
        <v>124</v>
      </c>
      <c r="D59" s="886"/>
      <c r="E59" s="886"/>
      <c r="F59" s="727">
        <f>'PBD DP'!R59</f>
        <v>0</v>
      </c>
      <c r="G59" s="886"/>
      <c r="H59" s="886"/>
      <c r="I59" s="965"/>
    </row>
    <row r="60" spans="2:9">
      <c r="B60" s="952"/>
      <c r="C60" s="710" t="s">
        <v>125</v>
      </c>
      <c r="D60" s="886"/>
      <c r="E60" s="886"/>
      <c r="F60" s="727">
        <f>'PBD DP'!R60</f>
        <v>0</v>
      </c>
      <c r="G60" s="886"/>
      <c r="H60" s="886"/>
      <c r="I60" s="965"/>
    </row>
    <row r="61" spans="2:9" ht="13.5" thickBot="1">
      <c r="B61" s="986"/>
      <c r="C61" s="724" t="s">
        <v>126</v>
      </c>
      <c r="D61" s="886"/>
      <c r="E61" s="886"/>
      <c r="F61" s="729">
        <f>'PBD DP'!R61</f>
        <v>1661.3912116126924</v>
      </c>
      <c r="G61" s="886"/>
      <c r="H61" s="886"/>
      <c r="I61" s="987"/>
    </row>
    <row r="62" spans="2:9">
      <c r="B62" s="988" t="s">
        <v>382</v>
      </c>
      <c r="C62" s="720" t="s">
        <v>114</v>
      </c>
      <c r="D62" s="894" t="s">
        <v>186</v>
      </c>
      <c r="E62" s="894" t="s">
        <v>119</v>
      </c>
      <c r="F62" s="726">
        <f>'T H (E-M)'!I23</f>
        <v>1.7733818181818182E-4</v>
      </c>
      <c r="G62" s="894" t="s">
        <v>105</v>
      </c>
      <c r="H62" s="894" t="s">
        <v>120</v>
      </c>
      <c r="I62" s="994" t="s">
        <v>383</v>
      </c>
    </row>
    <row r="63" spans="2:9">
      <c r="B63" s="989"/>
      <c r="C63" s="710" t="s">
        <v>115</v>
      </c>
      <c r="D63" s="886"/>
      <c r="E63" s="886"/>
      <c r="F63" s="727">
        <f>'T H (E-M)'!I17</f>
        <v>1.2</v>
      </c>
      <c r="G63" s="886"/>
      <c r="H63" s="886"/>
      <c r="I63" s="995"/>
    </row>
    <row r="64" spans="2:9">
      <c r="B64" s="989"/>
      <c r="C64" s="710" t="s">
        <v>116</v>
      </c>
      <c r="D64" s="886"/>
      <c r="E64" s="886"/>
      <c r="F64" s="727" t="s">
        <v>132</v>
      </c>
      <c r="G64" s="886"/>
      <c r="H64" s="886"/>
      <c r="I64" s="995"/>
    </row>
    <row r="65" spans="2:9">
      <c r="B65" s="989"/>
      <c r="C65" s="710" t="s">
        <v>122</v>
      </c>
      <c r="D65" s="886"/>
      <c r="E65" s="886"/>
      <c r="F65" s="727" t="s">
        <v>132</v>
      </c>
      <c r="G65" s="886"/>
      <c r="H65" s="886"/>
      <c r="I65" s="995"/>
    </row>
    <row r="66" spans="2:9">
      <c r="B66" s="989"/>
      <c r="C66" s="710" t="s">
        <v>123</v>
      </c>
      <c r="D66" s="886"/>
      <c r="E66" s="886"/>
      <c r="F66" s="727">
        <f>'T H (E-M)'!I18</f>
        <v>1.9E-2</v>
      </c>
      <c r="G66" s="886"/>
      <c r="H66" s="886"/>
      <c r="I66" s="995"/>
    </row>
    <row r="67" spans="2:9">
      <c r="B67" s="989"/>
      <c r="C67" s="710" t="s">
        <v>124</v>
      </c>
      <c r="D67" s="886"/>
      <c r="E67" s="886"/>
      <c r="F67" s="727">
        <f>'T H (E-M)'!I19</f>
        <v>1E-3</v>
      </c>
      <c r="G67" s="886"/>
      <c r="H67" s="886"/>
      <c r="I67" s="995"/>
    </row>
    <row r="68" spans="2:9">
      <c r="B68" s="989"/>
      <c r="C68" s="710" t="s">
        <v>125</v>
      </c>
      <c r="D68" s="886"/>
      <c r="E68" s="886"/>
      <c r="F68" s="727" t="s">
        <v>132</v>
      </c>
      <c r="G68" s="886"/>
      <c r="H68" s="886"/>
      <c r="I68" s="995"/>
    </row>
    <row r="69" spans="2:9" ht="13.5" thickBot="1">
      <c r="B69" s="990"/>
      <c r="C69" s="715" t="s">
        <v>126</v>
      </c>
      <c r="D69" s="887"/>
      <c r="E69" s="887"/>
      <c r="F69" s="728">
        <f>'T H (E-M)'!I20</f>
        <v>3.1</v>
      </c>
      <c r="G69" s="887"/>
      <c r="H69" s="887"/>
      <c r="I69" s="996"/>
    </row>
    <row r="70" spans="2:9">
      <c r="B70" s="951" t="s">
        <v>188</v>
      </c>
      <c r="C70" s="720" t="s">
        <v>114</v>
      </c>
      <c r="D70" s="894" t="s">
        <v>189</v>
      </c>
      <c r="E70" s="894" t="s">
        <v>119</v>
      </c>
      <c r="F70" s="730">
        <f>'AOT V'!L26</f>
        <v>23.103999999999999</v>
      </c>
      <c r="G70" s="894" t="s">
        <v>105</v>
      </c>
      <c r="H70" s="894" t="s">
        <v>120</v>
      </c>
      <c r="I70" s="919" t="s">
        <v>367</v>
      </c>
    </row>
    <row r="71" spans="2:9">
      <c r="B71" s="952"/>
      <c r="C71" s="710" t="s">
        <v>115</v>
      </c>
      <c r="D71" s="886"/>
      <c r="E71" s="886"/>
      <c r="F71" s="731">
        <f>'AOT V'!L27</f>
        <v>1.2288000000000001</v>
      </c>
      <c r="G71" s="886"/>
      <c r="H71" s="886"/>
      <c r="I71" s="974"/>
    </row>
    <row r="72" spans="2:9">
      <c r="B72" s="952"/>
      <c r="C72" s="710" t="s">
        <v>116</v>
      </c>
      <c r="D72" s="886"/>
      <c r="E72" s="886"/>
      <c r="F72" s="727" t="s">
        <v>132</v>
      </c>
      <c r="G72" s="886"/>
      <c r="H72" s="886"/>
      <c r="I72" s="974"/>
    </row>
    <row r="73" spans="2:9">
      <c r="B73" s="952"/>
      <c r="C73" s="710" t="s">
        <v>122</v>
      </c>
      <c r="D73" s="886"/>
      <c r="E73" s="886"/>
      <c r="F73" s="727" t="s">
        <v>132</v>
      </c>
      <c r="G73" s="886"/>
      <c r="H73" s="886"/>
      <c r="I73" s="974"/>
    </row>
    <row r="74" spans="2:9">
      <c r="B74" s="952"/>
      <c r="C74" s="710" t="s">
        <v>123</v>
      </c>
      <c r="D74" s="886"/>
      <c r="E74" s="886"/>
      <c r="F74" s="732">
        <f>'AOT V'!L28</f>
        <v>0.56000000000000005</v>
      </c>
      <c r="G74" s="886"/>
      <c r="H74" s="886"/>
      <c r="I74" s="974"/>
    </row>
    <row r="75" spans="2:9">
      <c r="B75" s="952"/>
      <c r="C75" s="710" t="s">
        <v>124</v>
      </c>
      <c r="D75" s="886"/>
      <c r="E75" s="886"/>
      <c r="F75" s="731">
        <f>'AOT V'!L29</f>
        <v>0.58240000000000003</v>
      </c>
      <c r="G75" s="886"/>
      <c r="H75" s="886"/>
      <c r="I75" s="974"/>
    </row>
    <row r="76" spans="2:9">
      <c r="B76" s="952"/>
      <c r="C76" s="710" t="s">
        <v>125</v>
      </c>
      <c r="D76" s="886"/>
      <c r="E76" s="886"/>
      <c r="F76" s="727" t="s">
        <v>132</v>
      </c>
      <c r="G76" s="886"/>
      <c r="H76" s="886"/>
      <c r="I76" s="974"/>
    </row>
    <row r="77" spans="2:9" ht="13.5" thickBot="1">
      <c r="B77" s="953"/>
      <c r="C77" s="715" t="s">
        <v>126</v>
      </c>
      <c r="D77" s="887"/>
      <c r="E77" s="887"/>
      <c r="F77" s="733">
        <f>'AOT V'!L30</f>
        <v>1025.92</v>
      </c>
      <c r="G77" s="887"/>
      <c r="H77" s="887"/>
      <c r="I77" s="975"/>
    </row>
    <row r="78" spans="2:9" ht="37.15" hidden="1" customHeight="1">
      <c r="B78" s="734" t="s">
        <v>174</v>
      </c>
      <c r="C78" s="735" t="s">
        <v>175</v>
      </c>
      <c r="D78" s="735" t="s">
        <v>156</v>
      </c>
      <c r="E78" s="735" t="s">
        <v>119</v>
      </c>
      <c r="F78" s="736" t="e">
        <f>#REF!*1000</f>
        <v>#REF!</v>
      </c>
      <c r="G78" s="735" t="s">
        <v>104</v>
      </c>
      <c r="H78" s="735" t="s">
        <v>120</v>
      </c>
      <c r="I78" s="737" t="s">
        <v>176</v>
      </c>
    </row>
    <row r="80" spans="2:9">
      <c r="B80" s="738"/>
      <c r="C80" s="739"/>
      <c r="D80" s="739"/>
      <c r="E80" s="739"/>
      <c r="F80" s="739"/>
      <c r="G80" s="739"/>
      <c r="H80" s="739"/>
      <c r="I80" s="739"/>
    </row>
    <row r="81" spans="2:11">
      <c r="B81" s="739"/>
      <c r="C81" s="739"/>
      <c r="D81" s="739"/>
      <c r="E81" s="739"/>
      <c r="F81" s="739"/>
      <c r="G81" s="739"/>
      <c r="H81" s="739"/>
      <c r="I81" s="739"/>
      <c r="K81" s="740"/>
    </row>
  </sheetData>
  <sheetProtection algorithmName="SHA-512" hashValue="4PL0YQPXtNykeGbKJIDbkYQXAIKjATu6hn8R5crlO0Q0fuVQr8Z+NS+2pwU9iezsltBFTsN7uBZCz0Ft4uWrUA==" saltValue="IpOPgh3A3IVq+uUFSqLg8Q==" spinCount="100000" sheet="1" objects="1" scenarios="1" selectLockedCells="1" selectUnlockedCells="1"/>
  <mergeCells count="59">
    <mergeCell ref="I70:I77"/>
    <mergeCell ref="B62:B69"/>
    <mergeCell ref="D62:D69"/>
    <mergeCell ref="E62:E69"/>
    <mergeCell ref="G62:G69"/>
    <mergeCell ref="H62:H69"/>
    <mergeCell ref="I62:I69"/>
    <mergeCell ref="B70:B77"/>
    <mergeCell ref="D70:D77"/>
    <mergeCell ref="E70:E77"/>
    <mergeCell ref="G70:G77"/>
    <mergeCell ref="H70:H77"/>
    <mergeCell ref="I54:I61"/>
    <mergeCell ref="B46:B53"/>
    <mergeCell ref="D46:D53"/>
    <mergeCell ref="E46:E53"/>
    <mergeCell ref="G46:G53"/>
    <mergeCell ref="H46:H53"/>
    <mergeCell ref="I46:I53"/>
    <mergeCell ref="B54:B61"/>
    <mergeCell ref="D54:D61"/>
    <mergeCell ref="E54:E61"/>
    <mergeCell ref="G54:G61"/>
    <mergeCell ref="H54:H61"/>
    <mergeCell ref="I38:I45"/>
    <mergeCell ref="B30:B37"/>
    <mergeCell ref="D30:D37"/>
    <mergeCell ref="E30:E37"/>
    <mergeCell ref="G30:G37"/>
    <mergeCell ref="H30:H37"/>
    <mergeCell ref="I30:I37"/>
    <mergeCell ref="B38:B45"/>
    <mergeCell ref="D38:D45"/>
    <mergeCell ref="E38:E45"/>
    <mergeCell ref="G38:G45"/>
    <mergeCell ref="H38:H45"/>
    <mergeCell ref="B22:B29"/>
    <mergeCell ref="D22:D29"/>
    <mergeCell ref="E22:E29"/>
    <mergeCell ref="G22:G29"/>
    <mergeCell ref="B11:B13"/>
    <mergeCell ref="C11:C13"/>
    <mergeCell ref="D11:D13"/>
    <mergeCell ref="E11:E13"/>
    <mergeCell ref="F11:F13"/>
    <mergeCell ref="B14:B21"/>
    <mergeCell ref="D14:D21"/>
    <mergeCell ref="E14:E21"/>
    <mergeCell ref="G14:G21"/>
    <mergeCell ref="M15:M16"/>
    <mergeCell ref="K15:K17"/>
    <mergeCell ref="L15:L16"/>
    <mergeCell ref="I22:I29"/>
    <mergeCell ref="G11:G13"/>
    <mergeCell ref="H11:H13"/>
    <mergeCell ref="I11:I13"/>
    <mergeCell ref="I14:I21"/>
    <mergeCell ref="H22:H29"/>
    <mergeCell ref="H14:H21"/>
  </mergeCells>
  <pageMargins left="0.7" right="0.7" top="0.75" bottom="0.75" header="0.3" footer="0.3"/>
  <pageSetup paperSize="9" orientation="portrait" r:id="rId1"/>
  <headerFooter>
    <oddFooter>&amp;C_x000D_&amp;1#&amp;"Calibri"&amp;10&amp;K000000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F7EEC-FFBA-43B2-9000-5E29122339FB}">
  <sheetPr>
    <tabColor rgb="FFFFFF00"/>
  </sheetPr>
  <dimension ref="B2:L60"/>
  <sheetViews>
    <sheetView zoomScale="80" zoomScaleNormal="80" workbookViewId="0">
      <selection activeCell="E6" sqref="E6"/>
    </sheetView>
  </sheetViews>
  <sheetFormatPr defaultRowHeight="12.75"/>
  <cols>
    <col min="1" max="1" width="9.140625" style="2"/>
    <col min="2" max="2" width="13.28515625" style="2" customWidth="1"/>
    <col min="3" max="3" width="12.28515625" style="2" customWidth="1"/>
    <col min="4" max="4" width="13" style="2" customWidth="1"/>
    <col min="5" max="5" width="14.28515625" style="2" customWidth="1"/>
    <col min="6" max="6" width="11.7109375" style="2" customWidth="1"/>
    <col min="7" max="7" width="10.5703125" style="2" customWidth="1"/>
    <col min="8" max="8" width="9.5703125" style="2" customWidth="1"/>
    <col min="9" max="9" width="11.7109375" style="2" customWidth="1"/>
    <col min="10" max="10" width="10.5703125" style="2" customWidth="1"/>
    <col min="11" max="11" width="11.28515625" style="2" customWidth="1"/>
    <col min="12" max="16384" width="9.140625" style="2"/>
  </cols>
  <sheetData>
    <row r="2" spans="2:12">
      <c r="B2" s="664"/>
      <c r="C2" s="997" t="s">
        <v>384</v>
      </c>
      <c r="D2" s="998"/>
      <c r="E2" s="999"/>
      <c r="F2" s="997" t="s">
        <v>385</v>
      </c>
      <c r="G2" s="998"/>
      <c r="H2" s="999"/>
    </row>
    <row r="3" spans="2:12" ht="14.25">
      <c r="B3" s="664"/>
      <c r="C3" s="664" t="s">
        <v>386</v>
      </c>
      <c r="D3" s="664" t="s">
        <v>387</v>
      </c>
      <c r="E3" s="664" t="s">
        <v>388</v>
      </c>
      <c r="F3" s="664" t="s">
        <v>386</v>
      </c>
      <c r="G3" s="664" t="s">
        <v>387</v>
      </c>
      <c r="H3" s="664" t="s">
        <v>388</v>
      </c>
      <c r="L3" s="2" t="s">
        <v>389</v>
      </c>
    </row>
    <row r="4" spans="2:12">
      <c r="B4" s="664" t="s">
        <v>390</v>
      </c>
      <c r="C4" s="664" t="s">
        <v>391</v>
      </c>
      <c r="D4" s="664" t="s">
        <v>391</v>
      </c>
      <c r="E4" s="664" t="s">
        <v>391</v>
      </c>
      <c r="F4" s="664" t="s">
        <v>392</v>
      </c>
      <c r="G4" s="664" t="s">
        <v>392</v>
      </c>
      <c r="H4" s="664" t="s">
        <v>392</v>
      </c>
    </row>
    <row r="5" spans="2:12">
      <c r="B5" s="664" t="s">
        <v>393</v>
      </c>
      <c r="C5" s="664">
        <v>4.41</v>
      </c>
      <c r="D5" s="664">
        <f>C5*1020</f>
        <v>4498.2</v>
      </c>
      <c r="E5" s="664">
        <f>D5*16.9</f>
        <v>76019.579999999987</v>
      </c>
      <c r="F5" s="664">
        <v>3.2</v>
      </c>
      <c r="G5" s="664">
        <f>F5*1020</f>
        <v>3264</v>
      </c>
      <c r="H5" s="664">
        <f>G5*16.9</f>
        <v>55161.599999999999</v>
      </c>
    </row>
    <row r="6" spans="2:12">
      <c r="B6" s="664" t="s">
        <v>115</v>
      </c>
      <c r="C6" s="664">
        <v>0.95</v>
      </c>
      <c r="D6" s="664">
        <f t="shared" ref="D6:D9" si="0">C6*1020</f>
        <v>969</v>
      </c>
      <c r="E6" s="664">
        <f t="shared" ref="E6:E9" si="1">D6*16.9</f>
        <v>16376.099999999999</v>
      </c>
      <c r="F6" s="664">
        <v>0.85</v>
      </c>
      <c r="G6" s="664">
        <f t="shared" ref="G6:G8" si="2">F6*1020</f>
        <v>867</v>
      </c>
      <c r="H6" s="664">
        <f>G6*16.9</f>
        <v>14652.3</v>
      </c>
    </row>
    <row r="7" spans="2:12">
      <c r="B7" s="664" t="s">
        <v>394</v>
      </c>
      <c r="C7" s="664">
        <v>0.28999999999999998</v>
      </c>
      <c r="D7" s="664">
        <f t="shared" si="0"/>
        <v>295.79999999999995</v>
      </c>
      <c r="E7" s="664">
        <f t="shared" si="1"/>
        <v>4999.0199999999986</v>
      </c>
      <c r="F7" s="664">
        <v>1.01</v>
      </c>
      <c r="G7" s="664">
        <f t="shared" si="2"/>
        <v>1030.2</v>
      </c>
      <c r="H7" s="664">
        <f t="shared" ref="H7:H8" si="3">G7*16.9</f>
        <v>17410.38</v>
      </c>
    </row>
    <row r="8" spans="2:12">
      <c r="B8" s="664" t="s">
        <v>116</v>
      </c>
      <c r="C8" s="664">
        <v>0.31</v>
      </c>
      <c r="D8" s="664">
        <f t="shared" si="0"/>
        <v>316.2</v>
      </c>
      <c r="E8" s="664">
        <f t="shared" si="1"/>
        <v>5343.78</v>
      </c>
      <c r="F8" s="664">
        <v>0.1</v>
      </c>
      <c r="G8" s="664">
        <f t="shared" si="2"/>
        <v>102</v>
      </c>
      <c r="H8" s="664">
        <f t="shared" si="3"/>
        <v>1723.8</v>
      </c>
    </row>
    <row r="9" spans="2:12">
      <c r="B9" s="664" t="s">
        <v>126</v>
      </c>
      <c r="C9" s="664">
        <v>164</v>
      </c>
      <c r="D9" s="664">
        <f t="shared" si="0"/>
        <v>167280</v>
      </c>
      <c r="E9" s="664">
        <f t="shared" si="1"/>
        <v>2827031.9999999995</v>
      </c>
      <c r="F9" s="664"/>
      <c r="G9" s="664"/>
      <c r="H9" s="664"/>
    </row>
    <row r="13" spans="2:12">
      <c r="B13" s="385" t="s">
        <v>395</v>
      </c>
    </row>
    <row r="14" spans="2:12">
      <c r="B14" s="385" t="s">
        <v>396</v>
      </c>
      <c r="C14" s="665"/>
      <c r="D14" s="45"/>
      <c r="E14" s="666"/>
      <c r="F14" s="667">
        <v>832.5</v>
      </c>
    </row>
    <row r="15" spans="2:12" ht="14.25">
      <c r="B15" s="2" t="s">
        <v>397</v>
      </c>
    </row>
    <row r="16" spans="2:12" ht="14.25">
      <c r="B16" s="2" t="s">
        <v>398</v>
      </c>
    </row>
    <row r="17" spans="2:12">
      <c r="B17" s="2" t="s">
        <v>399</v>
      </c>
    </row>
    <row r="19" spans="2:12">
      <c r="F19" s="2" t="s">
        <v>400</v>
      </c>
      <c r="G19" s="2">
        <v>19300</v>
      </c>
      <c r="H19" s="2" t="s">
        <v>401</v>
      </c>
    </row>
    <row r="20" spans="2:12">
      <c r="G20" s="2">
        <f>G19/D24/D26</f>
        <v>44.890193469756099</v>
      </c>
      <c r="H20" s="2" t="s">
        <v>402</v>
      </c>
    </row>
    <row r="22" spans="2:12">
      <c r="B22" s="2" t="s">
        <v>403</v>
      </c>
      <c r="D22" s="2" t="s">
        <v>404</v>
      </c>
    </row>
    <row r="23" spans="2:12">
      <c r="B23" s="502" t="s">
        <v>386</v>
      </c>
      <c r="C23" s="502" t="s">
        <v>405</v>
      </c>
      <c r="D23" s="495">
        <v>1020</v>
      </c>
    </row>
    <row r="24" spans="2:12">
      <c r="B24" s="502" t="s">
        <v>406</v>
      </c>
      <c r="C24" s="502" t="s">
        <v>339</v>
      </c>
      <c r="D24" s="502">
        <v>0.45400000000000001</v>
      </c>
    </row>
    <row r="25" spans="2:12">
      <c r="B25" s="502" t="s">
        <v>407</v>
      </c>
      <c r="C25" s="502" t="s">
        <v>408</v>
      </c>
      <c r="D25" s="512">
        <f>0.305^3</f>
        <v>2.8372624999999999E-2</v>
      </c>
    </row>
    <row r="26" spans="2:12">
      <c r="B26" s="495" t="s">
        <v>409</v>
      </c>
      <c r="C26" s="495" t="s">
        <v>410</v>
      </c>
      <c r="D26" s="495">
        <v>947</v>
      </c>
    </row>
    <row r="29" spans="2:12">
      <c r="B29" s="386" t="s">
        <v>395</v>
      </c>
      <c r="C29" s="665"/>
      <c r="D29" s="45"/>
      <c r="E29" s="666"/>
      <c r="F29" s="668"/>
      <c r="G29" s="669"/>
    </row>
    <row r="31" spans="2:12" ht="15">
      <c r="B31" s="670" t="s">
        <v>411</v>
      </c>
      <c r="L31" s="2" t="s">
        <v>412</v>
      </c>
    </row>
    <row r="32" spans="2:12">
      <c r="E32" s="671"/>
      <c r="F32" s="672"/>
      <c r="G32" s="673"/>
      <c r="H32" s="674"/>
      <c r="I32" s="675"/>
    </row>
    <row r="33" spans="2:9">
      <c r="E33" s="676" t="s">
        <v>413</v>
      </c>
      <c r="F33" s="676" t="s">
        <v>414</v>
      </c>
      <c r="G33" s="676" t="s">
        <v>415</v>
      </c>
      <c r="H33" s="677" t="s">
        <v>416</v>
      </c>
      <c r="I33" s="678" t="s">
        <v>417</v>
      </c>
    </row>
    <row r="34" spans="2:9">
      <c r="E34" s="679">
        <v>2.016</v>
      </c>
      <c r="F34" s="680">
        <f>E34*D12</f>
        <v>0</v>
      </c>
      <c r="G34" s="681">
        <f>IF($G$45&lt;1,0,F34/$G$45)</f>
        <v>0</v>
      </c>
      <c r="H34" s="682">
        <f>D34*44/E34</f>
        <v>0</v>
      </c>
      <c r="I34" s="683">
        <f>G34*H34</f>
        <v>0</v>
      </c>
    </row>
    <row r="35" spans="2:9">
      <c r="E35" s="684">
        <v>16.042000000000002</v>
      </c>
      <c r="F35" s="680">
        <f>E35*D12</f>
        <v>0</v>
      </c>
      <c r="G35" s="681">
        <f>IF($G$45&lt;1,0,F35/$G$45)</f>
        <v>0</v>
      </c>
      <c r="H35" s="680">
        <f>C12*44/E35</f>
        <v>0</v>
      </c>
      <c r="I35" s="683">
        <f t="shared" ref="I35:I55" si="4">G35*H35</f>
        <v>0</v>
      </c>
    </row>
    <row r="36" spans="2:9">
      <c r="E36" s="684">
        <v>28.052</v>
      </c>
      <c r="F36" s="680">
        <f>E36*D13</f>
        <v>0</v>
      </c>
      <c r="G36" s="681">
        <f>IF($G$45&lt;1,0,F36/$G$45)</f>
        <v>0</v>
      </c>
      <c r="H36" s="680">
        <f>C13*44/E36</f>
        <v>0</v>
      </c>
      <c r="I36" s="683">
        <f t="shared" si="4"/>
        <v>0</v>
      </c>
    </row>
    <row r="37" spans="2:9">
      <c r="E37" s="684">
        <v>30.067999999999998</v>
      </c>
      <c r="F37" s="680">
        <f>E37*D14</f>
        <v>0</v>
      </c>
      <c r="G37" s="681">
        <f>IF($G$45&lt;1,0,F37/$G$45)</f>
        <v>0</v>
      </c>
      <c r="H37" s="680">
        <f>C14*44/E37</f>
        <v>0</v>
      </c>
      <c r="I37" s="683">
        <f t="shared" si="4"/>
        <v>0</v>
      </c>
    </row>
    <row r="38" spans="2:9">
      <c r="B38" s="685" t="s">
        <v>418</v>
      </c>
      <c r="C38" s="686">
        <v>3</v>
      </c>
      <c r="D38" s="687">
        <v>0</v>
      </c>
      <c r="E38" s="684">
        <v>42.078000000000003</v>
      </c>
      <c r="F38" s="680">
        <f t="shared" ref="F38" si="5">E38*D38</f>
        <v>0</v>
      </c>
      <c r="G38" s="681">
        <f>IF($G$45&lt;1,0,F38/$G$45)</f>
        <v>0</v>
      </c>
      <c r="H38" s="680">
        <f t="shared" ref="H38:H55" si="6">C38*44/E38</f>
        <v>3.1370312277199486</v>
      </c>
      <c r="I38" s="683">
        <f t="shared" si="4"/>
        <v>0</v>
      </c>
    </row>
    <row r="39" spans="2:9">
      <c r="B39" s="685" t="s">
        <v>419</v>
      </c>
      <c r="C39" s="686">
        <v>3</v>
      </c>
      <c r="D39" s="687">
        <v>4.1140406723645098E-3</v>
      </c>
      <c r="E39" s="684">
        <v>44.094000000000001</v>
      </c>
      <c r="F39" s="680">
        <f>E39*D39</f>
        <v>0.1814045094072407</v>
      </c>
      <c r="G39" s="681">
        <v>5.9999999999999995E-4</v>
      </c>
      <c r="H39" s="680">
        <f t="shared" si="6"/>
        <v>2.9936045720506193</v>
      </c>
      <c r="I39" s="683">
        <f t="shared" si="4"/>
        <v>1.7961627432303714E-3</v>
      </c>
    </row>
    <row r="40" spans="2:9">
      <c r="B40" s="685" t="s">
        <v>420</v>
      </c>
      <c r="C40" s="686">
        <v>4</v>
      </c>
      <c r="D40" s="687">
        <v>0</v>
      </c>
      <c r="E40" s="684">
        <v>56.103999999999999</v>
      </c>
      <c r="F40" s="680">
        <f t="shared" ref="F40:F55" si="7">E40*D40</f>
        <v>0</v>
      </c>
      <c r="G40" s="681">
        <f>IF($G$45&lt;1,0,F40/$G$45)</f>
        <v>0</v>
      </c>
      <c r="H40" s="680">
        <f t="shared" si="6"/>
        <v>3.1370312277199486</v>
      </c>
      <c r="I40" s="683">
        <f t="shared" si="4"/>
        <v>0</v>
      </c>
    </row>
    <row r="41" spans="2:9">
      <c r="B41" s="685" t="s">
        <v>421</v>
      </c>
      <c r="C41" s="686">
        <v>4</v>
      </c>
      <c r="D41" s="687">
        <v>4.2987554978870402E-3</v>
      </c>
      <c r="E41" s="684">
        <v>58.12</v>
      </c>
      <c r="F41" s="680">
        <f t="shared" si="7"/>
        <v>0.24984366953719478</v>
      </c>
      <c r="G41" s="681">
        <v>8.0000000000000004E-4</v>
      </c>
      <c r="H41" s="680">
        <f t="shared" si="6"/>
        <v>3.0282174810736411</v>
      </c>
      <c r="I41" s="683">
        <f t="shared" si="4"/>
        <v>2.4225739848589131E-3</v>
      </c>
    </row>
    <row r="42" spans="2:9">
      <c r="B42" s="685" t="s">
        <v>422</v>
      </c>
      <c r="C42" s="686">
        <v>4</v>
      </c>
      <c r="D42" s="687">
        <v>1.33109664079022E-2</v>
      </c>
      <c r="E42" s="684">
        <v>58.12</v>
      </c>
      <c r="F42" s="680">
        <f t="shared" si="7"/>
        <v>0.77363336762727586</v>
      </c>
      <c r="G42" s="681">
        <v>2.5000000000000001E-3</v>
      </c>
      <c r="H42" s="680">
        <f t="shared" si="6"/>
        <v>3.0282174810736411</v>
      </c>
      <c r="I42" s="683">
        <f t="shared" si="4"/>
        <v>7.5705437026841026E-3</v>
      </c>
    </row>
    <row r="43" spans="2:9">
      <c r="B43" s="685" t="s">
        <v>423</v>
      </c>
      <c r="C43" s="686">
        <v>5</v>
      </c>
      <c r="D43" s="687">
        <v>1.4450640107125301E-2</v>
      </c>
      <c r="E43" s="684">
        <v>72.146000000000001</v>
      </c>
      <c r="F43" s="680">
        <f t="shared" si="7"/>
        <v>1.0425558811686619</v>
      </c>
      <c r="G43" s="681">
        <v>3.3999999999999998E-3</v>
      </c>
      <c r="H43" s="680">
        <f t="shared" si="6"/>
        <v>3.0493721065616941</v>
      </c>
      <c r="I43" s="683">
        <f t="shared" si="4"/>
        <v>1.036786516230976E-2</v>
      </c>
    </row>
    <row r="44" spans="2:9">
      <c r="B44" s="685" t="s">
        <v>424</v>
      </c>
      <c r="C44" s="686">
        <v>5</v>
      </c>
      <c r="D44" s="687">
        <v>1.8657920075756399E-2</v>
      </c>
      <c r="E44" s="684">
        <v>72.146000000000001</v>
      </c>
      <c r="F44" s="680">
        <f t="shared" si="7"/>
        <v>1.3460943017855211</v>
      </c>
      <c r="G44" s="681">
        <v>4.4000000000000003E-3</v>
      </c>
      <c r="H44" s="680">
        <f t="shared" si="6"/>
        <v>3.0493721065616941</v>
      </c>
      <c r="I44" s="683">
        <f t="shared" si="4"/>
        <v>1.3417237268871455E-2</v>
      </c>
    </row>
    <row r="45" spans="2:9">
      <c r="B45" s="685" t="s">
        <v>425</v>
      </c>
      <c r="C45" s="688">
        <v>22</v>
      </c>
      <c r="D45" s="687">
        <v>0.94343564078742592</v>
      </c>
      <c r="E45" s="684">
        <v>319.70490000000001</v>
      </c>
      <c r="F45" s="680">
        <f t="shared" si="7"/>
        <v>301.62099719437992</v>
      </c>
      <c r="G45" s="681">
        <v>0.98809999999999998</v>
      </c>
      <c r="H45" s="680">
        <f t="shared" si="6"/>
        <v>3.0277921921121633</v>
      </c>
      <c r="I45" s="683">
        <f t="shared" si="4"/>
        <v>2.9917614650260287</v>
      </c>
    </row>
    <row r="46" spans="2:9">
      <c r="B46" s="685" t="s">
        <v>426</v>
      </c>
      <c r="C46" s="686">
        <v>0</v>
      </c>
      <c r="D46" s="687">
        <v>0</v>
      </c>
      <c r="E46" s="684">
        <v>4.0030000000000001</v>
      </c>
      <c r="F46" s="680">
        <f t="shared" si="7"/>
        <v>0</v>
      </c>
      <c r="G46" s="681">
        <f t="shared" ref="G46:G54" si="8">IF($G$45&lt;1,0,F46/$G$45)</f>
        <v>0</v>
      </c>
      <c r="H46" s="680">
        <f t="shared" si="6"/>
        <v>0</v>
      </c>
      <c r="I46" s="683">
        <f t="shared" si="4"/>
        <v>0</v>
      </c>
    </row>
    <row r="47" spans="2:9">
      <c r="B47" s="685" t="s">
        <v>427</v>
      </c>
      <c r="C47" s="686">
        <v>0</v>
      </c>
      <c r="D47" s="687">
        <v>0</v>
      </c>
      <c r="E47" s="684">
        <v>34.015999999999998</v>
      </c>
      <c r="F47" s="680">
        <f t="shared" si="7"/>
        <v>0</v>
      </c>
      <c r="G47" s="681">
        <f t="shared" si="8"/>
        <v>0</v>
      </c>
      <c r="H47" s="680">
        <f t="shared" si="6"/>
        <v>0</v>
      </c>
      <c r="I47" s="683">
        <f t="shared" si="4"/>
        <v>0</v>
      </c>
    </row>
    <row r="48" spans="2:9">
      <c r="B48" s="685" t="s">
        <v>428</v>
      </c>
      <c r="C48" s="689">
        <v>0</v>
      </c>
      <c r="D48" s="687">
        <v>0</v>
      </c>
      <c r="E48" s="684">
        <v>32</v>
      </c>
      <c r="F48" s="680">
        <f t="shared" si="7"/>
        <v>0</v>
      </c>
      <c r="G48" s="681">
        <f t="shared" si="8"/>
        <v>0</v>
      </c>
      <c r="H48" s="680">
        <f t="shared" si="6"/>
        <v>0</v>
      </c>
      <c r="I48" s="683">
        <f t="shared" si="4"/>
        <v>0</v>
      </c>
    </row>
    <row r="49" spans="2:9">
      <c r="B49" s="685" t="s">
        <v>429</v>
      </c>
      <c r="C49" s="689">
        <v>0</v>
      </c>
      <c r="D49" s="687">
        <v>1.4415226502516399E-10</v>
      </c>
      <c r="E49" s="684">
        <v>28</v>
      </c>
      <c r="F49" s="680">
        <f t="shared" si="7"/>
        <v>4.0362634207045923E-9</v>
      </c>
      <c r="G49" s="681">
        <f t="shared" si="8"/>
        <v>0</v>
      </c>
      <c r="H49" s="680">
        <f t="shared" si="6"/>
        <v>0</v>
      </c>
      <c r="I49" s="683">
        <f t="shared" si="4"/>
        <v>0</v>
      </c>
    </row>
    <row r="50" spans="2:9">
      <c r="B50" s="685" t="s">
        <v>115</v>
      </c>
      <c r="C50" s="689">
        <v>1</v>
      </c>
      <c r="D50" s="687">
        <v>0</v>
      </c>
      <c r="E50" s="684">
        <v>28.009999999999998</v>
      </c>
      <c r="F50" s="680">
        <f t="shared" si="7"/>
        <v>0</v>
      </c>
      <c r="G50" s="681">
        <f t="shared" si="8"/>
        <v>0</v>
      </c>
      <c r="H50" s="680">
        <f t="shared" si="6"/>
        <v>1.5708675473045342</v>
      </c>
      <c r="I50" s="683">
        <f t="shared" si="4"/>
        <v>0</v>
      </c>
    </row>
    <row r="51" spans="2:9">
      <c r="B51" s="685" t="s">
        <v>126</v>
      </c>
      <c r="C51" s="689">
        <v>1</v>
      </c>
      <c r="D51" s="687">
        <v>1.04835044112351E-6</v>
      </c>
      <c r="E51" s="684">
        <v>44.01</v>
      </c>
      <c r="F51" s="680">
        <f t="shared" si="7"/>
        <v>4.6137902913845676E-5</v>
      </c>
      <c r="G51" s="681">
        <f t="shared" si="8"/>
        <v>0</v>
      </c>
      <c r="H51" s="680">
        <f t="shared" si="6"/>
        <v>0.99977277891388328</v>
      </c>
      <c r="I51" s="683">
        <f t="shared" si="4"/>
        <v>0</v>
      </c>
    </row>
    <row r="52" spans="2:9">
      <c r="B52" s="685" t="s">
        <v>430</v>
      </c>
      <c r="C52" s="689">
        <v>0</v>
      </c>
      <c r="D52" s="687">
        <v>0</v>
      </c>
      <c r="E52" s="684">
        <v>46</v>
      </c>
      <c r="F52" s="680">
        <f t="shared" si="7"/>
        <v>0</v>
      </c>
      <c r="G52" s="681">
        <f t="shared" si="8"/>
        <v>0</v>
      </c>
      <c r="H52" s="680">
        <f t="shared" si="6"/>
        <v>0</v>
      </c>
      <c r="I52" s="683">
        <f t="shared" si="4"/>
        <v>0</v>
      </c>
    </row>
    <row r="53" spans="2:9">
      <c r="B53" s="685" t="s">
        <v>125</v>
      </c>
      <c r="C53" s="689">
        <v>0</v>
      </c>
      <c r="D53" s="687">
        <v>0</v>
      </c>
      <c r="E53" s="684">
        <v>44</v>
      </c>
      <c r="F53" s="680">
        <f t="shared" si="7"/>
        <v>0</v>
      </c>
      <c r="G53" s="681">
        <f t="shared" si="8"/>
        <v>0</v>
      </c>
      <c r="H53" s="680">
        <f t="shared" si="6"/>
        <v>0</v>
      </c>
      <c r="I53" s="683">
        <f t="shared" si="4"/>
        <v>0</v>
      </c>
    </row>
    <row r="54" spans="2:9">
      <c r="B54" s="685" t="s">
        <v>124</v>
      </c>
      <c r="C54" s="689">
        <v>0</v>
      </c>
      <c r="D54" s="687">
        <v>0</v>
      </c>
      <c r="E54" s="684">
        <v>64</v>
      </c>
      <c r="F54" s="680">
        <f t="shared" si="7"/>
        <v>0</v>
      </c>
      <c r="G54" s="681">
        <f t="shared" si="8"/>
        <v>0</v>
      </c>
      <c r="H54" s="680">
        <f t="shared" si="6"/>
        <v>0</v>
      </c>
      <c r="I54" s="683">
        <f t="shared" si="4"/>
        <v>0</v>
      </c>
    </row>
    <row r="55" spans="2:9">
      <c r="B55" s="690" t="s">
        <v>431</v>
      </c>
      <c r="C55" s="691">
        <v>0</v>
      </c>
      <c r="D55" s="692">
        <v>1.4951987737782399E-3</v>
      </c>
      <c r="E55" s="693">
        <v>18.015999999999998</v>
      </c>
      <c r="F55" s="694">
        <f t="shared" si="7"/>
        <v>2.6937501108388769E-2</v>
      </c>
      <c r="G55" s="681">
        <v>1E-4</v>
      </c>
      <c r="H55" s="694">
        <f t="shared" si="6"/>
        <v>0</v>
      </c>
      <c r="I55" s="683">
        <f t="shared" si="4"/>
        <v>0</v>
      </c>
    </row>
    <row r="56" spans="2:9" ht="15">
      <c r="B56" s="695" t="s">
        <v>432</v>
      </c>
      <c r="C56" s="696"/>
      <c r="D56" s="697">
        <v>1</v>
      </c>
      <c r="E56" s="697">
        <f t="shared" ref="E56:H56" si="9">SUM(E34:E55)</f>
        <v>1140.7459000000001</v>
      </c>
      <c r="F56" s="697">
        <f t="shared" si="9"/>
        <v>305.24151256695342</v>
      </c>
      <c r="G56" s="697">
        <v>1</v>
      </c>
      <c r="H56" s="697">
        <f t="shared" si="9"/>
        <v>27.021278721091765</v>
      </c>
      <c r="I56" s="698">
        <f>SUM(I34:I55)</f>
        <v>3.0273358478879833</v>
      </c>
    </row>
    <row r="57" spans="2:9">
      <c r="B57" s="1000" t="s">
        <v>433</v>
      </c>
      <c r="C57" s="1000"/>
      <c r="D57" s="699">
        <v>820</v>
      </c>
      <c r="E57" s="665">
        <v>845</v>
      </c>
      <c r="F57" s="699">
        <f>(D57+E57)/2</f>
        <v>832.5</v>
      </c>
      <c r="G57" s="669"/>
      <c r="H57" s="668"/>
      <c r="I57" s="700"/>
    </row>
    <row r="58" spans="2:9">
      <c r="B58" s="701"/>
      <c r="C58" s="665"/>
      <c r="D58" s="45" t="s">
        <v>434</v>
      </c>
      <c r="E58" s="665" t="s">
        <v>435</v>
      </c>
      <c r="F58" s="699" t="s">
        <v>436</v>
      </c>
      <c r="G58" s="669"/>
      <c r="H58" s="668"/>
      <c r="I58" s="700"/>
    </row>
    <row r="59" spans="2:9">
      <c r="B59" s="701" t="s">
        <v>437</v>
      </c>
      <c r="C59" s="665">
        <v>12.67</v>
      </c>
      <c r="D59" s="45" t="s">
        <v>438</v>
      </c>
      <c r="E59" s="666"/>
      <c r="F59" s="668"/>
      <c r="G59" s="669"/>
      <c r="H59" s="668"/>
      <c r="I59" s="700"/>
    </row>
    <row r="60" spans="2:9">
      <c r="B60" s="701" t="s">
        <v>439</v>
      </c>
      <c r="C60" s="665">
        <v>11.83</v>
      </c>
      <c r="D60" s="45" t="s">
        <v>438</v>
      </c>
      <c r="E60" s="666"/>
      <c r="F60" s="668"/>
      <c r="G60" s="669"/>
      <c r="H60" s="668"/>
      <c r="I60" s="700"/>
    </row>
  </sheetData>
  <sheetProtection algorithmName="SHA-512" hashValue="kP4HFb3y21Bxg7Lcs2T2p3BMBsW2y8bitWLWPeePjd26jQJRFTeCn581L7rZSzARVnnSExgFRHns0Ut/yfB69Q==" saltValue="JY5k4hLHCmVZJQjdJ9VhTw==" spinCount="100000" sheet="1" objects="1" scenarios="1" selectLockedCells="1" selectUnlockedCells="1"/>
  <mergeCells count="3">
    <mergeCell ref="C2:E2"/>
    <mergeCell ref="F2:H2"/>
    <mergeCell ref="B57:C57"/>
  </mergeCells>
  <dataValidations count="1">
    <dataValidation type="decimal" allowBlank="1" showInputMessage="1" showErrorMessage="1" error="Please enter a number" sqref="E14 E59:E60 E29 E34:E55" xr:uid="{B6EA61E9-A3E2-4494-A8F6-BCC3664A2AF9}">
      <formula1>0</formula1>
      <formula2>100</formula2>
    </dataValidation>
  </dataValidations>
  <pageMargins left="0.7" right="0.7" top="0.75" bottom="0.75" header="0.3" footer="0.3"/>
  <headerFooter>
    <oddFooter>&amp;C_x000D_&amp;1#&amp;"Calibri"&amp;10&amp;K000000 Internal</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4b78a5b-98ae-4895-8d73-b24b512b837e">
      <UserInfo>
        <DisplayName>Safina Jivraj</DisplayName>
        <AccountId>19</AccountId>
        <AccountType/>
      </UserInfo>
      <UserInfo>
        <DisplayName>Niala Yurek</DisplayName>
        <AccountId>68</AccountId>
        <AccountType/>
      </UserInfo>
    </SharedWithUsers>
    <lcf76f155ced4ddcb4097134ff3c332f xmlns="ff9bbf63-aa59-478e-ab63-b67f75e42a48">
      <Terms xmlns="http://schemas.microsoft.com/office/infopath/2007/PartnerControls"/>
    </lcf76f155ced4ddcb4097134ff3c332f>
    <TaxCatchAll xmlns="f4b78a5b-98ae-4895-8d73-b24b512b837e" xsi:nil="true"/>
    <Date xmlns="ff9bbf63-aa59-478e-ab63-b67f75e42a48" xsi:nil="true"/>
    <_ip_UnifiedCompliancePolicyUIAction xmlns="http://schemas.microsoft.com/sharepoint/v3" xsi:nil="true"/>
    <Link xmlns="ff9bbf63-aa59-478e-ab63-b67f75e42a48">
      <Url xsi:nil="true"/>
      <Description xsi:nil="true"/>
    </Link>
    <FilesNumber xmlns="ff9bbf63-aa59-478e-ab63-b67f75e42a48"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FFD2F710B89C044A7603053BAC3797E" ma:contentTypeVersion="22" ma:contentTypeDescription="Create a new document." ma:contentTypeScope="" ma:versionID="421a74dbd7cd85f1c426947e2eb11067">
  <xsd:schema xmlns:xsd="http://www.w3.org/2001/XMLSchema" xmlns:xs="http://www.w3.org/2001/XMLSchema" xmlns:p="http://schemas.microsoft.com/office/2006/metadata/properties" xmlns:ns1="http://schemas.microsoft.com/sharepoint/v3" xmlns:ns2="ff9bbf63-aa59-478e-ab63-b67f75e42a48" xmlns:ns3="f4b78a5b-98ae-4895-8d73-b24b512b837e" targetNamespace="http://schemas.microsoft.com/office/2006/metadata/properties" ma:root="true" ma:fieldsID="3225c354aa51c14857a6661cc702ac3e" ns1:_="" ns2:_="" ns3:_="">
    <xsd:import namespace="http://schemas.microsoft.com/sharepoint/v3"/>
    <xsd:import namespace="ff9bbf63-aa59-478e-ab63-b67f75e42a48"/>
    <xsd:import namespace="f4b78a5b-98ae-4895-8d73-b24b512b837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FilesNumber" minOccurs="0"/>
                <xsd:element ref="ns2:Date" minOccurs="0"/>
                <xsd:element ref="ns1:_ip_UnifiedCompliancePolicyProperties" minOccurs="0"/>
                <xsd:element ref="ns1:_ip_UnifiedCompliancePolicyUIAction" minOccurs="0"/>
                <xsd:element ref="ns2:Link"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Unified Compliance Policy Properties" ma:hidden="true" ma:internalName="_ip_UnifiedCompliancePolicyProperties">
      <xsd:simpleType>
        <xsd:restriction base="dms:Note"/>
      </xsd:simpleType>
    </xsd:element>
    <xsd:element name="_ip_UnifiedCompliancePolicyUIAction" ma:index="2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9bbf63-aa59-478e-ab63-b67f75e42a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20b3a9a-9178-4a6d-b079-fdfb03e9f179" ma:termSetId="09814cd3-568e-fe90-9814-8d621ff8fb84" ma:anchorId="fba54fb3-c3e1-fe81-a776-ca4b69148c4d" ma:open="true" ma:isKeyword="false">
      <xsd:complexType>
        <xsd:sequence>
          <xsd:element ref="pc:Terms" minOccurs="0" maxOccurs="1"/>
        </xsd:sequence>
      </xsd:complexType>
    </xsd:element>
    <xsd:element name="FilesNumber" ma:index="24" nillable="true" ma:displayName="Files Number" ma:format="Dropdown" ma:internalName="FilesNumber" ma:percentage="FALSE">
      <xsd:simpleType>
        <xsd:restriction base="dms:Number"/>
      </xsd:simpleType>
    </xsd:element>
    <xsd:element name="Date" ma:index="25" nillable="true" ma:displayName="Date" ma:format="DateOnly" ma:internalName="Date">
      <xsd:simpleType>
        <xsd:restriction base="dms:DateTime"/>
      </xsd:simpleType>
    </xsd:element>
    <xsd:element name="Link" ma:index="28"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4b78a5b-98ae-4895-8d73-b24b512b837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5aca8e2-6a0a-4ca7-8de8-2f6e97a33f96}" ma:internalName="TaxCatchAll" ma:showField="CatchAllData" ma:web="f4b78a5b-98ae-4895-8d73-b24b512b837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EC2594-B683-485C-8858-7F9339C0B811}">
  <ds:schemaRefs>
    <ds:schemaRef ds:uri="f4b78a5b-98ae-4895-8d73-b24b512b837e"/>
    <ds:schemaRef ds:uri="http://purl.org/dc/terms/"/>
    <ds:schemaRef ds:uri="http://schemas.microsoft.com/office/2006/metadata/properties"/>
    <ds:schemaRef ds:uri="http://www.w3.org/XML/1998/namespace"/>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ff9bbf63-aa59-478e-ab63-b67f75e42a48"/>
    <ds:schemaRef ds:uri="http://schemas.microsoft.com/sharepoint/v3"/>
    <ds:schemaRef ds:uri="http://purl.org/dc/dcmitype/"/>
  </ds:schemaRefs>
</ds:datastoreItem>
</file>

<file path=customXml/itemProps2.xml><?xml version="1.0" encoding="utf-8"?>
<ds:datastoreItem xmlns:ds="http://schemas.openxmlformats.org/officeDocument/2006/customXml" ds:itemID="{C7A8611C-BD7F-49A4-8ED7-131C319FBCAC}">
  <ds:schemaRefs>
    <ds:schemaRef ds:uri="http://schemas.microsoft.com/sharepoint/v3/contenttype/forms"/>
  </ds:schemaRefs>
</ds:datastoreItem>
</file>

<file path=customXml/itemProps3.xml><?xml version="1.0" encoding="utf-8"?>
<ds:datastoreItem xmlns:ds="http://schemas.openxmlformats.org/officeDocument/2006/customXml" ds:itemID="{C056F3DE-70E9-46DE-B29F-AD9CFB17CD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f9bbf63-aa59-478e-ab63-b67f75e42a48"/>
    <ds:schemaRef ds:uri="f4b78a5b-98ae-4895-8d73-b24b512b83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6d50f11-2948-4504-b85a-3bd8bed9a0fc}" enabled="1" method="Standard" siteId="{a8f2ac6f-681f-4361-b51f-c85d86014a17}" contentBits="2"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72</vt:i4>
      </vt:variant>
      <vt:variant>
        <vt:lpstr>Named Ranges</vt:lpstr>
      </vt:variant>
      <vt:variant>
        <vt:i4>61</vt:i4>
      </vt:variant>
    </vt:vector>
  </HeadingPairs>
  <TitlesOfParts>
    <vt:vector size="133" baseType="lpstr">
      <vt:lpstr>Revision</vt:lpstr>
      <vt:lpstr>References</vt:lpstr>
      <vt:lpstr>Emiss. Const. Offsh.</vt:lpstr>
      <vt:lpstr>Emiss. Drilling</vt:lpstr>
      <vt:lpstr>Emiss. Onshore</vt:lpstr>
      <vt:lpstr>Wastes</vt:lpstr>
      <vt:lpstr>Emiss. Ops</vt:lpstr>
      <vt:lpstr>Emiss. Ab Ops</vt:lpstr>
      <vt:lpstr>Diesel F</vt:lpstr>
      <vt:lpstr>Effluents</vt:lpstr>
      <vt:lpstr>ESG</vt:lpstr>
      <vt:lpstr>BSG</vt:lpstr>
      <vt:lpstr>GTGs</vt:lpstr>
      <vt:lpstr>TEMPSC</vt:lpstr>
      <vt:lpstr>LPF P&amp;P</vt:lpstr>
      <vt:lpstr>HPF P&amp;P</vt:lpstr>
      <vt:lpstr>HPF TAR</vt:lpstr>
      <vt:lpstr>HPF pig</vt:lpstr>
      <vt:lpstr>MeOHBGF</vt:lpstr>
      <vt:lpstr>FE PL F</vt:lpstr>
      <vt:lpstr>LPFConTEG</vt:lpstr>
      <vt:lpstr>OT V</vt:lpstr>
      <vt:lpstr>FE FL V</vt:lpstr>
      <vt:lpstr>VA</vt:lpstr>
      <vt:lpstr>HPF ICSS</vt:lpstr>
      <vt:lpstr>PSD WR</vt:lpstr>
      <vt:lpstr>ESD CR</vt:lpstr>
      <vt:lpstr>ESD CR SS</vt:lpstr>
      <vt:lpstr>PBD PP</vt:lpstr>
      <vt:lpstr>PBD DP</vt:lpstr>
      <vt:lpstr>T H (E-M)</vt:lpstr>
      <vt:lpstr>AOT V</vt:lpstr>
      <vt:lpstr>SWP HU</vt:lpstr>
      <vt:lpstr>M P</vt:lpstr>
      <vt:lpstr>BSG - C</vt:lpstr>
      <vt:lpstr>ESG -C</vt:lpstr>
      <vt:lpstr>Precom F P</vt:lpstr>
      <vt:lpstr>Precom H P</vt:lpstr>
      <vt:lpstr>Precom DP P</vt:lpstr>
      <vt:lpstr>Precom F D</vt:lpstr>
      <vt:lpstr>Precom H D</vt:lpstr>
      <vt:lpstr>Precom DP D</vt:lpstr>
      <vt:lpstr>Precom F GPP</vt:lpstr>
      <vt:lpstr>Precom L GPP</vt:lpstr>
      <vt:lpstr>LP FP</vt:lpstr>
      <vt:lpstr>HP FP</vt:lpstr>
      <vt:lpstr>HP ICS</vt:lpstr>
      <vt:lpstr>DFP</vt:lpstr>
      <vt:lpstr>Precom F O</vt:lpstr>
      <vt:lpstr>Precom H O</vt:lpstr>
      <vt:lpstr>Precom D O</vt:lpstr>
      <vt:lpstr>OPE</vt:lpstr>
      <vt:lpstr>V SUG</vt:lpstr>
      <vt:lpstr>T H</vt:lpstr>
      <vt:lpstr>T Vs</vt:lpstr>
      <vt:lpstr>DG</vt:lpstr>
      <vt:lpstr>D TP</vt:lpstr>
      <vt:lpstr>DC</vt:lpstr>
      <vt:lpstr>DT H</vt:lpstr>
      <vt:lpstr>DT V</vt:lpstr>
      <vt:lpstr>O SPG</vt:lpstr>
      <vt:lpstr>C E</vt:lpstr>
      <vt:lpstr>OV FR</vt:lpstr>
      <vt:lpstr>OV IPC</vt:lpstr>
      <vt:lpstr>OV PT</vt:lpstr>
      <vt:lpstr>OV PSVL</vt:lpstr>
      <vt:lpstr>O FE</vt:lpstr>
      <vt:lpstr>O V</vt:lpstr>
      <vt:lpstr>CO2eEF</vt:lpstr>
      <vt:lpstr>Fugitive Emissions</vt:lpstr>
      <vt:lpstr>LHV HHV</vt:lpstr>
      <vt:lpstr>Standard density calc</vt:lpstr>
      <vt:lpstr>'AOT V'!Print_Area</vt:lpstr>
      <vt:lpstr>BSG!Print_Area</vt:lpstr>
      <vt:lpstr>'BSG - C'!Print_Area</vt:lpstr>
      <vt:lpstr>'C E'!Print_Area</vt:lpstr>
      <vt:lpstr>CO2eEF!Print_Area</vt:lpstr>
      <vt:lpstr>'D TP'!Print_Area</vt:lpstr>
      <vt:lpstr>DC!Print_Area</vt:lpstr>
      <vt:lpstr>DFP!Print_Area</vt:lpstr>
      <vt:lpstr>DG!Print_Area</vt:lpstr>
      <vt:lpstr>'DT H'!Print_Area</vt:lpstr>
      <vt:lpstr>'DT V'!Print_Area</vt:lpstr>
      <vt:lpstr>'ESD CR'!Print_Area</vt:lpstr>
      <vt:lpstr>'ESD CR SS'!Print_Area</vt:lpstr>
      <vt:lpstr>ESG!Print_Area</vt:lpstr>
      <vt:lpstr>'ESG -C'!Print_Area</vt:lpstr>
      <vt:lpstr>'FE FL V'!Print_Area</vt:lpstr>
      <vt:lpstr>'FE PL F'!Print_Area</vt:lpstr>
      <vt:lpstr>'Fugitive Emissions'!Print_Area</vt:lpstr>
      <vt:lpstr>GTGs!Print_Area</vt:lpstr>
      <vt:lpstr>'HP FP'!Print_Area</vt:lpstr>
      <vt:lpstr>'HP ICS'!Print_Area</vt:lpstr>
      <vt:lpstr>'HPF ICSS'!Print_Area</vt:lpstr>
      <vt:lpstr>'HPF P&amp;P'!Print_Area</vt:lpstr>
      <vt:lpstr>'HPF pig'!Print_Area</vt:lpstr>
      <vt:lpstr>'HPF TAR'!Print_Area</vt:lpstr>
      <vt:lpstr>'LP FP'!Print_Area</vt:lpstr>
      <vt:lpstr>'LPF P&amp;P'!Print_Area</vt:lpstr>
      <vt:lpstr>LPFConTEG!Print_Area</vt:lpstr>
      <vt:lpstr>'M P'!Print_Area</vt:lpstr>
      <vt:lpstr>MeOHBGF!Print_Area</vt:lpstr>
      <vt:lpstr>'O FE'!Print_Area</vt:lpstr>
      <vt:lpstr>'O SPG'!Print_Area</vt:lpstr>
      <vt:lpstr>'O V'!Print_Area</vt:lpstr>
      <vt:lpstr>OPE!Print_Area</vt:lpstr>
      <vt:lpstr>'OT V'!Print_Area</vt:lpstr>
      <vt:lpstr>'OV FR'!Print_Area</vt:lpstr>
      <vt:lpstr>'OV IPC'!Print_Area</vt:lpstr>
      <vt:lpstr>'OV PSVL'!Print_Area</vt:lpstr>
      <vt:lpstr>'OV PT'!Print_Area</vt:lpstr>
      <vt:lpstr>'PBD DP'!Print_Area</vt:lpstr>
      <vt:lpstr>'PBD PP'!Print_Area</vt:lpstr>
      <vt:lpstr>'Precom D O'!Print_Area</vt:lpstr>
      <vt:lpstr>'Precom DP D'!Print_Area</vt:lpstr>
      <vt:lpstr>'Precom DP P'!Print_Area</vt:lpstr>
      <vt:lpstr>'Precom F D'!Print_Area</vt:lpstr>
      <vt:lpstr>'Precom F GPP'!Print_Area</vt:lpstr>
      <vt:lpstr>'Precom F O'!Print_Area</vt:lpstr>
      <vt:lpstr>'Precom F P'!Print_Area</vt:lpstr>
      <vt:lpstr>'Precom H D'!Print_Area</vt:lpstr>
      <vt:lpstr>'Precom H O'!Print_Area</vt:lpstr>
      <vt:lpstr>'Precom H P'!Print_Area</vt:lpstr>
      <vt:lpstr>'Precom L GPP'!Print_Area</vt:lpstr>
      <vt:lpstr>'PSD WR'!Print_Area</vt:lpstr>
      <vt:lpstr>Revision!Print_Area</vt:lpstr>
      <vt:lpstr>'SWP HU'!Print_Area</vt:lpstr>
      <vt:lpstr>'T H'!Print_Area</vt:lpstr>
      <vt:lpstr>'T H (E-M)'!Print_Area</vt:lpstr>
      <vt:lpstr>'T Vs'!Print_Area</vt:lpstr>
      <vt:lpstr>TEMPSC!Print_Area</vt:lpstr>
      <vt:lpstr>'V SUG'!Print_Area</vt:lpstr>
      <vt:lpstr>VA!Print_Area</vt:lpstr>
    </vt:vector>
  </TitlesOfParts>
  <Manager/>
  <Company>WorleyParsons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Prossor, Adam (London)</dc:creator>
  <cp:keywords/>
  <dc:description/>
  <cp:lastModifiedBy>Dinu, Daniel-Raul</cp:lastModifiedBy>
  <cp:revision/>
  <dcterms:created xsi:type="dcterms:W3CDTF">2014-02-19T13:13:16Z</dcterms:created>
  <dcterms:modified xsi:type="dcterms:W3CDTF">2023-11-23T13:28:41Z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0x0101006FFD2F710B89C044A7603053BAC3797E</vt:lpwstr>
  </property>
  <property fmtid="{D5CDD505-2E9C-101B-9397-08002B2CF9AE}" pid="3" name="WorkbookGuid">
    <vt:lpwstr>d88462ce-7321-4362-a3c5-0752d9b2af14</vt:lpwstr>
  </property>
  <property fmtid="{D5CDD505-2E9C-101B-9397-08002B2CF9AE}" pid="4" name="MediaServiceImageTags">
    <vt:lpwstr/>
  </property>
</Properties>
</file>